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workbookProtection workbookPassword="B9E0" lockStructure="1"/>
  <bookViews>
    <workbookView xWindow="240" yWindow="1395" windowWidth="13815" windowHeight="10185" tabRatio="923" firstSheet="1" activeTab="1"/>
  </bookViews>
  <sheets>
    <sheet name="Paramètres" sheetId="40" state="hidden" r:id="rId1"/>
    <sheet name="Recherche" sheetId="48" r:id="rId2"/>
    <sheet name="Validation Rend. Imp." sheetId="51" state="hidden" r:id="rId3"/>
    <sheet name="A) Base RI" sheetId="42" state="hidden" r:id="rId4"/>
    <sheet name="B) D RI" sheetId="19" r:id="rId5"/>
    <sheet name="C) Prél. conj." sheetId="32" r:id="rId6"/>
    <sheet name="D) Ecrêtage" sheetId="33" r:id="rId7"/>
    <sheet name="E) Fact soc" sheetId="9" r:id="rId8"/>
    <sheet name="F) Population" sheetId="36" r:id="rId9"/>
    <sheet name="G) Solidarité" sheetId="37" r:id="rId10"/>
    <sheet name="H) Péréquation directe" sheetId="34" r:id="rId11"/>
    <sheet name="I) Dépenses thématiques" sheetId="11" r:id="rId12"/>
    <sheet name="J) Plafonnement effort" sheetId="12" r:id="rId13"/>
    <sheet name="K) Plafonnement aide" sheetId="39" r:id="rId14"/>
    <sheet name="L) Plafonnement taux" sheetId="13" r:id="rId15"/>
    <sheet name="M) Police" sheetId="49" r:id="rId16"/>
    <sheet name="Synthèse" sheetId="25" r:id="rId17"/>
    <sheet name="Acomptes vs Décompte" sheetId="52" r:id="rId18"/>
  </sheets>
  <definedNames>
    <definedName name="_xlnm._FilterDatabase" localSheetId="5" hidden="1">'C) Prél. conj.'!$A$3:$H$323</definedName>
    <definedName name="_xlnm._FilterDatabase" localSheetId="7" hidden="1">'E) Fact soc'!$A$9:$G$329</definedName>
    <definedName name="_xlnm._FilterDatabase" localSheetId="10" hidden="1">'H) Péréquation directe'!$A$14:$I$334</definedName>
    <definedName name="_xlnm._FilterDatabase" localSheetId="16" hidden="1">Synthèse!$A$4:$L$326</definedName>
    <definedName name="_xlnm.Database" localSheetId="2">#REF!</definedName>
    <definedName name="_xlnm.Database">#REF!</definedName>
    <definedName name="_xlnm.Print_Titles" localSheetId="5">'C) Prél. conj.'!$3:$4</definedName>
    <definedName name="_xlnm.Print_Titles" localSheetId="7">'E) Fact soc'!$9:$10</definedName>
    <definedName name="_xlnm.Print_Titles" localSheetId="11">'I) Dépenses thématiques'!$3:$4</definedName>
    <definedName name="_xlnm.Print_Titles" localSheetId="12">'J) Plafonnement effort'!$3:$4</definedName>
    <definedName name="_xlnm.Print_Titles" localSheetId="14">'L) Plafonnement taux'!$4:$5</definedName>
    <definedName name="_xlnm.Print_Titles" localSheetId="15">'M) Police'!$4:$4</definedName>
    <definedName name="_xlnm.Print_Titles" localSheetId="16">Synthèse!$4:$5</definedName>
    <definedName name="ind">2</definedName>
    <definedName name="_xlnm.Print_Area" localSheetId="3">'A) Base RI'!$A:$AM</definedName>
    <definedName name="_xlnm.Print_Area" localSheetId="10">'H) Péréquation directe'!$325:$356</definedName>
    <definedName name="_xlnm.Print_Area" localSheetId="14">'L) Plafonnement taux'!$A$1:$R$325</definedName>
    <definedName name="_xlnm.Print_Area" localSheetId="15">'M) Police'!$A$1:$O$324</definedName>
    <definedName name="_xlnm.Print_Area" localSheetId="1">Recherche!$B$6:$F$70</definedName>
    <definedName name="_xlnm.Print_Area" localSheetId="16">Synthèse!$A$1:$N$324</definedName>
    <definedName name="_xlnm.Print_Area" localSheetId="2">'Validation Rend. Imp.'!$B$6:$E$74</definedName>
  </definedNames>
  <calcPr calcId="145621"/>
</workbook>
</file>

<file path=xl/calcChain.xml><?xml version="1.0" encoding="utf-8"?>
<calcChain xmlns="http://schemas.openxmlformats.org/spreadsheetml/2006/main">
  <c r="Y7" i="19" l="1"/>
  <c r="I327" i="52" l="1"/>
  <c r="P117" i="19" l="1"/>
  <c r="O117" i="19" l="1"/>
  <c r="D18" i="48" l="1"/>
  <c r="F62" i="48"/>
  <c r="F61" i="48"/>
  <c r="E62" i="48"/>
  <c r="E61" i="48"/>
  <c r="D61" i="48"/>
  <c r="D62" i="48"/>
  <c r="E63" i="48" l="1"/>
  <c r="C62" i="48"/>
  <c r="F63" i="48"/>
  <c r="D63" i="48"/>
  <c r="C61" i="48"/>
  <c r="J324" i="52"/>
  <c r="K7" i="52"/>
  <c r="K8" i="52"/>
  <c r="K9" i="52"/>
  <c r="K10" i="5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211" i="52"/>
  <c r="K212"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57" i="52"/>
  <c r="K258" i="52"/>
  <c r="K259" i="52"/>
  <c r="K260" i="52"/>
  <c r="K261" i="52"/>
  <c r="K262" i="52"/>
  <c r="K263" i="52"/>
  <c r="K264" i="52"/>
  <c r="K265" i="52"/>
  <c r="K266" i="52"/>
  <c r="K267" i="52"/>
  <c r="K268" i="52"/>
  <c r="K269" i="52"/>
  <c r="K270" i="52"/>
  <c r="K271" i="52"/>
  <c r="K272" i="52"/>
  <c r="K273" i="52"/>
  <c r="K274" i="52"/>
  <c r="K275" i="52"/>
  <c r="K276" i="52"/>
  <c r="K277" i="52"/>
  <c r="K278" i="52"/>
  <c r="K279" i="52"/>
  <c r="K280" i="52"/>
  <c r="K281" i="52"/>
  <c r="K282" i="52"/>
  <c r="K283" i="52"/>
  <c r="K284" i="52"/>
  <c r="K285" i="52"/>
  <c r="K286" i="52"/>
  <c r="K287" i="52"/>
  <c r="K288" i="52"/>
  <c r="K289" i="52"/>
  <c r="K290" i="52"/>
  <c r="K291" i="52"/>
  <c r="K292" i="52"/>
  <c r="K293" i="52"/>
  <c r="K294" i="52"/>
  <c r="K295" i="52"/>
  <c r="K296" i="52"/>
  <c r="K297" i="52"/>
  <c r="K298" i="52"/>
  <c r="K299" i="52"/>
  <c r="K300" i="52"/>
  <c r="K301" i="52"/>
  <c r="K302" i="52"/>
  <c r="K303" i="52"/>
  <c r="K304" i="52"/>
  <c r="K305" i="52"/>
  <c r="K306" i="52"/>
  <c r="K307" i="52"/>
  <c r="K308" i="52"/>
  <c r="K309" i="52"/>
  <c r="K310" i="52"/>
  <c r="K311" i="52"/>
  <c r="K312" i="52"/>
  <c r="K313" i="52"/>
  <c r="K314" i="52"/>
  <c r="K315" i="52"/>
  <c r="K316" i="52"/>
  <c r="K317" i="52"/>
  <c r="K318" i="52"/>
  <c r="K319" i="52"/>
  <c r="K320" i="52"/>
  <c r="K321" i="52"/>
  <c r="K322" i="52"/>
  <c r="K323" i="52"/>
  <c r="K6" i="52"/>
  <c r="I324" i="52"/>
  <c r="K324" i="52" s="1"/>
  <c r="G324" i="52"/>
  <c r="F324" i="52"/>
  <c r="C324" i="52"/>
  <c r="D324" i="52"/>
  <c r="H7" i="52"/>
  <c r="H8" i="52"/>
  <c r="H9" i="52"/>
  <c r="H10" i="52"/>
  <c r="H11" i="52"/>
  <c r="H12" i="52"/>
  <c r="H13" i="52"/>
  <c r="H14" i="52"/>
  <c r="H15" i="52"/>
  <c r="H16" i="52"/>
  <c r="H17" i="52"/>
  <c r="H18" i="52"/>
  <c r="H19" i="52"/>
  <c r="H20" i="52"/>
  <c r="H21" i="52"/>
  <c r="H22" i="52"/>
  <c r="H23" i="52"/>
  <c r="H24" i="52"/>
  <c r="H25" i="52"/>
  <c r="H26" i="52"/>
  <c r="H27" i="52"/>
  <c r="H28" i="52"/>
  <c r="H29" i="52"/>
  <c r="H30" i="52"/>
  <c r="H31" i="52"/>
  <c r="H32" i="52"/>
  <c r="H33" i="52"/>
  <c r="H34" i="52"/>
  <c r="H35" i="52"/>
  <c r="H36" i="52"/>
  <c r="H37" i="52"/>
  <c r="H38" i="52"/>
  <c r="H39" i="52"/>
  <c r="H40" i="52"/>
  <c r="H41" i="52"/>
  <c r="H42" i="52"/>
  <c r="H43" i="52"/>
  <c r="H44" i="52"/>
  <c r="H45" i="52"/>
  <c r="H46" i="52"/>
  <c r="H47" i="52"/>
  <c r="H48" i="52"/>
  <c r="H49" i="52"/>
  <c r="H50" i="52"/>
  <c r="H51" i="52"/>
  <c r="H52" i="52"/>
  <c r="H53" i="52"/>
  <c r="H54" i="52"/>
  <c r="H55" i="52"/>
  <c r="H56" i="52"/>
  <c r="H57" i="52"/>
  <c r="H58" i="52"/>
  <c r="H59" i="52"/>
  <c r="H60" i="52"/>
  <c r="H61" i="52"/>
  <c r="H62" i="52"/>
  <c r="H63" i="52"/>
  <c r="H64" i="52"/>
  <c r="H65" i="52"/>
  <c r="H66" i="52"/>
  <c r="H67" i="52"/>
  <c r="H68" i="52"/>
  <c r="H69" i="52"/>
  <c r="H70" i="52"/>
  <c r="H71" i="52"/>
  <c r="H72" i="52"/>
  <c r="H73" i="52"/>
  <c r="H74" i="52"/>
  <c r="H75" i="52"/>
  <c r="H76" i="52"/>
  <c r="H77" i="52"/>
  <c r="H78" i="52"/>
  <c r="H79" i="52"/>
  <c r="H80" i="52"/>
  <c r="H81" i="52"/>
  <c r="H82" i="52"/>
  <c r="H83" i="52"/>
  <c r="H84" i="52"/>
  <c r="H85" i="52"/>
  <c r="H86" i="52"/>
  <c r="H87" i="52"/>
  <c r="H88" i="52"/>
  <c r="H89" i="52"/>
  <c r="H90" i="52"/>
  <c r="H91" i="52"/>
  <c r="H92" i="52"/>
  <c r="H93" i="52"/>
  <c r="H94" i="52"/>
  <c r="H95" i="52"/>
  <c r="H96" i="52"/>
  <c r="H97" i="52"/>
  <c r="H98" i="52"/>
  <c r="H99" i="52"/>
  <c r="H100" i="52"/>
  <c r="H101" i="52"/>
  <c r="H102" i="52"/>
  <c r="H103" i="52"/>
  <c r="H104" i="52"/>
  <c r="H105" i="52"/>
  <c r="H106" i="52"/>
  <c r="H107" i="52"/>
  <c r="H108" i="52"/>
  <c r="H109" i="52"/>
  <c r="H110" i="52"/>
  <c r="H111" i="52"/>
  <c r="H112" i="52"/>
  <c r="H113" i="52"/>
  <c r="H114" i="52"/>
  <c r="H115" i="52"/>
  <c r="H116" i="52"/>
  <c r="H117" i="52"/>
  <c r="H118" i="52"/>
  <c r="H119" i="52"/>
  <c r="H120" i="52"/>
  <c r="H121" i="52"/>
  <c r="H122" i="52"/>
  <c r="H123" i="52"/>
  <c r="H124" i="52"/>
  <c r="H125" i="52"/>
  <c r="H126" i="52"/>
  <c r="H127" i="52"/>
  <c r="H128" i="52"/>
  <c r="H129" i="52"/>
  <c r="H130" i="52"/>
  <c r="H131" i="52"/>
  <c r="H132" i="52"/>
  <c r="H133" i="52"/>
  <c r="H134" i="52"/>
  <c r="H135" i="52"/>
  <c r="H136" i="52"/>
  <c r="H137" i="52"/>
  <c r="H138" i="52"/>
  <c r="H139" i="52"/>
  <c r="H140" i="52"/>
  <c r="H141" i="52"/>
  <c r="H142" i="52"/>
  <c r="H143" i="52"/>
  <c r="H144" i="52"/>
  <c r="H145" i="52"/>
  <c r="H146" i="52"/>
  <c r="H147" i="52"/>
  <c r="H148" i="52"/>
  <c r="H149" i="52"/>
  <c r="H150" i="52"/>
  <c r="H151" i="52"/>
  <c r="H152" i="52"/>
  <c r="H153" i="52"/>
  <c r="H154" i="52"/>
  <c r="H155" i="52"/>
  <c r="H156" i="52"/>
  <c r="H157" i="52"/>
  <c r="H158" i="52"/>
  <c r="H159" i="52"/>
  <c r="H160" i="52"/>
  <c r="H161" i="52"/>
  <c r="H162" i="52"/>
  <c r="H163" i="52"/>
  <c r="H164" i="52"/>
  <c r="H165" i="52"/>
  <c r="H166" i="52"/>
  <c r="H167" i="52"/>
  <c r="H168" i="52"/>
  <c r="H169" i="52"/>
  <c r="H170" i="52"/>
  <c r="H171" i="52"/>
  <c r="H172" i="52"/>
  <c r="H173" i="52"/>
  <c r="H174" i="52"/>
  <c r="H175" i="52"/>
  <c r="H176" i="52"/>
  <c r="H177" i="52"/>
  <c r="H178" i="52"/>
  <c r="H179" i="52"/>
  <c r="H180" i="52"/>
  <c r="H181" i="52"/>
  <c r="H182" i="52"/>
  <c r="H183" i="52"/>
  <c r="H184" i="52"/>
  <c r="H185" i="52"/>
  <c r="H186" i="52"/>
  <c r="H187" i="52"/>
  <c r="H188" i="52"/>
  <c r="H189" i="52"/>
  <c r="H190" i="52"/>
  <c r="H191" i="52"/>
  <c r="H192" i="52"/>
  <c r="H193" i="52"/>
  <c r="H194" i="52"/>
  <c r="H195" i="52"/>
  <c r="H196" i="52"/>
  <c r="H197" i="52"/>
  <c r="H198" i="52"/>
  <c r="H199" i="52"/>
  <c r="H200" i="52"/>
  <c r="H201" i="52"/>
  <c r="H202" i="52"/>
  <c r="H203" i="52"/>
  <c r="H204" i="52"/>
  <c r="H205" i="52"/>
  <c r="H206" i="52"/>
  <c r="H207" i="52"/>
  <c r="H208" i="52"/>
  <c r="H209" i="52"/>
  <c r="H210" i="52"/>
  <c r="H211" i="52"/>
  <c r="H212" i="52"/>
  <c r="H213" i="52"/>
  <c r="H214" i="52"/>
  <c r="H215" i="52"/>
  <c r="H216" i="52"/>
  <c r="H217" i="52"/>
  <c r="H218" i="52"/>
  <c r="H219" i="52"/>
  <c r="H220" i="52"/>
  <c r="H221" i="52"/>
  <c r="H222" i="52"/>
  <c r="H223" i="52"/>
  <c r="H224" i="52"/>
  <c r="H225" i="52"/>
  <c r="H226" i="52"/>
  <c r="H227" i="52"/>
  <c r="H228" i="52"/>
  <c r="H229" i="52"/>
  <c r="H230" i="52"/>
  <c r="H231" i="52"/>
  <c r="H232" i="52"/>
  <c r="H233" i="52"/>
  <c r="H234" i="52"/>
  <c r="H235" i="52"/>
  <c r="H236" i="52"/>
  <c r="H237" i="52"/>
  <c r="H238" i="52"/>
  <c r="H239" i="52"/>
  <c r="H240" i="52"/>
  <c r="H241" i="52"/>
  <c r="H242" i="52"/>
  <c r="H243" i="52"/>
  <c r="H244" i="52"/>
  <c r="H245" i="52"/>
  <c r="H246" i="52"/>
  <c r="H247" i="52"/>
  <c r="H248" i="52"/>
  <c r="H249" i="52"/>
  <c r="H250" i="52"/>
  <c r="H251" i="52"/>
  <c r="H252" i="52"/>
  <c r="H253" i="52"/>
  <c r="H254" i="52"/>
  <c r="H255" i="52"/>
  <c r="H256" i="52"/>
  <c r="H257" i="52"/>
  <c r="H258" i="52"/>
  <c r="H259" i="52"/>
  <c r="H260" i="52"/>
  <c r="H261" i="52"/>
  <c r="H262" i="52"/>
  <c r="H263" i="52"/>
  <c r="H264" i="52"/>
  <c r="H265" i="52"/>
  <c r="H266" i="52"/>
  <c r="H267" i="52"/>
  <c r="H268" i="52"/>
  <c r="H269" i="52"/>
  <c r="H270" i="52"/>
  <c r="H271" i="52"/>
  <c r="H272" i="52"/>
  <c r="H273" i="52"/>
  <c r="H274" i="52"/>
  <c r="H275" i="52"/>
  <c r="H276" i="52"/>
  <c r="H277" i="52"/>
  <c r="H278" i="52"/>
  <c r="H279" i="52"/>
  <c r="H280" i="52"/>
  <c r="H281" i="52"/>
  <c r="H282" i="52"/>
  <c r="H283" i="52"/>
  <c r="H284" i="52"/>
  <c r="H285" i="52"/>
  <c r="H286" i="52"/>
  <c r="H287" i="52"/>
  <c r="H288" i="52"/>
  <c r="H289" i="52"/>
  <c r="H290" i="52"/>
  <c r="H291" i="52"/>
  <c r="H292" i="52"/>
  <c r="H293" i="52"/>
  <c r="H294" i="52"/>
  <c r="H295" i="52"/>
  <c r="H296" i="52"/>
  <c r="H297" i="52"/>
  <c r="H298" i="52"/>
  <c r="H299" i="52"/>
  <c r="H300" i="52"/>
  <c r="H301" i="52"/>
  <c r="H302" i="52"/>
  <c r="H303" i="52"/>
  <c r="H304" i="52"/>
  <c r="H305" i="52"/>
  <c r="H306" i="52"/>
  <c r="H307" i="52"/>
  <c r="H308" i="52"/>
  <c r="H309" i="52"/>
  <c r="H310" i="52"/>
  <c r="H311" i="52"/>
  <c r="H312" i="52"/>
  <c r="H313" i="52"/>
  <c r="H314" i="52"/>
  <c r="H315" i="52"/>
  <c r="H316" i="52"/>
  <c r="H317" i="52"/>
  <c r="H318" i="52"/>
  <c r="H319" i="52"/>
  <c r="H320" i="52"/>
  <c r="H321" i="52"/>
  <c r="H322" i="52"/>
  <c r="H323" i="52"/>
  <c r="H6" i="52"/>
  <c r="E7" i="52"/>
  <c r="E8" i="52"/>
  <c r="E9" i="52"/>
  <c r="E10" i="52"/>
  <c r="E11" i="52"/>
  <c r="E12" i="52"/>
  <c r="E13" i="52"/>
  <c r="E14" i="52"/>
  <c r="E15" i="52"/>
  <c r="E16" i="52"/>
  <c r="E17" i="52"/>
  <c r="E18" i="52"/>
  <c r="E19" i="52"/>
  <c r="E20" i="52"/>
  <c r="E21" i="52"/>
  <c r="E22" i="52"/>
  <c r="E23" i="52"/>
  <c r="E24" i="52"/>
  <c r="E25" i="52"/>
  <c r="E26" i="52"/>
  <c r="E27" i="52"/>
  <c r="E28" i="52"/>
  <c r="E29" i="52"/>
  <c r="E30" i="52"/>
  <c r="E31" i="52"/>
  <c r="E32" i="52"/>
  <c r="E33" i="52"/>
  <c r="E34" i="52"/>
  <c r="E35" i="52"/>
  <c r="E36" i="52"/>
  <c r="E37" i="52"/>
  <c r="E38" i="52"/>
  <c r="E39" i="52"/>
  <c r="E40" i="52"/>
  <c r="E41" i="52"/>
  <c r="E42" i="52"/>
  <c r="E43" i="52"/>
  <c r="E44" i="52"/>
  <c r="E45" i="52"/>
  <c r="E46" i="52"/>
  <c r="E47" i="52"/>
  <c r="E48" i="52"/>
  <c r="E49" i="52"/>
  <c r="E50" i="52"/>
  <c r="E51" i="52"/>
  <c r="E52" i="52"/>
  <c r="E53" i="52"/>
  <c r="E54" i="52"/>
  <c r="E55" i="52"/>
  <c r="E56" i="52"/>
  <c r="E57" i="52"/>
  <c r="E58" i="52"/>
  <c r="E59" i="52"/>
  <c r="E60" i="52"/>
  <c r="E61" i="52"/>
  <c r="E62" i="52"/>
  <c r="E63" i="52"/>
  <c r="E64" i="52"/>
  <c r="E65" i="52"/>
  <c r="E66" i="52"/>
  <c r="E67" i="52"/>
  <c r="E68" i="52"/>
  <c r="E69" i="52"/>
  <c r="E70" i="52"/>
  <c r="E71" i="52"/>
  <c r="E72" i="52"/>
  <c r="E73" i="52"/>
  <c r="E74" i="52"/>
  <c r="E75" i="52"/>
  <c r="E76" i="52"/>
  <c r="E77" i="52"/>
  <c r="E78" i="52"/>
  <c r="E79" i="52"/>
  <c r="E80" i="52"/>
  <c r="E81" i="52"/>
  <c r="E82" i="52"/>
  <c r="E83" i="52"/>
  <c r="E84" i="52"/>
  <c r="E85" i="52"/>
  <c r="E86" i="52"/>
  <c r="E87" i="52"/>
  <c r="E88" i="52"/>
  <c r="E89" i="52"/>
  <c r="E90" i="52"/>
  <c r="E91" i="52"/>
  <c r="E92" i="52"/>
  <c r="E93" i="52"/>
  <c r="E94" i="52"/>
  <c r="E95" i="52"/>
  <c r="E96" i="52"/>
  <c r="E97" i="52"/>
  <c r="E98" i="52"/>
  <c r="E99" i="52"/>
  <c r="E100" i="52"/>
  <c r="E101" i="52"/>
  <c r="E102" i="52"/>
  <c r="E103" i="52"/>
  <c r="E104" i="52"/>
  <c r="E105" i="52"/>
  <c r="E106" i="52"/>
  <c r="E107" i="52"/>
  <c r="E108" i="52"/>
  <c r="E109" i="52"/>
  <c r="E110" i="52"/>
  <c r="E111" i="52"/>
  <c r="E112" i="52"/>
  <c r="E113" i="52"/>
  <c r="E114" i="52"/>
  <c r="E115" i="52"/>
  <c r="E116" i="52"/>
  <c r="E117" i="52"/>
  <c r="E118" i="52"/>
  <c r="E119" i="52"/>
  <c r="E120" i="52"/>
  <c r="E121" i="52"/>
  <c r="E122" i="52"/>
  <c r="E123" i="52"/>
  <c r="E124" i="52"/>
  <c r="E125" i="52"/>
  <c r="E126" i="52"/>
  <c r="E127" i="52"/>
  <c r="E128" i="52"/>
  <c r="E129" i="52"/>
  <c r="E130" i="52"/>
  <c r="E131" i="52"/>
  <c r="E132" i="52"/>
  <c r="E133" i="52"/>
  <c r="E134" i="52"/>
  <c r="E135" i="52"/>
  <c r="E136" i="52"/>
  <c r="E137" i="52"/>
  <c r="E138" i="52"/>
  <c r="E139" i="52"/>
  <c r="E140" i="52"/>
  <c r="E141" i="52"/>
  <c r="E142" i="52"/>
  <c r="E143" i="52"/>
  <c r="E144" i="52"/>
  <c r="E145" i="52"/>
  <c r="E146" i="52"/>
  <c r="E147" i="52"/>
  <c r="E148" i="52"/>
  <c r="E149" i="52"/>
  <c r="E150" i="52"/>
  <c r="E151" i="52"/>
  <c r="E152" i="52"/>
  <c r="E153" i="52"/>
  <c r="E154" i="52"/>
  <c r="E155" i="52"/>
  <c r="E156" i="52"/>
  <c r="E157" i="52"/>
  <c r="E158" i="52"/>
  <c r="E159" i="52"/>
  <c r="E160" i="52"/>
  <c r="E161" i="52"/>
  <c r="E162" i="52"/>
  <c r="E163" i="52"/>
  <c r="E164" i="52"/>
  <c r="E165" i="52"/>
  <c r="E166" i="52"/>
  <c r="E167" i="52"/>
  <c r="E168" i="52"/>
  <c r="E169" i="52"/>
  <c r="E170" i="52"/>
  <c r="E171" i="52"/>
  <c r="E172" i="52"/>
  <c r="E173" i="52"/>
  <c r="E174" i="52"/>
  <c r="E175" i="52"/>
  <c r="E176" i="52"/>
  <c r="E177" i="52"/>
  <c r="E178" i="52"/>
  <c r="E179" i="52"/>
  <c r="E180" i="52"/>
  <c r="E181" i="52"/>
  <c r="E182" i="52"/>
  <c r="E183" i="52"/>
  <c r="E184" i="52"/>
  <c r="E185" i="52"/>
  <c r="E186" i="52"/>
  <c r="E187" i="52"/>
  <c r="E188" i="52"/>
  <c r="E189" i="52"/>
  <c r="E190" i="52"/>
  <c r="E191" i="52"/>
  <c r="E192" i="52"/>
  <c r="E193" i="52"/>
  <c r="E194" i="52"/>
  <c r="E195" i="52"/>
  <c r="E196" i="52"/>
  <c r="E197" i="52"/>
  <c r="E198" i="52"/>
  <c r="E199" i="52"/>
  <c r="E200" i="52"/>
  <c r="E201" i="52"/>
  <c r="E202" i="52"/>
  <c r="E203" i="52"/>
  <c r="E204" i="52"/>
  <c r="E205" i="52"/>
  <c r="E206" i="52"/>
  <c r="E207" i="52"/>
  <c r="E208" i="52"/>
  <c r="E209" i="52"/>
  <c r="E210" i="52"/>
  <c r="E211" i="52"/>
  <c r="E212" i="52"/>
  <c r="E213" i="52"/>
  <c r="E214" i="52"/>
  <c r="E215" i="52"/>
  <c r="E216" i="52"/>
  <c r="E217" i="52"/>
  <c r="E218" i="52"/>
  <c r="E219" i="52"/>
  <c r="E220" i="52"/>
  <c r="E221" i="52"/>
  <c r="E222" i="52"/>
  <c r="E223" i="52"/>
  <c r="E224" i="52"/>
  <c r="E225" i="52"/>
  <c r="E226" i="52"/>
  <c r="E227" i="52"/>
  <c r="E228" i="52"/>
  <c r="E229" i="52"/>
  <c r="E230" i="52"/>
  <c r="E231" i="52"/>
  <c r="E232" i="52"/>
  <c r="E233" i="52"/>
  <c r="E234" i="52"/>
  <c r="E235" i="52"/>
  <c r="E236" i="52"/>
  <c r="E237" i="52"/>
  <c r="E238" i="52"/>
  <c r="E239" i="52"/>
  <c r="E240" i="52"/>
  <c r="E241" i="52"/>
  <c r="E242" i="52"/>
  <c r="E243" i="52"/>
  <c r="E244" i="52"/>
  <c r="E245" i="52"/>
  <c r="E246" i="52"/>
  <c r="E247" i="52"/>
  <c r="E248" i="52"/>
  <c r="E249" i="52"/>
  <c r="E250" i="52"/>
  <c r="E251" i="52"/>
  <c r="E252" i="52"/>
  <c r="E253" i="52"/>
  <c r="E254" i="52"/>
  <c r="E255" i="52"/>
  <c r="E256" i="52"/>
  <c r="E257" i="52"/>
  <c r="E258" i="52"/>
  <c r="E259" i="52"/>
  <c r="E260" i="52"/>
  <c r="E261" i="52"/>
  <c r="E262" i="52"/>
  <c r="E263" i="52"/>
  <c r="E264" i="52"/>
  <c r="E265" i="52"/>
  <c r="E266" i="52"/>
  <c r="E267" i="52"/>
  <c r="E268" i="52"/>
  <c r="E269" i="52"/>
  <c r="E270" i="52"/>
  <c r="E271" i="52"/>
  <c r="E272" i="52"/>
  <c r="E273" i="52"/>
  <c r="E274" i="52"/>
  <c r="E275" i="52"/>
  <c r="E276" i="52"/>
  <c r="E277" i="52"/>
  <c r="E278" i="52"/>
  <c r="E279" i="52"/>
  <c r="E280" i="52"/>
  <c r="E281" i="52"/>
  <c r="E282" i="52"/>
  <c r="E283" i="52"/>
  <c r="E284" i="52"/>
  <c r="E285" i="52"/>
  <c r="E286" i="52"/>
  <c r="E287" i="52"/>
  <c r="E288" i="52"/>
  <c r="E289" i="52"/>
  <c r="E290" i="52"/>
  <c r="E291" i="52"/>
  <c r="E292" i="52"/>
  <c r="E293" i="52"/>
  <c r="E294" i="52"/>
  <c r="E295" i="52"/>
  <c r="E296" i="52"/>
  <c r="E297" i="52"/>
  <c r="E298" i="52"/>
  <c r="E299" i="52"/>
  <c r="E300" i="52"/>
  <c r="E301" i="52"/>
  <c r="E302" i="52"/>
  <c r="E303" i="52"/>
  <c r="E304" i="52"/>
  <c r="E305" i="52"/>
  <c r="E306" i="52"/>
  <c r="E307" i="52"/>
  <c r="E308" i="52"/>
  <c r="E309" i="52"/>
  <c r="E310" i="52"/>
  <c r="E311" i="52"/>
  <c r="E312" i="52"/>
  <c r="E313" i="52"/>
  <c r="E314" i="52"/>
  <c r="E315" i="52"/>
  <c r="E316" i="52"/>
  <c r="E317" i="52"/>
  <c r="E318" i="52"/>
  <c r="E319" i="52"/>
  <c r="E320" i="52"/>
  <c r="E321" i="52"/>
  <c r="E322" i="52"/>
  <c r="E323" i="52"/>
  <c r="E6" i="52"/>
  <c r="B323" i="52"/>
  <c r="A323" i="52"/>
  <c r="B322" i="52"/>
  <c r="A322" i="52"/>
  <c r="B321" i="52"/>
  <c r="A321" i="52"/>
  <c r="B320" i="52"/>
  <c r="A320" i="52"/>
  <c r="B319" i="52"/>
  <c r="A319" i="52"/>
  <c r="B318" i="52"/>
  <c r="A318" i="52"/>
  <c r="B317" i="52"/>
  <c r="A317" i="52"/>
  <c r="B316" i="52"/>
  <c r="A316" i="52"/>
  <c r="B315" i="52"/>
  <c r="A315" i="52"/>
  <c r="B314" i="52"/>
  <c r="A314" i="52"/>
  <c r="B313" i="52"/>
  <c r="A313" i="52"/>
  <c r="B312" i="52"/>
  <c r="A312" i="52"/>
  <c r="B311" i="52"/>
  <c r="A311" i="52"/>
  <c r="B310" i="52"/>
  <c r="A310" i="52"/>
  <c r="B309" i="52"/>
  <c r="A309" i="52"/>
  <c r="B308" i="52"/>
  <c r="A308" i="52"/>
  <c r="B307" i="52"/>
  <c r="A307" i="52"/>
  <c r="B306" i="52"/>
  <c r="A306" i="52"/>
  <c r="B305" i="52"/>
  <c r="A305" i="52"/>
  <c r="B304" i="52"/>
  <c r="A304" i="52"/>
  <c r="B303" i="52"/>
  <c r="A303" i="52"/>
  <c r="B302" i="52"/>
  <c r="A302" i="52"/>
  <c r="B301" i="52"/>
  <c r="A301" i="52"/>
  <c r="B300" i="52"/>
  <c r="A300" i="52"/>
  <c r="B299" i="52"/>
  <c r="A299" i="52"/>
  <c r="B298" i="52"/>
  <c r="A298" i="52"/>
  <c r="B297" i="52"/>
  <c r="A297" i="52"/>
  <c r="B296" i="52"/>
  <c r="A296" i="52"/>
  <c r="B295" i="52"/>
  <c r="A295" i="52"/>
  <c r="B294" i="52"/>
  <c r="A294" i="52"/>
  <c r="B293" i="52"/>
  <c r="A293" i="52"/>
  <c r="B292" i="52"/>
  <c r="A292" i="52"/>
  <c r="B291" i="52"/>
  <c r="A291" i="52"/>
  <c r="B290" i="52"/>
  <c r="A290" i="52"/>
  <c r="B289" i="52"/>
  <c r="A289" i="52"/>
  <c r="B288" i="52"/>
  <c r="A288" i="52"/>
  <c r="B287" i="52"/>
  <c r="A287" i="52"/>
  <c r="B286" i="52"/>
  <c r="A286" i="52"/>
  <c r="B285" i="52"/>
  <c r="A285" i="52"/>
  <c r="B284" i="52"/>
  <c r="A284" i="52"/>
  <c r="B283" i="52"/>
  <c r="A283" i="52"/>
  <c r="B282" i="52"/>
  <c r="A282" i="52"/>
  <c r="B281" i="52"/>
  <c r="A281" i="52"/>
  <c r="B280" i="52"/>
  <c r="A280" i="52"/>
  <c r="B279" i="52"/>
  <c r="A279" i="52"/>
  <c r="B278" i="52"/>
  <c r="A278" i="52"/>
  <c r="B277" i="52"/>
  <c r="A277" i="52"/>
  <c r="B276" i="52"/>
  <c r="A276" i="52"/>
  <c r="B275" i="52"/>
  <c r="A275" i="52"/>
  <c r="B274" i="52"/>
  <c r="A274" i="52"/>
  <c r="B273" i="52"/>
  <c r="A273" i="52"/>
  <c r="B272" i="52"/>
  <c r="A272" i="52"/>
  <c r="B271" i="52"/>
  <c r="A271" i="52"/>
  <c r="B270" i="52"/>
  <c r="A270" i="52"/>
  <c r="B269" i="52"/>
  <c r="A269" i="52"/>
  <c r="B268" i="52"/>
  <c r="A268" i="52"/>
  <c r="B267" i="52"/>
  <c r="A267" i="52"/>
  <c r="B266" i="52"/>
  <c r="A266" i="52"/>
  <c r="B265" i="52"/>
  <c r="A265" i="52"/>
  <c r="B264" i="52"/>
  <c r="A264" i="52"/>
  <c r="B263" i="52"/>
  <c r="A263" i="52"/>
  <c r="B262" i="52"/>
  <c r="A262" i="52"/>
  <c r="B261" i="52"/>
  <c r="A261" i="52"/>
  <c r="B260" i="52"/>
  <c r="A260" i="52"/>
  <c r="B259" i="52"/>
  <c r="A259" i="52"/>
  <c r="B258" i="52"/>
  <c r="A258" i="52"/>
  <c r="B257" i="52"/>
  <c r="A257" i="52"/>
  <c r="B256" i="52"/>
  <c r="A256" i="52"/>
  <c r="B255" i="52"/>
  <c r="A255" i="52"/>
  <c r="B254" i="52"/>
  <c r="A254" i="52"/>
  <c r="B253" i="52"/>
  <c r="A253" i="52"/>
  <c r="B252" i="52"/>
  <c r="A252" i="52"/>
  <c r="B251" i="52"/>
  <c r="A251" i="52"/>
  <c r="B250" i="52"/>
  <c r="A250" i="52"/>
  <c r="B249" i="52"/>
  <c r="A249" i="52"/>
  <c r="B248" i="52"/>
  <c r="A248" i="52"/>
  <c r="B247" i="52"/>
  <c r="A247" i="52"/>
  <c r="B246" i="52"/>
  <c r="A246" i="52"/>
  <c r="B245" i="52"/>
  <c r="A245" i="52"/>
  <c r="B244" i="52"/>
  <c r="A244" i="52"/>
  <c r="B243" i="52"/>
  <c r="A243" i="52"/>
  <c r="B242" i="52"/>
  <c r="A242" i="52"/>
  <c r="B241" i="52"/>
  <c r="A241" i="52"/>
  <c r="B240" i="52"/>
  <c r="A240" i="52"/>
  <c r="B239" i="52"/>
  <c r="A239" i="52"/>
  <c r="B238" i="52"/>
  <c r="A238" i="52"/>
  <c r="B237" i="52"/>
  <c r="A237" i="52"/>
  <c r="B236" i="52"/>
  <c r="A236" i="52"/>
  <c r="B235" i="52"/>
  <c r="A235" i="52"/>
  <c r="B234" i="52"/>
  <c r="A234" i="52"/>
  <c r="B233" i="52"/>
  <c r="A233" i="52"/>
  <c r="B232" i="52"/>
  <c r="A232" i="52"/>
  <c r="B231" i="52"/>
  <c r="A231" i="52"/>
  <c r="B230" i="52"/>
  <c r="A230" i="52"/>
  <c r="B229" i="52"/>
  <c r="A229" i="52"/>
  <c r="B228" i="52"/>
  <c r="A228" i="52"/>
  <c r="B227" i="52"/>
  <c r="A227" i="52"/>
  <c r="B226" i="52"/>
  <c r="A226" i="52"/>
  <c r="B225" i="52"/>
  <c r="A225" i="52"/>
  <c r="B224" i="52"/>
  <c r="A224" i="52"/>
  <c r="B223" i="52"/>
  <c r="A223" i="52"/>
  <c r="B222" i="52"/>
  <c r="A222" i="52"/>
  <c r="B221" i="52"/>
  <c r="A221" i="52"/>
  <c r="B220" i="52"/>
  <c r="A220" i="52"/>
  <c r="B219" i="52"/>
  <c r="A219" i="52"/>
  <c r="B218" i="52"/>
  <c r="A218" i="52"/>
  <c r="B217" i="52"/>
  <c r="A217" i="52"/>
  <c r="B216" i="52"/>
  <c r="A216" i="52"/>
  <c r="B215" i="52"/>
  <c r="A215" i="52"/>
  <c r="B214" i="52"/>
  <c r="A214" i="52"/>
  <c r="B213" i="52"/>
  <c r="A213" i="52"/>
  <c r="B212" i="52"/>
  <c r="A212" i="52"/>
  <c r="B211" i="52"/>
  <c r="A211" i="52"/>
  <c r="B210" i="52"/>
  <c r="A210" i="52"/>
  <c r="B209" i="52"/>
  <c r="A209" i="52"/>
  <c r="B208" i="52"/>
  <c r="A208" i="52"/>
  <c r="B207" i="52"/>
  <c r="A207" i="52"/>
  <c r="B206" i="52"/>
  <c r="A206" i="52"/>
  <c r="B205" i="52"/>
  <c r="A205" i="52"/>
  <c r="B204" i="52"/>
  <c r="A204" i="52"/>
  <c r="B203" i="52"/>
  <c r="A203" i="52"/>
  <c r="B202" i="52"/>
  <c r="A202" i="52"/>
  <c r="B201" i="52"/>
  <c r="A201" i="52"/>
  <c r="B200" i="52"/>
  <c r="A200" i="52"/>
  <c r="B199" i="52"/>
  <c r="A199" i="52"/>
  <c r="B198" i="52"/>
  <c r="A198" i="52"/>
  <c r="B197" i="52"/>
  <c r="A197" i="52"/>
  <c r="B196" i="52"/>
  <c r="A196" i="52"/>
  <c r="B195" i="52"/>
  <c r="A195" i="52"/>
  <c r="B194" i="52"/>
  <c r="A194" i="52"/>
  <c r="B193" i="52"/>
  <c r="A193" i="52"/>
  <c r="B192" i="52"/>
  <c r="A192" i="52"/>
  <c r="B191" i="52"/>
  <c r="A191" i="52"/>
  <c r="B190" i="52"/>
  <c r="A190" i="52"/>
  <c r="B189" i="52"/>
  <c r="A189" i="52"/>
  <c r="B188" i="52"/>
  <c r="A188" i="52"/>
  <c r="B187" i="52"/>
  <c r="A187" i="52"/>
  <c r="B186" i="52"/>
  <c r="A186" i="52"/>
  <c r="B185" i="52"/>
  <c r="A185" i="52"/>
  <c r="B184" i="52"/>
  <c r="A184" i="52"/>
  <c r="B183" i="52"/>
  <c r="A183" i="52"/>
  <c r="B182" i="52"/>
  <c r="A182" i="52"/>
  <c r="B181" i="52"/>
  <c r="A181" i="52"/>
  <c r="B180" i="52"/>
  <c r="A180" i="52"/>
  <c r="B179" i="52"/>
  <c r="A179" i="52"/>
  <c r="B178" i="52"/>
  <c r="A178" i="52"/>
  <c r="B177" i="52"/>
  <c r="A177" i="52"/>
  <c r="B176" i="52"/>
  <c r="A176" i="52"/>
  <c r="B175" i="52"/>
  <c r="A175" i="52"/>
  <c r="B174" i="52"/>
  <c r="A174" i="52"/>
  <c r="B173" i="52"/>
  <c r="A173" i="52"/>
  <c r="B172" i="52"/>
  <c r="A172" i="52"/>
  <c r="B171" i="52"/>
  <c r="A171" i="52"/>
  <c r="B170" i="52"/>
  <c r="A170" i="52"/>
  <c r="B169" i="52"/>
  <c r="A169" i="52"/>
  <c r="B168" i="52"/>
  <c r="A168" i="52"/>
  <c r="B167" i="52"/>
  <c r="A167" i="52"/>
  <c r="B166" i="52"/>
  <c r="A166" i="52"/>
  <c r="B165" i="52"/>
  <c r="A165" i="52"/>
  <c r="B164" i="52"/>
  <c r="A164" i="52"/>
  <c r="B163" i="52"/>
  <c r="A163" i="52"/>
  <c r="B162" i="52"/>
  <c r="A162" i="52"/>
  <c r="B161" i="52"/>
  <c r="A161" i="52"/>
  <c r="B160" i="52"/>
  <c r="A160" i="52"/>
  <c r="B159" i="52"/>
  <c r="A159" i="52"/>
  <c r="B158" i="52"/>
  <c r="A158" i="52"/>
  <c r="B157" i="52"/>
  <c r="A157" i="52"/>
  <c r="B156" i="52"/>
  <c r="A156" i="52"/>
  <c r="B155" i="52"/>
  <c r="A155" i="52"/>
  <c r="B154" i="52"/>
  <c r="A154" i="52"/>
  <c r="B153" i="52"/>
  <c r="A153" i="52"/>
  <c r="B152" i="52"/>
  <c r="A152" i="52"/>
  <c r="B151" i="52"/>
  <c r="A151" i="52"/>
  <c r="B150" i="52"/>
  <c r="A150" i="52"/>
  <c r="B149" i="52"/>
  <c r="A149" i="52"/>
  <c r="B148" i="52"/>
  <c r="A148" i="52"/>
  <c r="B147" i="52"/>
  <c r="A147" i="52"/>
  <c r="B146" i="52"/>
  <c r="A146" i="52"/>
  <c r="B145" i="52"/>
  <c r="A145" i="52"/>
  <c r="B144" i="52"/>
  <c r="A144" i="52"/>
  <c r="B143" i="52"/>
  <c r="A143" i="52"/>
  <c r="B142" i="52"/>
  <c r="A142" i="52"/>
  <c r="B141" i="52"/>
  <c r="A141" i="52"/>
  <c r="B140" i="52"/>
  <c r="A140" i="52"/>
  <c r="B139" i="52"/>
  <c r="A139" i="52"/>
  <c r="B138" i="52"/>
  <c r="A138" i="52"/>
  <c r="B137" i="52"/>
  <c r="A137" i="52"/>
  <c r="B136" i="52"/>
  <c r="A136" i="52"/>
  <c r="B135" i="52"/>
  <c r="A135" i="52"/>
  <c r="B134" i="52"/>
  <c r="A134" i="52"/>
  <c r="B133" i="52"/>
  <c r="A133" i="52"/>
  <c r="B132" i="52"/>
  <c r="A132" i="52"/>
  <c r="B131" i="52"/>
  <c r="A131" i="52"/>
  <c r="B130" i="52"/>
  <c r="A130" i="52"/>
  <c r="B129" i="52"/>
  <c r="A129" i="52"/>
  <c r="B128" i="52"/>
  <c r="A128" i="52"/>
  <c r="B127" i="52"/>
  <c r="A127" i="52"/>
  <c r="B126" i="52"/>
  <c r="A126" i="52"/>
  <c r="B125" i="52"/>
  <c r="A125" i="52"/>
  <c r="B124" i="52"/>
  <c r="A124" i="52"/>
  <c r="B123" i="52"/>
  <c r="A123" i="52"/>
  <c r="B122" i="52"/>
  <c r="A122" i="52"/>
  <c r="B121" i="52"/>
  <c r="A121" i="52"/>
  <c r="B120" i="52"/>
  <c r="A120" i="52"/>
  <c r="B119" i="52"/>
  <c r="A119" i="52"/>
  <c r="B118" i="52"/>
  <c r="A118" i="52"/>
  <c r="B117" i="52"/>
  <c r="A117" i="52"/>
  <c r="B116" i="52"/>
  <c r="A116" i="52"/>
  <c r="B115" i="52"/>
  <c r="A115" i="52"/>
  <c r="B114" i="52"/>
  <c r="A114" i="52"/>
  <c r="B113" i="52"/>
  <c r="A113" i="52"/>
  <c r="B112" i="52"/>
  <c r="A112" i="52"/>
  <c r="B111" i="52"/>
  <c r="A111" i="52"/>
  <c r="B110" i="52"/>
  <c r="A110" i="52"/>
  <c r="B109" i="52"/>
  <c r="A109" i="52"/>
  <c r="B108" i="52"/>
  <c r="A108" i="52"/>
  <c r="B107" i="52"/>
  <c r="A107" i="52"/>
  <c r="B106" i="52"/>
  <c r="A106" i="52"/>
  <c r="B105" i="52"/>
  <c r="A105" i="52"/>
  <c r="B104" i="52"/>
  <c r="A104" i="52"/>
  <c r="B103" i="52"/>
  <c r="A103" i="52"/>
  <c r="B102" i="52"/>
  <c r="A102" i="52"/>
  <c r="B101" i="52"/>
  <c r="A101" i="52"/>
  <c r="B100" i="52"/>
  <c r="A100" i="52"/>
  <c r="B99" i="52"/>
  <c r="A99" i="52"/>
  <c r="B98" i="52"/>
  <c r="A98" i="52"/>
  <c r="B97" i="52"/>
  <c r="A97" i="52"/>
  <c r="B96" i="52"/>
  <c r="A96" i="52"/>
  <c r="B95" i="52"/>
  <c r="A95" i="52"/>
  <c r="B94" i="52"/>
  <c r="A94" i="52"/>
  <c r="B93" i="52"/>
  <c r="A93" i="52"/>
  <c r="B92" i="52"/>
  <c r="A92" i="52"/>
  <c r="B91" i="52"/>
  <c r="A91" i="52"/>
  <c r="B90" i="52"/>
  <c r="A90" i="52"/>
  <c r="B89" i="52"/>
  <c r="A89" i="52"/>
  <c r="B88" i="52"/>
  <c r="A88" i="52"/>
  <c r="B87" i="52"/>
  <c r="A87" i="52"/>
  <c r="B86" i="52"/>
  <c r="A86" i="52"/>
  <c r="B85" i="52"/>
  <c r="A85" i="52"/>
  <c r="B84" i="52"/>
  <c r="A84" i="52"/>
  <c r="B83" i="52"/>
  <c r="A83" i="52"/>
  <c r="B82" i="52"/>
  <c r="A82" i="52"/>
  <c r="B81" i="52"/>
  <c r="A81" i="52"/>
  <c r="B80" i="52"/>
  <c r="A80" i="52"/>
  <c r="B79" i="52"/>
  <c r="A79" i="52"/>
  <c r="B78" i="52"/>
  <c r="A78" i="52"/>
  <c r="B77" i="52"/>
  <c r="A77" i="52"/>
  <c r="B76" i="52"/>
  <c r="A76" i="52"/>
  <c r="B75" i="52"/>
  <c r="A75" i="52"/>
  <c r="B74" i="52"/>
  <c r="A74" i="52"/>
  <c r="B73" i="52"/>
  <c r="A73" i="52"/>
  <c r="B72" i="52"/>
  <c r="A72" i="52"/>
  <c r="B71" i="52"/>
  <c r="A71" i="52"/>
  <c r="B70" i="52"/>
  <c r="A70" i="52"/>
  <c r="B69" i="52"/>
  <c r="A69" i="52"/>
  <c r="B68" i="52"/>
  <c r="A68" i="52"/>
  <c r="B67" i="52"/>
  <c r="A67" i="52"/>
  <c r="B66" i="52"/>
  <c r="A66" i="52"/>
  <c r="B65" i="52"/>
  <c r="A65" i="52"/>
  <c r="B64" i="52"/>
  <c r="A64" i="52"/>
  <c r="B63" i="52"/>
  <c r="A63" i="52"/>
  <c r="B62" i="52"/>
  <c r="A62" i="52"/>
  <c r="B61" i="52"/>
  <c r="A61" i="52"/>
  <c r="B60" i="52"/>
  <c r="A60" i="52"/>
  <c r="B59" i="52"/>
  <c r="A59" i="52"/>
  <c r="B58" i="52"/>
  <c r="A58" i="52"/>
  <c r="B57" i="52"/>
  <c r="A57" i="52"/>
  <c r="B56" i="52"/>
  <c r="A56" i="52"/>
  <c r="B55" i="52"/>
  <c r="A55" i="52"/>
  <c r="B54" i="52"/>
  <c r="A54" i="52"/>
  <c r="B53" i="52"/>
  <c r="A53" i="52"/>
  <c r="B52" i="52"/>
  <c r="A52" i="52"/>
  <c r="B51" i="52"/>
  <c r="A51" i="52"/>
  <c r="B50" i="52"/>
  <c r="A50" i="52"/>
  <c r="B49" i="52"/>
  <c r="A49" i="52"/>
  <c r="B48" i="52"/>
  <c r="A48" i="52"/>
  <c r="B47" i="52"/>
  <c r="A47" i="52"/>
  <c r="B46" i="52"/>
  <c r="A46" i="52"/>
  <c r="B45" i="52"/>
  <c r="A45" i="52"/>
  <c r="B44" i="52"/>
  <c r="A44" i="52"/>
  <c r="B43" i="52"/>
  <c r="A43" i="52"/>
  <c r="B42" i="52"/>
  <c r="A42" i="52"/>
  <c r="B41" i="52"/>
  <c r="A41" i="52"/>
  <c r="B40" i="52"/>
  <c r="A40" i="52"/>
  <c r="B39" i="52"/>
  <c r="A39" i="52"/>
  <c r="B38" i="52"/>
  <c r="A38" i="52"/>
  <c r="B37" i="52"/>
  <c r="A37" i="52"/>
  <c r="B36" i="52"/>
  <c r="A36" i="52"/>
  <c r="B35" i="52"/>
  <c r="A35" i="52"/>
  <c r="B34" i="52"/>
  <c r="A34" i="52"/>
  <c r="B33" i="52"/>
  <c r="A33" i="52"/>
  <c r="B32" i="52"/>
  <c r="A32" i="52"/>
  <c r="B31" i="52"/>
  <c r="A31" i="52"/>
  <c r="B30" i="52"/>
  <c r="A30" i="52"/>
  <c r="B29" i="52"/>
  <c r="A29" i="52"/>
  <c r="B28" i="52"/>
  <c r="A28" i="52"/>
  <c r="B27" i="52"/>
  <c r="A27" i="52"/>
  <c r="B26" i="52"/>
  <c r="A26" i="52"/>
  <c r="B25" i="52"/>
  <c r="A25" i="52"/>
  <c r="B24" i="52"/>
  <c r="A24" i="52"/>
  <c r="B23" i="52"/>
  <c r="A23" i="52"/>
  <c r="B22" i="52"/>
  <c r="A22" i="52"/>
  <c r="B21" i="52"/>
  <c r="A21" i="52"/>
  <c r="B20" i="52"/>
  <c r="A20" i="52"/>
  <c r="B19" i="52"/>
  <c r="A19" i="52"/>
  <c r="B18" i="52"/>
  <c r="A18" i="52"/>
  <c r="B17" i="52"/>
  <c r="A17" i="52"/>
  <c r="B16" i="52"/>
  <c r="A16" i="52"/>
  <c r="B15" i="52"/>
  <c r="A15" i="52"/>
  <c r="B14" i="52"/>
  <c r="A14" i="52"/>
  <c r="B13" i="52"/>
  <c r="A13" i="52"/>
  <c r="B12" i="52"/>
  <c r="A12" i="52"/>
  <c r="B11" i="52"/>
  <c r="A11" i="52"/>
  <c r="B10" i="52"/>
  <c r="A10" i="52"/>
  <c r="B9" i="52"/>
  <c r="A9" i="52"/>
  <c r="B8" i="52"/>
  <c r="A8" i="52"/>
  <c r="B7" i="52"/>
  <c r="A7" i="52"/>
  <c r="B6" i="52"/>
  <c r="A6" i="52"/>
  <c r="C63" i="48" l="1"/>
  <c r="I326" i="52"/>
  <c r="E324" i="52"/>
  <c r="H324" i="52"/>
  <c r="B324" i="52"/>
  <c r="F18" i="48"/>
  <c r="M4" i="11" l="1"/>
  <c r="I4" i="11"/>
  <c r="D323" i="32" l="1"/>
  <c r="K324" i="13" l="1"/>
  <c r="C324" i="13"/>
  <c r="D324" i="13"/>
  <c r="E324" i="13"/>
  <c r="F324" i="13"/>
  <c r="G324" i="13"/>
  <c r="H324" i="13"/>
  <c r="I324" i="13"/>
  <c r="X8" i="42" l="1"/>
  <c r="X9" i="42"/>
  <c r="X10" i="42"/>
  <c r="X11" i="42"/>
  <c r="X12" i="42"/>
  <c r="X13" i="42"/>
  <c r="X14" i="42"/>
  <c r="X15" i="42"/>
  <c r="X16" i="42"/>
  <c r="X17" i="42"/>
  <c r="X18" i="42"/>
  <c r="X19" i="42"/>
  <c r="X20" i="42"/>
  <c r="X21" i="42"/>
  <c r="X22" i="42"/>
  <c r="X23" i="42"/>
  <c r="X24" i="42"/>
  <c r="X25" i="42"/>
  <c r="X26" i="42"/>
  <c r="X27" i="42"/>
  <c r="X28" i="42"/>
  <c r="X29" i="42"/>
  <c r="X30" i="42"/>
  <c r="X31" i="42"/>
  <c r="X32" i="42"/>
  <c r="X33" i="42"/>
  <c r="X34" i="42"/>
  <c r="X35" i="42"/>
  <c r="X36" i="42"/>
  <c r="X37" i="42"/>
  <c r="X38" i="42"/>
  <c r="X39" i="42"/>
  <c r="X40" i="42"/>
  <c r="X41" i="42"/>
  <c r="X42" i="42"/>
  <c r="X43" i="42"/>
  <c r="X44" i="42"/>
  <c r="X45" i="42"/>
  <c r="X46" i="42"/>
  <c r="X47" i="42"/>
  <c r="X48" i="42"/>
  <c r="X49" i="42"/>
  <c r="X50" i="42"/>
  <c r="X51" i="42"/>
  <c r="X52" i="42"/>
  <c r="X53" i="42"/>
  <c r="X54" i="42"/>
  <c r="X55" i="42"/>
  <c r="X56" i="42"/>
  <c r="X57" i="42"/>
  <c r="X58" i="42"/>
  <c r="X59" i="42"/>
  <c r="X60" i="42"/>
  <c r="X61" i="42"/>
  <c r="X62" i="42"/>
  <c r="X63" i="42"/>
  <c r="X64" i="42"/>
  <c r="X65" i="42"/>
  <c r="X66" i="42"/>
  <c r="X67" i="42"/>
  <c r="X68" i="42"/>
  <c r="X69" i="42"/>
  <c r="X70" i="42"/>
  <c r="X71" i="42"/>
  <c r="X72" i="42"/>
  <c r="X73" i="42"/>
  <c r="X74" i="42"/>
  <c r="X75" i="42"/>
  <c r="X76" i="42"/>
  <c r="X77" i="42"/>
  <c r="X78" i="42"/>
  <c r="X79" i="42"/>
  <c r="X80" i="42"/>
  <c r="X81" i="42"/>
  <c r="X82" i="42"/>
  <c r="X83" i="42"/>
  <c r="X84" i="42"/>
  <c r="X85" i="42"/>
  <c r="X86" i="42"/>
  <c r="X87" i="42"/>
  <c r="X88" i="42"/>
  <c r="X89" i="42"/>
  <c r="X90" i="42"/>
  <c r="X91" i="42"/>
  <c r="X92" i="42"/>
  <c r="X93" i="42"/>
  <c r="X94" i="42"/>
  <c r="X95" i="42"/>
  <c r="X96" i="42"/>
  <c r="X97" i="42"/>
  <c r="X98" i="42"/>
  <c r="X99" i="42"/>
  <c r="X100" i="42"/>
  <c r="X101" i="42"/>
  <c r="X102" i="42"/>
  <c r="X103" i="42"/>
  <c r="X104" i="42"/>
  <c r="X105" i="42"/>
  <c r="X106" i="42"/>
  <c r="X107" i="42"/>
  <c r="X108" i="42"/>
  <c r="X109" i="42"/>
  <c r="X110" i="42"/>
  <c r="X111" i="42"/>
  <c r="X112" i="42"/>
  <c r="X113" i="42"/>
  <c r="X114" i="42"/>
  <c r="X115" i="42"/>
  <c r="X116" i="42"/>
  <c r="X117" i="42"/>
  <c r="X118" i="42"/>
  <c r="X119" i="42"/>
  <c r="X120" i="42"/>
  <c r="X121" i="42"/>
  <c r="X122" i="42"/>
  <c r="X123" i="42"/>
  <c r="X124" i="42"/>
  <c r="X125" i="42"/>
  <c r="X126" i="42"/>
  <c r="X127" i="42"/>
  <c r="X128" i="42"/>
  <c r="X129" i="42"/>
  <c r="X130" i="42"/>
  <c r="X131" i="42"/>
  <c r="X132" i="42"/>
  <c r="X133" i="42"/>
  <c r="X134" i="42"/>
  <c r="X135" i="42"/>
  <c r="X136" i="42"/>
  <c r="X137" i="42"/>
  <c r="X138" i="42"/>
  <c r="X139" i="42"/>
  <c r="X140" i="42"/>
  <c r="X141" i="42"/>
  <c r="X142" i="42"/>
  <c r="X143" i="42"/>
  <c r="X144" i="42"/>
  <c r="X145" i="42"/>
  <c r="X146" i="42"/>
  <c r="X147" i="42"/>
  <c r="X148" i="42"/>
  <c r="X149" i="42"/>
  <c r="X150" i="42"/>
  <c r="X151" i="42"/>
  <c r="X152" i="42"/>
  <c r="X153" i="42"/>
  <c r="X154" i="42"/>
  <c r="X155" i="42"/>
  <c r="X156" i="42"/>
  <c r="X157" i="42"/>
  <c r="X158" i="42"/>
  <c r="X159" i="42"/>
  <c r="X160" i="42"/>
  <c r="X161" i="42"/>
  <c r="X162" i="42"/>
  <c r="X163" i="42"/>
  <c r="X164" i="42"/>
  <c r="X165" i="42"/>
  <c r="X166" i="42"/>
  <c r="X167" i="42"/>
  <c r="X168" i="42"/>
  <c r="X169" i="42"/>
  <c r="X170" i="42"/>
  <c r="X171" i="42"/>
  <c r="X172" i="42"/>
  <c r="X173" i="42"/>
  <c r="X174" i="42"/>
  <c r="X175" i="42"/>
  <c r="X176" i="42"/>
  <c r="X177" i="42"/>
  <c r="X178" i="42"/>
  <c r="X179" i="42"/>
  <c r="X180" i="42"/>
  <c r="X181" i="42"/>
  <c r="X182" i="42"/>
  <c r="X183" i="42"/>
  <c r="X184" i="42"/>
  <c r="X185" i="42"/>
  <c r="X186" i="42"/>
  <c r="X187" i="42"/>
  <c r="X188" i="42"/>
  <c r="X189" i="42"/>
  <c r="X190" i="42"/>
  <c r="X191" i="42"/>
  <c r="X192" i="42"/>
  <c r="X193" i="42"/>
  <c r="X194" i="42"/>
  <c r="X195" i="42"/>
  <c r="X196" i="42"/>
  <c r="X197" i="42"/>
  <c r="X198" i="42"/>
  <c r="X199" i="42"/>
  <c r="X200" i="42"/>
  <c r="X201" i="42"/>
  <c r="X202" i="42"/>
  <c r="X203" i="42"/>
  <c r="X204" i="42"/>
  <c r="X205" i="42"/>
  <c r="X206" i="42"/>
  <c r="X207" i="42"/>
  <c r="X208" i="42"/>
  <c r="X209" i="42"/>
  <c r="X210" i="42"/>
  <c r="X211" i="42"/>
  <c r="X212" i="42"/>
  <c r="X213" i="42"/>
  <c r="X214" i="42"/>
  <c r="X215" i="42"/>
  <c r="X216" i="42"/>
  <c r="X217" i="42"/>
  <c r="X218" i="42"/>
  <c r="X219" i="42"/>
  <c r="X220" i="42"/>
  <c r="X221" i="42"/>
  <c r="X222" i="42"/>
  <c r="X223" i="42"/>
  <c r="X224" i="42"/>
  <c r="X225" i="42"/>
  <c r="X226" i="42"/>
  <c r="X227" i="42"/>
  <c r="X228" i="42"/>
  <c r="X229" i="42"/>
  <c r="X230" i="42"/>
  <c r="X231" i="42"/>
  <c r="X232" i="42"/>
  <c r="X233" i="42"/>
  <c r="X234" i="42"/>
  <c r="X235" i="42"/>
  <c r="X236" i="42"/>
  <c r="X237" i="42"/>
  <c r="X238" i="42"/>
  <c r="X239" i="42"/>
  <c r="X240" i="42"/>
  <c r="X241" i="42"/>
  <c r="X242" i="42"/>
  <c r="X243" i="42"/>
  <c r="X244" i="42"/>
  <c r="X245" i="42"/>
  <c r="X246" i="42"/>
  <c r="X247" i="42"/>
  <c r="X248" i="42"/>
  <c r="X249" i="42"/>
  <c r="X250" i="42"/>
  <c r="X251" i="42"/>
  <c r="X252" i="42"/>
  <c r="X253" i="42"/>
  <c r="X254" i="42"/>
  <c r="X255" i="42"/>
  <c r="X256" i="42"/>
  <c r="X257" i="42"/>
  <c r="X258" i="42"/>
  <c r="X259" i="42"/>
  <c r="X260" i="42"/>
  <c r="X261" i="42"/>
  <c r="X262" i="42"/>
  <c r="X263" i="42"/>
  <c r="X264" i="42"/>
  <c r="X265" i="42"/>
  <c r="X266" i="42"/>
  <c r="X267" i="42"/>
  <c r="X268" i="42"/>
  <c r="X269" i="42"/>
  <c r="X270" i="42"/>
  <c r="X271" i="42"/>
  <c r="X272" i="42"/>
  <c r="X273" i="42"/>
  <c r="X274" i="42"/>
  <c r="X275" i="42"/>
  <c r="X276" i="42"/>
  <c r="X277" i="42"/>
  <c r="X278" i="42"/>
  <c r="X279" i="42"/>
  <c r="X280" i="42"/>
  <c r="X281" i="42"/>
  <c r="X282" i="42"/>
  <c r="X283" i="42"/>
  <c r="X284" i="42"/>
  <c r="X285" i="42"/>
  <c r="X286" i="42"/>
  <c r="X287" i="42"/>
  <c r="X288" i="42"/>
  <c r="X289" i="42"/>
  <c r="X290" i="42"/>
  <c r="X291" i="42"/>
  <c r="X292" i="42"/>
  <c r="X293" i="42"/>
  <c r="X294" i="42"/>
  <c r="X295" i="42"/>
  <c r="X296" i="42"/>
  <c r="X297" i="42"/>
  <c r="X298" i="42"/>
  <c r="X299" i="42"/>
  <c r="X300" i="42"/>
  <c r="X301" i="42"/>
  <c r="X302" i="42"/>
  <c r="X303" i="42"/>
  <c r="X304" i="42"/>
  <c r="X305" i="42"/>
  <c r="X306" i="42"/>
  <c r="X307" i="42"/>
  <c r="X308" i="42"/>
  <c r="X309" i="42"/>
  <c r="X310" i="42"/>
  <c r="X311" i="42"/>
  <c r="X312" i="42"/>
  <c r="X313" i="42"/>
  <c r="X314" i="42"/>
  <c r="X315" i="42"/>
  <c r="X316" i="42"/>
  <c r="X317" i="42"/>
  <c r="X318" i="42"/>
  <c r="X319" i="42"/>
  <c r="X320" i="42"/>
  <c r="X321" i="42"/>
  <c r="X322" i="42"/>
  <c r="X323" i="42"/>
  <c r="X324" i="42"/>
  <c r="X7" i="42"/>
  <c r="M8" i="42"/>
  <c r="M9" i="42"/>
  <c r="M10" i="42"/>
  <c r="M11" i="42"/>
  <c r="M12" i="42"/>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M260" i="42"/>
  <c r="M261" i="42"/>
  <c r="M262" i="42"/>
  <c r="M263" i="42"/>
  <c r="M264" i="42"/>
  <c r="M265" i="42"/>
  <c r="M266" i="42"/>
  <c r="M267" i="42"/>
  <c r="M268" i="42"/>
  <c r="M269" i="42"/>
  <c r="M270" i="42"/>
  <c r="M271" i="42"/>
  <c r="M272" i="42"/>
  <c r="M273" i="42"/>
  <c r="M274" i="42"/>
  <c r="M275" i="42"/>
  <c r="M276" i="42"/>
  <c r="M277" i="42"/>
  <c r="M278" i="42"/>
  <c r="M279" i="42"/>
  <c r="M280" i="42"/>
  <c r="M281" i="42"/>
  <c r="M282" i="42"/>
  <c r="M283" i="42"/>
  <c r="M284" i="42"/>
  <c r="M285" i="42"/>
  <c r="M286" i="42"/>
  <c r="M287" i="42"/>
  <c r="M288" i="42"/>
  <c r="M289" i="42"/>
  <c r="M290" i="42"/>
  <c r="M291" i="42"/>
  <c r="M292" i="42"/>
  <c r="M293" i="42"/>
  <c r="M294" i="42"/>
  <c r="M295" i="42"/>
  <c r="M296" i="42"/>
  <c r="M297" i="42"/>
  <c r="M298" i="42"/>
  <c r="M299" i="42"/>
  <c r="M300" i="42"/>
  <c r="M301" i="42"/>
  <c r="M302" i="42"/>
  <c r="M303" i="42"/>
  <c r="M304" i="42"/>
  <c r="M305" i="42"/>
  <c r="M306" i="42"/>
  <c r="M307" i="42"/>
  <c r="M308" i="42"/>
  <c r="M309" i="42"/>
  <c r="M310" i="42"/>
  <c r="M311" i="42"/>
  <c r="M312" i="42"/>
  <c r="M313" i="42"/>
  <c r="M314" i="42"/>
  <c r="M315" i="42"/>
  <c r="M316" i="42"/>
  <c r="M317" i="42"/>
  <c r="M318" i="42"/>
  <c r="M319" i="42"/>
  <c r="M320" i="42"/>
  <c r="M321" i="42"/>
  <c r="M322" i="42"/>
  <c r="M323" i="42"/>
  <c r="M324" i="42"/>
  <c r="AL8" i="42"/>
  <c r="AL7" i="42"/>
  <c r="AL323" i="42"/>
  <c r="C136" i="42" l="1"/>
  <c r="B6" i="48" l="1"/>
  <c r="P324" i="25"/>
  <c r="F61" i="40" l="1"/>
  <c r="D63" i="40"/>
  <c r="D62" i="40"/>
  <c r="K6" i="13" l="1"/>
  <c r="H306" i="13"/>
  <c r="H301" i="13"/>
  <c r="B25" i="40" l="1"/>
  <c r="AN325" i="42" l="1"/>
  <c r="C8" i="19"/>
  <c r="D8" i="19"/>
  <c r="E8" i="19"/>
  <c r="F8" i="19"/>
  <c r="H8" i="19"/>
  <c r="I8" i="19"/>
  <c r="J8" i="19"/>
  <c r="K8" i="19"/>
  <c r="L8" i="19"/>
  <c r="M8" i="19"/>
  <c r="N8" i="19"/>
  <c r="P8" i="19"/>
  <c r="Q8" i="19"/>
  <c r="S8" i="19"/>
  <c r="V8" i="19"/>
  <c r="W8" i="19"/>
  <c r="X8" i="19"/>
  <c r="Z8" i="19"/>
  <c r="AA8" i="19"/>
  <c r="AB8" i="19"/>
  <c r="AC8" i="19"/>
  <c r="AD8" i="19"/>
  <c r="AE8" i="19"/>
  <c r="AF8" i="19"/>
  <c r="AG8" i="19"/>
  <c r="AH8" i="19"/>
  <c r="AI8" i="19"/>
  <c r="AJ8" i="19"/>
  <c r="AK8" i="19"/>
  <c r="AL8" i="19"/>
  <c r="AM8" i="19"/>
  <c r="AN8" i="19"/>
  <c r="AO8" i="19"/>
  <c r="AP8" i="19"/>
  <c r="AQ8" i="19"/>
  <c r="AR8" i="19"/>
  <c r="C9" i="19"/>
  <c r="D9" i="19"/>
  <c r="E9" i="19"/>
  <c r="F9" i="19"/>
  <c r="H9" i="19"/>
  <c r="I9" i="19"/>
  <c r="J9" i="19"/>
  <c r="K9" i="19"/>
  <c r="L9" i="19"/>
  <c r="M9" i="19"/>
  <c r="N9" i="19"/>
  <c r="P9" i="19"/>
  <c r="Q9" i="19"/>
  <c r="S9" i="19"/>
  <c r="V9" i="19"/>
  <c r="W9" i="19"/>
  <c r="X9" i="19"/>
  <c r="Z9" i="19"/>
  <c r="AA9" i="19"/>
  <c r="AB9" i="19"/>
  <c r="AC9" i="19"/>
  <c r="AD9" i="19"/>
  <c r="AE9" i="19"/>
  <c r="AF9" i="19"/>
  <c r="AG9" i="19"/>
  <c r="AH9" i="19"/>
  <c r="AI9" i="19"/>
  <c r="AJ9" i="19"/>
  <c r="AK9" i="19"/>
  <c r="AL9" i="19"/>
  <c r="AM9" i="19"/>
  <c r="AN9" i="19"/>
  <c r="AO9" i="19"/>
  <c r="AP9" i="19"/>
  <c r="AQ9" i="19"/>
  <c r="AR9" i="19"/>
  <c r="C10" i="19"/>
  <c r="D10" i="19"/>
  <c r="E10" i="19"/>
  <c r="F10" i="19"/>
  <c r="H10" i="19"/>
  <c r="I10" i="19"/>
  <c r="J10" i="19"/>
  <c r="K10" i="19"/>
  <c r="L10" i="19"/>
  <c r="M10" i="19"/>
  <c r="N10" i="19"/>
  <c r="P10" i="19"/>
  <c r="Q10" i="19"/>
  <c r="S10" i="19"/>
  <c r="V10" i="19"/>
  <c r="W10" i="19"/>
  <c r="X10" i="19"/>
  <c r="Z10" i="19"/>
  <c r="AA10" i="19"/>
  <c r="AB10" i="19"/>
  <c r="AC10" i="19"/>
  <c r="AD10" i="19"/>
  <c r="AE10" i="19"/>
  <c r="AF10" i="19"/>
  <c r="AG10" i="19"/>
  <c r="AH10" i="19"/>
  <c r="AI10" i="19"/>
  <c r="AJ10" i="19"/>
  <c r="AK10" i="19"/>
  <c r="AL10" i="19"/>
  <c r="AM10" i="19"/>
  <c r="AN10" i="19"/>
  <c r="AO10" i="19"/>
  <c r="AP10" i="19"/>
  <c r="AQ10" i="19"/>
  <c r="AR10" i="19"/>
  <c r="C11" i="19"/>
  <c r="D11" i="19"/>
  <c r="E11" i="19"/>
  <c r="F11" i="19"/>
  <c r="H11" i="19"/>
  <c r="I11" i="19"/>
  <c r="J11" i="19"/>
  <c r="K11" i="19"/>
  <c r="L11" i="19"/>
  <c r="M11" i="19"/>
  <c r="N11" i="19"/>
  <c r="P11" i="19"/>
  <c r="O11" i="19" s="1"/>
  <c r="Q11" i="19"/>
  <c r="S11" i="19"/>
  <c r="V11" i="19"/>
  <c r="W11" i="19"/>
  <c r="X11" i="19"/>
  <c r="Z11" i="19"/>
  <c r="D9" i="32" s="1"/>
  <c r="AA11" i="19"/>
  <c r="AB11" i="19"/>
  <c r="AC11" i="19"/>
  <c r="AD11" i="19"/>
  <c r="AE11" i="19"/>
  <c r="AF11" i="19"/>
  <c r="AG11" i="19"/>
  <c r="AH11" i="19"/>
  <c r="AI11" i="19"/>
  <c r="AJ11" i="19"/>
  <c r="AK11" i="19"/>
  <c r="AL11" i="19"/>
  <c r="AM11" i="19"/>
  <c r="AN11" i="19"/>
  <c r="AO11" i="19"/>
  <c r="AP11" i="19"/>
  <c r="AQ11" i="19"/>
  <c r="AR11" i="19"/>
  <c r="C12" i="19"/>
  <c r="D12" i="19"/>
  <c r="E12" i="19"/>
  <c r="F12" i="19"/>
  <c r="H12" i="19"/>
  <c r="I12" i="19"/>
  <c r="J12" i="19"/>
  <c r="K12" i="19"/>
  <c r="L12" i="19"/>
  <c r="M12" i="19"/>
  <c r="N12" i="19"/>
  <c r="P12" i="19"/>
  <c r="Q12" i="19"/>
  <c r="S12" i="19"/>
  <c r="V12" i="19"/>
  <c r="W12" i="19"/>
  <c r="X12" i="19"/>
  <c r="Z12" i="19"/>
  <c r="D10" i="32" s="1"/>
  <c r="AA12" i="19"/>
  <c r="AB12" i="19"/>
  <c r="AC12" i="19"/>
  <c r="AD12" i="19"/>
  <c r="AE12" i="19"/>
  <c r="AF12" i="19"/>
  <c r="AG12" i="19"/>
  <c r="AH12" i="19"/>
  <c r="AI12" i="19"/>
  <c r="AJ12" i="19"/>
  <c r="AK12" i="19"/>
  <c r="AL12" i="19"/>
  <c r="AM12" i="19"/>
  <c r="AN12" i="19"/>
  <c r="AO12" i="19"/>
  <c r="AP12" i="19"/>
  <c r="AQ12" i="19"/>
  <c r="AR12" i="19"/>
  <c r="C13" i="19"/>
  <c r="D13" i="19"/>
  <c r="E13" i="19"/>
  <c r="F13" i="19"/>
  <c r="H13" i="19"/>
  <c r="I13" i="19"/>
  <c r="J13" i="19"/>
  <c r="K13" i="19"/>
  <c r="L13" i="19"/>
  <c r="M13" i="19"/>
  <c r="N13" i="19"/>
  <c r="P13" i="19"/>
  <c r="Q13" i="19"/>
  <c r="S13" i="19"/>
  <c r="V13" i="19"/>
  <c r="W13" i="19"/>
  <c r="X13" i="19"/>
  <c r="Z13" i="19"/>
  <c r="D11" i="32" s="1"/>
  <c r="AA13" i="19"/>
  <c r="AB13" i="19"/>
  <c r="AC13" i="19"/>
  <c r="AD13" i="19"/>
  <c r="AE13" i="19"/>
  <c r="AF13" i="19"/>
  <c r="AG13" i="19"/>
  <c r="AH13" i="19"/>
  <c r="AI13" i="19"/>
  <c r="AJ13" i="19"/>
  <c r="AK13" i="19"/>
  <c r="AL13" i="19"/>
  <c r="AM13" i="19"/>
  <c r="AN13" i="19"/>
  <c r="AO13" i="19"/>
  <c r="AP13" i="19"/>
  <c r="AQ13" i="19"/>
  <c r="AR13" i="19"/>
  <c r="C14" i="19"/>
  <c r="D14" i="19"/>
  <c r="E14" i="19"/>
  <c r="F14" i="19"/>
  <c r="H14" i="19"/>
  <c r="I14" i="19"/>
  <c r="J14" i="19"/>
  <c r="K14" i="19"/>
  <c r="L14" i="19"/>
  <c r="M14" i="19"/>
  <c r="N14" i="19"/>
  <c r="P14" i="19"/>
  <c r="Q14" i="19"/>
  <c r="S14" i="19"/>
  <c r="V14" i="19"/>
  <c r="Y14" i="19" s="1"/>
  <c r="W14" i="19"/>
  <c r="X14" i="19"/>
  <c r="Z14" i="19"/>
  <c r="D12" i="32" s="1"/>
  <c r="AA14" i="19"/>
  <c r="AB14" i="19"/>
  <c r="AC14" i="19"/>
  <c r="AD14" i="19"/>
  <c r="AE14" i="19"/>
  <c r="AF14" i="19"/>
  <c r="AG14" i="19"/>
  <c r="AH14" i="19"/>
  <c r="AI14" i="19"/>
  <c r="AJ14" i="19"/>
  <c r="AK14" i="19"/>
  <c r="AL14" i="19"/>
  <c r="AM14" i="19"/>
  <c r="AN14" i="19"/>
  <c r="AO14" i="19"/>
  <c r="AP14" i="19"/>
  <c r="AQ14" i="19"/>
  <c r="AR14" i="19"/>
  <c r="C15" i="19"/>
  <c r="D15" i="19"/>
  <c r="G15" i="19" s="1"/>
  <c r="E15" i="19"/>
  <c r="F15" i="19"/>
  <c r="H15" i="19"/>
  <c r="I15" i="19"/>
  <c r="J15" i="19"/>
  <c r="K15" i="19"/>
  <c r="L15" i="19"/>
  <c r="M15" i="19"/>
  <c r="N15" i="19"/>
  <c r="P15" i="19"/>
  <c r="Q15" i="19"/>
  <c r="S15" i="19"/>
  <c r="V15" i="19"/>
  <c r="W15" i="19"/>
  <c r="X15" i="19"/>
  <c r="Z15" i="19"/>
  <c r="AA15" i="19"/>
  <c r="AB15" i="19"/>
  <c r="AC15" i="19"/>
  <c r="AD15" i="19"/>
  <c r="AE15" i="19"/>
  <c r="AF15" i="19"/>
  <c r="AG15" i="19"/>
  <c r="AH15" i="19"/>
  <c r="AI15" i="19"/>
  <c r="AJ15" i="19"/>
  <c r="AK15" i="19"/>
  <c r="AL15" i="19"/>
  <c r="AM15" i="19"/>
  <c r="AN15" i="19"/>
  <c r="AO15" i="19"/>
  <c r="AP15" i="19"/>
  <c r="AQ15" i="19"/>
  <c r="AR15" i="19"/>
  <c r="C16" i="19"/>
  <c r="D16" i="19"/>
  <c r="E16" i="19"/>
  <c r="F16" i="19"/>
  <c r="H16" i="19"/>
  <c r="I16" i="19"/>
  <c r="J16" i="19"/>
  <c r="K16" i="19"/>
  <c r="L16" i="19"/>
  <c r="M16" i="19"/>
  <c r="N16" i="19"/>
  <c r="P16" i="19"/>
  <c r="Q16" i="19"/>
  <c r="S16" i="19"/>
  <c r="V16" i="19"/>
  <c r="W16" i="19"/>
  <c r="X16" i="19"/>
  <c r="Z16" i="19"/>
  <c r="AA16" i="19"/>
  <c r="AB16" i="19"/>
  <c r="AC16" i="19"/>
  <c r="AD16" i="19"/>
  <c r="AE16" i="19"/>
  <c r="AF16" i="19"/>
  <c r="AG16" i="19"/>
  <c r="AH16" i="19"/>
  <c r="AI16" i="19"/>
  <c r="AJ16" i="19"/>
  <c r="AK16" i="19"/>
  <c r="AL16" i="19"/>
  <c r="AM16" i="19"/>
  <c r="AN16" i="19"/>
  <c r="AO16" i="19"/>
  <c r="AP16" i="19"/>
  <c r="AQ16" i="19"/>
  <c r="AR16" i="19"/>
  <c r="C17" i="19"/>
  <c r="D17" i="19"/>
  <c r="E17" i="19"/>
  <c r="F17" i="19"/>
  <c r="H17" i="19"/>
  <c r="I17" i="19"/>
  <c r="J17" i="19"/>
  <c r="K17" i="19"/>
  <c r="L17" i="19"/>
  <c r="M17" i="19"/>
  <c r="N17" i="19"/>
  <c r="P17" i="19"/>
  <c r="Q17" i="19"/>
  <c r="S17" i="19"/>
  <c r="V17" i="19"/>
  <c r="W17" i="19"/>
  <c r="X17" i="19"/>
  <c r="Z17" i="19"/>
  <c r="AA17" i="19"/>
  <c r="AB17" i="19"/>
  <c r="AC17" i="19"/>
  <c r="AD17" i="19"/>
  <c r="AE17" i="19"/>
  <c r="AF17" i="19"/>
  <c r="AG17" i="19"/>
  <c r="AH17" i="19"/>
  <c r="AI17" i="19"/>
  <c r="AJ17" i="19"/>
  <c r="AK17" i="19"/>
  <c r="AL17" i="19"/>
  <c r="AM17" i="19"/>
  <c r="AN17" i="19"/>
  <c r="AO17" i="19"/>
  <c r="AP17" i="19"/>
  <c r="AQ17" i="19"/>
  <c r="AR17" i="19"/>
  <c r="C18" i="19"/>
  <c r="D18" i="19"/>
  <c r="E18" i="19"/>
  <c r="F18" i="19"/>
  <c r="H18" i="19"/>
  <c r="I18" i="19"/>
  <c r="J18" i="19"/>
  <c r="K18" i="19"/>
  <c r="L18" i="19"/>
  <c r="M18" i="19"/>
  <c r="N18" i="19"/>
  <c r="P18" i="19"/>
  <c r="Q18" i="19"/>
  <c r="S18" i="19"/>
  <c r="V18" i="19"/>
  <c r="W18" i="19"/>
  <c r="X18" i="19"/>
  <c r="Z18" i="19"/>
  <c r="AA18" i="19"/>
  <c r="AB18" i="19"/>
  <c r="AC18" i="19"/>
  <c r="AD18" i="19"/>
  <c r="AE18" i="19"/>
  <c r="AF18" i="19"/>
  <c r="AG18" i="19"/>
  <c r="AH18" i="19"/>
  <c r="AI18" i="19"/>
  <c r="AJ18" i="19"/>
  <c r="AK18" i="19"/>
  <c r="AL18" i="19"/>
  <c r="AM18" i="19"/>
  <c r="AN18" i="19"/>
  <c r="AO18" i="19"/>
  <c r="AP18" i="19"/>
  <c r="AQ18" i="19"/>
  <c r="AR18" i="19"/>
  <c r="C19" i="19"/>
  <c r="D19" i="19"/>
  <c r="E19" i="19"/>
  <c r="F19" i="19"/>
  <c r="H19" i="19"/>
  <c r="I19" i="19"/>
  <c r="J19" i="19"/>
  <c r="K19" i="19"/>
  <c r="L19" i="19"/>
  <c r="M19" i="19"/>
  <c r="N19" i="19"/>
  <c r="P19" i="19"/>
  <c r="Q19" i="19"/>
  <c r="S19" i="19"/>
  <c r="V19" i="19"/>
  <c r="W19" i="19"/>
  <c r="X19" i="19"/>
  <c r="Z19" i="19"/>
  <c r="AA19" i="19"/>
  <c r="AB19" i="19"/>
  <c r="AC19" i="19"/>
  <c r="AD19" i="19"/>
  <c r="AE19" i="19"/>
  <c r="AF19" i="19"/>
  <c r="AG19" i="19"/>
  <c r="AH19" i="19"/>
  <c r="AI19" i="19"/>
  <c r="AJ19" i="19"/>
  <c r="AK19" i="19"/>
  <c r="AL19" i="19"/>
  <c r="AM19" i="19"/>
  <c r="AN19" i="19"/>
  <c r="AO19" i="19"/>
  <c r="AP19" i="19"/>
  <c r="AQ19" i="19"/>
  <c r="AR19" i="19"/>
  <c r="C20" i="19"/>
  <c r="D20" i="19"/>
  <c r="E20" i="19"/>
  <c r="F20" i="19"/>
  <c r="H20" i="19"/>
  <c r="I20" i="19"/>
  <c r="J20" i="19"/>
  <c r="K20" i="19"/>
  <c r="L20" i="19"/>
  <c r="M20" i="19"/>
  <c r="N20" i="19"/>
  <c r="P20" i="19"/>
  <c r="Q20" i="19"/>
  <c r="S20" i="19"/>
  <c r="V20" i="19"/>
  <c r="W20" i="19"/>
  <c r="X20" i="19"/>
  <c r="Z20" i="19"/>
  <c r="AA20" i="19"/>
  <c r="AB20" i="19"/>
  <c r="AC20" i="19"/>
  <c r="AD20" i="19"/>
  <c r="AE20" i="19"/>
  <c r="AF20" i="19"/>
  <c r="AG20" i="19"/>
  <c r="AH20" i="19"/>
  <c r="AI20" i="19"/>
  <c r="AJ20" i="19"/>
  <c r="AK20" i="19"/>
  <c r="AL20" i="19"/>
  <c r="AM20" i="19"/>
  <c r="AN20" i="19"/>
  <c r="AO20" i="19"/>
  <c r="AP20" i="19"/>
  <c r="AQ20" i="19"/>
  <c r="AR20" i="19"/>
  <c r="C21" i="19"/>
  <c r="D21" i="19"/>
  <c r="E21" i="19"/>
  <c r="F21" i="19"/>
  <c r="H21" i="19"/>
  <c r="I21" i="19"/>
  <c r="J21" i="19"/>
  <c r="K21" i="19"/>
  <c r="L21" i="19"/>
  <c r="M21" i="19"/>
  <c r="N21" i="19"/>
  <c r="P21" i="19"/>
  <c r="Q21" i="19"/>
  <c r="S21" i="19"/>
  <c r="V21" i="19"/>
  <c r="W21" i="19"/>
  <c r="X21" i="19"/>
  <c r="Z21" i="19"/>
  <c r="AA21" i="19"/>
  <c r="AB21" i="19"/>
  <c r="AC21" i="19"/>
  <c r="AD21" i="19"/>
  <c r="AE21" i="19"/>
  <c r="AF21" i="19"/>
  <c r="AG21" i="19"/>
  <c r="AH21" i="19"/>
  <c r="AI21" i="19"/>
  <c r="AJ21" i="19"/>
  <c r="AK21" i="19"/>
  <c r="AL21" i="19"/>
  <c r="AM21" i="19"/>
  <c r="AN21" i="19"/>
  <c r="AO21" i="19"/>
  <c r="AP21" i="19"/>
  <c r="AQ21" i="19"/>
  <c r="AR21" i="19"/>
  <c r="C22" i="19"/>
  <c r="D22" i="19"/>
  <c r="E22" i="19"/>
  <c r="F22" i="19"/>
  <c r="H22" i="19"/>
  <c r="I22" i="19"/>
  <c r="J22" i="19"/>
  <c r="K22" i="19"/>
  <c r="L22" i="19"/>
  <c r="M22" i="19"/>
  <c r="N22" i="19"/>
  <c r="P22" i="19"/>
  <c r="Q22" i="19"/>
  <c r="S22" i="19"/>
  <c r="V22" i="19"/>
  <c r="W22" i="19"/>
  <c r="X22" i="19"/>
  <c r="Z22" i="19"/>
  <c r="AA22" i="19"/>
  <c r="AB22" i="19"/>
  <c r="AC22" i="19"/>
  <c r="AD22" i="19"/>
  <c r="AE22" i="19"/>
  <c r="AF22" i="19"/>
  <c r="AG22" i="19"/>
  <c r="AH22" i="19"/>
  <c r="AI22" i="19"/>
  <c r="AJ22" i="19"/>
  <c r="AK22" i="19"/>
  <c r="AL22" i="19"/>
  <c r="AM22" i="19"/>
  <c r="AN22" i="19"/>
  <c r="AO22" i="19"/>
  <c r="AP22" i="19"/>
  <c r="AQ22" i="19"/>
  <c r="AR22" i="19"/>
  <c r="C23" i="19"/>
  <c r="D23" i="19"/>
  <c r="E23" i="19"/>
  <c r="F23" i="19"/>
  <c r="H23" i="19"/>
  <c r="I23" i="19"/>
  <c r="J23" i="19"/>
  <c r="K23" i="19"/>
  <c r="L23" i="19"/>
  <c r="M23" i="19"/>
  <c r="N23" i="19"/>
  <c r="P23" i="19"/>
  <c r="Q23" i="19"/>
  <c r="S23" i="19"/>
  <c r="V23" i="19"/>
  <c r="W23" i="19"/>
  <c r="X23" i="19"/>
  <c r="Z23" i="19"/>
  <c r="AA23" i="19"/>
  <c r="AB23" i="19"/>
  <c r="AC23" i="19"/>
  <c r="AD23" i="19"/>
  <c r="AE23" i="19"/>
  <c r="AF23" i="19"/>
  <c r="AG23" i="19"/>
  <c r="AH23" i="19"/>
  <c r="AI23" i="19"/>
  <c r="AJ23" i="19"/>
  <c r="AK23" i="19"/>
  <c r="AL23" i="19"/>
  <c r="AM23" i="19"/>
  <c r="AN23" i="19"/>
  <c r="AO23" i="19"/>
  <c r="AP23" i="19"/>
  <c r="AQ23" i="19"/>
  <c r="AR23" i="19"/>
  <c r="C24" i="19"/>
  <c r="D24" i="19"/>
  <c r="E24" i="19"/>
  <c r="F24" i="19"/>
  <c r="H24" i="19"/>
  <c r="I24" i="19"/>
  <c r="J24" i="19"/>
  <c r="K24" i="19"/>
  <c r="L24" i="19"/>
  <c r="M24" i="19"/>
  <c r="N24" i="19"/>
  <c r="P24" i="19"/>
  <c r="Q24" i="19"/>
  <c r="S24" i="19"/>
  <c r="V24" i="19"/>
  <c r="W24" i="19"/>
  <c r="X24" i="19"/>
  <c r="Z24" i="19"/>
  <c r="AA24" i="19"/>
  <c r="AB24" i="19"/>
  <c r="AC24" i="19"/>
  <c r="AD24" i="19"/>
  <c r="AE24" i="19"/>
  <c r="AF24" i="19"/>
  <c r="AG24" i="19"/>
  <c r="AH24" i="19"/>
  <c r="AI24" i="19"/>
  <c r="AJ24" i="19"/>
  <c r="AK24" i="19"/>
  <c r="AL24" i="19"/>
  <c r="AM24" i="19"/>
  <c r="AN24" i="19"/>
  <c r="AO24" i="19"/>
  <c r="AP24" i="19"/>
  <c r="AQ24" i="19"/>
  <c r="AR24" i="19"/>
  <c r="C25" i="19"/>
  <c r="D25" i="19"/>
  <c r="E25" i="19"/>
  <c r="F25" i="19"/>
  <c r="H25" i="19"/>
  <c r="I25" i="19"/>
  <c r="J25" i="19"/>
  <c r="K25" i="19"/>
  <c r="L25" i="19"/>
  <c r="M25" i="19"/>
  <c r="N25" i="19"/>
  <c r="P25" i="19"/>
  <c r="Q25" i="19"/>
  <c r="S25" i="19"/>
  <c r="V25" i="19"/>
  <c r="W25" i="19"/>
  <c r="X25" i="19"/>
  <c r="Z25" i="19"/>
  <c r="AA25" i="19"/>
  <c r="AB25" i="19"/>
  <c r="AC25" i="19"/>
  <c r="AD25" i="19"/>
  <c r="AE25" i="19"/>
  <c r="AF25" i="19"/>
  <c r="AG25" i="19"/>
  <c r="AH25" i="19"/>
  <c r="AI25" i="19"/>
  <c r="AJ25" i="19"/>
  <c r="AK25" i="19"/>
  <c r="AL25" i="19"/>
  <c r="AM25" i="19"/>
  <c r="AN25" i="19"/>
  <c r="AO25" i="19"/>
  <c r="AP25" i="19"/>
  <c r="AQ25" i="19"/>
  <c r="AR25" i="19"/>
  <c r="C26" i="19"/>
  <c r="D26" i="19"/>
  <c r="E26" i="19"/>
  <c r="F26" i="19"/>
  <c r="H26" i="19"/>
  <c r="I26" i="19"/>
  <c r="J26" i="19"/>
  <c r="K26" i="19"/>
  <c r="L26" i="19"/>
  <c r="M26" i="19"/>
  <c r="N26" i="19"/>
  <c r="P26" i="19"/>
  <c r="Q26" i="19"/>
  <c r="S26" i="19"/>
  <c r="V26" i="19"/>
  <c r="W26" i="19"/>
  <c r="X26" i="19"/>
  <c r="Z26" i="19"/>
  <c r="AA26" i="19"/>
  <c r="AB26" i="19"/>
  <c r="AC26" i="19"/>
  <c r="AD26" i="19"/>
  <c r="AE26" i="19"/>
  <c r="AF26" i="19"/>
  <c r="AG26" i="19"/>
  <c r="AH26" i="19"/>
  <c r="AI26" i="19"/>
  <c r="AJ26" i="19"/>
  <c r="AK26" i="19"/>
  <c r="AL26" i="19"/>
  <c r="AM26" i="19"/>
  <c r="AN26" i="19"/>
  <c r="AO26" i="19"/>
  <c r="AP26" i="19"/>
  <c r="AQ26" i="19"/>
  <c r="AR26" i="19"/>
  <c r="C27" i="19"/>
  <c r="D27" i="19"/>
  <c r="E27" i="19"/>
  <c r="F27" i="19"/>
  <c r="H27" i="19"/>
  <c r="I27" i="19"/>
  <c r="J27" i="19"/>
  <c r="K27" i="19"/>
  <c r="L27" i="19"/>
  <c r="M27" i="19"/>
  <c r="N27" i="19"/>
  <c r="P27" i="19"/>
  <c r="Q27" i="19"/>
  <c r="S27" i="19"/>
  <c r="V27" i="19"/>
  <c r="W27" i="19"/>
  <c r="X27" i="19"/>
  <c r="Z27" i="19"/>
  <c r="AA27" i="19"/>
  <c r="AB27" i="19"/>
  <c r="AC27" i="19"/>
  <c r="AD27" i="19"/>
  <c r="AE27" i="19"/>
  <c r="AF27" i="19"/>
  <c r="AG27" i="19"/>
  <c r="AH27" i="19"/>
  <c r="AI27" i="19"/>
  <c r="AJ27" i="19"/>
  <c r="AK27" i="19"/>
  <c r="AL27" i="19"/>
  <c r="AM27" i="19"/>
  <c r="AN27" i="19"/>
  <c r="AO27" i="19"/>
  <c r="AP27" i="19"/>
  <c r="AQ27" i="19"/>
  <c r="AR27" i="19"/>
  <c r="C28" i="19"/>
  <c r="D28" i="19"/>
  <c r="E28" i="19"/>
  <c r="F28" i="19"/>
  <c r="H28" i="19"/>
  <c r="I28" i="19"/>
  <c r="J28" i="19"/>
  <c r="K28" i="19"/>
  <c r="L28" i="19"/>
  <c r="M28" i="19"/>
  <c r="N28" i="19"/>
  <c r="P28" i="19"/>
  <c r="Q28" i="19"/>
  <c r="S28" i="19"/>
  <c r="V28" i="19"/>
  <c r="W28" i="19"/>
  <c r="X28" i="19"/>
  <c r="Z28" i="19"/>
  <c r="AA28" i="19"/>
  <c r="AB28" i="19"/>
  <c r="AC28" i="19"/>
  <c r="AD28" i="19"/>
  <c r="AE28" i="19"/>
  <c r="AF28" i="19"/>
  <c r="AG28" i="19"/>
  <c r="AH28" i="19"/>
  <c r="AI28" i="19"/>
  <c r="AJ28" i="19"/>
  <c r="AK28" i="19"/>
  <c r="AL28" i="19"/>
  <c r="AM28" i="19"/>
  <c r="AN28" i="19"/>
  <c r="AO28" i="19"/>
  <c r="AP28" i="19"/>
  <c r="AQ28" i="19"/>
  <c r="AR28" i="19"/>
  <c r="C29" i="19"/>
  <c r="D29" i="19"/>
  <c r="E29" i="19"/>
  <c r="F29" i="19"/>
  <c r="H29" i="19"/>
  <c r="I29" i="19"/>
  <c r="J29" i="19"/>
  <c r="K29" i="19"/>
  <c r="L29" i="19"/>
  <c r="M29" i="19"/>
  <c r="N29" i="19"/>
  <c r="P29" i="19"/>
  <c r="Q29" i="19"/>
  <c r="S29" i="19"/>
  <c r="V29" i="19"/>
  <c r="W29" i="19"/>
  <c r="X29" i="19"/>
  <c r="Z29" i="19"/>
  <c r="AA29" i="19"/>
  <c r="AB29" i="19"/>
  <c r="AC29" i="19"/>
  <c r="AD29" i="19"/>
  <c r="AE29" i="19"/>
  <c r="AF29" i="19"/>
  <c r="AG29" i="19"/>
  <c r="AH29" i="19"/>
  <c r="AI29" i="19"/>
  <c r="AJ29" i="19"/>
  <c r="AK29" i="19"/>
  <c r="AL29" i="19"/>
  <c r="AM29" i="19"/>
  <c r="AN29" i="19"/>
  <c r="AO29" i="19"/>
  <c r="AP29" i="19"/>
  <c r="AQ29" i="19"/>
  <c r="AR29" i="19"/>
  <c r="C30" i="19"/>
  <c r="D30" i="19"/>
  <c r="E30" i="19"/>
  <c r="F30" i="19"/>
  <c r="H30" i="19"/>
  <c r="I30" i="19"/>
  <c r="J30" i="19"/>
  <c r="K30" i="19"/>
  <c r="L30" i="19"/>
  <c r="M30" i="19"/>
  <c r="N30" i="19"/>
  <c r="P30" i="19"/>
  <c r="Q30" i="19"/>
  <c r="S30" i="19"/>
  <c r="V30" i="19"/>
  <c r="W30" i="19"/>
  <c r="X30" i="19"/>
  <c r="Z30" i="19"/>
  <c r="AA30" i="19"/>
  <c r="AB30" i="19"/>
  <c r="AC30" i="19"/>
  <c r="AD30" i="19"/>
  <c r="AE30" i="19"/>
  <c r="AF30" i="19"/>
  <c r="AG30" i="19"/>
  <c r="AH30" i="19"/>
  <c r="AI30" i="19"/>
  <c r="AJ30" i="19"/>
  <c r="AK30" i="19"/>
  <c r="AL30" i="19"/>
  <c r="AM30" i="19"/>
  <c r="AN30" i="19"/>
  <c r="AO30" i="19"/>
  <c r="AP30" i="19"/>
  <c r="AQ30" i="19"/>
  <c r="AR30" i="19"/>
  <c r="C31" i="19"/>
  <c r="D31" i="19"/>
  <c r="E31" i="19"/>
  <c r="F31" i="19"/>
  <c r="H31" i="19"/>
  <c r="I31" i="19"/>
  <c r="J31" i="19"/>
  <c r="K31" i="19"/>
  <c r="L31" i="19"/>
  <c r="M31" i="19"/>
  <c r="N31" i="19"/>
  <c r="P31" i="19"/>
  <c r="Q31" i="19"/>
  <c r="S31" i="19"/>
  <c r="V31" i="19"/>
  <c r="W31" i="19"/>
  <c r="X31" i="19"/>
  <c r="Z31" i="19"/>
  <c r="D29" i="32" s="1"/>
  <c r="AA31" i="19"/>
  <c r="AB31" i="19"/>
  <c r="AC31" i="19"/>
  <c r="AD31" i="19"/>
  <c r="AE31" i="19"/>
  <c r="AF31" i="19"/>
  <c r="AG31" i="19"/>
  <c r="AH31" i="19"/>
  <c r="AI31" i="19"/>
  <c r="AJ31" i="19"/>
  <c r="AK31" i="19"/>
  <c r="AL31" i="19"/>
  <c r="AM31" i="19"/>
  <c r="AN31" i="19"/>
  <c r="AO31" i="19"/>
  <c r="AP31" i="19"/>
  <c r="AQ31" i="19"/>
  <c r="AR31" i="19"/>
  <c r="C32" i="19"/>
  <c r="D32" i="19"/>
  <c r="E32" i="19"/>
  <c r="F32" i="19"/>
  <c r="H32" i="19"/>
  <c r="I32" i="19"/>
  <c r="J32" i="19"/>
  <c r="K32" i="19"/>
  <c r="L32" i="19"/>
  <c r="M32" i="19"/>
  <c r="N32" i="19"/>
  <c r="P32" i="19"/>
  <c r="Q32" i="19"/>
  <c r="S32" i="19"/>
  <c r="V32" i="19"/>
  <c r="W32" i="19"/>
  <c r="X32" i="19"/>
  <c r="Z32" i="19"/>
  <c r="D30" i="32" s="1"/>
  <c r="AA32" i="19"/>
  <c r="AB32" i="19"/>
  <c r="AC32" i="19"/>
  <c r="AD32" i="19"/>
  <c r="AE32" i="19"/>
  <c r="AF32" i="19"/>
  <c r="AG32" i="19"/>
  <c r="AH32" i="19"/>
  <c r="AI32" i="19"/>
  <c r="AJ32" i="19"/>
  <c r="AK32" i="19"/>
  <c r="AL32" i="19"/>
  <c r="AM32" i="19"/>
  <c r="AN32" i="19"/>
  <c r="AO32" i="19"/>
  <c r="AP32" i="19"/>
  <c r="AQ32" i="19"/>
  <c r="AR32" i="19"/>
  <c r="C33" i="19"/>
  <c r="D33" i="19"/>
  <c r="E33" i="19"/>
  <c r="F33" i="19"/>
  <c r="H33" i="19"/>
  <c r="I33" i="19"/>
  <c r="J33" i="19"/>
  <c r="K33" i="19"/>
  <c r="L33" i="19"/>
  <c r="M33" i="19"/>
  <c r="N33" i="19"/>
  <c r="P33" i="19"/>
  <c r="Q33" i="19"/>
  <c r="S33" i="19"/>
  <c r="V33" i="19"/>
  <c r="W33" i="19"/>
  <c r="X33" i="19"/>
  <c r="Z33" i="19"/>
  <c r="AA33" i="19"/>
  <c r="AB33" i="19"/>
  <c r="AC33" i="19"/>
  <c r="AD33" i="19"/>
  <c r="AE33" i="19"/>
  <c r="AF33" i="19"/>
  <c r="AG33" i="19"/>
  <c r="AH33" i="19"/>
  <c r="AI33" i="19"/>
  <c r="AJ33" i="19"/>
  <c r="AK33" i="19"/>
  <c r="AL33" i="19"/>
  <c r="AM33" i="19"/>
  <c r="AN33" i="19"/>
  <c r="AO33" i="19"/>
  <c r="AP33" i="19"/>
  <c r="AQ33" i="19"/>
  <c r="AR33" i="19"/>
  <c r="C34" i="19"/>
  <c r="D34" i="19"/>
  <c r="E34" i="19"/>
  <c r="F34" i="19"/>
  <c r="H34" i="19"/>
  <c r="I34" i="19"/>
  <c r="J34" i="19"/>
  <c r="K34" i="19"/>
  <c r="L34" i="19"/>
  <c r="M34" i="19"/>
  <c r="N34" i="19"/>
  <c r="P34" i="19"/>
  <c r="Q34" i="19"/>
  <c r="S34" i="19"/>
  <c r="V34" i="19"/>
  <c r="Y34" i="19" s="1"/>
  <c r="W34" i="19"/>
  <c r="X34" i="19"/>
  <c r="Z34" i="19"/>
  <c r="D32" i="32" s="1"/>
  <c r="AA34" i="19"/>
  <c r="AB34" i="19"/>
  <c r="AC34" i="19"/>
  <c r="AD34" i="19"/>
  <c r="AE34" i="19"/>
  <c r="AF34" i="19"/>
  <c r="AG34" i="19"/>
  <c r="AH34" i="19"/>
  <c r="AI34" i="19"/>
  <c r="AJ34" i="19"/>
  <c r="AK34" i="19"/>
  <c r="AL34" i="19"/>
  <c r="AM34" i="19"/>
  <c r="AN34" i="19"/>
  <c r="AO34" i="19"/>
  <c r="AP34" i="19"/>
  <c r="AQ34" i="19"/>
  <c r="AR34" i="19"/>
  <c r="C35" i="19"/>
  <c r="D35" i="19"/>
  <c r="G35" i="19" s="1"/>
  <c r="E35" i="19"/>
  <c r="F35" i="19"/>
  <c r="H35" i="19"/>
  <c r="I35" i="19"/>
  <c r="J35" i="19"/>
  <c r="K35" i="19"/>
  <c r="L35" i="19"/>
  <c r="M35" i="19"/>
  <c r="N35" i="19"/>
  <c r="P35" i="19"/>
  <c r="Q35" i="19"/>
  <c r="S35" i="19"/>
  <c r="V35" i="19"/>
  <c r="W35" i="19"/>
  <c r="X35" i="19"/>
  <c r="Z35" i="19"/>
  <c r="D33" i="32" s="1"/>
  <c r="AA35" i="19"/>
  <c r="AB35" i="19"/>
  <c r="AC35" i="19"/>
  <c r="AD35" i="19"/>
  <c r="AE35" i="19"/>
  <c r="AF35" i="19"/>
  <c r="AG35" i="19"/>
  <c r="AH35" i="19"/>
  <c r="AI35" i="19"/>
  <c r="AJ35" i="19"/>
  <c r="AK35" i="19"/>
  <c r="AL35" i="19"/>
  <c r="AM35" i="19"/>
  <c r="AN35" i="19"/>
  <c r="AO35" i="19"/>
  <c r="AP35" i="19"/>
  <c r="AQ35" i="19"/>
  <c r="AR35" i="19"/>
  <c r="C36" i="19"/>
  <c r="D36" i="19"/>
  <c r="E36" i="19"/>
  <c r="F36" i="19"/>
  <c r="H36" i="19"/>
  <c r="I36" i="19"/>
  <c r="J36" i="19"/>
  <c r="K36" i="19"/>
  <c r="L36" i="19"/>
  <c r="M36" i="19"/>
  <c r="N36" i="19"/>
  <c r="P36" i="19"/>
  <c r="Q36" i="19"/>
  <c r="S36" i="19"/>
  <c r="V36" i="19"/>
  <c r="W36" i="19"/>
  <c r="X36" i="19"/>
  <c r="Z36" i="19"/>
  <c r="D34" i="32" s="1"/>
  <c r="AA36" i="19"/>
  <c r="AB36" i="19"/>
  <c r="AC36" i="19"/>
  <c r="AD36" i="19"/>
  <c r="AE36" i="19"/>
  <c r="AF36" i="19"/>
  <c r="AG36" i="19"/>
  <c r="AH36" i="19"/>
  <c r="AI36" i="19"/>
  <c r="AJ36" i="19"/>
  <c r="AK36" i="19"/>
  <c r="AL36" i="19"/>
  <c r="AM36" i="19"/>
  <c r="AN36" i="19"/>
  <c r="AO36" i="19"/>
  <c r="AP36" i="19"/>
  <c r="AQ36" i="19"/>
  <c r="AR36" i="19"/>
  <c r="C37" i="19"/>
  <c r="D37" i="19"/>
  <c r="E37" i="19"/>
  <c r="F37" i="19"/>
  <c r="H37" i="19"/>
  <c r="I37" i="19"/>
  <c r="J37" i="19"/>
  <c r="K37" i="19"/>
  <c r="L37" i="19"/>
  <c r="M37" i="19"/>
  <c r="N37" i="19"/>
  <c r="P37" i="19"/>
  <c r="Q37" i="19"/>
  <c r="S37" i="19"/>
  <c r="V37" i="19"/>
  <c r="W37" i="19"/>
  <c r="X37" i="19"/>
  <c r="Z37" i="19"/>
  <c r="D35" i="32" s="1"/>
  <c r="AA37" i="19"/>
  <c r="AB37" i="19"/>
  <c r="AC37" i="19"/>
  <c r="AD37" i="19"/>
  <c r="AE37" i="19"/>
  <c r="AF37" i="19"/>
  <c r="AG37" i="19"/>
  <c r="AH37" i="19"/>
  <c r="AI37" i="19"/>
  <c r="AJ37" i="19"/>
  <c r="AK37" i="19"/>
  <c r="AL37" i="19"/>
  <c r="AM37" i="19"/>
  <c r="AN37" i="19"/>
  <c r="AO37" i="19"/>
  <c r="AP37" i="19"/>
  <c r="AQ37" i="19"/>
  <c r="AR37" i="19"/>
  <c r="C38" i="19"/>
  <c r="D38" i="19"/>
  <c r="E38" i="19"/>
  <c r="F38" i="19"/>
  <c r="H38" i="19"/>
  <c r="I38" i="19"/>
  <c r="J38" i="19"/>
  <c r="K38" i="19"/>
  <c r="L38" i="19"/>
  <c r="M38" i="19"/>
  <c r="N38" i="19"/>
  <c r="P38" i="19"/>
  <c r="Q38" i="19"/>
  <c r="S38" i="19"/>
  <c r="V38" i="19"/>
  <c r="Y38" i="19" s="1"/>
  <c r="W38" i="19"/>
  <c r="X38" i="19"/>
  <c r="Z38" i="19"/>
  <c r="D36" i="32" s="1"/>
  <c r="AA38" i="19"/>
  <c r="AB38" i="19"/>
  <c r="AC38" i="19"/>
  <c r="AD38" i="19"/>
  <c r="AE38" i="19"/>
  <c r="AF38" i="19"/>
  <c r="AG38" i="19"/>
  <c r="AH38" i="19"/>
  <c r="AI38" i="19"/>
  <c r="AJ38" i="19"/>
  <c r="AK38" i="19"/>
  <c r="AL38" i="19"/>
  <c r="AM38" i="19"/>
  <c r="AN38" i="19"/>
  <c r="AO38" i="19"/>
  <c r="AP38" i="19"/>
  <c r="AQ38" i="19"/>
  <c r="AR38" i="19"/>
  <c r="C39" i="19"/>
  <c r="D39" i="19"/>
  <c r="G39" i="19" s="1"/>
  <c r="E39" i="19"/>
  <c r="F39" i="19"/>
  <c r="H39" i="19"/>
  <c r="I39" i="19"/>
  <c r="J39" i="19"/>
  <c r="K39" i="19"/>
  <c r="L39" i="19"/>
  <c r="M39" i="19"/>
  <c r="N39" i="19"/>
  <c r="P39" i="19"/>
  <c r="Q39" i="19"/>
  <c r="S39" i="19"/>
  <c r="V39" i="19"/>
  <c r="W39" i="19"/>
  <c r="X39" i="19"/>
  <c r="Z39" i="19"/>
  <c r="AA39" i="19"/>
  <c r="AB39" i="19"/>
  <c r="AC39" i="19"/>
  <c r="AD39" i="19"/>
  <c r="AE39" i="19"/>
  <c r="AF39" i="19"/>
  <c r="AG39" i="19"/>
  <c r="AH39" i="19"/>
  <c r="AI39" i="19"/>
  <c r="AJ39" i="19"/>
  <c r="AK39" i="19"/>
  <c r="AL39" i="19"/>
  <c r="AM39" i="19"/>
  <c r="AN39" i="19"/>
  <c r="AO39" i="19"/>
  <c r="AP39" i="19"/>
  <c r="AQ39" i="19"/>
  <c r="AR39" i="19"/>
  <c r="C40" i="19"/>
  <c r="D40" i="19"/>
  <c r="E40" i="19"/>
  <c r="F40" i="19"/>
  <c r="H40" i="19"/>
  <c r="I40" i="19"/>
  <c r="J40" i="19"/>
  <c r="K40" i="19"/>
  <c r="L40" i="19"/>
  <c r="M40" i="19"/>
  <c r="N40" i="19"/>
  <c r="P40" i="19"/>
  <c r="Q40" i="19"/>
  <c r="S40" i="19"/>
  <c r="V40" i="19"/>
  <c r="W40" i="19"/>
  <c r="X40" i="19"/>
  <c r="Z40" i="19"/>
  <c r="D38" i="32" s="1"/>
  <c r="AA40" i="19"/>
  <c r="AB40" i="19"/>
  <c r="AC40" i="19"/>
  <c r="AD40" i="19"/>
  <c r="AE40" i="19"/>
  <c r="AF40" i="19"/>
  <c r="AG40" i="19"/>
  <c r="AH40" i="19"/>
  <c r="AI40" i="19"/>
  <c r="AJ40" i="19"/>
  <c r="AK40" i="19"/>
  <c r="AL40" i="19"/>
  <c r="AM40" i="19"/>
  <c r="AN40" i="19"/>
  <c r="AO40" i="19"/>
  <c r="AP40" i="19"/>
  <c r="AQ40" i="19"/>
  <c r="AR40" i="19"/>
  <c r="C41" i="19"/>
  <c r="D41" i="19"/>
  <c r="E41" i="19"/>
  <c r="F41" i="19"/>
  <c r="H41" i="19"/>
  <c r="I41" i="19"/>
  <c r="J41" i="19"/>
  <c r="K41" i="19"/>
  <c r="L41" i="19"/>
  <c r="M41" i="19"/>
  <c r="N41" i="19"/>
  <c r="P41" i="19"/>
  <c r="Q41" i="19"/>
  <c r="S41" i="19"/>
  <c r="V41" i="19"/>
  <c r="W41" i="19"/>
  <c r="X41" i="19"/>
  <c r="Z41" i="19"/>
  <c r="D39" i="32" s="1"/>
  <c r="AA41" i="19"/>
  <c r="AB41" i="19"/>
  <c r="AC41" i="19"/>
  <c r="AD41" i="19"/>
  <c r="AE41" i="19"/>
  <c r="AF41" i="19"/>
  <c r="AG41" i="19"/>
  <c r="AH41" i="19"/>
  <c r="AI41" i="19"/>
  <c r="AJ41" i="19"/>
  <c r="AK41" i="19"/>
  <c r="AL41" i="19"/>
  <c r="AM41" i="19"/>
  <c r="AN41" i="19"/>
  <c r="AO41" i="19"/>
  <c r="AP41" i="19"/>
  <c r="AQ41" i="19"/>
  <c r="AR41" i="19"/>
  <c r="C42" i="19"/>
  <c r="D42" i="19"/>
  <c r="E42" i="19"/>
  <c r="F42" i="19"/>
  <c r="H42" i="19"/>
  <c r="I42" i="19"/>
  <c r="J42" i="19"/>
  <c r="K42" i="19"/>
  <c r="L42" i="19"/>
  <c r="M42" i="19"/>
  <c r="N42" i="19"/>
  <c r="P42" i="19"/>
  <c r="Q42" i="19"/>
  <c r="S42" i="19"/>
  <c r="V42" i="19"/>
  <c r="Y42" i="19" s="1"/>
  <c r="W42" i="19"/>
  <c r="X42" i="19"/>
  <c r="Z42" i="19"/>
  <c r="D40" i="32" s="1"/>
  <c r="AA42" i="19"/>
  <c r="AB42" i="19"/>
  <c r="AC42" i="19"/>
  <c r="AD42" i="19"/>
  <c r="AE42" i="19"/>
  <c r="AF42" i="19"/>
  <c r="AG42" i="19"/>
  <c r="AH42" i="19"/>
  <c r="AI42" i="19"/>
  <c r="AJ42" i="19"/>
  <c r="AK42" i="19"/>
  <c r="AL42" i="19"/>
  <c r="AM42" i="19"/>
  <c r="AN42" i="19"/>
  <c r="AO42" i="19"/>
  <c r="AP42" i="19"/>
  <c r="AQ42" i="19"/>
  <c r="AR42" i="19"/>
  <c r="C43" i="19"/>
  <c r="D43" i="19"/>
  <c r="G43" i="19" s="1"/>
  <c r="E43" i="19"/>
  <c r="F43" i="19"/>
  <c r="H43" i="19"/>
  <c r="I43" i="19"/>
  <c r="J43" i="19"/>
  <c r="K43" i="19"/>
  <c r="L43" i="19"/>
  <c r="M43" i="19"/>
  <c r="N43" i="19"/>
  <c r="P43" i="19"/>
  <c r="Q43" i="19"/>
  <c r="S43" i="19"/>
  <c r="V43" i="19"/>
  <c r="W43" i="19"/>
  <c r="X43" i="19"/>
  <c r="Z43" i="19"/>
  <c r="D41" i="32" s="1"/>
  <c r="AA43" i="19"/>
  <c r="AB43" i="19"/>
  <c r="AC43" i="19"/>
  <c r="AD43" i="19"/>
  <c r="AE43" i="19"/>
  <c r="AF43" i="19"/>
  <c r="AG43" i="19"/>
  <c r="AH43" i="19"/>
  <c r="AI43" i="19"/>
  <c r="AJ43" i="19"/>
  <c r="AK43" i="19"/>
  <c r="AL43" i="19"/>
  <c r="AM43" i="19"/>
  <c r="AN43" i="19"/>
  <c r="AO43" i="19"/>
  <c r="AP43" i="19"/>
  <c r="AQ43" i="19"/>
  <c r="AR43" i="19"/>
  <c r="C44" i="19"/>
  <c r="D44" i="19"/>
  <c r="E44" i="19"/>
  <c r="F44" i="19"/>
  <c r="H44" i="19"/>
  <c r="I44" i="19"/>
  <c r="J44" i="19"/>
  <c r="K44" i="19"/>
  <c r="L44" i="19"/>
  <c r="M44" i="19"/>
  <c r="N44" i="19"/>
  <c r="P44" i="19"/>
  <c r="Q44" i="19"/>
  <c r="S44" i="19"/>
  <c r="V44" i="19"/>
  <c r="W44" i="19"/>
  <c r="X44" i="19"/>
  <c r="Z44" i="19"/>
  <c r="D42" i="32" s="1"/>
  <c r="AA44" i="19"/>
  <c r="AB44" i="19"/>
  <c r="AC44" i="19"/>
  <c r="AD44" i="19"/>
  <c r="AE44" i="19"/>
  <c r="AF44" i="19"/>
  <c r="AG44" i="19"/>
  <c r="AH44" i="19"/>
  <c r="AI44" i="19"/>
  <c r="AJ44" i="19"/>
  <c r="AK44" i="19"/>
  <c r="AL44" i="19"/>
  <c r="AM44" i="19"/>
  <c r="AN44" i="19"/>
  <c r="AO44" i="19"/>
  <c r="AP44" i="19"/>
  <c r="AQ44" i="19"/>
  <c r="AR44" i="19"/>
  <c r="C45" i="19"/>
  <c r="D45" i="19"/>
  <c r="E45" i="19"/>
  <c r="F45" i="19"/>
  <c r="H45" i="19"/>
  <c r="I45" i="19"/>
  <c r="J45" i="19"/>
  <c r="K45" i="19"/>
  <c r="L45" i="19"/>
  <c r="M45" i="19"/>
  <c r="N45" i="19"/>
  <c r="P45" i="19"/>
  <c r="Q45" i="19"/>
  <c r="S45" i="19"/>
  <c r="V45" i="19"/>
  <c r="W45" i="19"/>
  <c r="X45" i="19"/>
  <c r="Z45" i="19"/>
  <c r="D43" i="32" s="1"/>
  <c r="AA45" i="19"/>
  <c r="AB45" i="19"/>
  <c r="AC45" i="19"/>
  <c r="AD45" i="19"/>
  <c r="AE45" i="19"/>
  <c r="AF45" i="19"/>
  <c r="AG45" i="19"/>
  <c r="AH45" i="19"/>
  <c r="AI45" i="19"/>
  <c r="AJ45" i="19"/>
  <c r="AK45" i="19"/>
  <c r="AL45" i="19"/>
  <c r="AM45" i="19"/>
  <c r="AN45" i="19"/>
  <c r="AO45" i="19"/>
  <c r="AP45" i="19"/>
  <c r="AQ45" i="19"/>
  <c r="AR45" i="19"/>
  <c r="C46" i="19"/>
  <c r="D46" i="19"/>
  <c r="E46" i="19"/>
  <c r="F46" i="19"/>
  <c r="H46" i="19"/>
  <c r="I46" i="19"/>
  <c r="J46" i="19"/>
  <c r="K46" i="19"/>
  <c r="L46" i="19"/>
  <c r="M46" i="19"/>
  <c r="N46" i="19"/>
  <c r="P46" i="19"/>
  <c r="Q46" i="19"/>
  <c r="S46" i="19"/>
  <c r="V46" i="19"/>
  <c r="W46" i="19"/>
  <c r="X46" i="19"/>
  <c r="Z46" i="19"/>
  <c r="D44" i="32" s="1"/>
  <c r="AA46" i="19"/>
  <c r="AB46" i="19"/>
  <c r="AC46" i="19"/>
  <c r="AD46" i="19"/>
  <c r="AE46" i="19"/>
  <c r="AF46" i="19"/>
  <c r="AG46" i="19"/>
  <c r="AH46" i="19"/>
  <c r="AI46" i="19"/>
  <c r="AJ46" i="19"/>
  <c r="AK46" i="19"/>
  <c r="AL46" i="19"/>
  <c r="AM46" i="19"/>
  <c r="AN46" i="19"/>
  <c r="AO46" i="19"/>
  <c r="AP46" i="19"/>
  <c r="AQ46" i="19"/>
  <c r="AR46" i="19"/>
  <c r="C47" i="19"/>
  <c r="D47" i="19"/>
  <c r="E47" i="19"/>
  <c r="F47" i="19"/>
  <c r="H47" i="19"/>
  <c r="I47" i="19"/>
  <c r="J47" i="19"/>
  <c r="K47" i="19"/>
  <c r="L47" i="19"/>
  <c r="M47" i="19"/>
  <c r="N47" i="19"/>
  <c r="P47" i="19"/>
  <c r="Q47" i="19"/>
  <c r="S47" i="19"/>
  <c r="V47" i="19"/>
  <c r="W47" i="19"/>
  <c r="X47" i="19"/>
  <c r="Z47" i="19"/>
  <c r="D45" i="32" s="1"/>
  <c r="AA47" i="19"/>
  <c r="AB47" i="19"/>
  <c r="AC47" i="19"/>
  <c r="AD47" i="19"/>
  <c r="AE47" i="19"/>
  <c r="AF47" i="19"/>
  <c r="AG47" i="19"/>
  <c r="AH47" i="19"/>
  <c r="AI47" i="19"/>
  <c r="AJ47" i="19"/>
  <c r="AK47" i="19"/>
  <c r="AL47" i="19"/>
  <c r="AM47" i="19"/>
  <c r="AN47" i="19"/>
  <c r="AO47" i="19"/>
  <c r="AP47" i="19"/>
  <c r="AQ47" i="19"/>
  <c r="AR47" i="19"/>
  <c r="C48" i="19"/>
  <c r="D48" i="19"/>
  <c r="E48" i="19"/>
  <c r="F48" i="19"/>
  <c r="H48" i="19"/>
  <c r="I48" i="19"/>
  <c r="J48" i="19"/>
  <c r="K48" i="19"/>
  <c r="L48" i="19"/>
  <c r="M48" i="19"/>
  <c r="N48" i="19"/>
  <c r="P48" i="19"/>
  <c r="Q48" i="19"/>
  <c r="S48" i="19"/>
  <c r="V48" i="19"/>
  <c r="W48" i="19"/>
  <c r="X48" i="19"/>
  <c r="Z48" i="19"/>
  <c r="D46" i="32" s="1"/>
  <c r="AA48" i="19"/>
  <c r="AB48" i="19"/>
  <c r="AC48" i="19"/>
  <c r="AD48" i="19"/>
  <c r="AE48" i="19"/>
  <c r="AF48" i="19"/>
  <c r="AG48" i="19"/>
  <c r="AH48" i="19"/>
  <c r="AI48" i="19"/>
  <c r="AJ48" i="19"/>
  <c r="AK48" i="19"/>
  <c r="AL48" i="19"/>
  <c r="AM48" i="19"/>
  <c r="AN48" i="19"/>
  <c r="AO48" i="19"/>
  <c r="AP48" i="19"/>
  <c r="AQ48" i="19"/>
  <c r="AR48" i="19"/>
  <c r="C49" i="19"/>
  <c r="D49" i="19"/>
  <c r="E49" i="19"/>
  <c r="F49" i="19"/>
  <c r="H49" i="19"/>
  <c r="I49" i="19"/>
  <c r="J49" i="19"/>
  <c r="K49" i="19"/>
  <c r="L49" i="19"/>
  <c r="M49" i="19"/>
  <c r="N49" i="19"/>
  <c r="P49" i="19"/>
  <c r="Q49" i="19"/>
  <c r="S49" i="19"/>
  <c r="V49" i="19"/>
  <c r="W49" i="19"/>
  <c r="X49" i="19"/>
  <c r="Z49" i="19"/>
  <c r="D47" i="32" s="1"/>
  <c r="AA49" i="19"/>
  <c r="AB49" i="19"/>
  <c r="AC49" i="19"/>
  <c r="AD49" i="19"/>
  <c r="AE49" i="19"/>
  <c r="AF49" i="19"/>
  <c r="AG49" i="19"/>
  <c r="AH49" i="19"/>
  <c r="AI49" i="19"/>
  <c r="AJ49" i="19"/>
  <c r="AK49" i="19"/>
  <c r="AL49" i="19"/>
  <c r="AM49" i="19"/>
  <c r="AN49" i="19"/>
  <c r="AO49" i="19"/>
  <c r="AP49" i="19"/>
  <c r="AQ49" i="19"/>
  <c r="AR49" i="19"/>
  <c r="C50" i="19"/>
  <c r="D50" i="19"/>
  <c r="E50" i="19"/>
  <c r="F50" i="19"/>
  <c r="H50" i="19"/>
  <c r="I50" i="19"/>
  <c r="J50" i="19"/>
  <c r="K50" i="19"/>
  <c r="L50" i="19"/>
  <c r="M50" i="19"/>
  <c r="N50" i="19"/>
  <c r="P50" i="19"/>
  <c r="Q50" i="19"/>
  <c r="S50" i="19"/>
  <c r="V50" i="19"/>
  <c r="W50" i="19"/>
  <c r="X50" i="19"/>
  <c r="Z50" i="19"/>
  <c r="D48" i="32" s="1"/>
  <c r="AA50" i="19"/>
  <c r="AB50" i="19"/>
  <c r="AC50" i="19"/>
  <c r="AD50" i="19"/>
  <c r="AE50" i="19"/>
  <c r="AF50" i="19"/>
  <c r="AG50" i="19"/>
  <c r="AH50" i="19"/>
  <c r="AI50" i="19"/>
  <c r="AJ50" i="19"/>
  <c r="AK50" i="19"/>
  <c r="AL50" i="19"/>
  <c r="AM50" i="19"/>
  <c r="AN50" i="19"/>
  <c r="AO50" i="19"/>
  <c r="AP50" i="19"/>
  <c r="AQ50" i="19"/>
  <c r="AR50" i="19"/>
  <c r="C51" i="19"/>
  <c r="D51" i="19"/>
  <c r="E51" i="19"/>
  <c r="F51" i="19"/>
  <c r="H51" i="19"/>
  <c r="I51" i="19"/>
  <c r="J51" i="19"/>
  <c r="K51" i="19"/>
  <c r="L51" i="19"/>
  <c r="M51" i="19"/>
  <c r="N51" i="19"/>
  <c r="P51" i="19"/>
  <c r="Q51" i="19"/>
  <c r="S51" i="19"/>
  <c r="V51" i="19"/>
  <c r="Y51" i="19" s="1"/>
  <c r="W51" i="19"/>
  <c r="X51" i="19"/>
  <c r="Z51" i="19"/>
  <c r="AA51" i="19"/>
  <c r="AB51" i="19"/>
  <c r="AC51" i="19"/>
  <c r="AD51" i="19"/>
  <c r="AE51" i="19"/>
  <c r="AF51" i="19"/>
  <c r="AG51" i="19"/>
  <c r="AH51" i="19"/>
  <c r="AI51" i="19"/>
  <c r="AJ51" i="19"/>
  <c r="AK51" i="19"/>
  <c r="AL51" i="19"/>
  <c r="AM51" i="19"/>
  <c r="AN51" i="19"/>
  <c r="AO51" i="19"/>
  <c r="AP51" i="19"/>
  <c r="AQ51" i="19"/>
  <c r="AR51" i="19"/>
  <c r="C52" i="19"/>
  <c r="D52" i="19"/>
  <c r="G52" i="19" s="1"/>
  <c r="T52" i="19" s="1"/>
  <c r="E52" i="19"/>
  <c r="F52" i="19"/>
  <c r="H52" i="19"/>
  <c r="I52" i="19"/>
  <c r="J52" i="19"/>
  <c r="K52" i="19"/>
  <c r="L52" i="19"/>
  <c r="M52" i="19"/>
  <c r="N52" i="19"/>
  <c r="P52" i="19"/>
  <c r="Q52" i="19"/>
  <c r="S52" i="19"/>
  <c r="V52" i="19"/>
  <c r="W52" i="19"/>
  <c r="X52" i="19"/>
  <c r="Z52" i="19"/>
  <c r="D50" i="32" s="1"/>
  <c r="AA52" i="19"/>
  <c r="AB52" i="19"/>
  <c r="AC52" i="19"/>
  <c r="AD52" i="19"/>
  <c r="AE52" i="19"/>
  <c r="AF52" i="19"/>
  <c r="AG52" i="19"/>
  <c r="AH52" i="19"/>
  <c r="AI52" i="19"/>
  <c r="AJ52" i="19"/>
  <c r="AK52" i="19"/>
  <c r="AL52" i="19"/>
  <c r="AM52" i="19"/>
  <c r="AN52" i="19"/>
  <c r="AO52" i="19"/>
  <c r="AP52" i="19"/>
  <c r="AQ52" i="19"/>
  <c r="AR52" i="19"/>
  <c r="C53" i="19"/>
  <c r="D53" i="19"/>
  <c r="E53" i="19"/>
  <c r="F53" i="19"/>
  <c r="H53" i="19"/>
  <c r="I53" i="19"/>
  <c r="J53" i="19"/>
  <c r="K53" i="19"/>
  <c r="L53" i="19"/>
  <c r="M53" i="19"/>
  <c r="N53" i="19"/>
  <c r="P53" i="19"/>
  <c r="Q53" i="19"/>
  <c r="S53" i="19"/>
  <c r="V53" i="19"/>
  <c r="W53" i="19"/>
  <c r="X53" i="19"/>
  <c r="Z53" i="19"/>
  <c r="AA53" i="19"/>
  <c r="AB53" i="19"/>
  <c r="AC53" i="19"/>
  <c r="AD53" i="19"/>
  <c r="AE53" i="19"/>
  <c r="AF53" i="19"/>
  <c r="AG53" i="19"/>
  <c r="AH53" i="19"/>
  <c r="AI53" i="19"/>
  <c r="AJ53" i="19"/>
  <c r="AK53" i="19"/>
  <c r="AL53" i="19"/>
  <c r="AM53" i="19"/>
  <c r="AN53" i="19"/>
  <c r="AO53" i="19"/>
  <c r="AP53" i="19"/>
  <c r="AQ53" i="19"/>
  <c r="AR53" i="19"/>
  <c r="C54" i="19"/>
  <c r="D54" i="19"/>
  <c r="E54" i="19"/>
  <c r="F54" i="19"/>
  <c r="H54" i="19"/>
  <c r="I54" i="19"/>
  <c r="J54" i="19"/>
  <c r="K54" i="19"/>
  <c r="L54" i="19"/>
  <c r="M54" i="19"/>
  <c r="N54" i="19"/>
  <c r="P54" i="19"/>
  <c r="O54" i="19" s="1"/>
  <c r="Q54" i="19"/>
  <c r="S54" i="19"/>
  <c r="V54" i="19"/>
  <c r="W54" i="19"/>
  <c r="X54" i="19"/>
  <c r="Z54" i="19"/>
  <c r="D52" i="32" s="1"/>
  <c r="AA54" i="19"/>
  <c r="AB54" i="19"/>
  <c r="AC54" i="19"/>
  <c r="AD54" i="19"/>
  <c r="AE54" i="19"/>
  <c r="AF54" i="19"/>
  <c r="AG54" i="19"/>
  <c r="AH54" i="19"/>
  <c r="AI54" i="19"/>
  <c r="AJ54" i="19"/>
  <c r="AK54" i="19"/>
  <c r="AL54" i="19"/>
  <c r="AM54" i="19"/>
  <c r="AN54" i="19"/>
  <c r="AO54" i="19"/>
  <c r="AP54" i="19"/>
  <c r="AQ54" i="19"/>
  <c r="AR54" i="19"/>
  <c r="C55" i="19"/>
  <c r="D55" i="19"/>
  <c r="E55" i="19"/>
  <c r="F55" i="19"/>
  <c r="H55" i="19"/>
  <c r="I55" i="19"/>
  <c r="J55" i="19"/>
  <c r="K55" i="19"/>
  <c r="L55" i="19"/>
  <c r="M55" i="19"/>
  <c r="N55" i="19"/>
  <c r="P55" i="19"/>
  <c r="O55" i="19" s="1"/>
  <c r="Q55" i="19"/>
  <c r="S55" i="19"/>
  <c r="V55" i="19"/>
  <c r="W55" i="19"/>
  <c r="X55" i="19"/>
  <c r="Y55" i="19"/>
  <c r="Z55" i="19"/>
  <c r="D53" i="32" s="1"/>
  <c r="AA55" i="19"/>
  <c r="AB55" i="19"/>
  <c r="AC55" i="19"/>
  <c r="AD55" i="19"/>
  <c r="AE55" i="19"/>
  <c r="AF55" i="19"/>
  <c r="AG55" i="19"/>
  <c r="AH55" i="19"/>
  <c r="AI55" i="19"/>
  <c r="AJ55" i="19"/>
  <c r="AK55" i="19"/>
  <c r="AL55" i="19"/>
  <c r="AM55" i="19"/>
  <c r="AN55" i="19"/>
  <c r="AO55" i="19"/>
  <c r="AP55" i="19"/>
  <c r="AQ55" i="19"/>
  <c r="AR55" i="19"/>
  <c r="C56" i="19"/>
  <c r="D56" i="19"/>
  <c r="E56" i="19"/>
  <c r="F56" i="19"/>
  <c r="G56" i="19"/>
  <c r="T56" i="19" s="1"/>
  <c r="H56" i="19"/>
  <c r="I56" i="19"/>
  <c r="J56" i="19"/>
  <c r="K56" i="19"/>
  <c r="L56" i="19"/>
  <c r="M56" i="19"/>
  <c r="N56" i="19"/>
  <c r="P56" i="19"/>
  <c r="Q56" i="19"/>
  <c r="S56" i="19"/>
  <c r="V56" i="19"/>
  <c r="W56" i="19"/>
  <c r="X56" i="19"/>
  <c r="Z56" i="19"/>
  <c r="AA56" i="19"/>
  <c r="AB56" i="19"/>
  <c r="AC56" i="19"/>
  <c r="AD56" i="19"/>
  <c r="AE56" i="19"/>
  <c r="AF56" i="19"/>
  <c r="AG56" i="19"/>
  <c r="AH56" i="19"/>
  <c r="AI56" i="19"/>
  <c r="AJ56" i="19"/>
  <c r="AK56" i="19"/>
  <c r="AL56" i="19"/>
  <c r="AM56" i="19"/>
  <c r="AN56" i="19"/>
  <c r="AO56" i="19"/>
  <c r="AP56" i="19"/>
  <c r="AQ56" i="19"/>
  <c r="AR56" i="19"/>
  <c r="C57" i="19"/>
  <c r="D57" i="19"/>
  <c r="E57" i="19"/>
  <c r="F57" i="19"/>
  <c r="H57" i="19"/>
  <c r="I57" i="19"/>
  <c r="J57" i="19"/>
  <c r="K57" i="19"/>
  <c r="L57" i="19"/>
  <c r="M57" i="19"/>
  <c r="N57" i="19"/>
  <c r="P57" i="19"/>
  <c r="Q57" i="19"/>
  <c r="S57" i="19"/>
  <c r="V57" i="19"/>
  <c r="W57" i="19"/>
  <c r="X57" i="19"/>
  <c r="Z57" i="19"/>
  <c r="AA57" i="19"/>
  <c r="AB57" i="19"/>
  <c r="AC57" i="19"/>
  <c r="AD57" i="19"/>
  <c r="AE57" i="19"/>
  <c r="AF57" i="19"/>
  <c r="AG57" i="19"/>
  <c r="AH57" i="19"/>
  <c r="AI57" i="19"/>
  <c r="AJ57" i="19"/>
  <c r="AK57" i="19"/>
  <c r="AL57" i="19"/>
  <c r="AM57" i="19"/>
  <c r="AN57" i="19"/>
  <c r="AO57" i="19"/>
  <c r="AP57" i="19"/>
  <c r="AQ57" i="19"/>
  <c r="AR57" i="19"/>
  <c r="C58" i="19"/>
  <c r="D58" i="19"/>
  <c r="E58" i="19"/>
  <c r="F58" i="19"/>
  <c r="H58" i="19"/>
  <c r="I58" i="19"/>
  <c r="J58" i="19"/>
  <c r="K58" i="19"/>
  <c r="L58" i="19"/>
  <c r="M58" i="19"/>
  <c r="N58" i="19"/>
  <c r="P58" i="19"/>
  <c r="Q58" i="19"/>
  <c r="S58" i="19"/>
  <c r="V58" i="19"/>
  <c r="W58" i="19"/>
  <c r="X58" i="19"/>
  <c r="Z58" i="19"/>
  <c r="AA58" i="19"/>
  <c r="AB58" i="19"/>
  <c r="AC58" i="19"/>
  <c r="AD58" i="19"/>
  <c r="AE58" i="19"/>
  <c r="AF58" i="19"/>
  <c r="AG58" i="19"/>
  <c r="AH58" i="19"/>
  <c r="AI58" i="19"/>
  <c r="AJ58" i="19"/>
  <c r="AK58" i="19"/>
  <c r="AL58" i="19"/>
  <c r="AM58" i="19"/>
  <c r="AN58" i="19"/>
  <c r="AO58" i="19"/>
  <c r="AP58" i="19"/>
  <c r="AQ58" i="19"/>
  <c r="AR58" i="19"/>
  <c r="C59" i="19"/>
  <c r="D59" i="19"/>
  <c r="E59" i="19"/>
  <c r="F59" i="19"/>
  <c r="H59" i="19"/>
  <c r="I59" i="19"/>
  <c r="J59" i="19"/>
  <c r="K59" i="19"/>
  <c r="L59" i="19"/>
  <c r="M59" i="19"/>
  <c r="N59" i="19"/>
  <c r="P59" i="19"/>
  <c r="Q59" i="19"/>
  <c r="S59" i="19"/>
  <c r="V59" i="19"/>
  <c r="W59" i="19"/>
  <c r="X59" i="19"/>
  <c r="Z59" i="19"/>
  <c r="AA59" i="19"/>
  <c r="AB59" i="19"/>
  <c r="AC59" i="19"/>
  <c r="AD59" i="19"/>
  <c r="AE59" i="19"/>
  <c r="AF59" i="19"/>
  <c r="AG59" i="19"/>
  <c r="AH59" i="19"/>
  <c r="AI59" i="19"/>
  <c r="AJ59" i="19"/>
  <c r="AK59" i="19"/>
  <c r="AL59" i="19"/>
  <c r="AM59" i="19"/>
  <c r="AN59" i="19"/>
  <c r="AO59" i="19"/>
  <c r="AP59" i="19"/>
  <c r="AQ59" i="19"/>
  <c r="AR59" i="19"/>
  <c r="C60" i="19"/>
  <c r="D60" i="19"/>
  <c r="E60" i="19"/>
  <c r="F60" i="19"/>
  <c r="H60" i="19"/>
  <c r="I60" i="19"/>
  <c r="J60" i="19"/>
  <c r="K60" i="19"/>
  <c r="L60" i="19"/>
  <c r="M60" i="19"/>
  <c r="N60" i="19"/>
  <c r="P60" i="19"/>
  <c r="Q60" i="19"/>
  <c r="S60" i="19"/>
  <c r="V60" i="19"/>
  <c r="W60" i="19"/>
  <c r="X60" i="19"/>
  <c r="Z60" i="19"/>
  <c r="AA60" i="19"/>
  <c r="AB60" i="19"/>
  <c r="AC60" i="19"/>
  <c r="AD60" i="19"/>
  <c r="AE60" i="19"/>
  <c r="AF60" i="19"/>
  <c r="AG60" i="19"/>
  <c r="AH60" i="19"/>
  <c r="AI60" i="19"/>
  <c r="AJ60" i="19"/>
  <c r="AK60" i="19"/>
  <c r="AL60" i="19"/>
  <c r="AM60" i="19"/>
  <c r="AN60" i="19"/>
  <c r="AO60" i="19"/>
  <c r="AP60" i="19"/>
  <c r="AQ60" i="19"/>
  <c r="AR60" i="19"/>
  <c r="C61" i="19"/>
  <c r="D61" i="19"/>
  <c r="E61" i="19"/>
  <c r="F61" i="19"/>
  <c r="H61" i="19"/>
  <c r="I61" i="19"/>
  <c r="J61" i="19"/>
  <c r="K61" i="19"/>
  <c r="L61" i="19"/>
  <c r="M61" i="19"/>
  <c r="N61" i="19"/>
  <c r="P61" i="19"/>
  <c r="Q61" i="19"/>
  <c r="S61" i="19"/>
  <c r="V61" i="19"/>
  <c r="W61" i="19"/>
  <c r="X61" i="19"/>
  <c r="Z61" i="19"/>
  <c r="AA61" i="19"/>
  <c r="AB61" i="19"/>
  <c r="AC61" i="19"/>
  <c r="AD61" i="19"/>
  <c r="AE61" i="19"/>
  <c r="AF61" i="19"/>
  <c r="AG61" i="19"/>
  <c r="AH61" i="19"/>
  <c r="AI61" i="19"/>
  <c r="AJ61" i="19"/>
  <c r="AK61" i="19"/>
  <c r="AL61" i="19"/>
  <c r="AM61" i="19"/>
  <c r="AN61" i="19"/>
  <c r="AO61" i="19"/>
  <c r="AP61" i="19"/>
  <c r="AQ61" i="19"/>
  <c r="AR61" i="19"/>
  <c r="C62" i="19"/>
  <c r="D62" i="19"/>
  <c r="E62" i="19"/>
  <c r="F62" i="19"/>
  <c r="H62" i="19"/>
  <c r="I62" i="19"/>
  <c r="J62" i="19"/>
  <c r="K62" i="19"/>
  <c r="L62" i="19"/>
  <c r="M62" i="19"/>
  <c r="N62" i="19"/>
  <c r="P62" i="19"/>
  <c r="Q62" i="19"/>
  <c r="S62" i="19"/>
  <c r="V62" i="19"/>
  <c r="W62" i="19"/>
  <c r="X62" i="19"/>
  <c r="Z62" i="19"/>
  <c r="AA62" i="19"/>
  <c r="AB62" i="19"/>
  <c r="AC62" i="19"/>
  <c r="AD62" i="19"/>
  <c r="AE62" i="19"/>
  <c r="AF62" i="19"/>
  <c r="AG62" i="19"/>
  <c r="AH62" i="19"/>
  <c r="AI62" i="19"/>
  <c r="AJ62" i="19"/>
  <c r="AK62" i="19"/>
  <c r="AL62" i="19"/>
  <c r="AM62" i="19"/>
  <c r="AN62" i="19"/>
  <c r="AO62" i="19"/>
  <c r="AP62" i="19"/>
  <c r="AQ62" i="19"/>
  <c r="AR62" i="19"/>
  <c r="C63" i="19"/>
  <c r="D63" i="19"/>
  <c r="E63" i="19"/>
  <c r="F63" i="19"/>
  <c r="H63" i="19"/>
  <c r="I63" i="19"/>
  <c r="J63" i="19"/>
  <c r="K63" i="19"/>
  <c r="L63" i="19"/>
  <c r="M63" i="19"/>
  <c r="N63" i="19"/>
  <c r="P63" i="19"/>
  <c r="Q63" i="19"/>
  <c r="S63" i="19"/>
  <c r="V63" i="19"/>
  <c r="W63" i="19"/>
  <c r="X63" i="19"/>
  <c r="Z63" i="19"/>
  <c r="AA63" i="19"/>
  <c r="AB63" i="19"/>
  <c r="AC63" i="19"/>
  <c r="AD63" i="19"/>
  <c r="AE63" i="19"/>
  <c r="AF63" i="19"/>
  <c r="AG63" i="19"/>
  <c r="AH63" i="19"/>
  <c r="AI63" i="19"/>
  <c r="AJ63" i="19"/>
  <c r="AK63" i="19"/>
  <c r="AL63" i="19"/>
  <c r="AM63" i="19"/>
  <c r="AN63" i="19"/>
  <c r="AO63" i="19"/>
  <c r="AP63" i="19"/>
  <c r="AQ63" i="19"/>
  <c r="AR63" i="19"/>
  <c r="C64" i="19"/>
  <c r="D64" i="19"/>
  <c r="E64" i="19"/>
  <c r="F64" i="19"/>
  <c r="H64" i="19"/>
  <c r="I64" i="19"/>
  <c r="J64" i="19"/>
  <c r="K64" i="19"/>
  <c r="L64" i="19"/>
  <c r="M64" i="19"/>
  <c r="N64" i="19"/>
  <c r="P64" i="19"/>
  <c r="Q64" i="19"/>
  <c r="S64" i="19"/>
  <c r="V64" i="19"/>
  <c r="W64" i="19"/>
  <c r="X64" i="19"/>
  <c r="Z64" i="19"/>
  <c r="AA64" i="19"/>
  <c r="AB64" i="19"/>
  <c r="AC64" i="19"/>
  <c r="AD64" i="19"/>
  <c r="AE64" i="19"/>
  <c r="AF64" i="19"/>
  <c r="AG64" i="19"/>
  <c r="AH64" i="19"/>
  <c r="AI64" i="19"/>
  <c r="AJ64" i="19"/>
  <c r="AK64" i="19"/>
  <c r="AL64" i="19"/>
  <c r="AM64" i="19"/>
  <c r="AN64" i="19"/>
  <c r="AO64" i="19"/>
  <c r="AP64" i="19"/>
  <c r="AQ64" i="19"/>
  <c r="AR64" i="19"/>
  <c r="C65" i="19"/>
  <c r="D65" i="19"/>
  <c r="E65" i="19"/>
  <c r="F65" i="19"/>
  <c r="H65" i="19"/>
  <c r="I65" i="19"/>
  <c r="J65" i="19"/>
  <c r="K65" i="19"/>
  <c r="L65" i="19"/>
  <c r="M65" i="19"/>
  <c r="N65" i="19"/>
  <c r="P65" i="19"/>
  <c r="Q65" i="19"/>
  <c r="S65" i="19"/>
  <c r="V65" i="19"/>
  <c r="W65" i="19"/>
  <c r="X65" i="19"/>
  <c r="Z65" i="19"/>
  <c r="AA65" i="19"/>
  <c r="AB65" i="19"/>
  <c r="AC65" i="19"/>
  <c r="AD65" i="19"/>
  <c r="AE65" i="19"/>
  <c r="AF65" i="19"/>
  <c r="AG65" i="19"/>
  <c r="AH65" i="19"/>
  <c r="AI65" i="19"/>
  <c r="AJ65" i="19"/>
  <c r="AK65" i="19"/>
  <c r="AL65" i="19"/>
  <c r="AM65" i="19"/>
  <c r="AN65" i="19"/>
  <c r="AO65" i="19"/>
  <c r="AP65" i="19"/>
  <c r="AQ65" i="19"/>
  <c r="AR65" i="19"/>
  <c r="C66" i="19"/>
  <c r="D66" i="19"/>
  <c r="E66" i="19"/>
  <c r="F66" i="19"/>
  <c r="H66" i="19"/>
  <c r="I66" i="19"/>
  <c r="J66" i="19"/>
  <c r="K66" i="19"/>
  <c r="L66" i="19"/>
  <c r="M66" i="19"/>
  <c r="N66" i="19"/>
  <c r="P66" i="19"/>
  <c r="Q66" i="19"/>
  <c r="S66" i="19"/>
  <c r="V66" i="19"/>
  <c r="W66" i="19"/>
  <c r="X66" i="19"/>
  <c r="Z66" i="19"/>
  <c r="AA66" i="19"/>
  <c r="AB66" i="19"/>
  <c r="AC66" i="19"/>
  <c r="AD66" i="19"/>
  <c r="AE66" i="19"/>
  <c r="AF66" i="19"/>
  <c r="AG66" i="19"/>
  <c r="AH66" i="19"/>
  <c r="AI66" i="19"/>
  <c r="AJ66" i="19"/>
  <c r="AK66" i="19"/>
  <c r="AL66" i="19"/>
  <c r="AM66" i="19"/>
  <c r="AN66" i="19"/>
  <c r="AO66" i="19"/>
  <c r="AP66" i="19"/>
  <c r="AQ66" i="19"/>
  <c r="AR66" i="19"/>
  <c r="C67" i="19"/>
  <c r="D67" i="19"/>
  <c r="E67" i="19"/>
  <c r="F67" i="19"/>
  <c r="H67" i="19"/>
  <c r="I67" i="19"/>
  <c r="J67" i="19"/>
  <c r="K67" i="19"/>
  <c r="L67" i="19"/>
  <c r="M67" i="19"/>
  <c r="N67" i="19"/>
  <c r="P67" i="19"/>
  <c r="Q67" i="19"/>
  <c r="S67" i="19"/>
  <c r="V67" i="19"/>
  <c r="W67" i="19"/>
  <c r="X67" i="19"/>
  <c r="Z67" i="19"/>
  <c r="AA67" i="19"/>
  <c r="AB67" i="19"/>
  <c r="AC67" i="19"/>
  <c r="AD67" i="19"/>
  <c r="AE67" i="19"/>
  <c r="AF67" i="19"/>
  <c r="AG67" i="19"/>
  <c r="AH67" i="19"/>
  <c r="AI67" i="19"/>
  <c r="AJ67" i="19"/>
  <c r="AK67" i="19"/>
  <c r="AL67" i="19"/>
  <c r="AM67" i="19"/>
  <c r="AN67" i="19"/>
  <c r="AO67" i="19"/>
  <c r="AP67" i="19"/>
  <c r="AQ67" i="19"/>
  <c r="AR67" i="19"/>
  <c r="D68" i="19"/>
  <c r="E68" i="19"/>
  <c r="F68" i="19"/>
  <c r="H68" i="19"/>
  <c r="I68" i="19"/>
  <c r="J68" i="19"/>
  <c r="K68" i="19"/>
  <c r="L68" i="19"/>
  <c r="M68" i="19"/>
  <c r="N68" i="19"/>
  <c r="P68" i="19"/>
  <c r="Q68" i="19"/>
  <c r="S68" i="19"/>
  <c r="V68" i="19"/>
  <c r="W68" i="19"/>
  <c r="X68" i="19"/>
  <c r="Z68" i="19"/>
  <c r="AA68" i="19"/>
  <c r="AB68" i="19"/>
  <c r="AC68" i="19"/>
  <c r="AD68" i="19"/>
  <c r="AE68" i="19"/>
  <c r="AF68" i="19"/>
  <c r="AG68" i="19"/>
  <c r="AH68" i="19"/>
  <c r="AI68" i="19"/>
  <c r="AJ68" i="19"/>
  <c r="AK68" i="19"/>
  <c r="AL68" i="19"/>
  <c r="AM68" i="19"/>
  <c r="AN68" i="19"/>
  <c r="AO68" i="19"/>
  <c r="AP68" i="19"/>
  <c r="AQ68" i="19"/>
  <c r="AR68" i="19"/>
  <c r="C69" i="19"/>
  <c r="D69" i="19"/>
  <c r="E69" i="19"/>
  <c r="F69" i="19"/>
  <c r="H69" i="19"/>
  <c r="I69" i="19"/>
  <c r="J69" i="19"/>
  <c r="K69" i="19"/>
  <c r="L69" i="19"/>
  <c r="M69" i="19"/>
  <c r="N69" i="19"/>
  <c r="P69" i="19"/>
  <c r="Q69" i="19"/>
  <c r="S69" i="19"/>
  <c r="V69" i="19"/>
  <c r="W69" i="19"/>
  <c r="X69" i="19"/>
  <c r="Z69" i="19"/>
  <c r="AA69" i="19"/>
  <c r="AB69" i="19"/>
  <c r="AC69" i="19"/>
  <c r="AD69" i="19"/>
  <c r="AE69" i="19"/>
  <c r="AF69" i="19"/>
  <c r="AG69" i="19"/>
  <c r="AH69" i="19"/>
  <c r="AI69" i="19"/>
  <c r="AJ69" i="19"/>
  <c r="AK69" i="19"/>
  <c r="AL69" i="19"/>
  <c r="AM69" i="19"/>
  <c r="AN69" i="19"/>
  <c r="AO69" i="19"/>
  <c r="AP69" i="19"/>
  <c r="AQ69" i="19"/>
  <c r="AR69" i="19"/>
  <c r="C70" i="19"/>
  <c r="D70" i="19"/>
  <c r="E70" i="19"/>
  <c r="F70" i="19"/>
  <c r="H70" i="19"/>
  <c r="I70" i="19"/>
  <c r="J70" i="19"/>
  <c r="K70" i="19"/>
  <c r="L70" i="19"/>
  <c r="M70" i="19"/>
  <c r="N70" i="19"/>
  <c r="P70" i="19"/>
  <c r="Q70" i="19"/>
  <c r="S70" i="19"/>
  <c r="V70" i="19"/>
  <c r="W70" i="19"/>
  <c r="X70" i="19"/>
  <c r="Z70" i="19"/>
  <c r="AA70" i="19"/>
  <c r="AB70" i="19"/>
  <c r="AC70" i="19"/>
  <c r="AD70" i="19"/>
  <c r="AE70" i="19"/>
  <c r="AF70" i="19"/>
  <c r="AG70" i="19"/>
  <c r="AH70" i="19"/>
  <c r="AI70" i="19"/>
  <c r="AJ70" i="19"/>
  <c r="AK70" i="19"/>
  <c r="AL70" i="19"/>
  <c r="AM70" i="19"/>
  <c r="AN70" i="19"/>
  <c r="AO70" i="19"/>
  <c r="AP70" i="19"/>
  <c r="AQ70" i="19"/>
  <c r="AR70" i="19"/>
  <c r="C71" i="19"/>
  <c r="D71" i="19"/>
  <c r="E71" i="19"/>
  <c r="F71" i="19"/>
  <c r="H71" i="19"/>
  <c r="I71" i="19"/>
  <c r="J71" i="19"/>
  <c r="K71" i="19"/>
  <c r="L71" i="19"/>
  <c r="M71" i="19"/>
  <c r="N71" i="19"/>
  <c r="P71" i="19"/>
  <c r="Q71" i="19"/>
  <c r="S71" i="19"/>
  <c r="V71" i="19"/>
  <c r="W71" i="19"/>
  <c r="X71" i="19"/>
  <c r="Z71" i="19"/>
  <c r="AA71" i="19"/>
  <c r="AB71" i="19"/>
  <c r="AC71" i="19"/>
  <c r="AD71" i="19"/>
  <c r="AE71" i="19"/>
  <c r="AF71" i="19"/>
  <c r="AG71" i="19"/>
  <c r="AH71" i="19"/>
  <c r="AI71" i="19"/>
  <c r="AJ71" i="19"/>
  <c r="AK71" i="19"/>
  <c r="AL71" i="19"/>
  <c r="AM71" i="19"/>
  <c r="AN71" i="19"/>
  <c r="AO71" i="19"/>
  <c r="AP71" i="19"/>
  <c r="AQ71" i="19"/>
  <c r="AR71" i="19"/>
  <c r="C72" i="19"/>
  <c r="D72" i="19"/>
  <c r="E72" i="19"/>
  <c r="F72" i="19"/>
  <c r="H72" i="19"/>
  <c r="I72" i="19"/>
  <c r="J72" i="19"/>
  <c r="K72" i="19"/>
  <c r="L72" i="19"/>
  <c r="M72" i="19"/>
  <c r="N72" i="19"/>
  <c r="P72" i="19"/>
  <c r="Q72" i="19"/>
  <c r="S72" i="19"/>
  <c r="V72" i="19"/>
  <c r="W72" i="19"/>
  <c r="X72" i="19"/>
  <c r="Z72" i="19"/>
  <c r="AA72" i="19"/>
  <c r="AB72" i="19"/>
  <c r="AC72" i="19"/>
  <c r="AD72" i="19"/>
  <c r="AE72" i="19"/>
  <c r="AF72" i="19"/>
  <c r="AG72" i="19"/>
  <c r="AH72" i="19"/>
  <c r="AI72" i="19"/>
  <c r="AJ72" i="19"/>
  <c r="AK72" i="19"/>
  <c r="AL72" i="19"/>
  <c r="AM72" i="19"/>
  <c r="AN72" i="19"/>
  <c r="AO72" i="19"/>
  <c r="AP72" i="19"/>
  <c r="AQ72" i="19"/>
  <c r="AR72" i="19"/>
  <c r="C73" i="19"/>
  <c r="D73" i="19"/>
  <c r="E73" i="19"/>
  <c r="F73" i="19"/>
  <c r="H73" i="19"/>
  <c r="I73" i="19"/>
  <c r="J73" i="19"/>
  <c r="K73" i="19"/>
  <c r="L73" i="19"/>
  <c r="M73" i="19"/>
  <c r="N73" i="19"/>
  <c r="P73" i="19"/>
  <c r="Q73" i="19"/>
  <c r="S73" i="19"/>
  <c r="V73" i="19"/>
  <c r="W73" i="19"/>
  <c r="X73" i="19"/>
  <c r="Z73" i="19"/>
  <c r="AA73" i="19"/>
  <c r="AB73" i="19"/>
  <c r="AC73" i="19"/>
  <c r="AD73" i="19"/>
  <c r="AE73" i="19"/>
  <c r="AF73" i="19"/>
  <c r="AG73" i="19"/>
  <c r="AH73" i="19"/>
  <c r="AI73" i="19"/>
  <c r="AJ73" i="19"/>
  <c r="AK73" i="19"/>
  <c r="AL73" i="19"/>
  <c r="AM73" i="19"/>
  <c r="AN73" i="19"/>
  <c r="AO73" i="19"/>
  <c r="AP73" i="19"/>
  <c r="AQ73" i="19"/>
  <c r="AR73" i="19"/>
  <c r="C74" i="19"/>
  <c r="D74" i="19"/>
  <c r="E74" i="19"/>
  <c r="F74" i="19"/>
  <c r="H74" i="19"/>
  <c r="I74" i="19"/>
  <c r="J74" i="19"/>
  <c r="K74" i="19"/>
  <c r="L74" i="19"/>
  <c r="M74" i="19"/>
  <c r="N74" i="19"/>
  <c r="P74" i="19"/>
  <c r="Q74" i="19"/>
  <c r="S74" i="19"/>
  <c r="V74" i="19"/>
  <c r="W74" i="19"/>
  <c r="X74" i="19"/>
  <c r="Z74" i="19"/>
  <c r="AA74" i="19"/>
  <c r="AB74" i="19"/>
  <c r="AC74" i="19"/>
  <c r="AD74" i="19"/>
  <c r="AE74" i="19"/>
  <c r="AF74" i="19"/>
  <c r="AG74" i="19"/>
  <c r="AH74" i="19"/>
  <c r="AI74" i="19"/>
  <c r="AJ74" i="19"/>
  <c r="AK74" i="19"/>
  <c r="AL74" i="19"/>
  <c r="AM74" i="19"/>
  <c r="AN74" i="19"/>
  <c r="AO74" i="19"/>
  <c r="AP74" i="19"/>
  <c r="AQ74" i="19"/>
  <c r="AR74" i="19"/>
  <c r="C75" i="19"/>
  <c r="D75" i="19"/>
  <c r="E75" i="19"/>
  <c r="F75" i="19"/>
  <c r="H75" i="19"/>
  <c r="I75" i="19"/>
  <c r="J75" i="19"/>
  <c r="K75" i="19"/>
  <c r="L75" i="19"/>
  <c r="M75" i="19"/>
  <c r="N75" i="19"/>
  <c r="P75" i="19"/>
  <c r="Q75" i="19"/>
  <c r="S75" i="19"/>
  <c r="V75" i="19"/>
  <c r="W75" i="19"/>
  <c r="X75" i="19"/>
  <c r="Z75" i="19"/>
  <c r="AA75" i="19"/>
  <c r="AB75" i="19"/>
  <c r="AC75" i="19"/>
  <c r="AD75" i="19"/>
  <c r="AE75" i="19"/>
  <c r="AF75" i="19"/>
  <c r="AG75" i="19"/>
  <c r="AH75" i="19"/>
  <c r="AI75" i="19"/>
  <c r="AJ75" i="19"/>
  <c r="AK75" i="19"/>
  <c r="AL75" i="19"/>
  <c r="AM75" i="19"/>
  <c r="AN75" i="19"/>
  <c r="AO75" i="19"/>
  <c r="AP75" i="19"/>
  <c r="AQ75" i="19"/>
  <c r="AR75" i="19"/>
  <c r="C76" i="19"/>
  <c r="D76" i="19"/>
  <c r="E76" i="19"/>
  <c r="F76" i="19"/>
  <c r="H76" i="19"/>
  <c r="I76" i="19"/>
  <c r="J76" i="19"/>
  <c r="K76" i="19"/>
  <c r="L76" i="19"/>
  <c r="M76" i="19"/>
  <c r="N76" i="19"/>
  <c r="P76" i="19"/>
  <c r="Q76" i="19"/>
  <c r="S76" i="19"/>
  <c r="V76" i="19"/>
  <c r="W76" i="19"/>
  <c r="X76" i="19"/>
  <c r="Z76" i="19"/>
  <c r="AA76" i="19"/>
  <c r="AB76" i="19"/>
  <c r="AC76" i="19"/>
  <c r="AD76" i="19"/>
  <c r="AE76" i="19"/>
  <c r="AF76" i="19"/>
  <c r="AG76" i="19"/>
  <c r="AH76" i="19"/>
  <c r="AI76" i="19"/>
  <c r="AJ76" i="19"/>
  <c r="AK76" i="19"/>
  <c r="AL76" i="19"/>
  <c r="AM76" i="19"/>
  <c r="AN76" i="19"/>
  <c r="AO76" i="19"/>
  <c r="AP76" i="19"/>
  <c r="AQ76" i="19"/>
  <c r="AR76" i="19"/>
  <c r="C77" i="19"/>
  <c r="D77" i="19"/>
  <c r="E77" i="19"/>
  <c r="F77" i="19"/>
  <c r="H77" i="19"/>
  <c r="I77" i="19"/>
  <c r="J77" i="19"/>
  <c r="K77" i="19"/>
  <c r="L77" i="19"/>
  <c r="M77" i="19"/>
  <c r="N77" i="19"/>
  <c r="P77" i="19"/>
  <c r="Q77" i="19"/>
  <c r="S77" i="19"/>
  <c r="V77" i="19"/>
  <c r="W77" i="19"/>
  <c r="X77" i="19"/>
  <c r="Z77" i="19"/>
  <c r="AA77" i="19"/>
  <c r="AB77" i="19"/>
  <c r="AC77" i="19"/>
  <c r="AD77" i="19"/>
  <c r="AE77" i="19"/>
  <c r="AF77" i="19"/>
  <c r="AG77" i="19"/>
  <c r="AH77" i="19"/>
  <c r="AI77" i="19"/>
  <c r="AJ77" i="19"/>
  <c r="AK77" i="19"/>
  <c r="AL77" i="19"/>
  <c r="AM77" i="19"/>
  <c r="AN77" i="19"/>
  <c r="AO77" i="19"/>
  <c r="AP77" i="19"/>
  <c r="AQ77" i="19"/>
  <c r="AR77" i="19"/>
  <c r="C78" i="19"/>
  <c r="D78" i="19"/>
  <c r="E78" i="19"/>
  <c r="F78" i="19"/>
  <c r="H78" i="19"/>
  <c r="I78" i="19"/>
  <c r="J78" i="19"/>
  <c r="K78" i="19"/>
  <c r="L78" i="19"/>
  <c r="M78" i="19"/>
  <c r="N78" i="19"/>
  <c r="P78" i="19"/>
  <c r="Q78" i="19"/>
  <c r="S78" i="19"/>
  <c r="V78" i="19"/>
  <c r="W78" i="19"/>
  <c r="X78" i="19"/>
  <c r="Z78" i="19"/>
  <c r="AA78" i="19"/>
  <c r="AB78" i="19"/>
  <c r="AC78" i="19"/>
  <c r="AD78" i="19"/>
  <c r="AE78" i="19"/>
  <c r="AF78" i="19"/>
  <c r="AG78" i="19"/>
  <c r="AH78" i="19"/>
  <c r="AI78" i="19"/>
  <c r="AJ78" i="19"/>
  <c r="AK78" i="19"/>
  <c r="AL78" i="19"/>
  <c r="AM78" i="19"/>
  <c r="AN78" i="19"/>
  <c r="AO78" i="19"/>
  <c r="AP78" i="19"/>
  <c r="AQ78" i="19"/>
  <c r="AR78" i="19"/>
  <c r="C79" i="19"/>
  <c r="D79" i="19"/>
  <c r="E79" i="19"/>
  <c r="F79" i="19"/>
  <c r="H79" i="19"/>
  <c r="I79" i="19"/>
  <c r="J79" i="19"/>
  <c r="K79" i="19"/>
  <c r="L79" i="19"/>
  <c r="M79" i="19"/>
  <c r="N79" i="19"/>
  <c r="P79" i="19"/>
  <c r="Q79" i="19"/>
  <c r="S79" i="19"/>
  <c r="V79" i="19"/>
  <c r="W79" i="19"/>
  <c r="X79" i="19"/>
  <c r="Z79" i="19"/>
  <c r="AA79" i="19"/>
  <c r="AB79" i="19"/>
  <c r="AC79" i="19"/>
  <c r="AD79" i="19"/>
  <c r="AE79" i="19"/>
  <c r="AF79" i="19"/>
  <c r="AG79" i="19"/>
  <c r="AH79" i="19"/>
  <c r="AI79" i="19"/>
  <c r="AJ79" i="19"/>
  <c r="AK79" i="19"/>
  <c r="AL79" i="19"/>
  <c r="AM79" i="19"/>
  <c r="AN79" i="19"/>
  <c r="AO79" i="19"/>
  <c r="AP79" i="19"/>
  <c r="AQ79" i="19"/>
  <c r="AR79" i="19"/>
  <c r="C80" i="19"/>
  <c r="D80" i="19"/>
  <c r="E80" i="19"/>
  <c r="F80" i="19"/>
  <c r="H80" i="19"/>
  <c r="I80" i="19"/>
  <c r="J80" i="19"/>
  <c r="K80" i="19"/>
  <c r="L80" i="19"/>
  <c r="M80" i="19"/>
  <c r="N80" i="19"/>
  <c r="P80" i="19"/>
  <c r="Q80" i="19"/>
  <c r="S80" i="19"/>
  <c r="V80" i="19"/>
  <c r="W80" i="19"/>
  <c r="X80" i="19"/>
  <c r="Z80" i="19"/>
  <c r="AA80" i="19"/>
  <c r="AB80" i="19"/>
  <c r="AC80" i="19"/>
  <c r="AD80" i="19"/>
  <c r="AE80" i="19"/>
  <c r="AF80" i="19"/>
  <c r="AG80" i="19"/>
  <c r="AH80" i="19"/>
  <c r="AI80" i="19"/>
  <c r="AJ80" i="19"/>
  <c r="AK80" i="19"/>
  <c r="AL80" i="19"/>
  <c r="AM80" i="19"/>
  <c r="AN80" i="19"/>
  <c r="AO80" i="19"/>
  <c r="AP80" i="19"/>
  <c r="AQ80" i="19"/>
  <c r="AR80" i="19"/>
  <c r="C81" i="19"/>
  <c r="D81" i="19"/>
  <c r="E81" i="19"/>
  <c r="F81" i="19"/>
  <c r="H81" i="19"/>
  <c r="I81" i="19"/>
  <c r="J81" i="19"/>
  <c r="K81" i="19"/>
  <c r="L81" i="19"/>
  <c r="M81" i="19"/>
  <c r="N81" i="19"/>
  <c r="P81" i="19"/>
  <c r="Q81" i="19"/>
  <c r="S81" i="19"/>
  <c r="V81" i="19"/>
  <c r="W81" i="19"/>
  <c r="X81" i="19"/>
  <c r="Z81" i="19"/>
  <c r="AA81" i="19"/>
  <c r="AB81" i="19"/>
  <c r="AC81" i="19"/>
  <c r="AD81" i="19"/>
  <c r="AE81" i="19"/>
  <c r="AF81" i="19"/>
  <c r="AG81" i="19"/>
  <c r="AH81" i="19"/>
  <c r="AI81" i="19"/>
  <c r="AJ81" i="19"/>
  <c r="AK81" i="19"/>
  <c r="AL81" i="19"/>
  <c r="AM81" i="19"/>
  <c r="AN81" i="19"/>
  <c r="AO81" i="19"/>
  <c r="AP81" i="19"/>
  <c r="AQ81" i="19"/>
  <c r="AR81" i="19"/>
  <c r="C82" i="19"/>
  <c r="D82" i="19"/>
  <c r="E82" i="19"/>
  <c r="F82" i="19"/>
  <c r="H82" i="19"/>
  <c r="I82" i="19"/>
  <c r="J82" i="19"/>
  <c r="K82" i="19"/>
  <c r="L82" i="19"/>
  <c r="M82" i="19"/>
  <c r="N82" i="19"/>
  <c r="P82" i="19"/>
  <c r="Q82" i="19"/>
  <c r="S82" i="19"/>
  <c r="V82" i="19"/>
  <c r="W82" i="19"/>
  <c r="X82" i="19"/>
  <c r="Z82" i="19"/>
  <c r="AA82" i="19"/>
  <c r="AB82" i="19"/>
  <c r="AC82" i="19"/>
  <c r="AD82" i="19"/>
  <c r="AE82" i="19"/>
  <c r="AF82" i="19"/>
  <c r="AG82" i="19"/>
  <c r="AH82" i="19"/>
  <c r="AI82" i="19"/>
  <c r="AJ82" i="19"/>
  <c r="AK82" i="19"/>
  <c r="AL82" i="19"/>
  <c r="AM82" i="19"/>
  <c r="AN82" i="19"/>
  <c r="AO82" i="19"/>
  <c r="AP82" i="19"/>
  <c r="AQ82" i="19"/>
  <c r="AR82" i="19"/>
  <c r="C83" i="19"/>
  <c r="D83" i="19"/>
  <c r="E83" i="19"/>
  <c r="F83" i="19"/>
  <c r="H83" i="19"/>
  <c r="I83" i="19"/>
  <c r="J83" i="19"/>
  <c r="K83" i="19"/>
  <c r="L83" i="19"/>
  <c r="M83" i="19"/>
  <c r="N83" i="19"/>
  <c r="P83" i="19"/>
  <c r="Q83" i="19"/>
  <c r="S83" i="19"/>
  <c r="V83" i="19"/>
  <c r="W83" i="19"/>
  <c r="X83" i="19"/>
  <c r="Z83" i="19"/>
  <c r="AA83" i="19"/>
  <c r="AB83" i="19"/>
  <c r="AC83" i="19"/>
  <c r="AD83" i="19"/>
  <c r="AE83" i="19"/>
  <c r="AF83" i="19"/>
  <c r="AG83" i="19"/>
  <c r="AH83" i="19"/>
  <c r="AI83" i="19"/>
  <c r="AJ83" i="19"/>
  <c r="AK83" i="19"/>
  <c r="AL83" i="19"/>
  <c r="AM83" i="19"/>
  <c r="AN83" i="19"/>
  <c r="AO83" i="19"/>
  <c r="AP83" i="19"/>
  <c r="AQ83" i="19"/>
  <c r="AR83" i="19"/>
  <c r="C84" i="19"/>
  <c r="D84" i="19"/>
  <c r="E84" i="19"/>
  <c r="F84" i="19"/>
  <c r="H84" i="19"/>
  <c r="I84" i="19"/>
  <c r="J84" i="19"/>
  <c r="K84" i="19"/>
  <c r="L84" i="19"/>
  <c r="M84" i="19"/>
  <c r="N84" i="19"/>
  <c r="P84" i="19"/>
  <c r="Q84" i="19"/>
  <c r="S84" i="19"/>
  <c r="V84" i="19"/>
  <c r="W84" i="19"/>
  <c r="X84" i="19"/>
  <c r="Z84" i="19"/>
  <c r="AA84" i="19"/>
  <c r="AB84" i="19"/>
  <c r="AC84" i="19"/>
  <c r="AD84" i="19"/>
  <c r="AE84" i="19"/>
  <c r="AF84" i="19"/>
  <c r="AG84" i="19"/>
  <c r="AH84" i="19"/>
  <c r="AI84" i="19"/>
  <c r="AJ84" i="19"/>
  <c r="AK84" i="19"/>
  <c r="AL84" i="19"/>
  <c r="AM84" i="19"/>
  <c r="AN84" i="19"/>
  <c r="AO84" i="19"/>
  <c r="AP84" i="19"/>
  <c r="AQ84" i="19"/>
  <c r="AR84" i="19"/>
  <c r="C85" i="19"/>
  <c r="D85" i="19"/>
  <c r="E85" i="19"/>
  <c r="F85" i="19"/>
  <c r="H85" i="19"/>
  <c r="I85" i="19"/>
  <c r="J85" i="19"/>
  <c r="K85" i="19"/>
  <c r="L85" i="19"/>
  <c r="M85" i="19"/>
  <c r="N85" i="19"/>
  <c r="P85" i="19"/>
  <c r="Q85" i="19"/>
  <c r="S85" i="19"/>
  <c r="V85" i="19"/>
  <c r="W85" i="19"/>
  <c r="X85" i="19"/>
  <c r="Z85" i="19"/>
  <c r="AA85" i="19"/>
  <c r="AB85" i="19"/>
  <c r="AC85" i="19"/>
  <c r="AD85" i="19"/>
  <c r="AE85" i="19"/>
  <c r="AF85" i="19"/>
  <c r="AG85" i="19"/>
  <c r="AH85" i="19"/>
  <c r="AI85" i="19"/>
  <c r="AJ85" i="19"/>
  <c r="AK85" i="19"/>
  <c r="AL85" i="19"/>
  <c r="AM85" i="19"/>
  <c r="AN85" i="19"/>
  <c r="AO85" i="19"/>
  <c r="AP85" i="19"/>
  <c r="AQ85" i="19"/>
  <c r="AR85" i="19"/>
  <c r="C86" i="19"/>
  <c r="D86" i="19"/>
  <c r="E86" i="19"/>
  <c r="F86" i="19"/>
  <c r="H86" i="19"/>
  <c r="I86" i="19"/>
  <c r="J86" i="19"/>
  <c r="K86" i="19"/>
  <c r="L86" i="19"/>
  <c r="M86" i="19"/>
  <c r="N86" i="19"/>
  <c r="P86" i="19"/>
  <c r="Q86" i="19"/>
  <c r="S86" i="19"/>
  <c r="V86" i="19"/>
  <c r="W86" i="19"/>
  <c r="X86" i="19"/>
  <c r="Z86" i="19"/>
  <c r="AA86" i="19"/>
  <c r="AB86" i="19"/>
  <c r="AC86" i="19"/>
  <c r="AD86" i="19"/>
  <c r="AE86" i="19"/>
  <c r="AF86" i="19"/>
  <c r="AG86" i="19"/>
  <c r="AH86" i="19"/>
  <c r="AI86" i="19"/>
  <c r="AJ86" i="19"/>
  <c r="AK86" i="19"/>
  <c r="AL86" i="19"/>
  <c r="AM86" i="19"/>
  <c r="AN86" i="19"/>
  <c r="AO86" i="19"/>
  <c r="AP86" i="19"/>
  <c r="AQ86" i="19"/>
  <c r="AR86" i="19"/>
  <c r="C87" i="19"/>
  <c r="D87" i="19"/>
  <c r="E87" i="19"/>
  <c r="F87" i="19"/>
  <c r="H87" i="19"/>
  <c r="I87" i="19"/>
  <c r="J87" i="19"/>
  <c r="K87" i="19"/>
  <c r="L87" i="19"/>
  <c r="M87" i="19"/>
  <c r="N87" i="19"/>
  <c r="P87" i="19"/>
  <c r="Q87" i="19"/>
  <c r="S87" i="19"/>
  <c r="V87" i="19"/>
  <c r="W87" i="19"/>
  <c r="X87" i="19"/>
  <c r="Z87" i="19"/>
  <c r="AA87" i="19"/>
  <c r="AB87" i="19"/>
  <c r="AC87" i="19"/>
  <c r="AD87" i="19"/>
  <c r="AE87" i="19"/>
  <c r="AF87" i="19"/>
  <c r="AG87" i="19"/>
  <c r="AH87" i="19"/>
  <c r="AI87" i="19"/>
  <c r="AJ87" i="19"/>
  <c r="AK87" i="19"/>
  <c r="AL87" i="19"/>
  <c r="AM87" i="19"/>
  <c r="AN87" i="19"/>
  <c r="AO87" i="19"/>
  <c r="AP87" i="19"/>
  <c r="AQ87" i="19"/>
  <c r="AR87" i="19"/>
  <c r="C88" i="19"/>
  <c r="D88" i="19"/>
  <c r="E88" i="19"/>
  <c r="F88" i="19"/>
  <c r="H88" i="19"/>
  <c r="I88" i="19"/>
  <c r="J88" i="19"/>
  <c r="K88" i="19"/>
  <c r="L88" i="19"/>
  <c r="M88" i="19"/>
  <c r="N88" i="19"/>
  <c r="P88" i="19"/>
  <c r="Q88" i="19"/>
  <c r="S88" i="19"/>
  <c r="V88" i="19"/>
  <c r="W88" i="19"/>
  <c r="X88" i="19"/>
  <c r="Z88" i="19"/>
  <c r="AA88" i="19"/>
  <c r="AB88" i="19"/>
  <c r="AC88" i="19"/>
  <c r="AD88" i="19"/>
  <c r="AE88" i="19"/>
  <c r="AF88" i="19"/>
  <c r="AG88" i="19"/>
  <c r="AH88" i="19"/>
  <c r="AI88" i="19"/>
  <c r="AJ88" i="19"/>
  <c r="AK88" i="19"/>
  <c r="AL88" i="19"/>
  <c r="AM88" i="19"/>
  <c r="AN88" i="19"/>
  <c r="AO88" i="19"/>
  <c r="AP88" i="19"/>
  <c r="AQ88" i="19"/>
  <c r="AR88" i="19"/>
  <c r="C89" i="19"/>
  <c r="D89" i="19"/>
  <c r="E89" i="19"/>
  <c r="F89" i="19"/>
  <c r="H89" i="19"/>
  <c r="I89" i="19"/>
  <c r="J89" i="19"/>
  <c r="K89" i="19"/>
  <c r="L89" i="19"/>
  <c r="M89" i="19"/>
  <c r="N89" i="19"/>
  <c r="P89" i="19"/>
  <c r="Q89" i="19"/>
  <c r="S89" i="19"/>
  <c r="V89" i="19"/>
  <c r="W89" i="19"/>
  <c r="X89" i="19"/>
  <c r="Z89" i="19"/>
  <c r="AA89" i="19"/>
  <c r="AB89" i="19"/>
  <c r="AC89" i="19"/>
  <c r="AD89" i="19"/>
  <c r="AE89" i="19"/>
  <c r="AF89" i="19"/>
  <c r="AG89" i="19"/>
  <c r="AH89" i="19"/>
  <c r="AI89" i="19"/>
  <c r="AJ89" i="19"/>
  <c r="AK89" i="19"/>
  <c r="AL89" i="19"/>
  <c r="AM89" i="19"/>
  <c r="AN89" i="19"/>
  <c r="AO89" i="19"/>
  <c r="AP89" i="19"/>
  <c r="AQ89" i="19"/>
  <c r="AR89" i="19"/>
  <c r="C90" i="19"/>
  <c r="D90" i="19"/>
  <c r="E90" i="19"/>
  <c r="F90" i="19"/>
  <c r="H90" i="19"/>
  <c r="I90" i="19"/>
  <c r="J90" i="19"/>
  <c r="K90" i="19"/>
  <c r="L90" i="19"/>
  <c r="M90" i="19"/>
  <c r="N90" i="19"/>
  <c r="P90" i="19"/>
  <c r="Q90" i="19"/>
  <c r="S90" i="19"/>
  <c r="V90" i="19"/>
  <c r="W90" i="19"/>
  <c r="X90" i="19"/>
  <c r="Z90" i="19"/>
  <c r="AA90" i="19"/>
  <c r="AB90" i="19"/>
  <c r="AC90" i="19"/>
  <c r="AD90" i="19"/>
  <c r="AE90" i="19"/>
  <c r="AF90" i="19"/>
  <c r="AG90" i="19"/>
  <c r="AH90" i="19"/>
  <c r="AI90" i="19"/>
  <c r="AJ90" i="19"/>
  <c r="AK90" i="19"/>
  <c r="AL90" i="19"/>
  <c r="AM90" i="19"/>
  <c r="AN90" i="19"/>
  <c r="AO90" i="19"/>
  <c r="AP90" i="19"/>
  <c r="AQ90" i="19"/>
  <c r="AR90" i="19"/>
  <c r="C91" i="19"/>
  <c r="D91" i="19"/>
  <c r="E91" i="19"/>
  <c r="F91" i="19"/>
  <c r="H91" i="19"/>
  <c r="I91" i="19"/>
  <c r="J91" i="19"/>
  <c r="K91" i="19"/>
  <c r="L91" i="19"/>
  <c r="M91" i="19"/>
  <c r="N91" i="19"/>
  <c r="P91" i="19"/>
  <c r="Q91" i="19"/>
  <c r="S91" i="19"/>
  <c r="V91" i="19"/>
  <c r="W91" i="19"/>
  <c r="X91" i="19"/>
  <c r="Z91" i="19"/>
  <c r="AA91" i="19"/>
  <c r="AB91" i="19"/>
  <c r="AC91" i="19"/>
  <c r="AD91" i="19"/>
  <c r="AE91" i="19"/>
  <c r="AF91" i="19"/>
  <c r="AG91" i="19"/>
  <c r="AH91" i="19"/>
  <c r="AI91" i="19"/>
  <c r="AJ91" i="19"/>
  <c r="AK91" i="19"/>
  <c r="AL91" i="19"/>
  <c r="AM91" i="19"/>
  <c r="AN91" i="19"/>
  <c r="AO91" i="19"/>
  <c r="AP91" i="19"/>
  <c r="AQ91" i="19"/>
  <c r="AR91" i="19"/>
  <c r="C92" i="19"/>
  <c r="D92" i="19"/>
  <c r="E92" i="19"/>
  <c r="F92" i="19"/>
  <c r="H92" i="19"/>
  <c r="I92" i="19"/>
  <c r="J92" i="19"/>
  <c r="K92" i="19"/>
  <c r="L92" i="19"/>
  <c r="M92" i="19"/>
  <c r="N92" i="19"/>
  <c r="P92" i="19"/>
  <c r="Q92" i="19"/>
  <c r="S92" i="19"/>
  <c r="V92" i="19"/>
  <c r="W92" i="19"/>
  <c r="X92" i="19"/>
  <c r="Z92" i="19"/>
  <c r="AA92" i="19"/>
  <c r="AB92" i="19"/>
  <c r="AC92" i="19"/>
  <c r="AD92" i="19"/>
  <c r="AE92" i="19"/>
  <c r="AF92" i="19"/>
  <c r="AG92" i="19"/>
  <c r="AH92" i="19"/>
  <c r="AI92" i="19"/>
  <c r="AJ92" i="19"/>
  <c r="AK92" i="19"/>
  <c r="AL92" i="19"/>
  <c r="AM92" i="19"/>
  <c r="AN92" i="19"/>
  <c r="AO92" i="19"/>
  <c r="AP92" i="19"/>
  <c r="AQ92" i="19"/>
  <c r="AR92" i="19"/>
  <c r="C93" i="19"/>
  <c r="D93" i="19"/>
  <c r="E93" i="19"/>
  <c r="F93" i="19"/>
  <c r="H93" i="19"/>
  <c r="I93" i="19"/>
  <c r="J93" i="19"/>
  <c r="K93" i="19"/>
  <c r="L93" i="19"/>
  <c r="M93" i="19"/>
  <c r="N93" i="19"/>
  <c r="P93" i="19"/>
  <c r="Q93" i="19"/>
  <c r="S93" i="19"/>
  <c r="V93" i="19"/>
  <c r="W93" i="19"/>
  <c r="X93" i="19"/>
  <c r="Z93" i="19"/>
  <c r="AA93" i="19"/>
  <c r="AB93" i="19"/>
  <c r="AC93" i="19"/>
  <c r="AD93" i="19"/>
  <c r="AE93" i="19"/>
  <c r="AF93" i="19"/>
  <c r="AG93" i="19"/>
  <c r="AH93" i="19"/>
  <c r="AI93" i="19"/>
  <c r="AJ93" i="19"/>
  <c r="AK93" i="19"/>
  <c r="AL93" i="19"/>
  <c r="AM93" i="19"/>
  <c r="AN93" i="19"/>
  <c r="AO93" i="19"/>
  <c r="AP93" i="19"/>
  <c r="AQ93" i="19"/>
  <c r="AR93" i="19"/>
  <c r="C94" i="19"/>
  <c r="D94" i="19"/>
  <c r="E94" i="19"/>
  <c r="F94" i="19"/>
  <c r="H94" i="19"/>
  <c r="I94" i="19"/>
  <c r="J94" i="19"/>
  <c r="K94" i="19"/>
  <c r="L94" i="19"/>
  <c r="M94" i="19"/>
  <c r="N94" i="19"/>
  <c r="P94" i="19"/>
  <c r="Q94" i="19"/>
  <c r="S94" i="19"/>
  <c r="V94" i="19"/>
  <c r="W94" i="19"/>
  <c r="X94" i="19"/>
  <c r="Z94" i="19"/>
  <c r="AA94" i="19"/>
  <c r="AB94" i="19"/>
  <c r="AC94" i="19"/>
  <c r="AD94" i="19"/>
  <c r="AE94" i="19"/>
  <c r="AF94" i="19"/>
  <c r="AG94" i="19"/>
  <c r="AH94" i="19"/>
  <c r="AI94" i="19"/>
  <c r="AJ94" i="19"/>
  <c r="AK94" i="19"/>
  <c r="AL94" i="19"/>
  <c r="AM94" i="19"/>
  <c r="AN94" i="19"/>
  <c r="AO94" i="19"/>
  <c r="AP94" i="19"/>
  <c r="AQ94" i="19"/>
  <c r="AR94" i="19"/>
  <c r="C95" i="19"/>
  <c r="D95" i="19"/>
  <c r="E95" i="19"/>
  <c r="F95" i="19"/>
  <c r="H95" i="19"/>
  <c r="I95" i="19"/>
  <c r="J95" i="19"/>
  <c r="K95" i="19"/>
  <c r="L95" i="19"/>
  <c r="M95" i="19"/>
  <c r="N95" i="19"/>
  <c r="P95" i="19"/>
  <c r="Q95" i="19"/>
  <c r="S95" i="19"/>
  <c r="V95" i="19"/>
  <c r="W95" i="19"/>
  <c r="X95" i="19"/>
  <c r="Z95" i="19"/>
  <c r="AA95" i="19"/>
  <c r="AB95" i="19"/>
  <c r="AC95" i="19"/>
  <c r="AD95" i="19"/>
  <c r="AE95" i="19"/>
  <c r="AF95" i="19"/>
  <c r="AG95" i="19"/>
  <c r="AH95" i="19"/>
  <c r="AI95" i="19"/>
  <c r="AJ95" i="19"/>
  <c r="AK95" i="19"/>
  <c r="AL95" i="19"/>
  <c r="AM95" i="19"/>
  <c r="AN95" i="19"/>
  <c r="AO95" i="19"/>
  <c r="AP95" i="19"/>
  <c r="AQ95" i="19"/>
  <c r="AR95" i="19"/>
  <c r="C96" i="19"/>
  <c r="D96" i="19"/>
  <c r="E96" i="19"/>
  <c r="F96" i="19"/>
  <c r="H96" i="19"/>
  <c r="I96" i="19"/>
  <c r="J96" i="19"/>
  <c r="K96" i="19"/>
  <c r="L96" i="19"/>
  <c r="M96" i="19"/>
  <c r="N96" i="19"/>
  <c r="P96" i="19"/>
  <c r="Q96" i="19"/>
  <c r="S96" i="19"/>
  <c r="V96" i="19"/>
  <c r="W96" i="19"/>
  <c r="X96" i="19"/>
  <c r="Z96" i="19"/>
  <c r="AA96" i="19"/>
  <c r="AB96" i="19"/>
  <c r="AC96" i="19"/>
  <c r="AD96" i="19"/>
  <c r="AE96" i="19"/>
  <c r="AF96" i="19"/>
  <c r="AG96" i="19"/>
  <c r="AH96" i="19"/>
  <c r="AI96" i="19"/>
  <c r="AJ96" i="19"/>
  <c r="AK96" i="19"/>
  <c r="AL96" i="19"/>
  <c r="AM96" i="19"/>
  <c r="AN96" i="19"/>
  <c r="AO96" i="19"/>
  <c r="AP96" i="19"/>
  <c r="AQ96" i="19"/>
  <c r="AR96" i="19"/>
  <c r="C97" i="19"/>
  <c r="D97" i="19"/>
  <c r="E97" i="19"/>
  <c r="F97" i="19"/>
  <c r="H97" i="19"/>
  <c r="I97" i="19"/>
  <c r="J97" i="19"/>
  <c r="K97" i="19"/>
  <c r="L97" i="19"/>
  <c r="M97" i="19"/>
  <c r="N97" i="19"/>
  <c r="P97" i="19"/>
  <c r="Q97" i="19"/>
  <c r="S97" i="19"/>
  <c r="V97" i="19"/>
  <c r="W97" i="19"/>
  <c r="X97" i="19"/>
  <c r="Z97" i="19"/>
  <c r="AA97" i="19"/>
  <c r="AB97" i="19"/>
  <c r="AC97" i="19"/>
  <c r="AD97" i="19"/>
  <c r="AE97" i="19"/>
  <c r="AF97" i="19"/>
  <c r="AG97" i="19"/>
  <c r="AH97" i="19"/>
  <c r="AI97" i="19"/>
  <c r="AJ97" i="19"/>
  <c r="AK97" i="19"/>
  <c r="AL97" i="19"/>
  <c r="AM97" i="19"/>
  <c r="AN97" i="19"/>
  <c r="AO97" i="19"/>
  <c r="AP97" i="19"/>
  <c r="AQ97" i="19"/>
  <c r="AR97" i="19"/>
  <c r="C98" i="19"/>
  <c r="D98" i="19"/>
  <c r="E98" i="19"/>
  <c r="F98" i="19"/>
  <c r="H98" i="19"/>
  <c r="I98" i="19"/>
  <c r="J98" i="19"/>
  <c r="K98" i="19"/>
  <c r="L98" i="19"/>
  <c r="M98" i="19"/>
  <c r="N98" i="19"/>
  <c r="P98" i="19"/>
  <c r="Q98" i="19"/>
  <c r="S98" i="19"/>
  <c r="V98" i="19"/>
  <c r="W98" i="19"/>
  <c r="X98" i="19"/>
  <c r="Z98" i="19"/>
  <c r="AA98" i="19"/>
  <c r="AB98" i="19"/>
  <c r="AC98" i="19"/>
  <c r="AD98" i="19"/>
  <c r="AE98" i="19"/>
  <c r="AF98" i="19"/>
  <c r="AG98" i="19"/>
  <c r="AH98" i="19"/>
  <c r="AI98" i="19"/>
  <c r="AJ98" i="19"/>
  <c r="AK98" i="19"/>
  <c r="AL98" i="19"/>
  <c r="AM98" i="19"/>
  <c r="AN98" i="19"/>
  <c r="AO98" i="19"/>
  <c r="AP98" i="19"/>
  <c r="AQ98" i="19"/>
  <c r="AR98" i="19"/>
  <c r="C99" i="19"/>
  <c r="D99" i="19"/>
  <c r="E99" i="19"/>
  <c r="F99" i="19"/>
  <c r="H99" i="19"/>
  <c r="I99" i="19"/>
  <c r="J99" i="19"/>
  <c r="K99" i="19"/>
  <c r="L99" i="19"/>
  <c r="M99" i="19"/>
  <c r="N99" i="19"/>
  <c r="P99" i="19"/>
  <c r="Q99" i="19"/>
  <c r="S99" i="19"/>
  <c r="V99" i="19"/>
  <c r="W99" i="19"/>
  <c r="X99" i="19"/>
  <c r="Z99" i="19"/>
  <c r="AA99" i="19"/>
  <c r="AB99" i="19"/>
  <c r="AC99" i="19"/>
  <c r="AD99" i="19"/>
  <c r="AE99" i="19"/>
  <c r="AF99" i="19"/>
  <c r="AG99" i="19"/>
  <c r="AH99" i="19"/>
  <c r="AI99" i="19"/>
  <c r="AJ99" i="19"/>
  <c r="AK99" i="19"/>
  <c r="AL99" i="19"/>
  <c r="AM99" i="19"/>
  <c r="AN99" i="19"/>
  <c r="AO99" i="19"/>
  <c r="AP99" i="19"/>
  <c r="AQ99" i="19"/>
  <c r="AR99" i="19"/>
  <c r="C100" i="19"/>
  <c r="D100" i="19"/>
  <c r="E100" i="19"/>
  <c r="F100" i="19"/>
  <c r="H100" i="19"/>
  <c r="I100" i="19"/>
  <c r="J100" i="19"/>
  <c r="K100" i="19"/>
  <c r="L100" i="19"/>
  <c r="M100" i="19"/>
  <c r="N100" i="19"/>
  <c r="P100" i="19"/>
  <c r="Q100" i="19"/>
  <c r="S100" i="19"/>
  <c r="V100" i="19"/>
  <c r="W100" i="19"/>
  <c r="X100" i="19"/>
  <c r="Z100" i="19"/>
  <c r="AA100" i="19"/>
  <c r="AB100" i="19"/>
  <c r="AC100" i="19"/>
  <c r="AD100" i="19"/>
  <c r="AE100" i="19"/>
  <c r="AF100" i="19"/>
  <c r="AG100" i="19"/>
  <c r="AH100" i="19"/>
  <c r="AI100" i="19"/>
  <c r="AJ100" i="19"/>
  <c r="AK100" i="19"/>
  <c r="AL100" i="19"/>
  <c r="AM100" i="19"/>
  <c r="AN100" i="19"/>
  <c r="AO100" i="19"/>
  <c r="AP100" i="19"/>
  <c r="AQ100" i="19"/>
  <c r="AR100" i="19"/>
  <c r="C101" i="19"/>
  <c r="D101" i="19"/>
  <c r="E101" i="19"/>
  <c r="F101" i="19"/>
  <c r="H101" i="19"/>
  <c r="I101" i="19"/>
  <c r="J101" i="19"/>
  <c r="K101" i="19"/>
  <c r="L101" i="19"/>
  <c r="M101" i="19"/>
  <c r="N101" i="19"/>
  <c r="P101" i="19"/>
  <c r="Q101" i="19"/>
  <c r="S101" i="19"/>
  <c r="V101" i="19"/>
  <c r="W101" i="19"/>
  <c r="X101" i="19"/>
  <c r="Z101" i="19"/>
  <c r="AA101" i="19"/>
  <c r="AB101" i="19"/>
  <c r="AC101" i="19"/>
  <c r="AD101" i="19"/>
  <c r="AE101" i="19"/>
  <c r="AF101" i="19"/>
  <c r="AG101" i="19"/>
  <c r="AH101" i="19"/>
  <c r="AI101" i="19"/>
  <c r="AJ101" i="19"/>
  <c r="AK101" i="19"/>
  <c r="AL101" i="19"/>
  <c r="AM101" i="19"/>
  <c r="AN101" i="19"/>
  <c r="AO101" i="19"/>
  <c r="AP101" i="19"/>
  <c r="AQ101" i="19"/>
  <c r="AR101" i="19"/>
  <c r="C102" i="19"/>
  <c r="D102" i="19"/>
  <c r="E102" i="19"/>
  <c r="F102" i="19"/>
  <c r="H102" i="19"/>
  <c r="I102" i="19"/>
  <c r="J102" i="19"/>
  <c r="K102" i="19"/>
  <c r="L102" i="19"/>
  <c r="M102" i="19"/>
  <c r="N102" i="19"/>
  <c r="P102" i="19"/>
  <c r="Q102" i="19"/>
  <c r="S102" i="19"/>
  <c r="V102" i="19"/>
  <c r="W102" i="19"/>
  <c r="X102" i="19"/>
  <c r="Z102" i="19"/>
  <c r="AA102" i="19"/>
  <c r="AB102" i="19"/>
  <c r="AC102" i="19"/>
  <c r="AD102" i="19"/>
  <c r="AE102" i="19"/>
  <c r="AF102" i="19"/>
  <c r="AG102" i="19"/>
  <c r="AH102" i="19"/>
  <c r="AI102" i="19"/>
  <c r="AJ102" i="19"/>
  <c r="AK102" i="19"/>
  <c r="AL102" i="19"/>
  <c r="AM102" i="19"/>
  <c r="AN102" i="19"/>
  <c r="AO102" i="19"/>
  <c r="AP102" i="19"/>
  <c r="AQ102" i="19"/>
  <c r="AR102" i="19"/>
  <c r="C103" i="19"/>
  <c r="D103" i="19"/>
  <c r="E103" i="19"/>
  <c r="F103" i="19"/>
  <c r="H103" i="19"/>
  <c r="I103" i="19"/>
  <c r="J103" i="19"/>
  <c r="K103" i="19"/>
  <c r="L103" i="19"/>
  <c r="M103" i="19"/>
  <c r="N103" i="19"/>
  <c r="P103" i="19"/>
  <c r="Q103" i="19"/>
  <c r="S103" i="19"/>
  <c r="V103" i="19"/>
  <c r="W103" i="19"/>
  <c r="X103" i="19"/>
  <c r="Z103" i="19"/>
  <c r="AA103" i="19"/>
  <c r="AB103" i="19"/>
  <c r="AC103" i="19"/>
  <c r="AD103" i="19"/>
  <c r="AE103" i="19"/>
  <c r="AF103" i="19"/>
  <c r="AG103" i="19"/>
  <c r="AH103" i="19"/>
  <c r="AI103" i="19"/>
  <c r="AJ103" i="19"/>
  <c r="AK103" i="19"/>
  <c r="AL103" i="19"/>
  <c r="AM103" i="19"/>
  <c r="AN103" i="19"/>
  <c r="AO103" i="19"/>
  <c r="AP103" i="19"/>
  <c r="AQ103" i="19"/>
  <c r="AR103" i="19"/>
  <c r="C104" i="19"/>
  <c r="D104" i="19"/>
  <c r="E104" i="19"/>
  <c r="F104" i="19"/>
  <c r="H104" i="19"/>
  <c r="I104" i="19"/>
  <c r="J104" i="19"/>
  <c r="K104" i="19"/>
  <c r="L104" i="19"/>
  <c r="M104" i="19"/>
  <c r="N104" i="19"/>
  <c r="P104" i="19"/>
  <c r="Q104" i="19"/>
  <c r="S104" i="19"/>
  <c r="V104" i="19"/>
  <c r="W104" i="19"/>
  <c r="X104" i="19"/>
  <c r="Z104" i="19"/>
  <c r="AA104" i="19"/>
  <c r="AB104" i="19"/>
  <c r="AC104" i="19"/>
  <c r="AD104" i="19"/>
  <c r="AE104" i="19"/>
  <c r="AF104" i="19"/>
  <c r="AG104" i="19"/>
  <c r="AH104" i="19"/>
  <c r="AI104" i="19"/>
  <c r="AJ104" i="19"/>
  <c r="AK104" i="19"/>
  <c r="AL104" i="19"/>
  <c r="AM104" i="19"/>
  <c r="AN104" i="19"/>
  <c r="AO104" i="19"/>
  <c r="AP104" i="19"/>
  <c r="AQ104" i="19"/>
  <c r="AR104" i="19"/>
  <c r="C105" i="19"/>
  <c r="D105" i="19"/>
  <c r="E105" i="19"/>
  <c r="F105" i="19"/>
  <c r="H105" i="19"/>
  <c r="I105" i="19"/>
  <c r="J105" i="19"/>
  <c r="K105" i="19"/>
  <c r="L105" i="19"/>
  <c r="M105" i="19"/>
  <c r="N105" i="19"/>
  <c r="P105" i="19"/>
  <c r="Q105" i="19"/>
  <c r="S105" i="19"/>
  <c r="V105" i="19"/>
  <c r="W105" i="19"/>
  <c r="X105" i="19"/>
  <c r="Z105" i="19"/>
  <c r="AA105" i="19"/>
  <c r="AB105" i="19"/>
  <c r="AC105" i="19"/>
  <c r="AD105" i="19"/>
  <c r="AE105" i="19"/>
  <c r="AF105" i="19"/>
  <c r="AG105" i="19"/>
  <c r="AH105" i="19"/>
  <c r="AI105" i="19"/>
  <c r="AJ105" i="19"/>
  <c r="AK105" i="19"/>
  <c r="AL105" i="19"/>
  <c r="AM105" i="19"/>
  <c r="AN105" i="19"/>
  <c r="AO105" i="19"/>
  <c r="AP105" i="19"/>
  <c r="AQ105" i="19"/>
  <c r="AR105" i="19"/>
  <c r="C106" i="19"/>
  <c r="D106" i="19"/>
  <c r="E106" i="19"/>
  <c r="F106" i="19"/>
  <c r="H106" i="19"/>
  <c r="I106" i="19"/>
  <c r="J106" i="19"/>
  <c r="K106" i="19"/>
  <c r="L106" i="19"/>
  <c r="M106" i="19"/>
  <c r="N106" i="19"/>
  <c r="P106" i="19"/>
  <c r="Q106" i="19"/>
  <c r="S106" i="19"/>
  <c r="V106" i="19"/>
  <c r="W106" i="19"/>
  <c r="X106" i="19"/>
  <c r="Z106" i="19"/>
  <c r="AA106" i="19"/>
  <c r="AB106" i="19"/>
  <c r="AC106" i="19"/>
  <c r="AD106" i="19"/>
  <c r="AE106" i="19"/>
  <c r="AF106" i="19"/>
  <c r="AG106" i="19"/>
  <c r="AH106" i="19"/>
  <c r="AI106" i="19"/>
  <c r="AJ106" i="19"/>
  <c r="AK106" i="19"/>
  <c r="AL106" i="19"/>
  <c r="AM106" i="19"/>
  <c r="AN106" i="19"/>
  <c r="AO106" i="19"/>
  <c r="AP106" i="19"/>
  <c r="AQ106" i="19"/>
  <c r="AR106" i="19"/>
  <c r="C107" i="19"/>
  <c r="D107" i="19"/>
  <c r="E107" i="19"/>
  <c r="F107" i="19"/>
  <c r="H107" i="19"/>
  <c r="I107" i="19"/>
  <c r="J107" i="19"/>
  <c r="K107" i="19"/>
  <c r="L107" i="19"/>
  <c r="M107" i="19"/>
  <c r="N107" i="19"/>
  <c r="P107" i="19"/>
  <c r="Q107" i="19"/>
  <c r="S107" i="19"/>
  <c r="V107" i="19"/>
  <c r="W107" i="19"/>
  <c r="X107" i="19"/>
  <c r="Z107" i="19"/>
  <c r="AA107" i="19"/>
  <c r="AB107" i="19"/>
  <c r="AC107" i="19"/>
  <c r="AD107" i="19"/>
  <c r="AE107" i="19"/>
  <c r="AF107" i="19"/>
  <c r="AG107" i="19"/>
  <c r="AH107" i="19"/>
  <c r="AI107" i="19"/>
  <c r="AJ107" i="19"/>
  <c r="AK107" i="19"/>
  <c r="AL107" i="19"/>
  <c r="AM107" i="19"/>
  <c r="AN107" i="19"/>
  <c r="AO107" i="19"/>
  <c r="AP107" i="19"/>
  <c r="AQ107" i="19"/>
  <c r="AR107" i="19"/>
  <c r="C108" i="19"/>
  <c r="D108" i="19"/>
  <c r="E108" i="19"/>
  <c r="F108" i="19"/>
  <c r="H108" i="19"/>
  <c r="I108" i="19"/>
  <c r="J108" i="19"/>
  <c r="K108" i="19"/>
  <c r="L108" i="19"/>
  <c r="M108" i="19"/>
  <c r="N108" i="19"/>
  <c r="P108" i="19"/>
  <c r="Q108" i="19"/>
  <c r="S108" i="19"/>
  <c r="V108" i="19"/>
  <c r="W108" i="19"/>
  <c r="X108" i="19"/>
  <c r="Z108" i="19"/>
  <c r="AA108" i="19"/>
  <c r="AB108" i="19"/>
  <c r="AC108" i="19"/>
  <c r="AD108" i="19"/>
  <c r="AE108" i="19"/>
  <c r="AF108" i="19"/>
  <c r="AG108" i="19"/>
  <c r="AH108" i="19"/>
  <c r="AI108" i="19"/>
  <c r="AJ108" i="19"/>
  <c r="AK108" i="19"/>
  <c r="AL108" i="19"/>
  <c r="AM108" i="19"/>
  <c r="AN108" i="19"/>
  <c r="AO108" i="19"/>
  <c r="AP108" i="19"/>
  <c r="AQ108" i="19"/>
  <c r="AR108" i="19"/>
  <c r="C109" i="19"/>
  <c r="D109" i="19"/>
  <c r="E109" i="19"/>
  <c r="F109" i="19"/>
  <c r="H109" i="19"/>
  <c r="I109" i="19"/>
  <c r="J109" i="19"/>
  <c r="K109" i="19"/>
  <c r="L109" i="19"/>
  <c r="M109" i="19"/>
  <c r="N109" i="19"/>
  <c r="P109" i="19"/>
  <c r="Q109" i="19"/>
  <c r="S109" i="19"/>
  <c r="V109" i="19"/>
  <c r="W109" i="19"/>
  <c r="X109" i="19"/>
  <c r="Z109" i="19"/>
  <c r="AA109" i="19"/>
  <c r="AB109" i="19"/>
  <c r="AC109" i="19"/>
  <c r="AD109" i="19"/>
  <c r="AE109" i="19"/>
  <c r="AF109" i="19"/>
  <c r="AG109" i="19"/>
  <c r="AH109" i="19"/>
  <c r="AI109" i="19"/>
  <c r="AJ109" i="19"/>
  <c r="AK109" i="19"/>
  <c r="AL109" i="19"/>
  <c r="AM109" i="19"/>
  <c r="AN109" i="19"/>
  <c r="AO109" i="19"/>
  <c r="AP109" i="19"/>
  <c r="AQ109" i="19"/>
  <c r="AR109" i="19"/>
  <c r="C110" i="19"/>
  <c r="D110" i="19"/>
  <c r="E110" i="19"/>
  <c r="F110" i="19"/>
  <c r="H110" i="19"/>
  <c r="I110" i="19"/>
  <c r="J110" i="19"/>
  <c r="K110" i="19"/>
  <c r="L110" i="19"/>
  <c r="M110" i="19"/>
  <c r="N110" i="19"/>
  <c r="P110" i="19"/>
  <c r="Q110" i="19"/>
  <c r="S110" i="19"/>
  <c r="V110" i="19"/>
  <c r="W110" i="19"/>
  <c r="X110" i="19"/>
  <c r="Z110" i="19"/>
  <c r="AA110" i="19"/>
  <c r="AB110" i="19"/>
  <c r="AC110" i="19"/>
  <c r="AD110" i="19"/>
  <c r="AE110" i="19"/>
  <c r="AF110" i="19"/>
  <c r="AG110" i="19"/>
  <c r="AH110" i="19"/>
  <c r="AI110" i="19"/>
  <c r="AJ110" i="19"/>
  <c r="AK110" i="19"/>
  <c r="AL110" i="19"/>
  <c r="AM110" i="19"/>
  <c r="AN110" i="19"/>
  <c r="AO110" i="19"/>
  <c r="AP110" i="19"/>
  <c r="AQ110" i="19"/>
  <c r="AR110" i="19"/>
  <c r="C111" i="19"/>
  <c r="D111" i="19"/>
  <c r="E111" i="19"/>
  <c r="F111" i="19"/>
  <c r="H111" i="19"/>
  <c r="I111" i="19"/>
  <c r="J111" i="19"/>
  <c r="K111" i="19"/>
  <c r="L111" i="19"/>
  <c r="M111" i="19"/>
  <c r="N111" i="19"/>
  <c r="P111" i="19"/>
  <c r="Q111" i="19"/>
  <c r="S111" i="19"/>
  <c r="V111" i="19"/>
  <c r="W111" i="19"/>
  <c r="X111" i="19"/>
  <c r="Z111" i="19"/>
  <c r="AA111" i="19"/>
  <c r="AB111" i="19"/>
  <c r="AC111" i="19"/>
  <c r="AD111" i="19"/>
  <c r="AE111" i="19"/>
  <c r="AF111" i="19"/>
  <c r="AG111" i="19"/>
  <c r="AH111" i="19"/>
  <c r="AI111" i="19"/>
  <c r="AJ111" i="19"/>
  <c r="AK111" i="19"/>
  <c r="AL111" i="19"/>
  <c r="AM111" i="19"/>
  <c r="AN111" i="19"/>
  <c r="AO111" i="19"/>
  <c r="AP111" i="19"/>
  <c r="AQ111" i="19"/>
  <c r="AR111" i="19"/>
  <c r="C112" i="19"/>
  <c r="D112" i="19"/>
  <c r="E112" i="19"/>
  <c r="F112" i="19"/>
  <c r="H112" i="19"/>
  <c r="I112" i="19"/>
  <c r="J112" i="19"/>
  <c r="K112" i="19"/>
  <c r="L112" i="19"/>
  <c r="M112" i="19"/>
  <c r="N112" i="19"/>
  <c r="P112" i="19"/>
  <c r="Q112" i="19"/>
  <c r="S112" i="19"/>
  <c r="V112" i="19"/>
  <c r="W112" i="19"/>
  <c r="X112" i="19"/>
  <c r="Z112" i="19"/>
  <c r="AA112" i="19"/>
  <c r="AB112" i="19"/>
  <c r="AC112" i="19"/>
  <c r="AD112" i="19"/>
  <c r="AE112" i="19"/>
  <c r="AF112" i="19"/>
  <c r="AG112" i="19"/>
  <c r="AH112" i="19"/>
  <c r="AI112" i="19"/>
  <c r="AJ112" i="19"/>
  <c r="AK112" i="19"/>
  <c r="AL112" i="19"/>
  <c r="AM112" i="19"/>
  <c r="AN112" i="19"/>
  <c r="AO112" i="19"/>
  <c r="AP112" i="19"/>
  <c r="AQ112" i="19"/>
  <c r="AR112" i="19"/>
  <c r="C113" i="19"/>
  <c r="D113" i="19"/>
  <c r="E113" i="19"/>
  <c r="F113" i="19"/>
  <c r="H113" i="19"/>
  <c r="I113" i="19"/>
  <c r="J113" i="19"/>
  <c r="K113" i="19"/>
  <c r="L113" i="19"/>
  <c r="M113" i="19"/>
  <c r="N113" i="19"/>
  <c r="P113" i="19"/>
  <c r="Q113" i="19"/>
  <c r="S113" i="19"/>
  <c r="V113" i="19"/>
  <c r="W113" i="19"/>
  <c r="X113" i="19"/>
  <c r="Z113" i="19"/>
  <c r="AA113" i="19"/>
  <c r="AB113" i="19"/>
  <c r="AC113" i="19"/>
  <c r="AD113" i="19"/>
  <c r="AE113" i="19"/>
  <c r="AF113" i="19"/>
  <c r="AG113" i="19"/>
  <c r="AH113" i="19"/>
  <c r="AI113" i="19"/>
  <c r="AJ113" i="19"/>
  <c r="AK113" i="19"/>
  <c r="AL113" i="19"/>
  <c r="AM113" i="19"/>
  <c r="AN113" i="19"/>
  <c r="AO113" i="19"/>
  <c r="AP113" i="19"/>
  <c r="AQ113" i="19"/>
  <c r="AR113" i="19"/>
  <c r="C114" i="19"/>
  <c r="D114" i="19"/>
  <c r="E114" i="19"/>
  <c r="F114" i="19"/>
  <c r="H114" i="19"/>
  <c r="I114" i="19"/>
  <c r="J114" i="19"/>
  <c r="K114" i="19"/>
  <c r="L114" i="19"/>
  <c r="M114" i="19"/>
  <c r="N114" i="19"/>
  <c r="P114" i="19"/>
  <c r="Q114" i="19"/>
  <c r="S114" i="19"/>
  <c r="V114" i="19"/>
  <c r="W114" i="19"/>
  <c r="X114" i="19"/>
  <c r="Z114" i="19"/>
  <c r="AA114" i="19"/>
  <c r="AB114" i="19"/>
  <c r="AC114" i="19"/>
  <c r="AD114" i="19"/>
  <c r="AE114" i="19"/>
  <c r="AF114" i="19"/>
  <c r="AG114" i="19"/>
  <c r="AH114" i="19"/>
  <c r="AI114" i="19"/>
  <c r="AJ114" i="19"/>
  <c r="AK114" i="19"/>
  <c r="AL114" i="19"/>
  <c r="AM114" i="19"/>
  <c r="AN114" i="19"/>
  <c r="AO114" i="19"/>
  <c r="AP114" i="19"/>
  <c r="AQ114" i="19"/>
  <c r="AR114" i="19"/>
  <c r="C115" i="19"/>
  <c r="D115" i="19"/>
  <c r="E115" i="19"/>
  <c r="F115" i="19"/>
  <c r="H115" i="19"/>
  <c r="I115" i="19"/>
  <c r="J115" i="19"/>
  <c r="K115" i="19"/>
  <c r="L115" i="19"/>
  <c r="M115" i="19"/>
  <c r="N115" i="19"/>
  <c r="P115" i="19"/>
  <c r="Q115" i="19"/>
  <c r="S115" i="19"/>
  <c r="V115" i="19"/>
  <c r="W115" i="19"/>
  <c r="X115" i="19"/>
  <c r="Z115" i="19"/>
  <c r="AA115" i="19"/>
  <c r="AB115" i="19"/>
  <c r="AC115" i="19"/>
  <c r="AD115" i="19"/>
  <c r="AE115" i="19"/>
  <c r="AF115" i="19"/>
  <c r="AG115" i="19"/>
  <c r="AH115" i="19"/>
  <c r="AI115" i="19"/>
  <c r="AJ115" i="19"/>
  <c r="AK115" i="19"/>
  <c r="AL115" i="19"/>
  <c r="AM115" i="19"/>
  <c r="AN115" i="19"/>
  <c r="AO115" i="19"/>
  <c r="AP115" i="19"/>
  <c r="AQ115" i="19"/>
  <c r="AR115" i="19"/>
  <c r="C116" i="19"/>
  <c r="D116" i="19"/>
  <c r="E116" i="19"/>
  <c r="F116" i="19"/>
  <c r="H116" i="19"/>
  <c r="I116" i="19"/>
  <c r="J116" i="19"/>
  <c r="K116" i="19"/>
  <c r="L116" i="19"/>
  <c r="M116" i="19"/>
  <c r="N116" i="19"/>
  <c r="P116" i="19"/>
  <c r="Q116" i="19"/>
  <c r="S116" i="19"/>
  <c r="V116" i="19"/>
  <c r="W116" i="19"/>
  <c r="X116" i="19"/>
  <c r="Z116" i="19"/>
  <c r="AA116" i="19"/>
  <c r="AB116" i="19"/>
  <c r="AC116" i="19"/>
  <c r="AD116" i="19"/>
  <c r="AE116" i="19"/>
  <c r="AF116" i="19"/>
  <c r="AG116" i="19"/>
  <c r="AH116" i="19"/>
  <c r="AI116" i="19"/>
  <c r="AJ116" i="19"/>
  <c r="AK116" i="19"/>
  <c r="AL116" i="19"/>
  <c r="AM116" i="19"/>
  <c r="AN116" i="19"/>
  <c r="AO116" i="19"/>
  <c r="AP116" i="19"/>
  <c r="AQ116" i="19"/>
  <c r="AR116" i="19"/>
  <c r="C117" i="19"/>
  <c r="D117" i="19"/>
  <c r="E117" i="19"/>
  <c r="F117" i="19"/>
  <c r="H117" i="19"/>
  <c r="I117" i="19"/>
  <c r="J117" i="19"/>
  <c r="K117" i="19"/>
  <c r="L117" i="19"/>
  <c r="M117" i="19"/>
  <c r="N117" i="19"/>
  <c r="Q117" i="19"/>
  <c r="S117" i="19"/>
  <c r="V117" i="19"/>
  <c r="W117" i="19"/>
  <c r="X117" i="19"/>
  <c r="Z117" i="19"/>
  <c r="AA117" i="19"/>
  <c r="AB117" i="19"/>
  <c r="AC117" i="19"/>
  <c r="AD117" i="19"/>
  <c r="AE117" i="19"/>
  <c r="AF117" i="19"/>
  <c r="AG117" i="19"/>
  <c r="AH117" i="19"/>
  <c r="AI117" i="19"/>
  <c r="AJ117" i="19"/>
  <c r="AK117" i="19"/>
  <c r="AL117" i="19"/>
  <c r="AM117" i="19"/>
  <c r="AN117" i="19"/>
  <c r="AO117" i="19"/>
  <c r="AP117" i="19"/>
  <c r="AQ117" i="19"/>
  <c r="AR117" i="19"/>
  <c r="C118" i="19"/>
  <c r="D118" i="19"/>
  <c r="E118" i="19"/>
  <c r="F118" i="19"/>
  <c r="H118" i="19"/>
  <c r="I118" i="19"/>
  <c r="J118" i="19"/>
  <c r="K118" i="19"/>
  <c r="L118" i="19"/>
  <c r="M118" i="19"/>
  <c r="N118" i="19"/>
  <c r="P118" i="19"/>
  <c r="Q118" i="19"/>
  <c r="S118" i="19"/>
  <c r="V118" i="19"/>
  <c r="W118" i="19"/>
  <c r="X118" i="19"/>
  <c r="Z118" i="19"/>
  <c r="AA118" i="19"/>
  <c r="AB118" i="19"/>
  <c r="AC118" i="19"/>
  <c r="AD118" i="19"/>
  <c r="AE118" i="19"/>
  <c r="AF118" i="19"/>
  <c r="AG118" i="19"/>
  <c r="AH118" i="19"/>
  <c r="AI118" i="19"/>
  <c r="AJ118" i="19"/>
  <c r="AK118" i="19"/>
  <c r="AL118" i="19"/>
  <c r="AM118" i="19"/>
  <c r="AN118" i="19"/>
  <c r="AO118" i="19"/>
  <c r="AP118" i="19"/>
  <c r="AQ118" i="19"/>
  <c r="AR118" i="19"/>
  <c r="C119" i="19"/>
  <c r="D119" i="19"/>
  <c r="E119" i="19"/>
  <c r="F119" i="19"/>
  <c r="H119" i="19"/>
  <c r="I119" i="19"/>
  <c r="J119" i="19"/>
  <c r="K119" i="19"/>
  <c r="L119" i="19"/>
  <c r="M119" i="19"/>
  <c r="N119" i="19"/>
  <c r="P119" i="19"/>
  <c r="Q119" i="19"/>
  <c r="S119" i="19"/>
  <c r="V119" i="19"/>
  <c r="W119" i="19"/>
  <c r="X119" i="19"/>
  <c r="Z119" i="19"/>
  <c r="AA119" i="19"/>
  <c r="AB119" i="19"/>
  <c r="AC119" i="19"/>
  <c r="AD119" i="19"/>
  <c r="AE119" i="19"/>
  <c r="AF119" i="19"/>
  <c r="AG119" i="19"/>
  <c r="AH119" i="19"/>
  <c r="AI119" i="19"/>
  <c r="AJ119" i="19"/>
  <c r="AK119" i="19"/>
  <c r="AL119" i="19"/>
  <c r="AM119" i="19"/>
  <c r="AN119" i="19"/>
  <c r="AO119" i="19"/>
  <c r="AP119" i="19"/>
  <c r="AQ119" i="19"/>
  <c r="AR119" i="19"/>
  <c r="C120" i="19"/>
  <c r="D120" i="19"/>
  <c r="E120" i="19"/>
  <c r="F120" i="19"/>
  <c r="H120" i="19"/>
  <c r="I120" i="19"/>
  <c r="J120" i="19"/>
  <c r="K120" i="19"/>
  <c r="L120" i="19"/>
  <c r="M120" i="19"/>
  <c r="N120" i="19"/>
  <c r="P120" i="19"/>
  <c r="Q120" i="19"/>
  <c r="S120" i="19"/>
  <c r="V120" i="19"/>
  <c r="W120" i="19"/>
  <c r="X120" i="19"/>
  <c r="Z120" i="19"/>
  <c r="AA120" i="19"/>
  <c r="AB120" i="19"/>
  <c r="AC120" i="19"/>
  <c r="AD120" i="19"/>
  <c r="AE120" i="19"/>
  <c r="AF120" i="19"/>
  <c r="AG120" i="19"/>
  <c r="AH120" i="19"/>
  <c r="AI120" i="19"/>
  <c r="AJ120" i="19"/>
  <c r="AK120" i="19"/>
  <c r="AL120" i="19"/>
  <c r="AM120" i="19"/>
  <c r="AN120" i="19"/>
  <c r="AO120" i="19"/>
  <c r="AP120" i="19"/>
  <c r="AQ120" i="19"/>
  <c r="AR120" i="19"/>
  <c r="C121" i="19"/>
  <c r="D121" i="19"/>
  <c r="E121" i="19"/>
  <c r="F121" i="19"/>
  <c r="H121" i="19"/>
  <c r="I121" i="19"/>
  <c r="J121" i="19"/>
  <c r="K121" i="19"/>
  <c r="L121" i="19"/>
  <c r="M121" i="19"/>
  <c r="N121" i="19"/>
  <c r="P121" i="19"/>
  <c r="Q121" i="19"/>
  <c r="S121" i="19"/>
  <c r="V121" i="19"/>
  <c r="W121" i="19"/>
  <c r="X121" i="19"/>
  <c r="Z121" i="19"/>
  <c r="AA121" i="19"/>
  <c r="AB121" i="19"/>
  <c r="AC121" i="19"/>
  <c r="AD121" i="19"/>
  <c r="AE121" i="19"/>
  <c r="AF121" i="19"/>
  <c r="AG121" i="19"/>
  <c r="AH121" i="19"/>
  <c r="AI121" i="19"/>
  <c r="AJ121" i="19"/>
  <c r="AK121" i="19"/>
  <c r="AL121" i="19"/>
  <c r="AM121" i="19"/>
  <c r="AN121" i="19"/>
  <c r="AO121" i="19"/>
  <c r="AP121" i="19"/>
  <c r="AQ121" i="19"/>
  <c r="AR121" i="19"/>
  <c r="C122" i="19"/>
  <c r="D122" i="19"/>
  <c r="E122" i="19"/>
  <c r="F122" i="19"/>
  <c r="H122" i="19"/>
  <c r="I122" i="19"/>
  <c r="J122" i="19"/>
  <c r="K122" i="19"/>
  <c r="L122" i="19"/>
  <c r="M122" i="19"/>
  <c r="N122" i="19"/>
  <c r="P122" i="19"/>
  <c r="Q122" i="19"/>
  <c r="S122" i="19"/>
  <c r="V122" i="19"/>
  <c r="W122" i="19"/>
  <c r="X122" i="19"/>
  <c r="Z122" i="19"/>
  <c r="AA122" i="19"/>
  <c r="AB122" i="19"/>
  <c r="AC122" i="19"/>
  <c r="AD122" i="19"/>
  <c r="AE122" i="19"/>
  <c r="AF122" i="19"/>
  <c r="AG122" i="19"/>
  <c r="AH122" i="19"/>
  <c r="AI122" i="19"/>
  <c r="AJ122" i="19"/>
  <c r="AK122" i="19"/>
  <c r="AL122" i="19"/>
  <c r="AM122" i="19"/>
  <c r="AN122" i="19"/>
  <c r="AO122" i="19"/>
  <c r="AP122" i="19"/>
  <c r="AQ122" i="19"/>
  <c r="AR122" i="19"/>
  <c r="C123" i="19"/>
  <c r="D123" i="19"/>
  <c r="E123" i="19"/>
  <c r="F123" i="19"/>
  <c r="H123" i="19"/>
  <c r="I123" i="19"/>
  <c r="J123" i="19"/>
  <c r="K123" i="19"/>
  <c r="L123" i="19"/>
  <c r="M123" i="19"/>
  <c r="N123" i="19"/>
  <c r="P123" i="19"/>
  <c r="Q123" i="19"/>
  <c r="S123" i="19"/>
  <c r="V123" i="19"/>
  <c r="W123" i="19"/>
  <c r="X123" i="19"/>
  <c r="Z123" i="19"/>
  <c r="AA123" i="19"/>
  <c r="AB123" i="19"/>
  <c r="AC123" i="19"/>
  <c r="AD123" i="19"/>
  <c r="AE123" i="19"/>
  <c r="AF123" i="19"/>
  <c r="AG123" i="19"/>
  <c r="AH123" i="19"/>
  <c r="AI123" i="19"/>
  <c r="AJ123" i="19"/>
  <c r="AK123" i="19"/>
  <c r="AL123" i="19"/>
  <c r="AM123" i="19"/>
  <c r="AN123" i="19"/>
  <c r="AO123" i="19"/>
  <c r="AP123" i="19"/>
  <c r="AQ123" i="19"/>
  <c r="AR123" i="19"/>
  <c r="C124" i="19"/>
  <c r="D124" i="19"/>
  <c r="E124" i="19"/>
  <c r="F124" i="19"/>
  <c r="H124" i="19"/>
  <c r="I124" i="19"/>
  <c r="J124" i="19"/>
  <c r="K124" i="19"/>
  <c r="L124" i="19"/>
  <c r="M124" i="19"/>
  <c r="N124" i="19"/>
  <c r="P124" i="19"/>
  <c r="Q124" i="19"/>
  <c r="S124" i="19"/>
  <c r="V124" i="19"/>
  <c r="W124" i="19"/>
  <c r="X124" i="19"/>
  <c r="Z124" i="19"/>
  <c r="AA124" i="19"/>
  <c r="AB124" i="19"/>
  <c r="AC124" i="19"/>
  <c r="AD124" i="19"/>
  <c r="AE124" i="19"/>
  <c r="AF124" i="19"/>
  <c r="AG124" i="19"/>
  <c r="AH124" i="19"/>
  <c r="AI124" i="19"/>
  <c r="AJ124" i="19"/>
  <c r="AK124" i="19"/>
  <c r="AL124" i="19"/>
  <c r="AM124" i="19"/>
  <c r="AN124" i="19"/>
  <c r="AO124" i="19"/>
  <c r="AP124" i="19"/>
  <c r="AQ124" i="19"/>
  <c r="AR124" i="19"/>
  <c r="C125" i="19"/>
  <c r="D125" i="19"/>
  <c r="E125" i="19"/>
  <c r="F125" i="19"/>
  <c r="H125" i="19"/>
  <c r="I125" i="19"/>
  <c r="J125" i="19"/>
  <c r="K125" i="19"/>
  <c r="L125" i="19"/>
  <c r="M125" i="19"/>
  <c r="N125" i="19"/>
  <c r="P125" i="19"/>
  <c r="Q125" i="19"/>
  <c r="S125" i="19"/>
  <c r="V125" i="19"/>
  <c r="W125" i="19"/>
  <c r="X125" i="19"/>
  <c r="Z125" i="19"/>
  <c r="AA125" i="19"/>
  <c r="AB125" i="19"/>
  <c r="AC125" i="19"/>
  <c r="AD125" i="19"/>
  <c r="AE125" i="19"/>
  <c r="AF125" i="19"/>
  <c r="AG125" i="19"/>
  <c r="AH125" i="19"/>
  <c r="AI125" i="19"/>
  <c r="AJ125" i="19"/>
  <c r="AK125" i="19"/>
  <c r="AL125" i="19"/>
  <c r="AM125" i="19"/>
  <c r="AN125" i="19"/>
  <c r="AO125" i="19"/>
  <c r="AP125" i="19"/>
  <c r="AQ125" i="19"/>
  <c r="AR125" i="19"/>
  <c r="C126" i="19"/>
  <c r="D126" i="19"/>
  <c r="E126" i="19"/>
  <c r="F126" i="19"/>
  <c r="H126" i="19"/>
  <c r="I126" i="19"/>
  <c r="J126" i="19"/>
  <c r="K126" i="19"/>
  <c r="L126" i="19"/>
  <c r="M126" i="19"/>
  <c r="N126" i="19"/>
  <c r="P126" i="19"/>
  <c r="Q126" i="19"/>
  <c r="S126" i="19"/>
  <c r="V126" i="19"/>
  <c r="W126" i="19"/>
  <c r="X126" i="19"/>
  <c r="Z126" i="19"/>
  <c r="AA126" i="19"/>
  <c r="AB126" i="19"/>
  <c r="AC126" i="19"/>
  <c r="AD126" i="19"/>
  <c r="AE126" i="19"/>
  <c r="AF126" i="19"/>
  <c r="AG126" i="19"/>
  <c r="AH126" i="19"/>
  <c r="AI126" i="19"/>
  <c r="AJ126" i="19"/>
  <c r="AK126" i="19"/>
  <c r="AL126" i="19"/>
  <c r="AM126" i="19"/>
  <c r="AN126" i="19"/>
  <c r="AO126" i="19"/>
  <c r="AP126" i="19"/>
  <c r="AQ126" i="19"/>
  <c r="AR126" i="19"/>
  <c r="C127" i="19"/>
  <c r="D127" i="19"/>
  <c r="E127" i="19"/>
  <c r="F127" i="19"/>
  <c r="H127" i="19"/>
  <c r="I127" i="19"/>
  <c r="J127" i="19"/>
  <c r="K127" i="19"/>
  <c r="L127" i="19"/>
  <c r="M127" i="19"/>
  <c r="N127" i="19"/>
  <c r="P127" i="19"/>
  <c r="Q127" i="19"/>
  <c r="S127" i="19"/>
  <c r="V127" i="19"/>
  <c r="W127" i="19"/>
  <c r="X127" i="19"/>
  <c r="Z127" i="19"/>
  <c r="AA127" i="19"/>
  <c r="AB127" i="19"/>
  <c r="AC127" i="19"/>
  <c r="AD127" i="19"/>
  <c r="AE127" i="19"/>
  <c r="AF127" i="19"/>
  <c r="AG127" i="19"/>
  <c r="AH127" i="19"/>
  <c r="AI127" i="19"/>
  <c r="AJ127" i="19"/>
  <c r="AK127" i="19"/>
  <c r="AL127" i="19"/>
  <c r="AM127" i="19"/>
  <c r="AN127" i="19"/>
  <c r="AO127" i="19"/>
  <c r="AP127" i="19"/>
  <c r="AQ127" i="19"/>
  <c r="AR127" i="19"/>
  <c r="C128" i="19"/>
  <c r="D128" i="19"/>
  <c r="E128" i="19"/>
  <c r="F128" i="19"/>
  <c r="H128" i="19"/>
  <c r="I128" i="19"/>
  <c r="J128" i="19"/>
  <c r="K128" i="19"/>
  <c r="L128" i="19"/>
  <c r="M128" i="19"/>
  <c r="N128" i="19"/>
  <c r="P128" i="19"/>
  <c r="Q128" i="19"/>
  <c r="S128" i="19"/>
  <c r="V128" i="19"/>
  <c r="W128" i="19"/>
  <c r="X128" i="19"/>
  <c r="Z128" i="19"/>
  <c r="AA128" i="19"/>
  <c r="AB128" i="19"/>
  <c r="AC128" i="19"/>
  <c r="AD128" i="19"/>
  <c r="AE128" i="19"/>
  <c r="AF128" i="19"/>
  <c r="AG128" i="19"/>
  <c r="AH128" i="19"/>
  <c r="AI128" i="19"/>
  <c r="AJ128" i="19"/>
  <c r="AK128" i="19"/>
  <c r="AL128" i="19"/>
  <c r="AM128" i="19"/>
  <c r="AN128" i="19"/>
  <c r="AO128" i="19"/>
  <c r="AP128" i="19"/>
  <c r="AQ128" i="19"/>
  <c r="AR128" i="19"/>
  <c r="C129" i="19"/>
  <c r="D129" i="19"/>
  <c r="E129" i="19"/>
  <c r="F129" i="19"/>
  <c r="H129" i="19"/>
  <c r="I129" i="19"/>
  <c r="J129" i="19"/>
  <c r="K129" i="19"/>
  <c r="L129" i="19"/>
  <c r="M129" i="19"/>
  <c r="N129" i="19"/>
  <c r="P129" i="19"/>
  <c r="Q129" i="19"/>
  <c r="S129" i="19"/>
  <c r="V129" i="19"/>
  <c r="W129" i="19"/>
  <c r="X129" i="19"/>
  <c r="Z129" i="19"/>
  <c r="AA129" i="19"/>
  <c r="AB129" i="19"/>
  <c r="AC129" i="19"/>
  <c r="AD129" i="19"/>
  <c r="AE129" i="19"/>
  <c r="AF129" i="19"/>
  <c r="AG129" i="19"/>
  <c r="AH129" i="19"/>
  <c r="AI129" i="19"/>
  <c r="AJ129" i="19"/>
  <c r="AK129" i="19"/>
  <c r="AL129" i="19"/>
  <c r="AM129" i="19"/>
  <c r="AN129" i="19"/>
  <c r="AO129" i="19"/>
  <c r="AP129" i="19"/>
  <c r="AQ129" i="19"/>
  <c r="AR129" i="19"/>
  <c r="C130" i="19"/>
  <c r="D130" i="19"/>
  <c r="E130" i="19"/>
  <c r="F130" i="19"/>
  <c r="H130" i="19"/>
  <c r="I130" i="19"/>
  <c r="J130" i="19"/>
  <c r="K130" i="19"/>
  <c r="L130" i="19"/>
  <c r="M130" i="19"/>
  <c r="N130" i="19"/>
  <c r="P130" i="19"/>
  <c r="Q130" i="19"/>
  <c r="S130" i="19"/>
  <c r="V130" i="19"/>
  <c r="W130" i="19"/>
  <c r="X130" i="19"/>
  <c r="Z130" i="19"/>
  <c r="AA130" i="19"/>
  <c r="AB130" i="19"/>
  <c r="AC130" i="19"/>
  <c r="AD130" i="19"/>
  <c r="AE130" i="19"/>
  <c r="AF130" i="19"/>
  <c r="AG130" i="19"/>
  <c r="AH130" i="19"/>
  <c r="AI130" i="19"/>
  <c r="AJ130" i="19"/>
  <c r="AK130" i="19"/>
  <c r="AL130" i="19"/>
  <c r="AM130" i="19"/>
  <c r="AN130" i="19"/>
  <c r="AO130" i="19"/>
  <c r="AP130" i="19"/>
  <c r="AQ130" i="19"/>
  <c r="AR130" i="19"/>
  <c r="C131" i="19"/>
  <c r="D131" i="19"/>
  <c r="E131" i="19"/>
  <c r="F131" i="19"/>
  <c r="H131" i="19"/>
  <c r="I131" i="19"/>
  <c r="J131" i="19"/>
  <c r="K131" i="19"/>
  <c r="L131" i="19"/>
  <c r="M131" i="19"/>
  <c r="N131" i="19"/>
  <c r="P131" i="19"/>
  <c r="Q131" i="19"/>
  <c r="S131" i="19"/>
  <c r="V131" i="19"/>
  <c r="W131" i="19"/>
  <c r="X131" i="19"/>
  <c r="Z131" i="19"/>
  <c r="AA131" i="19"/>
  <c r="AB131" i="19"/>
  <c r="AC131" i="19"/>
  <c r="AD131" i="19"/>
  <c r="AE131" i="19"/>
  <c r="AF131" i="19"/>
  <c r="AG131" i="19"/>
  <c r="AH131" i="19"/>
  <c r="AI131" i="19"/>
  <c r="AJ131" i="19"/>
  <c r="AK131" i="19"/>
  <c r="AL131" i="19"/>
  <c r="AM131" i="19"/>
  <c r="AN131" i="19"/>
  <c r="AO131" i="19"/>
  <c r="AP131" i="19"/>
  <c r="AQ131" i="19"/>
  <c r="AR131" i="19"/>
  <c r="C132" i="19"/>
  <c r="D132" i="19"/>
  <c r="E132" i="19"/>
  <c r="F132" i="19"/>
  <c r="H132" i="19"/>
  <c r="I132" i="19"/>
  <c r="J132" i="19"/>
  <c r="K132" i="19"/>
  <c r="L132" i="19"/>
  <c r="M132" i="19"/>
  <c r="N132" i="19"/>
  <c r="P132" i="19"/>
  <c r="Q132" i="19"/>
  <c r="S132" i="19"/>
  <c r="V132" i="19"/>
  <c r="W132" i="19"/>
  <c r="X132" i="19"/>
  <c r="Z132" i="19"/>
  <c r="AA132" i="19"/>
  <c r="AB132" i="19"/>
  <c r="AC132" i="19"/>
  <c r="AD132" i="19"/>
  <c r="AE132" i="19"/>
  <c r="AF132" i="19"/>
  <c r="AG132" i="19"/>
  <c r="AH132" i="19"/>
  <c r="AI132" i="19"/>
  <c r="AJ132" i="19"/>
  <c r="AK132" i="19"/>
  <c r="AL132" i="19"/>
  <c r="AM132" i="19"/>
  <c r="AN132" i="19"/>
  <c r="AO132" i="19"/>
  <c r="AP132" i="19"/>
  <c r="AQ132" i="19"/>
  <c r="AR132" i="19"/>
  <c r="C133" i="19"/>
  <c r="D133" i="19"/>
  <c r="E133" i="19"/>
  <c r="F133" i="19"/>
  <c r="H133" i="19"/>
  <c r="I133" i="19"/>
  <c r="J133" i="19"/>
  <c r="K133" i="19"/>
  <c r="L133" i="19"/>
  <c r="M133" i="19"/>
  <c r="N133" i="19"/>
  <c r="P133" i="19"/>
  <c r="Q133" i="19"/>
  <c r="S133" i="19"/>
  <c r="V133" i="19"/>
  <c r="W133" i="19"/>
  <c r="X133" i="19"/>
  <c r="Z133" i="19"/>
  <c r="AA133" i="19"/>
  <c r="AB133" i="19"/>
  <c r="AC133" i="19"/>
  <c r="AD133" i="19"/>
  <c r="AE133" i="19"/>
  <c r="AF133" i="19"/>
  <c r="AG133" i="19"/>
  <c r="AH133" i="19"/>
  <c r="AI133" i="19"/>
  <c r="AJ133" i="19"/>
  <c r="AK133" i="19"/>
  <c r="AL133" i="19"/>
  <c r="AM133" i="19"/>
  <c r="AN133" i="19"/>
  <c r="AO133" i="19"/>
  <c r="AP133" i="19"/>
  <c r="AQ133" i="19"/>
  <c r="AR133" i="19"/>
  <c r="C134" i="19"/>
  <c r="D134" i="19"/>
  <c r="E134" i="19"/>
  <c r="F134" i="19"/>
  <c r="H134" i="19"/>
  <c r="I134" i="19"/>
  <c r="J134" i="19"/>
  <c r="K134" i="19"/>
  <c r="L134" i="19"/>
  <c r="M134" i="19"/>
  <c r="N134" i="19"/>
  <c r="P134" i="19"/>
  <c r="Q134" i="19"/>
  <c r="S134" i="19"/>
  <c r="V134" i="19"/>
  <c r="W134" i="19"/>
  <c r="X134" i="19"/>
  <c r="Z134" i="19"/>
  <c r="AA134" i="19"/>
  <c r="AB134" i="19"/>
  <c r="AC134" i="19"/>
  <c r="AD134" i="19"/>
  <c r="AE134" i="19"/>
  <c r="AF134" i="19"/>
  <c r="AG134" i="19"/>
  <c r="AH134" i="19"/>
  <c r="AI134" i="19"/>
  <c r="AJ134" i="19"/>
  <c r="AK134" i="19"/>
  <c r="AL134" i="19"/>
  <c r="AM134" i="19"/>
  <c r="AN134" i="19"/>
  <c r="AO134" i="19"/>
  <c r="AP134" i="19"/>
  <c r="AQ134" i="19"/>
  <c r="AR134" i="19"/>
  <c r="C135" i="19"/>
  <c r="D135" i="19"/>
  <c r="E135" i="19"/>
  <c r="F135" i="19"/>
  <c r="H135" i="19"/>
  <c r="I135" i="19"/>
  <c r="J135" i="19"/>
  <c r="K135" i="19"/>
  <c r="L135" i="19"/>
  <c r="M135" i="19"/>
  <c r="N135" i="19"/>
  <c r="P135" i="19"/>
  <c r="Q135" i="19"/>
  <c r="S135" i="19"/>
  <c r="V135" i="19"/>
  <c r="W135" i="19"/>
  <c r="X135" i="19"/>
  <c r="Z135" i="19"/>
  <c r="AA135" i="19"/>
  <c r="AB135" i="19"/>
  <c r="AC135" i="19"/>
  <c r="AD135" i="19"/>
  <c r="AE135" i="19"/>
  <c r="AF135" i="19"/>
  <c r="AG135" i="19"/>
  <c r="AH135" i="19"/>
  <c r="AI135" i="19"/>
  <c r="AJ135" i="19"/>
  <c r="AK135" i="19"/>
  <c r="AL135" i="19"/>
  <c r="AM135" i="19"/>
  <c r="AN135" i="19"/>
  <c r="AO135" i="19"/>
  <c r="AP135" i="19"/>
  <c r="AQ135" i="19"/>
  <c r="AR135" i="19"/>
  <c r="C136" i="19"/>
  <c r="D136" i="19"/>
  <c r="E136" i="19"/>
  <c r="F136" i="19"/>
  <c r="H136" i="19"/>
  <c r="I136" i="19"/>
  <c r="J136" i="19"/>
  <c r="K136" i="19"/>
  <c r="L136" i="19"/>
  <c r="M136" i="19"/>
  <c r="N136" i="19"/>
  <c r="P136" i="19"/>
  <c r="Q136" i="19"/>
  <c r="S136" i="19"/>
  <c r="V136" i="19"/>
  <c r="W136" i="19"/>
  <c r="X136" i="19"/>
  <c r="Z136" i="19"/>
  <c r="AA136" i="19"/>
  <c r="AB136" i="19"/>
  <c r="AC136" i="19"/>
  <c r="AD136" i="19"/>
  <c r="AE136" i="19"/>
  <c r="AF136" i="19"/>
  <c r="AG136" i="19"/>
  <c r="AH136" i="19"/>
  <c r="AI136" i="19"/>
  <c r="AJ136" i="19"/>
  <c r="AK136" i="19"/>
  <c r="AL136" i="19"/>
  <c r="AM136" i="19"/>
  <c r="AN136" i="19"/>
  <c r="AO136" i="19"/>
  <c r="AP136" i="19"/>
  <c r="AQ136" i="19"/>
  <c r="AR136" i="19"/>
  <c r="C137" i="19"/>
  <c r="D137" i="19"/>
  <c r="E137" i="19"/>
  <c r="F137" i="19"/>
  <c r="G137" i="19" s="1"/>
  <c r="H137" i="19"/>
  <c r="I137" i="19"/>
  <c r="J137" i="19"/>
  <c r="K137" i="19"/>
  <c r="L137" i="19"/>
  <c r="M137" i="19"/>
  <c r="N137" i="19"/>
  <c r="P137" i="19"/>
  <c r="Q137" i="19"/>
  <c r="S137" i="19"/>
  <c r="V137" i="19"/>
  <c r="W137" i="19"/>
  <c r="X137" i="19"/>
  <c r="Z137" i="19"/>
  <c r="AA137" i="19"/>
  <c r="AB137" i="19"/>
  <c r="AC137" i="19"/>
  <c r="AD137" i="19"/>
  <c r="AE137" i="19"/>
  <c r="AF137" i="19"/>
  <c r="AG137" i="19"/>
  <c r="AH137" i="19"/>
  <c r="AI137" i="19"/>
  <c r="AJ137" i="19"/>
  <c r="AK137" i="19"/>
  <c r="AL137" i="19"/>
  <c r="AM137" i="19"/>
  <c r="AN137" i="19"/>
  <c r="AO137" i="19"/>
  <c r="AP137" i="19"/>
  <c r="AQ137" i="19"/>
  <c r="AR137" i="19"/>
  <c r="C138" i="19"/>
  <c r="D138" i="19"/>
  <c r="E138" i="19"/>
  <c r="F138" i="19"/>
  <c r="H138" i="19"/>
  <c r="I138" i="19"/>
  <c r="J138" i="19"/>
  <c r="K138" i="19"/>
  <c r="L138" i="19"/>
  <c r="M138" i="19"/>
  <c r="N138" i="19"/>
  <c r="P138" i="19"/>
  <c r="Q138" i="19"/>
  <c r="S138" i="19"/>
  <c r="V138" i="19"/>
  <c r="W138" i="19"/>
  <c r="X138" i="19"/>
  <c r="Z138" i="19"/>
  <c r="AA138" i="19"/>
  <c r="AB138" i="19"/>
  <c r="AC138" i="19"/>
  <c r="AD138" i="19"/>
  <c r="AE138" i="19"/>
  <c r="AF138" i="19"/>
  <c r="AG138" i="19"/>
  <c r="AH138" i="19"/>
  <c r="AI138" i="19"/>
  <c r="AJ138" i="19"/>
  <c r="AK138" i="19"/>
  <c r="AL138" i="19"/>
  <c r="AM138" i="19"/>
  <c r="AN138" i="19"/>
  <c r="AO138" i="19"/>
  <c r="AP138" i="19"/>
  <c r="AQ138" i="19"/>
  <c r="AR138" i="19"/>
  <c r="C139" i="19"/>
  <c r="D139" i="19"/>
  <c r="E139" i="19"/>
  <c r="F139" i="19"/>
  <c r="H139" i="19"/>
  <c r="I139" i="19"/>
  <c r="J139" i="19"/>
  <c r="K139" i="19"/>
  <c r="L139" i="19"/>
  <c r="M139" i="19"/>
  <c r="N139" i="19"/>
  <c r="P139" i="19"/>
  <c r="Q139" i="19"/>
  <c r="S139" i="19"/>
  <c r="V139" i="19"/>
  <c r="W139" i="19"/>
  <c r="X139" i="19"/>
  <c r="Z139" i="19"/>
  <c r="AA139" i="19"/>
  <c r="AB139" i="19"/>
  <c r="AC139" i="19"/>
  <c r="AD139" i="19"/>
  <c r="AE139" i="19"/>
  <c r="AF139" i="19"/>
  <c r="AG139" i="19"/>
  <c r="AH139" i="19"/>
  <c r="AI139" i="19"/>
  <c r="AJ139" i="19"/>
  <c r="AK139" i="19"/>
  <c r="AL139" i="19"/>
  <c r="AM139" i="19"/>
  <c r="AN139" i="19"/>
  <c r="AO139" i="19"/>
  <c r="AP139" i="19"/>
  <c r="AQ139" i="19"/>
  <c r="AR139" i="19"/>
  <c r="C140" i="19"/>
  <c r="D140" i="19"/>
  <c r="E140" i="19"/>
  <c r="F140" i="19"/>
  <c r="H140" i="19"/>
  <c r="I140" i="19"/>
  <c r="J140" i="19"/>
  <c r="K140" i="19"/>
  <c r="L140" i="19"/>
  <c r="M140" i="19"/>
  <c r="N140" i="19"/>
  <c r="P140" i="19"/>
  <c r="Q140" i="19"/>
  <c r="S140" i="19"/>
  <c r="V140" i="19"/>
  <c r="W140" i="19"/>
  <c r="X140" i="19"/>
  <c r="Z140" i="19"/>
  <c r="AA140" i="19"/>
  <c r="AB140" i="19"/>
  <c r="AC140" i="19"/>
  <c r="AD140" i="19"/>
  <c r="AE140" i="19"/>
  <c r="AF140" i="19"/>
  <c r="AG140" i="19"/>
  <c r="AH140" i="19"/>
  <c r="AI140" i="19"/>
  <c r="AJ140" i="19"/>
  <c r="AK140" i="19"/>
  <c r="AL140" i="19"/>
  <c r="AM140" i="19"/>
  <c r="AN140" i="19"/>
  <c r="AO140" i="19"/>
  <c r="AP140" i="19"/>
  <c r="AQ140" i="19"/>
  <c r="AR140" i="19"/>
  <c r="C141" i="19"/>
  <c r="D141" i="19"/>
  <c r="E141" i="19"/>
  <c r="F141" i="19"/>
  <c r="H141" i="19"/>
  <c r="I141" i="19"/>
  <c r="J141" i="19"/>
  <c r="K141" i="19"/>
  <c r="L141" i="19"/>
  <c r="M141" i="19"/>
  <c r="N141" i="19"/>
  <c r="P141" i="19"/>
  <c r="Q141" i="19"/>
  <c r="S141" i="19"/>
  <c r="V141" i="19"/>
  <c r="W141" i="19"/>
  <c r="X141" i="19"/>
  <c r="Z141" i="19"/>
  <c r="AA141" i="19"/>
  <c r="AB141" i="19"/>
  <c r="AC141" i="19"/>
  <c r="AD141" i="19"/>
  <c r="AE141" i="19"/>
  <c r="AF141" i="19"/>
  <c r="AG141" i="19"/>
  <c r="AH141" i="19"/>
  <c r="AI141" i="19"/>
  <c r="AJ141" i="19"/>
  <c r="AK141" i="19"/>
  <c r="AL141" i="19"/>
  <c r="AM141" i="19"/>
  <c r="AN141" i="19"/>
  <c r="AO141" i="19"/>
  <c r="AP141" i="19"/>
  <c r="AQ141" i="19"/>
  <c r="AR141" i="19"/>
  <c r="C142" i="19"/>
  <c r="D142" i="19"/>
  <c r="E142" i="19"/>
  <c r="F142" i="19"/>
  <c r="H142" i="19"/>
  <c r="I142" i="19"/>
  <c r="J142" i="19"/>
  <c r="K142" i="19"/>
  <c r="L142" i="19"/>
  <c r="M142" i="19"/>
  <c r="N142" i="19"/>
  <c r="P142" i="19"/>
  <c r="Q142" i="19"/>
  <c r="S142" i="19"/>
  <c r="V142" i="19"/>
  <c r="W142" i="19"/>
  <c r="X142" i="19"/>
  <c r="Z142" i="19"/>
  <c r="AA142" i="19"/>
  <c r="AB142" i="19"/>
  <c r="AC142" i="19"/>
  <c r="AD142" i="19"/>
  <c r="AE142" i="19"/>
  <c r="AF142" i="19"/>
  <c r="AG142" i="19"/>
  <c r="AH142" i="19"/>
  <c r="AI142" i="19"/>
  <c r="AJ142" i="19"/>
  <c r="AK142" i="19"/>
  <c r="AL142" i="19"/>
  <c r="AM142" i="19"/>
  <c r="AN142" i="19"/>
  <c r="AO142" i="19"/>
  <c r="AP142" i="19"/>
  <c r="AQ142" i="19"/>
  <c r="AR142" i="19"/>
  <c r="C143" i="19"/>
  <c r="D143" i="19"/>
  <c r="E143" i="19"/>
  <c r="F143" i="19"/>
  <c r="H143" i="19"/>
  <c r="I143" i="19"/>
  <c r="J143" i="19"/>
  <c r="K143" i="19"/>
  <c r="L143" i="19"/>
  <c r="M143" i="19"/>
  <c r="N143" i="19"/>
  <c r="P143" i="19"/>
  <c r="O143" i="19" s="1"/>
  <c r="Q143" i="19"/>
  <c r="S143" i="19"/>
  <c r="V143" i="19"/>
  <c r="W143" i="19"/>
  <c r="X143" i="19"/>
  <c r="Z143" i="19"/>
  <c r="AA143" i="19"/>
  <c r="AB143" i="19"/>
  <c r="AC143" i="19"/>
  <c r="AD143" i="19"/>
  <c r="AE143" i="19"/>
  <c r="AF143" i="19"/>
  <c r="AG143" i="19"/>
  <c r="AH143" i="19"/>
  <c r="AI143" i="19"/>
  <c r="AJ143" i="19"/>
  <c r="AK143" i="19"/>
  <c r="AL143" i="19"/>
  <c r="AM143" i="19"/>
  <c r="AN143" i="19"/>
  <c r="AO143" i="19"/>
  <c r="AP143" i="19"/>
  <c r="AQ143" i="19"/>
  <c r="AR143" i="19"/>
  <c r="C144" i="19"/>
  <c r="D144" i="19"/>
  <c r="E144" i="19"/>
  <c r="F144" i="19"/>
  <c r="H144" i="19"/>
  <c r="I144" i="19"/>
  <c r="J144" i="19"/>
  <c r="K144" i="19"/>
  <c r="L144" i="19"/>
  <c r="M144" i="19"/>
  <c r="N144" i="19"/>
  <c r="P144" i="19"/>
  <c r="Q144" i="19"/>
  <c r="S144" i="19"/>
  <c r="V144" i="19"/>
  <c r="W144" i="19"/>
  <c r="X144" i="19"/>
  <c r="Z144" i="19"/>
  <c r="AA144" i="19"/>
  <c r="AB144" i="19"/>
  <c r="AC144" i="19"/>
  <c r="AD144" i="19"/>
  <c r="AE144" i="19"/>
  <c r="AF144" i="19"/>
  <c r="AG144" i="19"/>
  <c r="AH144" i="19"/>
  <c r="AI144" i="19"/>
  <c r="AJ144" i="19"/>
  <c r="AK144" i="19"/>
  <c r="AL144" i="19"/>
  <c r="AM144" i="19"/>
  <c r="AN144" i="19"/>
  <c r="AO144" i="19"/>
  <c r="AP144" i="19"/>
  <c r="AQ144" i="19"/>
  <c r="AR144" i="19"/>
  <c r="C145" i="19"/>
  <c r="D145" i="19"/>
  <c r="E145" i="19"/>
  <c r="F145" i="19"/>
  <c r="H145" i="19"/>
  <c r="I145" i="19"/>
  <c r="J145" i="19"/>
  <c r="K145" i="19"/>
  <c r="L145" i="19"/>
  <c r="M145" i="19"/>
  <c r="N145" i="19"/>
  <c r="P145" i="19"/>
  <c r="Q145" i="19"/>
  <c r="S145" i="19"/>
  <c r="V145" i="19"/>
  <c r="W145" i="19"/>
  <c r="X145" i="19"/>
  <c r="Z145" i="19"/>
  <c r="AA145" i="19"/>
  <c r="AB145" i="19"/>
  <c r="AC145" i="19"/>
  <c r="AD145" i="19"/>
  <c r="AE145" i="19"/>
  <c r="AF145" i="19"/>
  <c r="AG145" i="19"/>
  <c r="AH145" i="19"/>
  <c r="AI145" i="19"/>
  <c r="AJ145" i="19"/>
  <c r="AK145" i="19"/>
  <c r="AL145" i="19"/>
  <c r="AM145" i="19"/>
  <c r="AN145" i="19"/>
  <c r="AO145" i="19"/>
  <c r="AP145" i="19"/>
  <c r="AQ145" i="19"/>
  <c r="AR145" i="19"/>
  <c r="C146" i="19"/>
  <c r="D146" i="19"/>
  <c r="E146" i="19"/>
  <c r="F146" i="19"/>
  <c r="H146" i="19"/>
  <c r="I146" i="19"/>
  <c r="J146" i="19"/>
  <c r="K146" i="19"/>
  <c r="L146" i="19"/>
  <c r="M146" i="19"/>
  <c r="N146" i="19"/>
  <c r="P146" i="19"/>
  <c r="Q146" i="19"/>
  <c r="S146" i="19"/>
  <c r="V146" i="19"/>
  <c r="W146" i="19"/>
  <c r="X146" i="19"/>
  <c r="Z146" i="19"/>
  <c r="AA146" i="19"/>
  <c r="AB146" i="19"/>
  <c r="AC146" i="19"/>
  <c r="AD146" i="19"/>
  <c r="AE146" i="19"/>
  <c r="AF146" i="19"/>
  <c r="AG146" i="19"/>
  <c r="AH146" i="19"/>
  <c r="AI146" i="19"/>
  <c r="AJ146" i="19"/>
  <c r="AK146" i="19"/>
  <c r="AL146" i="19"/>
  <c r="AM146" i="19"/>
  <c r="AN146" i="19"/>
  <c r="AO146" i="19"/>
  <c r="AP146" i="19"/>
  <c r="AQ146" i="19"/>
  <c r="AR146" i="19"/>
  <c r="C147" i="19"/>
  <c r="D147" i="19"/>
  <c r="E147" i="19"/>
  <c r="F147" i="19"/>
  <c r="H147" i="19"/>
  <c r="I147" i="19"/>
  <c r="J147" i="19"/>
  <c r="K147" i="19"/>
  <c r="L147" i="19"/>
  <c r="M147" i="19"/>
  <c r="N147" i="19"/>
  <c r="P147" i="19"/>
  <c r="Q147" i="19"/>
  <c r="S147" i="19"/>
  <c r="V147" i="19"/>
  <c r="W147" i="19"/>
  <c r="X147" i="19"/>
  <c r="Z147" i="19"/>
  <c r="AA147" i="19"/>
  <c r="AB147" i="19"/>
  <c r="AC147" i="19"/>
  <c r="AD147" i="19"/>
  <c r="AE147" i="19"/>
  <c r="AF147" i="19"/>
  <c r="AG147" i="19"/>
  <c r="AH147" i="19"/>
  <c r="AI147" i="19"/>
  <c r="AJ147" i="19"/>
  <c r="AK147" i="19"/>
  <c r="AL147" i="19"/>
  <c r="AM147" i="19"/>
  <c r="AN147" i="19"/>
  <c r="AO147" i="19"/>
  <c r="AP147" i="19"/>
  <c r="AQ147" i="19"/>
  <c r="AR147" i="19"/>
  <c r="C148" i="19"/>
  <c r="D148" i="19"/>
  <c r="E148" i="19"/>
  <c r="F148" i="19"/>
  <c r="H148" i="19"/>
  <c r="I148" i="19"/>
  <c r="J148" i="19"/>
  <c r="K148" i="19"/>
  <c r="L148" i="19"/>
  <c r="M148" i="19"/>
  <c r="N148" i="19"/>
  <c r="P148" i="19"/>
  <c r="Q148" i="19"/>
  <c r="S148" i="19"/>
  <c r="V148" i="19"/>
  <c r="W148" i="19"/>
  <c r="X148" i="19"/>
  <c r="Z148" i="19"/>
  <c r="AA148" i="19"/>
  <c r="AB148" i="19"/>
  <c r="AC148" i="19"/>
  <c r="AD148" i="19"/>
  <c r="AE148" i="19"/>
  <c r="AF148" i="19"/>
  <c r="AG148" i="19"/>
  <c r="AH148" i="19"/>
  <c r="AI148" i="19"/>
  <c r="AJ148" i="19"/>
  <c r="AK148" i="19"/>
  <c r="AL148" i="19"/>
  <c r="AM148" i="19"/>
  <c r="AN148" i="19"/>
  <c r="AO148" i="19"/>
  <c r="AP148" i="19"/>
  <c r="AQ148" i="19"/>
  <c r="AR148" i="19"/>
  <c r="C149" i="19"/>
  <c r="D149" i="19"/>
  <c r="E149" i="19"/>
  <c r="F149" i="19"/>
  <c r="H149" i="19"/>
  <c r="I149" i="19"/>
  <c r="J149" i="19"/>
  <c r="K149" i="19"/>
  <c r="L149" i="19"/>
  <c r="M149" i="19"/>
  <c r="N149" i="19"/>
  <c r="P149" i="19"/>
  <c r="Q149" i="19"/>
  <c r="S149" i="19"/>
  <c r="V149" i="19"/>
  <c r="W149" i="19"/>
  <c r="X149" i="19"/>
  <c r="Z149" i="19"/>
  <c r="AA149" i="19"/>
  <c r="AB149" i="19"/>
  <c r="AC149" i="19"/>
  <c r="AD149" i="19"/>
  <c r="AE149" i="19"/>
  <c r="AF149" i="19"/>
  <c r="AG149" i="19"/>
  <c r="AH149" i="19"/>
  <c r="AI149" i="19"/>
  <c r="AJ149" i="19"/>
  <c r="AK149" i="19"/>
  <c r="AL149" i="19"/>
  <c r="AM149" i="19"/>
  <c r="AN149" i="19"/>
  <c r="AO149" i="19"/>
  <c r="AP149" i="19"/>
  <c r="AQ149" i="19"/>
  <c r="AR149" i="19"/>
  <c r="C150" i="19"/>
  <c r="D150" i="19"/>
  <c r="E150" i="19"/>
  <c r="F150" i="19"/>
  <c r="H150" i="19"/>
  <c r="I150" i="19"/>
  <c r="J150" i="19"/>
  <c r="K150" i="19"/>
  <c r="L150" i="19"/>
  <c r="M150" i="19"/>
  <c r="N150" i="19"/>
  <c r="P150" i="19"/>
  <c r="Q150" i="19"/>
  <c r="S150" i="19"/>
  <c r="V150" i="19"/>
  <c r="W150" i="19"/>
  <c r="X150" i="19"/>
  <c r="Z150" i="19"/>
  <c r="D148" i="32" s="1"/>
  <c r="AA150" i="19"/>
  <c r="AB150" i="19"/>
  <c r="AC150" i="19"/>
  <c r="AD150" i="19"/>
  <c r="AE150" i="19"/>
  <c r="AF150" i="19"/>
  <c r="AG150" i="19"/>
  <c r="AH150" i="19"/>
  <c r="AI150" i="19"/>
  <c r="AJ150" i="19"/>
  <c r="AK150" i="19"/>
  <c r="AL150" i="19"/>
  <c r="AM150" i="19"/>
  <c r="AN150" i="19"/>
  <c r="AO150" i="19"/>
  <c r="AP150" i="19"/>
  <c r="AQ150" i="19"/>
  <c r="AR150" i="19"/>
  <c r="C151" i="19"/>
  <c r="D151" i="19"/>
  <c r="E151" i="19"/>
  <c r="F151" i="19"/>
  <c r="H151" i="19"/>
  <c r="I151" i="19"/>
  <c r="J151" i="19"/>
  <c r="K151" i="19"/>
  <c r="L151" i="19"/>
  <c r="M151" i="19"/>
  <c r="N151" i="19"/>
  <c r="P151" i="19"/>
  <c r="Q151" i="19"/>
  <c r="S151" i="19"/>
  <c r="V151" i="19"/>
  <c r="W151" i="19"/>
  <c r="X151" i="19"/>
  <c r="Z151" i="19"/>
  <c r="AA151" i="19"/>
  <c r="AB151" i="19"/>
  <c r="AC151" i="19"/>
  <c r="AD151" i="19"/>
  <c r="AE151" i="19"/>
  <c r="AF151" i="19"/>
  <c r="AG151" i="19"/>
  <c r="AH151" i="19"/>
  <c r="AI151" i="19"/>
  <c r="AJ151" i="19"/>
  <c r="AK151" i="19"/>
  <c r="AL151" i="19"/>
  <c r="AM151" i="19"/>
  <c r="AN151" i="19"/>
  <c r="AO151" i="19"/>
  <c r="AP151" i="19"/>
  <c r="AQ151" i="19"/>
  <c r="AR151" i="19"/>
  <c r="C152" i="19"/>
  <c r="D152" i="19"/>
  <c r="E152" i="19"/>
  <c r="F152" i="19"/>
  <c r="H152" i="19"/>
  <c r="I152" i="19"/>
  <c r="J152" i="19"/>
  <c r="K152" i="19"/>
  <c r="L152" i="19"/>
  <c r="M152" i="19"/>
  <c r="N152" i="19"/>
  <c r="P152" i="19"/>
  <c r="Q152" i="19"/>
  <c r="S152" i="19"/>
  <c r="V152" i="19"/>
  <c r="W152" i="19"/>
  <c r="X152" i="19"/>
  <c r="Z152" i="19"/>
  <c r="AA152" i="19"/>
  <c r="AB152" i="19"/>
  <c r="AC152" i="19"/>
  <c r="AD152" i="19"/>
  <c r="AE152" i="19"/>
  <c r="AF152" i="19"/>
  <c r="AG152" i="19"/>
  <c r="AH152" i="19"/>
  <c r="AI152" i="19"/>
  <c r="AJ152" i="19"/>
  <c r="AK152" i="19"/>
  <c r="AL152" i="19"/>
  <c r="AM152" i="19"/>
  <c r="AN152" i="19"/>
  <c r="AO152" i="19"/>
  <c r="AP152" i="19"/>
  <c r="AQ152" i="19"/>
  <c r="AR152" i="19"/>
  <c r="C153" i="19"/>
  <c r="D153" i="19"/>
  <c r="E153" i="19"/>
  <c r="F153" i="19"/>
  <c r="H153" i="19"/>
  <c r="I153" i="19"/>
  <c r="J153" i="19"/>
  <c r="K153" i="19"/>
  <c r="L153" i="19"/>
  <c r="M153" i="19"/>
  <c r="N153" i="19"/>
  <c r="P153" i="19"/>
  <c r="Q153" i="19"/>
  <c r="S153" i="19"/>
  <c r="V153" i="19"/>
  <c r="W153" i="19"/>
  <c r="X153" i="19"/>
  <c r="Z153" i="19"/>
  <c r="AA153" i="19"/>
  <c r="AB153" i="19"/>
  <c r="AC153" i="19"/>
  <c r="AD153" i="19"/>
  <c r="AE153" i="19"/>
  <c r="AF153" i="19"/>
  <c r="AG153" i="19"/>
  <c r="AH153" i="19"/>
  <c r="AI153" i="19"/>
  <c r="AJ153" i="19"/>
  <c r="AK153" i="19"/>
  <c r="AL153" i="19"/>
  <c r="AM153" i="19"/>
  <c r="AN153" i="19"/>
  <c r="AO153" i="19"/>
  <c r="AP153" i="19"/>
  <c r="AQ153" i="19"/>
  <c r="AR153" i="19"/>
  <c r="C154" i="19"/>
  <c r="D154" i="19"/>
  <c r="E154" i="19"/>
  <c r="F154" i="19"/>
  <c r="H154" i="19"/>
  <c r="I154" i="19"/>
  <c r="J154" i="19"/>
  <c r="K154" i="19"/>
  <c r="L154" i="19"/>
  <c r="M154" i="19"/>
  <c r="N154" i="19"/>
  <c r="P154" i="19"/>
  <c r="Q154" i="19"/>
  <c r="S154" i="19"/>
  <c r="V154" i="19"/>
  <c r="W154" i="19"/>
  <c r="X154" i="19"/>
  <c r="Z154" i="19"/>
  <c r="AA154" i="19"/>
  <c r="AB154" i="19"/>
  <c r="AC154" i="19"/>
  <c r="AD154" i="19"/>
  <c r="AE154" i="19"/>
  <c r="AF154" i="19"/>
  <c r="AG154" i="19"/>
  <c r="AH154" i="19"/>
  <c r="AI154" i="19"/>
  <c r="AJ154" i="19"/>
  <c r="AK154" i="19"/>
  <c r="AL154" i="19"/>
  <c r="AM154" i="19"/>
  <c r="AN154" i="19"/>
  <c r="AO154" i="19"/>
  <c r="AP154" i="19"/>
  <c r="AQ154" i="19"/>
  <c r="AR154" i="19"/>
  <c r="C155" i="19"/>
  <c r="D155" i="19"/>
  <c r="E155" i="19"/>
  <c r="F155" i="19"/>
  <c r="H155" i="19"/>
  <c r="I155" i="19"/>
  <c r="J155" i="19"/>
  <c r="K155" i="19"/>
  <c r="L155" i="19"/>
  <c r="M155" i="19"/>
  <c r="N155" i="19"/>
  <c r="P155" i="19"/>
  <c r="Q155" i="19"/>
  <c r="S155" i="19"/>
  <c r="V155" i="19"/>
  <c r="W155" i="19"/>
  <c r="X155" i="19"/>
  <c r="Z155" i="19"/>
  <c r="AA155" i="19"/>
  <c r="AB155" i="19"/>
  <c r="AC155" i="19"/>
  <c r="AD155" i="19"/>
  <c r="AE155" i="19"/>
  <c r="AF155" i="19"/>
  <c r="AG155" i="19"/>
  <c r="AH155" i="19"/>
  <c r="AI155" i="19"/>
  <c r="AJ155" i="19"/>
  <c r="AK155" i="19"/>
  <c r="AL155" i="19"/>
  <c r="AM155" i="19"/>
  <c r="AN155" i="19"/>
  <c r="AO155" i="19"/>
  <c r="AP155" i="19"/>
  <c r="AQ155" i="19"/>
  <c r="AR155" i="19"/>
  <c r="C156" i="19"/>
  <c r="D156" i="19"/>
  <c r="E156" i="19"/>
  <c r="F156" i="19"/>
  <c r="H156" i="19"/>
  <c r="I156" i="19"/>
  <c r="J156" i="19"/>
  <c r="K156" i="19"/>
  <c r="L156" i="19"/>
  <c r="M156" i="19"/>
  <c r="N156" i="19"/>
  <c r="P156" i="19"/>
  <c r="Q156" i="19"/>
  <c r="S156" i="19"/>
  <c r="V156" i="19"/>
  <c r="W156" i="19"/>
  <c r="X156" i="19"/>
  <c r="Z156" i="19"/>
  <c r="AA156" i="19"/>
  <c r="AB156" i="19"/>
  <c r="AC156" i="19"/>
  <c r="AD156" i="19"/>
  <c r="AE156" i="19"/>
  <c r="AF156" i="19"/>
  <c r="AG156" i="19"/>
  <c r="AH156" i="19"/>
  <c r="AI156" i="19"/>
  <c r="AJ156" i="19"/>
  <c r="AK156" i="19"/>
  <c r="AL156" i="19"/>
  <c r="AM156" i="19"/>
  <c r="AN156" i="19"/>
  <c r="AO156" i="19"/>
  <c r="AP156" i="19"/>
  <c r="AQ156" i="19"/>
  <c r="AR156" i="19"/>
  <c r="C157" i="19"/>
  <c r="D157" i="19"/>
  <c r="E157" i="19"/>
  <c r="F157" i="19"/>
  <c r="H157" i="19"/>
  <c r="I157" i="19"/>
  <c r="J157" i="19"/>
  <c r="K157" i="19"/>
  <c r="L157" i="19"/>
  <c r="M157" i="19"/>
  <c r="N157" i="19"/>
  <c r="P157" i="19"/>
  <c r="Q157" i="19"/>
  <c r="S157" i="19"/>
  <c r="V157" i="19"/>
  <c r="W157" i="19"/>
  <c r="X157" i="19"/>
  <c r="Z157" i="19"/>
  <c r="AA157" i="19"/>
  <c r="AB157" i="19"/>
  <c r="AC157" i="19"/>
  <c r="AD157" i="19"/>
  <c r="AE157" i="19"/>
  <c r="AF157" i="19"/>
  <c r="AG157" i="19"/>
  <c r="AH157" i="19"/>
  <c r="AI157" i="19"/>
  <c r="AJ157" i="19"/>
  <c r="AK157" i="19"/>
  <c r="AL157" i="19"/>
  <c r="AM157" i="19"/>
  <c r="AN157" i="19"/>
  <c r="AO157" i="19"/>
  <c r="AP157" i="19"/>
  <c r="AQ157" i="19"/>
  <c r="AR157" i="19"/>
  <c r="C158" i="19"/>
  <c r="D158" i="19"/>
  <c r="E158" i="19"/>
  <c r="F158" i="19"/>
  <c r="H158" i="19"/>
  <c r="I158" i="19"/>
  <c r="J158" i="19"/>
  <c r="K158" i="19"/>
  <c r="L158" i="19"/>
  <c r="M158" i="19"/>
  <c r="N158" i="19"/>
  <c r="P158" i="19"/>
  <c r="Q158" i="19"/>
  <c r="S158" i="19"/>
  <c r="V158" i="19"/>
  <c r="W158" i="19"/>
  <c r="X158" i="19"/>
  <c r="Z158" i="19"/>
  <c r="AA158" i="19"/>
  <c r="AB158" i="19"/>
  <c r="AC158" i="19"/>
  <c r="AD158" i="19"/>
  <c r="AE158" i="19"/>
  <c r="AF158" i="19"/>
  <c r="AG158" i="19"/>
  <c r="AH158" i="19"/>
  <c r="AI158" i="19"/>
  <c r="AJ158" i="19"/>
  <c r="AK158" i="19"/>
  <c r="AL158" i="19"/>
  <c r="AM158" i="19"/>
  <c r="AN158" i="19"/>
  <c r="AO158" i="19"/>
  <c r="AP158" i="19"/>
  <c r="AQ158" i="19"/>
  <c r="AR158" i="19"/>
  <c r="C159" i="19"/>
  <c r="D159" i="19"/>
  <c r="E159" i="19"/>
  <c r="F159" i="19"/>
  <c r="H159" i="19"/>
  <c r="I159" i="19"/>
  <c r="J159" i="19"/>
  <c r="K159" i="19"/>
  <c r="L159" i="19"/>
  <c r="M159" i="19"/>
  <c r="N159" i="19"/>
  <c r="P159" i="19"/>
  <c r="O159" i="19" s="1"/>
  <c r="Q159" i="19"/>
  <c r="S159" i="19"/>
  <c r="V159" i="19"/>
  <c r="W159" i="19"/>
  <c r="X159" i="19"/>
  <c r="Z159" i="19"/>
  <c r="AA159" i="19"/>
  <c r="AB159" i="19"/>
  <c r="AC159" i="19"/>
  <c r="AD159" i="19"/>
  <c r="AE159" i="19"/>
  <c r="AF159" i="19"/>
  <c r="AG159" i="19"/>
  <c r="AH159" i="19"/>
  <c r="AI159" i="19"/>
  <c r="AJ159" i="19"/>
  <c r="AK159" i="19"/>
  <c r="AL159" i="19"/>
  <c r="AM159" i="19"/>
  <c r="AN159" i="19"/>
  <c r="AO159" i="19"/>
  <c r="AP159" i="19"/>
  <c r="AQ159" i="19"/>
  <c r="AR159" i="19"/>
  <c r="C160" i="19"/>
  <c r="D160" i="19"/>
  <c r="E160" i="19"/>
  <c r="F160" i="19"/>
  <c r="H160" i="19"/>
  <c r="I160" i="19"/>
  <c r="J160" i="19"/>
  <c r="K160" i="19"/>
  <c r="L160" i="19"/>
  <c r="M160" i="19"/>
  <c r="N160" i="19"/>
  <c r="P160" i="19"/>
  <c r="Q160" i="19"/>
  <c r="S160" i="19"/>
  <c r="V160" i="19"/>
  <c r="W160" i="19"/>
  <c r="X160" i="19"/>
  <c r="Z160" i="19"/>
  <c r="AA160" i="19"/>
  <c r="AB160" i="19"/>
  <c r="AC160" i="19"/>
  <c r="AD160" i="19"/>
  <c r="AE160" i="19"/>
  <c r="AF160" i="19"/>
  <c r="AG160" i="19"/>
  <c r="AH160" i="19"/>
  <c r="AI160" i="19"/>
  <c r="AJ160" i="19"/>
  <c r="AK160" i="19"/>
  <c r="AL160" i="19"/>
  <c r="AM160" i="19"/>
  <c r="AN160" i="19"/>
  <c r="AO160" i="19"/>
  <c r="AP160" i="19"/>
  <c r="AQ160" i="19"/>
  <c r="AR160" i="19"/>
  <c r="C161" i="19"/>
  <c r="D161" i="19"/>
  <c r="E161" i="19"/>
  <c r="F161" i="19"/>
  <c r="H161" i="19"/>
  <c r="I161" i="19"/>
  <c r="J161" i="19"/>
  <c r="K161" i="19"/>
  <c r="L161" i="19"/>
  <c r="M161" i="19"/>
  <c r="N161" i="19"/>
  <c r="P161" i="19"/>
  <c r="Q161" i="19"/>
  <c r="S161" i="19"/>
  <c r="V161" i="19"/>
  <c r="W161" i="19"/>
  <c r="X161" i="19"/>
  <c r="Z161" i="19"/>
  <c r="AA161" i="19"/>
  <c r="AB161" i="19"/>
  <c r="AC161" i="19"/>
  <c r="AD161" i="19"/>
  <c r="AE161" i="19"/>
  <c r="AF161" i="19"/>
  <c r="AG161" i="19"/>
  <c r="AH161" i="19"/>
  <c r="AI161" i="19"/>
  <c r="AJ161" i="19"/>
  <c r="AK161" i="19"/>
  <c r="AL161" i="19"/>
  <c r="AM161" i="19"/>
  <c r="AN161" i="19"/>
  <c r="AO161" i="19"/>
  <c r="AP161" i="19"/>
  <c r="AQ161" i="19"/>
  <c r="AR161" i="19"/>
  <c r="C162" i="19"/>
  <c r="D162" i="19"/>
  <c r="E162" i="19"/>
  <c r="F162" i="19"/>
  <c r="H162" i="19"/>
  <c r="I162" i="19"/>
  <c r="J162" i="19"/>
  <c r="K162" i="19"/>
  <c r="L162" i="19"/>
  <c r="M162" i="19"/>
  <c r="N162" i="19"/>
  <c r="P162" i="19"/>
  <c r="Q162" i="19"/>
  <c r="S162" i="19"/>
  <c r="V162" i="19"/>
  <c r="W162" i="19"/>
  <c r="X162" i="19"/>
  <c r="Z162" i="19"/>
  <c r="AA162" i="19"/>
  <c r="AB162" i="19"/>
  <c r="AC162" i="19"/>
  <c r="AD162" i="19"/>
  <c r="AE162" i="19"/>
  <c r="AF162" i="19"/>
  <c r="AG162" i="19"/>
  <c r="AH162" i="19"/>
  <c r="AI162" i="19"/>
  <c r="AJ162" i="19"/>
  <c r="AK162" i="19"/>
  <c r="AL162" i="19"/>
  <c r="AM162" i="19"/>
  <c r="AN162" i="19"/>
  <c r="AO162" i="19"/>
  <c r="AP162" i="19"/>
  <c r="AQ162" i="19"/>
  <c r="AR162" i="19"/>
  <c r="C163" i="19"/>
  <c r="D163" i="19"/>
  <c r="E163" i="19"/>
  <c r="F163" i="19"/>
  <c r="H163" i="19"/>
  <c r="I163" i="19"/>
  <c r="J163" i="19"/>
  <c r="K163" i="19"/>
  <c r="L163" i="19"/>
  <c r="M163" i="19"/>
  <c r="N163" i="19"/>
  <c r="P163" i="19"/>
  <c r="Q163" i="19"/>
  <c r="S163" i="19"/>
  <c r="V163" i="19"/>
  <c r="W163" i="19"/>
  <c r="X163" i="19"/>
  <c r="Z163" i="19"/>
  <c r="D161" i="32" s="1"/>
  <c r="AA163" i="19"/>
  <c r="AB163" i="19"/>
  <c r="AC163" i="19"/>
  <c r="AD163" i="19"/>
  <c r="AE163" i="19"/>
  <c r="AF163" i="19"/>
  <c r="AG163" i="19"/>
  <c r="AH163" i="19"/>
  <c r="AI163" i="19"/>
  <c r="AJ163" i="19"/>
  <c r="AK163" i="19"/>
  <c r="AL163" i="19"/>
  <c r="AM163" i="19"/>
  <c r="AN163" i="19"/>
  <c r="AO163" i="19"/>
  <c r="AP163" i="19"/>
  <c r="AQ163" i="19"/>
  <c r="AR163" i="19"/>
  <c r="C164" i="19"/>
  <c r="D164" i="19"/>
  <c r="E164" i="19"/>
  <c r="F164" i="19"/>
  <c r="H164" i="19"/>
  <c r="I164" i="19"/>
  <c r="J164" i="19"/>
  <c r="K164" i="19"/>
  <c r="L164" i="19"/>
  <c r="M164" i="19"/>
  <c r="N164" i="19"/>
  <c r="P164" i="19"/>
  <c r="Q164" i="19"/>
  <c r="S164" i="19"/>
  <c r="V164" i="19"/>
  <c r="Y164" i="19" s="1"/>
  <c r="W164" i="19"/>
  <c r="X164" i="19"/>
  <c r="Z164" i="19"/>
  <c r="D162" i="32" s="1"/>
  <c r="AA164" i="19"/>
  <c r="AB164" i="19"/>
  <c r="AC164" i="19"/>
  <c r="AD164" i="19"/>
  <c r="AE164" i="19"/>
  <c r="AF164" i="19"/>
  <c r="AG164" i="19"/>
  <c r="AH164" i="19"/>
  <c r="AI164" i="19"/>
  <c r="AJ164" i="19"/>
  <c r="AK164" i="19"/>
  <c r="AL164" i="19"/>
  <c r="AM164" i="19"/>
  <c r="AN164" i="19"/>
  <c r="AO164" i="19"/>
  <c r="AP164" i="19"/>
  <c r="AQ164" i="19"/>
  <c r="AR164" i="19"/>
  <c r="C165" i="19"/>
  <c r="D165" i="19"/>
  <c r="E165" i="19"/>
  <c r="F165" i="19"/>
  <c r="H165" i="19"/>
  <c r="I165" i="19"/>
  <c r="J165" i="19"/>
  <c r="K165" i="19"/>
  <c r="L165" i="19"/>
  <c r="M165" i="19"/>
  <c r="N165" i="19"/>
  <c r="P165" i="19"/>
  <c r="Q165" i="19"/>
  <c r="O165" i="19" s="1"/>
  <c r="S165" i="19"/>
  <c r="V165" i="19"/>
  <c r="W165" i="19"/>
  <c r="X165" i="19"/>
  <c r="Z165" i="19"/>
  <c r="AA165" i="19"/>
  <c r="AB165" i="19"/>
  <c r="AC165" i="19"/>
  <c r="AD165" i="19"/>
  <c r="AE165" i="19"/>
  <c r="AF165" i="19"/>
  <c r="AG165" i="19"/>
  <c r="AH165" i="19"/>
  <c r="AI165" i="19"/>
  <c r="AJ165" i="19"/>
  <c r="AK165" i="19"/>
  <c r="AL165" i="19"/>
  <c r="AM165" i="19"/>
  <c r="AN165" i="19"/>
  <c r="AO165" i="19"/>
  <c r="AP165" i="19"/>
  <c r="AQ165" i="19"/>
  <c r="AR165" i="19"/>
  <c r="C166" i="19"/>
  <c r="D166" i="19"/>
  <c r="E166" i="19"/>
  <c r="F166" i="19"/>
  <c r="H166" i="19"/>
  <c r="I166" i="19"/>
  <c r="J166" i="19"/>
  <c r="K166" i="19"/>
  <c r="L166" i="19"/>
  <c r="M166" i="19"/>
  <c r="N166" i="19"/>
  <c r="P166" i="19"/>
  <c r="Q166" i="19"/>
  <c r="S166" i="19"/>
  <c r="V166" i="19"/>
  <c r="W166" i="19"/>
  <c r="X166" i="19"/>
  <c r="Z166" i="19"/>
  <c r="D164" i="32" s="1"/>
  <c r="AA166" i="19"/>
  <c r="AB166" i="19"/>
  <c r="AC166" i="19"/>
  <c r="AD166" i="19"/>
  <c r="AE166" i="19"/>
  <c r="AF166" i="19"/>
  <c r="AG166" i="19"/>
  <c r="AH166" i="19"/>
  <c r="AI166" i="19"/>
  <c r="AJ166" i="19"/>
  <c r="AK166" i="19"/>
  <c r="AL166" i="19"/>
  <c r="AM166" i="19"/>
  <c r="AN166" i="19"/>
  <c r="AO166" i="19"/>
  <c r="AP166" i="19"/>
  <c r="AQ166" i="19"/>
  <c r="AR166" i="19"/>
  <c r="C167" i="19"/>
  <c r="D167" i="19"/>
  <c r="E167" i="19"/>
  <c r="F167" i="19"/>
  <c r="H167" i="19"/>
  <c r="I167" i="19"/>
  <c r="J167" i="19"/>
  <c r="K167" i="19"/>
  <c r="L167" i="19"/>
  <c r="M167" i="19"/>
  <c r="N167" i="19"/>
  <c r="P167" i="19"/>
  <c r="Q167" i="19"/>
  <c r="S167" i="19"/>
  <c r="V167" i="19"/>
  <c r="W167" i="19"/>
  <c r="X167" i="19"/>
  <c r="Z167" i="19"/>
  <c r="AA167" i="19"/>
  <c r="AB167" i="19"/>
  <c r="AC167" i="19"/>
  <c r="AD167" i="19"/>
  <c r="AE167" i="19"/>
  <c r="AF167" i="19"/>
  <c r="AG167" i="19"/>
  <c r="AH167" i="19"/>
  <c r="AI167" i="19"/>
  <c r="AJ167" i="19"/>
  <c r="AK167" i="19"/>
  <c r="AL167" i="19"/>
  <c r="AM167" i="19"/>
  <c r="AN167" i="19"/>
  <c r="AO167" i="19"/>
  <c r="AP167" i="19"/>
  <c r="AQ167" i="19"/>
  <c r="AR167" i="19"/>
  <c r="C168" i="19"/>
  <c r="D168" i="19"/>
  <c r="E168" i="19"/>
  <c r="F168" i="19"/>
  <c r="H168" i="19"/>
  <c r="I168" i="19"/>
  <c r="J168" i="19"/>
  <c r="K168" i="19"/>
  <c r="L168" i="19"/>
  <c r="M168" i="19"/>
  <c r="N168" i="19"/>
  <c r="P168" i="19"/>
  <c r="Q168" i="19"/>
  <c r="S168" i="19"/>
  <c r="V168" i="19"/>
  <c r="Y168" i="19" s="1"/>
  <c r="W168" i="19"/>
  <c r="X168" i="19"/>
  <c r="Z168" i="19"/>
  <c r="AA168" i="19"/>
  <c r="AB168" i="19"/>
  <c r="AC168" i="19"/>
  <c r="AD168" i="19"/>
  <c r="AE168" i="19"/>
  <c r="AF168" i="19"/>
  <c r="AG168" i="19"/>
  <c r="AH168" i="19"/>
  <c r="AI168" i="19"/>
  <c r="AJ168" i="19"/>
  <c r="AK168" i="19"/>
  <c r="AL168" i="19"/>
  <c r="AM168" i="19"/>
  <c r="AN168" i="19"/>
  <c r="AO168" i="19"/>
  <c r="AP168" i="19"/>
  <c r="AQ168" i="19"/>
  <c r="AR168" i="19"/>
  <c r="C169" i="19"/>
  <c r="D169" i="19"/>
  <c r="E169" i="19"/>
  <c r="F169" i="19"/>
  <c r="H169" i="19"/>
  <c r="I169" i="19"/>
  <c r="J169" i="19"/>
  <c r="K169" i="19"/>
  <c r="L169" i="19"/>
  <c r="M169" i="19"/>
  <c r="N169" i="19"/>
  <c r="P169" i="19"/>
  <c r="Q169" i="19"/>
  <c r="O169" i="19" s="1"/>
  <c r="S169" i="19"/>
  <c r="V169" i="19"/>
  <c r="W169" i="19"/>
  <c r="X169" i="19"/>
  <c r="Z169" i="19"/>
  <c r="D167" i="32" s="1"/>
  <c r="AA169" i="19"/>
  <c r="AB169" i="19"/>
  <c r="AC169" i="19"/>
  <c r="AD169" i="19"/>
  <c r="AE169" i="19"/>
  <c r="AF169" i="19"/>
  <c r="AG169" i="19"/>
  <c r="AH169" i="19"/>
  <c r="AI169" i="19"/>
  <c r="AJ169" i="19"/>
  <c r="AK169" i="19"/>
  <c r="AL169" i="19"/>
  <c r="AM169" i="19"/>
  <c r="AN169" i="19"/>
  <c r="AO169" i="19"/>
  <c r="AP169" i="19"/>
  <c r="AQ169" i="19"/>
  <c r="AR169" i="19"/>
  <c r="C170" i="19"/>
  <c r="D170" i="19"/>
  <c r="E170" i="19"/>
  <c r="F170" i="19"/>
  <c r="H170" i="19"/>
  <c r="I170" i="19"/>
  <c r="J170" i="19"/>
  <c r="K170" i="19"/>
  <c r="L170" i="19"/>
  <c r="M170" i="19"/>
  <c r="N170" i="19"/>
  <c r="P170" i="19"/>
  <c r="Q170" i="19"/>
  <c r="S170" i="19"/>
  <c r="V170" i="19"/>
  <c r="W170" i="19"/>
  <c r="X170" i="19"/>
  <c r="Z170" i="19"/>
  <c r="AA170" i="19"/>
  <c r="AB170" i="19"/>
  <c r="AC170" i="19"/>
  <c r="AD170" i="19"/>
  <c r="AE170" i="19"/>
  <c r="AF170" i="19"/>
  <c r="AG170" i="19"/>
  <c r="AH170" i="19"/>
  <c r="AI170" i="19"/>
  <c r="AJ170" i="19"/>
  <c r="AK170" i="19"/>
  <c r="AL170" i="19"/>
  <c r="AM170" i="19"/>
  <c r="AN170" i="19"/>
  <c r="AO170" i="19"/>
  <c r="AP170" i="19"/>
  <c r="AQ170" i="19"/>
  <c r="AR170" i="19"/>
  <c r="C171" i="19"/>
  <c r="D171" i="19"/>
  <c r="E171" i="19"/>
  <c r="F171" i="19"/>
  <c r="H171" i="19"/>
  <c r="I171" i="19"/>
  <c r="J171" i="19"/>
  <c r="K171" i="19"/>
  <c r="L171" i="19"/>
  <c r="M171" i="19"/>
  <c r="N171" i="19"/>
  <c r="P171" i="19"/>
  <c r="Q171" i="19"/>
  <c r="S171" i="19"/>
  <c r="V171" i="19"/>
  <c r="W171" i="19"/>
  <c r="X171" i="19"/>
  <c r="Z171" i="19"/>
  <c r="D169" i="32" s="1"/>
  <c r="AA171" i="19"/>
  <c r="AB171" i="19"/>
  <c r="AC171" i="19"/>
  <c r="AD171" i="19"/>
  <c r="AE171" i="19"/>
  <c r="AF171" i="19"/>
  <c r="AG171" i="19"/>
  <c r="AH171" i="19"/>
  <c r="AI171" i="19"/>
  <c r="AJ171" i="19"/>
  <c r="AK171" i="19"/>
  <c r="AL171" i="19"/>
  <c r="AM171" i="19"/>
  <c r="AN171" i="19"/>
  <c r="AO171" i="19"/>
  <c r="AP171" i="19"/>
  <c r="AQ171" i="19"/>
  <c r="AR171" i="19"/>
  <c r="C172" i="19"/>
  <c r="D172" i="19"/>
  <c r="E172" i="19"/>
  <c r="F172" i="19"/>
  <c r="H172" i="19"/>
  <c r="I172" i="19"/>
  <c r="J172" i="19"/>
  <c r="K172" i="19"/>
  <c r="L172" i="19"/>
  <c r="M172" i="19"/>
  <c r="N172" i="19"/>
  <c r="P172" i="19"/>
  <c r="Q172" i="19"/>
  <c r="S172" i="19"/>
  <c r="V172" i="19"/>
  <c r="Y172" i="19" s="1"/>
  <c r="W172" i="19"/>
  <c r="X172" i="19"/>
  <c r="Z172" i="19"/>
  <c r="D170" i="32" s="1"/>
  <c r="AA172" i="19"/>
  <c r="AB172" i="19"/>
  <c r="AC172" i="19"/>
  <c r="AD172" i="19"/>
  <c r="AE172" i="19"/>
  <c r="AF172" i="19"/>
  <c r="AG172" i="19"/>
  <c r="AH172" i="19"/>
  <c r="AI172" i="19"/>
  <c r="AJ172" i="19"/>
  <c r="AK172" i="19"/>
  <c r="AL172" i="19"/>
  <c r="AM172" i="19"/>
  <c r="AN172" i="19"/>
  <c r="AO172" i="19"/>
  <c r="AP172" i="19"/>
  <c r="AQ172" i="19"/>
  <c r="AR172" i="19"/>
  <c r="C173" i="19"/>
  <c r="D173" i="19"/>
  <c r="E173" i="19"/>
  <c r="F173" i="19"/>
  <c r="H173" i="19"/>
  <c r="I173" i="19"/>
  <c r="J173" i="19"/>
  <c r="K173" i="19"/>
  <c r="L173" i="19"/>
  <c r="M173" i="19"/>
  <c r="N173" i="19"/>
  <c r="P173" i="19"/>
  <c r="Q173" i="19"/>
  <c r="O173" i="19" s="1"/>
  <c r="S173" i="19"/>
  <c r="V173" i="19"/>
  <c r="W173" i="19"/>
  <c r="X173" i="19"/>
  <c r="Z173" i="19"/>
  <c r="AA173" i="19"/>
  <c r="AB173" i="19"/>
  <c r="AC173" i="19"/>
  <c r="AD173" i="19"/>
  <c r="AE173" i="19"/>
  <c r="AF173" i="19"/>
  <c r="AG173" i="19"/>
  <c r="AH173" i="19"/>
  <c r="AI173" i="19"/>
  <c r="AJ173" i="19"/>
  <c r="AK173" i="19"/>
  <c r="AL173" i="19"/>
  <c r="AM173" i="19"/>
  <c r="AN173" i="19"/>
  <c r="AO173" i="19"/>
  <c r="AP173" i="19"/>
  <c r="AQ173" i="19"/>
  <c r="AR173" i="19"/>
  <c r="C174" i="19"/>
  <c r="D174" i="19"/>
  <c r="E174" i="19"/>
  <c r="F174" i="19"/>
  <c r="H174" i="19"/>
  <c r="I174" i="19"/>
  <c r="J174" i="19"/>
  <c r="K174" i="19"/>
  <c r="L174" i="19"/>
  <c r="M174" i="19"/>
  <c r="N174" i="19"/>
  <c r="P174" i="19"/>
  <c r="Q174" i="19"/>
  <c r="S174" i="19"/>
  <c r="V174" i="19"/>
  <c r="W174" i="19"/>
  <c r="X174" i="19"/>
  <c r="Z174" i="19"/>
  <c r="AA174" i="19"/>
  <c r="AB174" i="19"/>
  <c r="AC174" i="19"/>
  <c r="AD174" i="19"/>
  <c r="AE174" i="19"/>
  <c r="AF174" i="19"/>
  <c r="AG174" i="19"/>
  <c r="AH174" i="19"/>
  <c r="AI174" i="19"/>
  <c r="AJ174" i="19"/>
  <c r="AK174" i="19"/>
  <c r="AL174" i="19"/>
  <c r="AM174" i="19"/>
  <c r="AN174" i="19"/>
  <c r="AO174" i="19"/>
  <c r="AP174" i="19"/>
  <c r="AQ174" i="19"/>
  <c r="AR174" i="19"/>
  <c r="C175" i="19"/>
  <c r="D175" i="19"/>
  <c r="E175" i="19"/>
  <c r="F175" i="19"/>
  <c r="H175" i="19"/>
  <c r="I175" i="19"/>
  <c r="J175" i="19"/>
  <c r="K175" i="19"/>
  <c r="L175" i="19"/>
  <c r="M175" i="19"/>
  <c r="N175" i="19"/>
  <c r="P175" i="19"/>
  <c r="Q175" i="19"/>
  <c r="S175" i="19"/>
  <c r="V175" i="19"/>
  <c r="W175" i="19"/>
  <c r="X175" i="19"/>
  <c r="Z175" i="19"/>
  <c r="AA175" i="19"/>
  <c r="AB175" i="19"/>
  <c r="AC175" i="19"/>
  <c r="AD175" i="19"/>
  <c r="AE175" i="19"/>
  <c r="AF175" i="19"/>
  <c r="AG175" i="19"/>
  <c r="AH175" i="19"/>
  <c r="AI175" i="19"/>
  <c r="AJ175" i="19"/>
  <c r="AK175" i="19"/>
  <c r="AL175" i="19"/>
  <c r="AM175" i="19"/>
  <c r="AN175" i="19"/>
  <c r="AO175" i="19"/>
  <c r="AP175" i="19"/>
  <c r="AQ175" i="19"/>
  <c r="AR175" i="19"/>
  <c r="C176" i="19"/>
  <c r="D176" i="19"/>
  <c r="E176" i="19"/>
  <c r="F176" i="19"/>
  <c r="H176" i="19"/>
  <c r="I176" i="19"/>
  <c r="J176" i="19"/>
  <c r="K176" i="19"/>
  <c r="L176" i="19"/>
  <c r="M176" i="19"/>
  <c r="N176" i="19"/>
  <c r="P176" i="19"/>
  <c r="Q176" i="19"/>
  <c r="S176" i="19"/>
  <c r="V176" i="19"/>
  <c r="Y176" i="19" s="1"/>
  <c r="W176" i="19"/>
  <c r="X176" i="19"/>
  <c r="Z176" i="19"/>
  <c r="D174" i="32" s="1"/>
  <c r="AA176" i="19"/>
  <c r="AB176" i="19"/>
  <c r="AC176" i="19"/>
  <c r="AD176" i="19"/>
  <c r="AE176" i="19"/>
  <c r="AF176" i="19"/>
  <c r="AG176" i="19"/>
  <c r="AH176" i="19"/>
  <c r="AI176" i="19"/>
  <c r="AJ176" i="19"/>
  <c r="AK176" i="19"/>
  <c r="AL176" i="19"/>
  <c r="AM176" i="19"/>
  <c r="AN176" i="19"/>
  <c r="AO176" i="19"/>
  <c r="AP176" i="19"/>
  <c r="AQ176" i="19"/>
  <c r="AR176" i="19"/>
  <c r="C177" i="19"/>
  <c r="D177" i="19"/>
  <c r="E177" i="19"/>
  <c r="F177" i="19"/>
  <c r="H177" i="19"/>
  <c r="I177" i="19"/>
  <c r="J177" i="19"/>
  <c r="K177" i="19"/>
  <c r="L177" i="19"/>
  <c r="M177" i="19"/>
  <c r="N177" i="19"/>
  <c r="P177" i="19"/>
  <c r="Q177" i="19"/>
  <c r="O177" i="19" s="1"/>
  <c r="S177" i="19"/>
  <c r="V177" i="19"/>
  <c r="W177" i="19"/>
  <c r="X177" i="19"/>
  <c r="Z177" i="19"/>
  <c r="D175" i="32" s="1"/>
  <c r="AA177" i="19"/>
  <c r="AB177" i="19"/>
  <c r="AC177" i="19"/>
  <c r="AD177" i="19"/>
  <c r="AE177" i="19"/>
  <c r="AF177" i="19"/>
  <c r="AG177" i="19"/>
  <c r="AH177" i="19"/>
  <c r="AI177" i="19"/>
  <c r="AJ177" i="19"/>
  <c r="AK177" i="19"/>
  <c r="AL177" i="19"/>
  <c r="AM177" i="19"/>
  <c r="AN177" i="19"/>
  <c r="AO177" i="19"/>
  <c r="AP177" i="19"/>
  <c r="AQ177" i="19"/>
  <c r="AR177" i="19"/>
  <c r="C178" i="19"/>
  <c r="D178" i="19"/>
  <c r="E178" i="19"/>
  <c r="F178" i="19"/>
  <c r="H178" i="19"/>
  <c r="I178" i="19"/>
  <c r="J178" i="19"/>
  <c r="K178" i="19"/>
  <c r="L178" i="19"/>
  <c r="M178" i="19"/>
  <c r="N178" i="19"/>
  <c r="P178" i="19"/>
  <c r="Q178" i="19"/>
  <c r="S178" i="19"/>
  <c r="V178" i="19"/>
  <c r="W178" i="19"/>
  <c r="X178" i="19"/>
  <c r="Z178" i="19"/>
  <c r="D176" i="32" s="1"/>
  <c r="AA178" i="19"/>
  <c r="AB178" i="19"/>
  <c r="AC178" i="19"/>
  <c r="AD178" i="19"/>
  <c r="AE178" i="19"/>
  <c r="AF178" i="19"/>
  <c r="AG178" i="19"/>
  <c r="AH178" i="19"/>
  <c r="AI178" i="19"/>
  <c r="AJ178" i="19"/>
  <c r="AK178" i="19"/>
  <c r="AL178" i="19"/>
  <c r="AM178" i="19"/>
  <c r="AN178" i="19"/>
  <c r="AO178" i="19"/>
  <c r="AP178" i="19"/>
  <c r="AQ178" i="19"/>
  <c r="AR178" i="19"/>
  <c r="C179" i="19"/>
  <c r="D179" i="19"/>
  <c r="E179" i="19"/>
  <c r="F179" i="19"/>
  <c r="H179" i="19"/>
  <c r="I179" i="19"/>
  <c r="J179" i="19"/>
  <c r="K179" i="19"/>
  <c r="L179" i="19"/>
  <c r="M179" i="19"/>
  <c r="N179" i="19"/>
  <c r="P179" i="19"/>
  <c r="Q179" i="19"/>
  <c r="S179" i="19"/>
  <c r="V179" i="19"/>
  <c r="W179" i="19"/>
  <c r="X179" i="19"/>
  <c r="Z179" i="19"/>
  <c r="AA179" i="19"/>
  <c r="AB179" i="19"/>
  <c r="AC179" i="19"/>
  <c r="AD179" i="19"/>
  <c r="AE179" i="19"/>
  <c r="AF179" i="19"/>
  <c r="AG179" i="19"/>
  <c r="AH179" i="19"/>
  <c r="AI179" i="19"/>
  <c r="AJ179" i="19"/>
  <c r="AK179" i="19"/>
  <c r="AL179" i="19"/>
  <c r="AM179" i="19"/>
  <c r="AN179" i="19"/>
  <c r="AO179" i="19"/>
  <c r="AP179" i="19"/>
  <c r="AQ179" i="19"/>
  <c r="AR179" i="19"/>
  <c r="C180" i="19"/>
  <c r="D180" i="19"/>
  <c r="E180" i="19"/>
  <c r="F180" i="19"/>
  <c r="H180" i="19"/>
  <c r="I180" i="19"/>
  <c r="J180" i="19"/>
  <c r="K180" i="19"/>
  <c r="L180" i="19"/>
  <c r="M180" i="19"/>
  <c r="N180" i="19"/>
  <c r="P180" i="19"/>
  <c r="Q180" i="19"/>
  <c r="S180" i="19"/>
  <c r="V180" i="19"/>
  <c r="Y180" i="19" s="1"/>
  <c r="W180" i="19"/>
  <c r="X180" i="19"/>
  <c r="Z180" i="19"/>
  <c r="AA180" i="19"/>
  <c r="AB180" i="19"/>
  <c r="AC180" i="19"/>
  <c r="AD180" i="19"/>
  <c r="AE180" i="19"/>
  <c r="AF180" i="19"/>
  <c r="AG180" i="19"/>
  <c r="AH180" i="19"/>
  <c r="AI180" i="19"/>
  <c r="AJ180" i="19"/>
  <c r="AK180" i="19"/>
  <c r="AL180" i="19"/>
  <c r="AM180" i="19"/>
  <c r="AN180" i="19"/>
  <c r="AO180" i="19"/>
  <c r="AP180" i="19"/>
  <c r="AQ180" i="19"/>
  <c r="AR180" i="19"/>
  <c r="C181" i="19"/>
  <c r="D181" i="19"/>
  <c r="E181" i="19"/>
  <c r="F181" i="19"/>
  <c r="H181" i="19"/>
  <c r="I181" i="19"/>
  <c r="J181" i="19"/>
  <c r="K181" i="19"/>
  <c r="L181" i="19"/>
  <c r="M181" i="19"/>
  <c r="N181" i="19"/>
  <c r="P181" i="19"/>
  <c r="Q181" i="19"/>
  <c r="O181" i="19" s="1"/>
  <c r="S181" i="19"/>
  <c r="V181" i="19"/>
  <c r="W181" i="19"/>
  <c r="X181" i="19"/>
  <c r="Z181" i="19"/>
  <c r="D179" i="32" s="1"/>
  <c r="AA181" i="19"/>
  <c r="AB181" i="19"/>
  <c r="AC181" i="19"/>
  <c r="AD181" i="19"/>
  <c r="AE181" i="19"/>
  <c r="AF181" i="19"/>
  <c r="AG181" i="19"/>
  <c r="AH181" i="19"/>
  <c r="AI181" i="19"/>
  <c r="AJ181" i="19"/>
  <c r="AK181" i="19"/>
  <c r="AL181" i="19"/>
  <c r="AM181" i="19"/>
  <c r="AN181" i="19"/>
  <c r="AO181" i="19"/>
  <c r="AP181" i="19"/>
  <c r="AQ181" i="19"/>
  <c r="AR181" i="19"/>
  <c r="C182" i="19"/>
  <c r="D182" i="19"/>
  <c r="E182" i="19"/>
  <c r="F182" i="19"/>
  <c r="H182" i="19"/>
  <c r="I182" i="19"/>
  <c r="J182" i="19"/>
  <c r="K182" i="19"/>
  <c r="L182" i="19"/>
  <c r="M182" i="19"/>
  <c r="N182" i="19"/>
  <c r="P182" i="19"/>
  <c r="Q182" i="19"/>
  <c r="S182" i="19"/>
  <c r="V182" i="19"/>
  <c r="W182" i="19"/>
  <c r="X182" i="19"/>
  <c r="Z182" i="19"/>
  <c r="AA182" i="19"/>
  <c r="AB182" i="19"/>
  <c r="AC182" i="19"/>
  <c r="AD182" i="19"/>
  <c r="AE182" i="19"/>
  <c r="AF182" i="19"/>
  <c r="AG182" i="19"/>
  <c r="AH182" i="19"/>
  <c r="AI182" i="19"/>
  <c r="AJ182" i="19"/>
  <c r="AK182" i="19"/>
  <c r="AL182" i="19"/>
  <c r="AM182" i="19"/>
  <c r="AN182" i="19"/>
  <c r="AO182" i="19"/>
  <c r="AP182" i="19"/>
  <c r="AQ182" i="19"/>
  <c r="AR182" i="19"/>
  <c r="C183" i="19"/>
  <c r="D183" i="19"/>
  <c r="E183" i="19"/>
  <c r="F183" i="19"/>
  <c r="H183" i="19"/>
  <c r="I183" i="19"/>
  <c r="J183" i="19"/>
  <c r="K183" i="19"/>
  <c r="L183" i="19"/>
  <c r="M183" i="19"/>
  <c r="N183" i="19"/>
  <c r="P183" i="19"/>
  <c r="Q183" i="19"/>
  <c r="S183" i="19"/>
  <c r="V183" i="19"/>
  <c r="W183" i="19"/>
  <c r="X183" i="19"/>
  <c r="Z183" i="19"/>
  <c r="D181" i="32" s="1"/>
  <c r="AA183" i="19"/>
  <c r="AB183" i="19"/>
  <c r="AC183" i="19"/>
  <c r="AD183" i="19"/>
  <c r="AE183" i="19"/>
  <c r="AF183" i="19"/>
  <c r="AG183" i="19"/>
  <c r="AH183" i="19"/>
  <c r="AI183" i="19"/>
  <c r="AJ183" i="19"/>
  <c r="AK183" i="19"/>
  <c r="AL183" i="19"/>
  <c r="AM183" i="19"/>
  <c r="AN183" i="19"/>
  <c r="AO183" i="19"/>
  <c r="AP183" i="19"/>
  <c r="AQ183" i="19"/>
  <c r="AR183" i="19"/>
  <c r="C184" i="19"/>
  <c r="D184" i="19"/>
  <c r="E184" i="19"/>
  <c r="F184" i="19"/>
  <c r="H184" i="19"/>
  <c r="I184" i="19"/>
  <c r="J184" i="19"/>
  <c r="K184" i="19"/>
  <c r="L184" i="19"/>
  <c r="M184" i="19"/>
  <c r="N184" i="19"/>
  <c r="P184" i="19"/>
  <c r="Q184" i="19"/>
  <c r="S184" i="19"/>
  <c r="V184" i="19"/>
  <c r="Y184" i="19" s="1"/>
  <c r="W184" i="19"/>
  <c r="X184" i="19"/>
  <c r="Z184" i="19"/>
  <c r="D182" i="32" s="1"/>
  <c r="AA184" i="19"/>
  <c r="AB184" i="19"/>
  <c r="AC184" i="19"/>
  <c r="AD184" i="19"/>
  <c r="AE184" i="19"/>
  <c r="AF184" i="19"/>
  <c r="AG184" i="19"/>
  <c r="AH184" i="19"/>
  <c r="AI184" i="19"/>
  <c r="AJ184" i="19"/>
  <c r="AK184" i="19"/>
  <c r="AL184" i="19"/>
  <c r="AM184" i="19"/>
  <c r="AN184" i="19"/>
  <c r="AO184" i="19"/>
  <c r="AP184" i="19"/>
  <c r="AQ184" i="19"/>
  <c r="AR184" i="19"/>
  <c r="C185" i="19"/>
  <c r="D185" i="19"/>
  <c r="E185" i="19"/>
  <c r="F185" i="19"/>
  <c r="H185" i="19"/>
  <c r="I185" i="19"/>
  <c r="J185" i="19"/>
  <c r="K185" i="19"/>
  <c r="L185" i="19"/>
  <c r="M185" i="19"/>
  <c r="N185" i="19"/>
  <c r="P185" i="19"/>
  <c r="Q185" i="19"/>
  <c r="O185" i="19" s="1"/>
  <c r="S185" i="19"/>
  <c r="V185" i="19"/>
  <c r="W185" i="19"/>
  <c r="X185" i="19"/>
  <c r="Z185" i="19"/>
  <c r="AA185" i="19"/>
  <c r="AB185" i="19"/>
  <c r="AC185" i="19"/>
  <c r="AD185" i="19"/>
  <c r="AE185" i="19"/>
  <c r="AF185" i="19"/>
  <c r="AG185" i="19"/>
  <c r="AH185" i="19"/>
  <c r="AI185" i="19"/>
  <c r="AJ185" i="19"/>
  <c r="AK185" i="19"/>
  <c r="AL185" i="19"/>
  <c r="AM185" i="19"/>
  <c r="AN185" i="19"/>
  <c r="AO185" i="19"/>
  <c r="AP185" i="19"/>
  <c r="AQ185" i="19"/>
  <c r="AR185" i="19"/>
  <c r="C186" i="19"/>
  <c r="D186" i="19"/>
  <c r="E186" i="19"/>
  <c r="F186" i="19"/>
  <c r="H186" i="19"/>
  <c r="I186" i="19"/>
  <c r="J186" i="19"/>
  <c r="K186" i="19"/>
  <c r="L186" i="19"/>
  <c r="M186" i="19"/>
  <c r="N186" i="19"/>
  <c r="P186" i="19"/>
  <c r="Q186" i="19"/>
  <c r="S186" i="19"/>
  <c r="V186" i="19"/>
  <c r="W186" i="19"/>
  <c r="X186" i="19"/>
  <c r="Z186" i="19"/>
  <c r="D184" i="32" s="1"/>
  <c r="AA186" i="19"/>
  <c r="AB186" i="19"/>
  <c r="AC186" i="19"/>
  <c r="AD186" i="19"/>
  <c r="AE186" i="19"/>
  <c r="AF186" i="19"/>
  <c r="AG186" i="19"/>
  <c r="AH186" i="19"/>
  <c r="AI186" i="19"/>
  <c r="AJ186" i="19"/>
  <c r="AK186" i="19"/>
  <c r="AL186" i="19"/>
  <c r="AM186" i="19"/>
  <c r="AN186" i="19"/>
  <c r="AO186" i="19"/>
  <c r="AP186" i="19"/>
  <c r="AQ186" i="19"/>
  <c r="AR186" i="19"/>
  <c r="C187" i="19"/>
  <c r="D187" i="19"/>
  <c r="E187" i="19"/>
  <c r="F187" i="19"/>
  <c r="H187" i="19"/>
  <c r="I187" i="19"/>
  <c r="J187" i="19"/>
  <c r="K187" i="19"/>
  <c r="L187" i="19"/>
  <c r="M187" i="19"/>
  <c r="N187" i="19"/>
  <c r="P187" i="19"/>
  <c r="Q187" i="19"/>
  <c r="S187" i="19"/>
  <c r="V187" i="19"/>
  <c r="W187" i="19"/>
  <c r="X187" i="19"/>
  <c r="Z187" i="19"/>
  <c r="D185" i="32" s="1"/>
  <c r="AA187" i="19"/>
  <c r="AB187" i="19"/>
  <c r="AC187" i="19"/>
  <c r="AD187" i="19"/>
  <c r="AE187" i="19"/>
  <c r="AF187" i="19"/>
  <c r="AG187" i="19"/>
  <c r="AH187" i="19"/>
  <c r="AI187" i="19"/>
  <c r="AJ187" i="19"/>
  <c r="AK187" i="19"/>
  <c r="AL187" i="19"/>
  <c r="AM187" i="19"/>
  <c r="AN187" i="19"/>
  <c r="AO187" i="19"/>
  <c r="AP187" i="19"/>
  <c r="AQ187" i="19"/>
  <c r="AR187" i="19"/>
  <c r="C188" i="19"/>
  <c r="D188" i="19"/>
  <c r="E188" i="19"/>
  <c r="F188" i="19"/>
  <c r="H188" i="19"/>
  <c r="I188" i="19"/>
  <c r="J188" i="19"/>
  <c r="K188" i="19"/>
  <c r="L188" i="19"/>
  <c r="M188" i="19"/>
  <c r="N188" i="19"/>
  <c r="P188" i="19"/>
  <c r="Q188" i="19"/>
  <c r="S188" i="19"/>
  <c r="V188" i="19"/>
  <c r="Y188" i="19" s="1"/>
  <c r="W188" i="19"/>
  <c r="X188" i="19"/>
  <c r="Z188" i="19"/>
  <c r="AA188" i="19"/>
  <c r="AB188" i="19"/>
  <c r="AC188" i="19"/>
  <c r="AD188" i="19"/>
  <c r="AE188" i="19"/>
  <c r="AF188" i="19"/>
  <c r="AG188" i="19"/>
  <c r="AH188" i="19"/>
  <c r="AI188" i="19"/>
  <c r="AJ188" i="19"/>
  <c r="AK188" i="19"/>
  <c r="AL188" i="19"/>
  <c r="AM188" i="19"/>
  <c r="AN188" i="19"/>
  <c r="AO188" i="19"/>
  <c r="AP188" i="19"/>
  <c r="AQ188" i="19"/>
  <c r="AR188" i="19"/>
  <c r="C189" i="19"/>
  <c r="D189" i="19"/>
  <c r="E189" i="19"/>
  <c r="F189" i="19"/>
  <c r="H189" i="19"/>
  <c r="I189" i="19"/>
  <c r="J189" i="19"/>
  <c r="K189" i="19"/>
  <c r="L189" i="19"/>
  <c r="M189" i="19"/>
  <c r="N189" i="19"/>
  <c r="P189" i="19"/>
  <c r="Q189" i="19"/>
  <c r="O189" i="19" s="1"/>
  <c r="S189" i="19"/>
  <c r="V189" i="19"/>
  <c r="W189" i="19"/>
  <c r="X189" i="19"/>
  <c r="Z189" i="19"/>
  <c r="D187" i="32" s="1"/>
  <c r="AA189" i="19"/>
  <c r="AB189" i="19"/>
  <c r="AC189" i="19"/>
  <c r="AD189" i="19"/>
  <c r="AE189" i="19"/>
  <c r="AF189" i="19"/>
  <c r="AG189" i="19"/>
  <c r="AH189" i="19"/>
  <c r="AI189" i="19"/>
  <c r="AJ189" i="19"/>
  <c r="AK189" i="19"/>
  <c r="AL189" i="19"/>
  <c r="AM189" i="19"/>
  <c r="AN189" i="19"/>
  <c r="AO189" i="19"/>
  <c r="AP189" i="19"/>
  <c r="AQ189" i="19"/>
  <c r="AR189" i="19"/>
  <c r="C190" i="19"/>
  <c r="D190" i="19"/>
  <c r="E190" i="19"/>
  <c r="F190" i="19"/>
  <c r="H190" i="19"/>
  <c r="I190" i="19"/>
  <c r="J190" i="19"/>
  <c r="K190" i="19"/>
  <c r="L190" i="19"/>
  <c r="M190" i="19"/>
  <c r="N190" i="19"/>
  <c r="P190" i="19"/>
  <c r="Q190" i="19"/>
  <c r="S190" i="19"/>
  <c r="V190" i="19"/>
  <c r="W190" i="19"/>
  <c r="X190" i="19"/>
  <c r="Z190" i="19"/>
  <c r="AA190" i="19"/>
  <c r="AB190" i="19"/>
  <c r="AC190" i="19"/>
  <c r="AD190" i="19"/>
  <c r="AE190" i="19"/>
  <c r="AF190" i="19"/>
  <c r="AG190" i="19"/>
  <c r="AH190" i="19"/>
  <c r="AI190" i="19"/>
  <c r="AJ190" i="19"/>
  <c r="AK190" i="19"/>
  <c r="AL190" i="19"/>
  <c r="AM190" i="19"/>
  <c r="AN190" i="19"/>
  <c r="AO190" i="19"/>
  <c r="AP190" i="19"/>
  <c r="AQ190" i="19"/>
  <c r="AR190" i="19"/>
  <c r="C191" i="19"/>
  <c r="D191" i="19"/>
  <c r="E191" i="19"/>
  <c r="F191" i="19"/>
  <c r="H191" i="19"/>
  <c r="I191" i="19"/>
  <c r="J191" i="19"/>
  <c r="K191" i="19"/>
  <c r="L191" i="19"/>
  <c r="M191" i="19"/>
  <c r="N191" i="19"/>
  <c r="P191" i="19"/>
  <c r="Q191" i="19"/>
  <c r="S191" i="19"/>
  <c r="V191" i="19"/>
  <c r="W191" i="19"/>
  <c r="X191" i="19"/>
  <c r="Z191" i="19"/>
  <c r="D189" i="32" s="1"/>
  <c r="AA191" i="19"/>
  <c r="AB191" i="19"/>
  <c r="AC191" i="19"/>
  <c r="AD191" i="19"/>
  <c r="AE191" i="19"/>
  <c r="AF191" i="19"/>
  <c r="AG191" i="19"/>
  <c r="AH191" i="19"/>
  <c r="AI191" i="19"/>
  <c r="AJ191" i="19"/>
  <c r="AK191" i="19"/>
  <c r="AL191" i="19"/>
  <c r="AM191" i="19"/>
  <c r="AN191" i="19"/>
  <c r="AO191" i="19"/>
  <c r="AP191" i="19"/>
  <c r="AQ191" i="19"/>
  <c r="AR191" i="19"/>
  <c r="C192" i="19"/>
  <c r="D192" i="19"/>
  <c r="E192" i="19"/>
  <c r="F192" i="19"/>
  <c r="H192" i="19"/>
  <c r="I192" i="19"/>
  <c r="J192" i="19"/>
  <c r="K192" i="19"/>
  <c r="L192" i="19"/>
  <c r="M192" i="19"/>
  <c r="N192" i="19"/>
  <c r="P192" i="19"/>
  <c r="Q192" i="19"/>
  <c r="S192" i="19"/>
  <c r="V192" i="19"/>
  <c r="W192" i="19"/>
  <c r="X192" i="19"/>
  <c r="Z192" i="19"/>
  <c r="D190" i="32" s="1"/>
  <c r="AA192" i="19"/>
  <c r="AB192" i="19"/>
  <c r="AC192" i="19"/>
  <c r="AD192" i="19"/>
  <c r="AE192" i="19"/>
  <c r="AF192" i="19"/>
  <c r="AG192" i="19"/>
  <c r="AH192" i="19"/>
  <c r="AI192" i="19"/>
  <c r="AJ192" i="19"/>
  <c r="AK192" i="19"/>
  <c r="AL192" i="19"/>
  <c r="AM192" i="19"/>
  <c r="AN192" i="19"/>
  <c r="AO192" i="19"/>
  <c r="AP192" i="19"/>
  <c r="AQ192" i="19"/>
  <c r="AR192" i="19"/>
  <c r="C193" i="19"/>
  <c r="D193" i="19"/>
  <c r="E193" i="19"/>
  <c r="F193" i="19"/>
  <c r="H193" i="19"/>
  <c r="I193" i="19"/>
  <c r="J193" i="19"/>
  <c r="K193" i="19"/>
  <c r="L193" i="19"/>
  <c r="M193" i="19"/>
  <c r="N193" i="19"/>
  <c r="P193" i="19"/>
  <c r="Q193" i="19"/>
  <c r="S193" i="19"/>
  <c r="V193" i="19"/>
  <c r="W193" i="19"/>
  <c r="X193" i="19"/>
  <c r="Z193" i="19"/>
  <c r="AA193" i="19"/>
  <c r="AB193" i="19"/>
  <c r="AC193" i="19"/>
  <c r="AD193" i="19"/>
  <c r="AE193" i="19"/>
  <c r="AF193" i="19"/>
  <c r="AG193" i="19"/>
  <c r="AH193" i="19"/>
  <c r="AI193" i="19"/>
  <c r="AJ193" i="19"/>
  <c r="AK193" i="19"/>
  <c r="AL193" i="19"/>
  <c r="AM193" i="19"/>
  <c r="AN193" i="19"/>
  <c r="AO193" i="19"/>
  <c r="AP193" i="19"/>
  <c r="AQ193" i="19"/>
  <c r="AR193" i="19"/>
  <c r="C194" i="19"/>
  <c r="D194" i="19"/>
  <c r="E194" i="19"/>
  <c r="F194" i="19"/>
  <c r="H194" i="19"/>
  <c r="I194" i="19"/>
  <c r="J194" i="19"/>
  <c r="K194" i="19"/>
  <c r="L194" i="19"/>
  <c r="M194" i="19"/>
  <c r="N194" i="19"/>
  <c r="P194" i="19"/>
  <c r="Q194" i="19"/>
  <c r="S194" i="19"/>
  <c r="V194" i="19"/>
  <c r="W194" i="19"/>
  <c r="X194" i="19"/>
  <c r="Z194" i="19"/>
  <c r="AA194" i="19"/>
  <c r="AB194" i="19"/>
  <c r="AC194" i="19"/>
  <c r="AD194" i="19"/>
  <c r="AE194" i="19"/>
  <c r="AF194" i="19"/>
  <c r="AG194" i="19"/>
  <c r="AH194" i="19"/>
  <c r="AI194" i="19"/>
  <c r="AJ194" i="19"/>
  <c r="AK194" i="19"/>
  <c r="AL194" i="19"/>
  <c r="AM194" i="19"/>
  <c r="AN194" i="19"/>
  <c r="AO194" i="19"/>
  <c r="AP194" i="19"/>
  <c r="AQ194" i="19"/>
  <c r="AR194" i="19"/>
  <c r="C195" i="19"/>
  <c r="D195" i="19"/>
  <c r="E195" i="19"/>
  <c r="F195" i="19"/>
  <c r="H195" i="19"/>
  <c r="I195" i="19"/>
  <c r="J195" i="19"/>
  <c r="K195" i="19"/>
  <c r="L195" i="19"/>
  <c r="M195" i="19"/>
  <c r="N195" i="19"/>
  <c r="P195" i="19"/>
  <c r="Q195" i="19"/>
  <c r="O195" i="19" s="1"/>
  <c r="S195" i="19"/>
  <c r="V195" i="19"/>
  <c r="W195" i="19"/>
  <c r="X195" i="19"/>
  <c r="Z195" i="19"/>
  <c r="AA195" i="19"/>
  <c r="AB195" i="19"/>
  <c r="AC195" i="19"/>
  <c r="AD195" i="19"/>
  <c r="AE195" i="19"/>
  <c r="AF195" i="19"/>
  <c r="AG195" i="19"/>
  <c r="AH195" i="19"/>
  <c r="AI195" i="19"/>
  <c r="AJ195" i="19"/>
  <c r="AK195" i="19"/>
  <c r="AL195" i="19"/>
  <c r="AM195" i="19"/>
  <c r="AN195" i="19"/>
  <c r="AO195" i="19"/>
  <c r="AP195" i="19"/>
  <c r="AQ195" i="19"/>
  <c r="AR195" i="19"/>
  <c r="C196" i="19"/>
  <c r="D196" i="19"/>
  <c r="E196" i="19"/>
  <c r="F196" i="19"/>
  <c r="H196" i="19"/>
  <c r="I196" i="19"/>
  <c r="J196" i="19"/>
  <c r="K196" i="19"/>
  <c r="L196" i="19"/>
  <c r="M196" i="19"/>
  <c r="N196" i="19"/>
  <c r="P196" i="19"/>
  <c r="Q196" i="19"/>
  <c r="S196" i="19"/>
  <c r="V196" i="19"/>
  <c r="W196" i="19"/>
  <c r="X196" i="19"/>
  <c r="Z196" i="19"/>
  <c r="D194" i="32" s="1"/>
  <c r="AA196" i="19"/>
  <c r="AB196" i="19"/>
  <c r="AC196" i="19"/>
  <c r="AD196" i="19"/>
  <c r="AE196" i="19"/>
  <c r="AF196" i="19"/>
  <c r="AG196" i="19"/>
  <c r="AH196" i="19"/>
  <c r="AI196" i="19"/>
  <c r="AJ196" i="19"/>
  <c r="AK196" i="19"/>
  <c r="AL196" i="19"/>
  <c r="AM196" i="19"/>
  <c r="AN196" i="19"/>
  <c r="AO196" i="19"/>
  <c r="AP196" i="19"/>
  <c r="AQ196" i="19"/>
  <c r="AR196" i="19"/>
  <c r="C197" i="19"/>
  <c r="D197" i="19"/>
  <c r="E197" i="19"/>
  <c r="F197" i="19"/>
  <c r="H197" i="19"/>
  <c r="I197" i="19"/>
  <c r="J197" i="19"/>
  <c r="K197" i="19"/>
  <c r="L197" i="19"/>
  <c r="M197" i="19"/>
  <c r="N197" i="19"/>
  <c r="P197" i="19"/>
  <c r="Q197" i="19"/>
  <c r="S197" i="19"/>
  <c r="V197" i="19"/>
  <c r="W197" i="19"/>
  <c r="X197" i="19"/>
  <c r="Z197" i="19"/>
  <c r="AA197" i="19"/>
  <c r="AB197" i="19"/>
  <c r="AC197" i="19"/>
  <c r="AD197" i="19"/>
  <c r="AE197" i="19"/>
  <c r="AF197" i="19"/>
  <c r="AG197" i="19"/>
  <c r="AH197" i="19"/>
  <c r="AI197" i="19"/>
  <c r="AJ197" i="19"/>
  <c r="AK197" i="19"/>
  <c r="AL197" i="19"/>
  <c r="AM197" i="19"/>
  <c r="AN197" i="19"/>
  <c r="AO197" i="19"/>
  <c r="AP197" i="19"/>
  <c r="AQ197" i="19"/>
  <c r="AR197" i="19"/>
  <c r="C198" i="19"/>
  <c r="D198" i="19"/>
  <c r="E198" i="19"/>
  <c r="F198" i="19"/>
  <c r="H198" i="19"/>
  <c r="I198" i="19"/>
  <c r="J198" i="19"/>
  <c r="K198" i="19"/>
  <c r="L198" i="19"/>
  <c r="M198" i="19"/>
  <c r="N198" i="19"/>
  <c r="P198" i="19"/>
  <c r="Q198" i="19"/>
  <c r="S198" i="19"/>
  <c r="V198" i="19"/>
  <c r="Y198" i="19" s="1"/>
  <c r="W198" i="19"/>
  <c r="X198" i="19"/>
  <c r="Z198" i="19"/>
  <c r="D196" i="32" s="1"/>
  <c r="AA198" i="19"/>
  <c r="AB198" i="19"/>
  <c r="AC198" i="19"/>
  <c r="AD198" i="19"/>
  <c r="AE198" i="19"/>
  <c r="AF198" i="19"/>
  <c r="AG198" i="19"/>
  <c r="AH198" i="19"/>
  <c r="AI198" i="19"/>
  <c r="AJ198" i="19"/>
  <c r="AK198" i="19"/>
  <c r="AL198" i="19"/>
  <c r="AM198" i="19"/>
  <c r="AN198" i="19"/>
  <c r="AO198" i="19"/>
  <c r="AP198" i="19"/>
  <c r="AQ198" i="19"/>
  <c r="AR198" i="19"/>
  <c r="C199" i="19"/>
  <c r="D199" i="19"/>
  <c r="E199" i="19"/>
  <c r="F199" i="19"/>
  <c r="H199" i="19"/>
  <c r="I199" i="19"/>
  <c r="J199" i="19"/>
  <c r="K199" i="19"/>
  <c r="L199" i="19"/>
  <c r="M199" i="19"/>
  <c r="N199" i="19"/>
  <c r="P199" i="19"/>
  <c r="Q199" i="19"/>
  <c r="O199" i="19" s="1"/>
  <c r="S199" i="19"/>
  <c r="V199" i="19"/>
  <c r="W199" i="19"/>
  <c r="X199" i="19"/>
  <c r="Z199" i="19"/>
  <c r="D197" i="32" s="1"/>
  <c r="AA199" i="19"/>
  <c r="AB199" i="19"/>
  <c r="AC199" i="19"/>
  <c r="AD199" i="19"/>
  <c r="AE199" i="19"/>
  <c r="AF199" i="19"/>
  <c r="AG199" i="19"/>
  <c r="AH199" i="19"/>
  <c r="AI199" i="19"/>
  <c r="AJ199" i="19"/>
  <c r="AK199" i="19"/>
  <c r="AL199" i="19"/>
  <c r="AM199" i="19"/>
  <c r="AN199" i="19"/>
  <c r="AO199" i="19"/>
  <c r="AP199" i="19"/>
  <c r="AQ199" i="19"/>
  <c r="AR199" i="19"/>
  <c r="C200" i="19"/>
  <c r="D200" i="19"/>
  <c r="E200" i="19"/>
  <c r="F200" i="19"/>
  <c r="H200" i="19"/>
  <c r="I200" i="19"/>
  <c r="J200" i="19"/>
  <c r="K200" i="19"/>
  <c r="L200" i="19"/>
  <c r="M200" i="19"/>
  <c r="N200" i="19"/>
  <c r="P200" i="19"/>
  <c r="Q200" i="19"/>
  <c r="S200" i="19"/>
  <c r="V200" i="19"/>
  <c r="W200" i="19"/>
  <c r="X200" i="19"/>
  <c r="Z200" i="19"/>
  <c r="D198" i="32" s="1"/>
  <c r="AA200" i="19"/>
  <c r="AB200" i="19"/>
  <c r="AC200" i="19"/>
  <c r="AD200" i="19"/>
  <c r="AE200" i="19"/>
  <c r="AF200" i="19"/>
  <c r="AG200" i="19"/>
  <c r="AH200" i="19"/>
  <c r="AI200" i="19"/>
  <c r="AJ200" i="19"/>
  <c r="AK200" i="19"/>
  <c r="AL200" i="19"/>
  <c r="AM200" i="19"/>
  <c r="AN200" i="19"/>
  <c r="AO200" i="19"/>
  <c r="AP200" i="19"/>
  <c r="AQ200" i="19"/>
  <c r="AR200" i="19"/>
  <c r="C201" i="19"/>
  <c r="D201" i="19"/>
  <c r="E201" i="19"/>
  <c r="F201" i="19"/>
  <c r="H201" i="19"/>
  <c r="I201" i="19"/>
  <c r="J201" i="19"/>
  <c r="K201" i="19"/>
  <c r="L201" i="19"/>
  <c r="M201" i="19"/>
  <c r="N201" i="19"/>
  <c r="P201" i="19"/>
  <c r="Q201" i="19"/>
  <c r="S201" i="19"/>
  <c r="V201" i="19"/>
  <c r="W201" i="19"/>
  <c r="X201" i="19"/>
  <c r="Z201" i="19"/>
  <c r="D199" i="32" s="1"/>
  <c r="AA201" i="19"/>
  <c r="AB201" i="19"/>
  <c r="AC201" i="19"/>
  <c r="AD201" i="19"/>
  <c r="AE201" i="19"/>
  <c r="AF201" i="19"/>
  <c r="AG201" i="19"/>
  <c r="AH201" i="19"/>
  <c r="AI201" i="19"/>
  <c r="AJ201" i="19"/>
  <c r="AK201" i="19"/>
  <c r="AL201" i="19"/>
  <c r="AM201" i="19"/>
  <c r="AN201" i="19"/>
  <c r="AO201" i="19"/>
  <c r="AP201" i="19"/>
  <c r="AQ201" i="19"/>
  <c r="AR201" i="19"/>
  <c r="C202" i="19"/>
  <c r="D202" i="19"/>
  <c r="E202" i="19"/>
  <c r="F202" i="19"/>
  <c r="H202" i="19"/>
  <c r="I202" i="19"/>
  <c r="J202" i="19"/>
  <c r="K202" i="19"/>
  <c r="L202" i="19"/>
  <c r="M202" i="19"/>
  <c r="N202" i="19"/>
  <c r="P202" i="19"/>
  <c r="Q202" i="19"/>
  <c r="S202" i="19"/>
  <c r="V202" i="19"/>
  <c r="W202" i="19"/>
  <c r="X202" i="19"/>
  <c r="Z202" i="19"/>
  <c r="AA202" i="19"/>
  <c r="AB202" i="19"/>
  <c r="AC202" i="19"/>
  <c r="AD202" i="19"/>
  <c r="AE202" i="19"/>
  <c r="AF202" i="19"/>
  <c r="AG202" i="19"/>
  <c r="AH202" i="19"/>
  <c r="AI202" i="19"/>
  <c r="AJ202" i="19"/>
  <c r="AK202" i="19"/>
  <c r="AL202" i="19"/>
  <c r="AM202" i="19"/>
  <c r="AN202" i="19"/>
  <c r="AO202" i="19"/>
  <c r="AP202" i="19"/>
  <c r="AQ202" i="19"/>
  <c r="AR202" i="19"/>
  <c r="C203" i="19"/>
  <c r="D203" i="19"/>
  <c r="E203" i="19"/>
  <c r="F203" i="19"/>
  <c r="H203" i="19"/>
  <c r="I203" i="19"/>
  <c r="J203" i="19"/>
  <c r="K203" i="19"/>
  <c r="L203" i="19"/>
  <c r="M203" i="19"/>
  <c r="N203" i="19"/>
  <c r="P203" i="19"/>
  <c r="Q203" i="19"/>
  <c r="O203" i="19" s="1"/>
  <c r="S203" i="19"/>
  <c r="V203" i="19"/>
  <c r="W203" i="19"/>
  <c r="X203" i="19"/>
  <c r="Z203" i="19"/>
  <c r="AA203" i="19"/>
  <c r="AB203" i="19"/>
  <c r="AC203" i="19"/>
  <c r="AD203" i="19"/>
  <c r="AE203" i="19"/>
  <c r="AF203" i="19"/>
  <c r="AG203" i="19"/>
  <c r="AH203" i="19"/>
  <c r="AI203" i="19"/>
  <c r="AJ203" i="19"/>
  <c r="AK203" i="19"/>
  <c r="AL203" i="19"/>
  <c r="AM203" i="19"/>
  <c r="AN203" i="19"/>
  <c r="AO203" i="19"/>
  <c r="AP203" i="19"/>
  <c r="AQ203" i="19"/>
  <c r="AR203" i="19"/>
  <c r="C204" i="19"/>
  <c r="D204" i="19"/>
  <c r="E204" i="19"/>
  <c r="F204" i="19"/>
  <c r="H204" i="19"/>
  <c r="I204" i="19"/>
  <c r="J204" i="19"/>
  <c r="K204" i="19"/>
  <c r="L204" i="19"/>
  <c r="M204" i="19"/>
  <c r="N204" i="19"/>
  <c r="P204" i="19"/>
  <c r="Q204" i="19"/>
  <c r="S204" i="19"/>
  <c r="V204" i="19"/>
  <c r="W204" i="19"/>
  <c r="X204" i="19"/>
  <c r="Z204" i="19"/>
  <c r="AA204" i="19"/>
  <c r="AB204" i="19"/>
  <c r="AC204" i="19"/>
  <c r="AD204" i="19"/>
  <c r="AE204" i="19"/>
  <c r="AF204" i="19"/>
  <c r="AG204" i="19"/>
  <c r="AH204" i="19"/>
  <c r="AI204" i="19"/>
  <c r="AJ204" i="19"/>
  <c r="AK204" i="19"/>
  <c r="AL204" i="19"/>
  <c r="AM204" i="19"/>
  <c r="AN204" i="19"/>
  <c r="AO204" i="19"/>
  <c r="AP204" i="19"/>
  <c r="AQ204" i="19"/>
  <c r="AR204" i="19"/>
  <c r="C205" i="19"/>
  <c r="D205" i="19"/>
  <c r="E205" i="19"/>
  <c r="F205" i="19"/>
  <c r="H205" i="19"/>
  <c r="I205" i="19"/>
  <c r="J205" i="19"/>
  <c r="K205" i="19"/>
  <c r="L205" i="19"/>
  <c r="M205" i="19"/>
  <c r="N205" i="19"/>
  <c r="P205" i="19"/>
  <c r="Q205" i="19"/>
  <c r="S205" i="19"/>
  <c r="V205" i="19"/>
  <c r="W205" i="19"/>
  <c r="X205" i="19"/>
  <c r="Z205" i="19"/>
  <c r="AA205" i="19"/>
  <c r="AB205" i="19"/>
  <c r="AC205" i="19"/>
  <c r="AD205" i="19"/>
  <c r="AE205" i="19"/>
  <c r="AF205" i="19"/>
  <c r="AG205" i="19"/>
  <c r="AH205" i="19"/>
  <c r="AI205" i="19"/>
  <c r="AJ205" i="19"/>
  <c r="AK205" i="19"/>
  <c r="AL205" i="19"/>
  <c r="AM205" i="19"/>
  <c r="AN205" i="19"/>
  <c r="AO205" i="19"/>
  <c r="AP205" i="19"/>
  <c r="AQ205" i="19"/>
  <c r="AR205" i="19"/>
  <c r="C206" i="19"/>
  <c r="D206" i="19"/>
  <c r="E206" i="19"/>
  <c r="F206" i="19"/>
  <c r="H206" i="19"/>
  <c r="I206" i="19"/>
  <c r="J206" i="19"/>
  <c r="K206" i="19"/>
  <c r="L206" i="19"/>
  <c r="M206" i="19"/>
  <c r="N206" i="19"/>
  <c r="P206" i="19"/>
  <c r="Q206" i="19"/>
  <c r="S206" i="19"/>
  <c r="V206" i="19"/>
  <c r="W206" i="19"/>
  <c r="X206" i="19"/>
  <c r="Z206" i="19"/>
  <c r="D204" i="32" s="1"/>
  <c r="AA206" i="19"/>
  <c r="AB206" i="19"/>
  <c r="AC206" i="19"/>
  <c r="AD206" i="19"/>
  <c r="AE206" i="19"/>
  <c r="AF206" i="19"/>
  <c r="AG206" i="19"/>
  <c r="AH206" i="19"/>
  <c r="AI206" i="19"/>
  <c r="AJ206" i="19"/>
  <c r="AK206" i="19"/>
  <c r="AL206" i="19"/>
  <c r="AM206" i="19"/>
  <c r="AN206" i="19"/>
  <c r="AO206" i="19"/>
  <c r="AP206" i="19"/>
  <c r="AQ206" i="19"/>
  <c r="AR206" i="19"/>
  <c r="C207" i="19"/>
  <c r="D207" i="19"/>
  <c r="E207" i="19"/>
  <c r="F207" i="19"/>
  <c r="H207" i="19"/>
  <c r="I207" i="19"/>
  <c r="J207" i="19"/>
  <c r="K207" i="19"/>
  <c r="L207" i="19"/>
  <c r="M207" i="19"/>
  <c r="N207" i="19"/>
  <c r="P207" i="19"/>
  <c r="Q207" i="19"/>
  <c r="O207" i="19" s="1"/>
  <c r="S207" i="19"/>
  <c r="V207" i="19"/>
  <c r="W207" i="19"/>
  <c r="X207" i="19"/>
  <c r="Z207" i="19"/>
  <c r="D205" i="32" s="1"/>
  <c r="AA207" i="19"/>
  <c r="AB207" i="19"/>
  <c r="AC207" i="19"/>
  <c r="AD207" i="19"/>
  <c r="AE207" i="19"/>
  <c r="AF207" i="19"/>
  <c r="AG207" i="19"/>
  <c r="AH207" i="19"/>
  <c r="AI207" i="19"/>
  <c r="AJ207" i="19"/>
  <c r="AK207" i="19"/>
  <c r="AL207" i="19"/>
  <c r="AM207" i="19"/>
  <c r="AN207" i="19"/>
  <c r="AO207" i="19"/>
  <c r="AP207" i="19"/>
  <c r="AQ207" i="19"/>
  <c r="AR207" i="19"/>
  <c r="C208" i="19"/>
  <c r="D208" i="19"/>
  <c r="E208" i="19"/>
  <c r="F208" i="19"/>
  <c r="H208" i="19"/>
  <c r="I208" i="19"/>
  <c r="J208" i="19"/>
  <c r="K208" i="19"/>
  <c r="L208" i="19"/>
  <c r="M208" i="19"/>
  <c r="N208" i="19"/>
  <c r="P208" i="19"/>
  <c r="Q208" i="19"/>
  <c r="S208" i="19"/>
  <c r="V208" i="19"/>
  <c r="W208" i="19"/>
  <c r="X208" i="19"/>
  <c r="Z208" i="19"/>
  <c r="AA208" i="19"/>
  <c r="AB208" i="19"/>
  <c r="AC208" i="19"/>
  <c r="AD208" i="19"/>
  <c r="AE208" i="19"/>
  <c r="AF208" i="19"/>
  <c r="AG208" i="19"/>
  <c r="AH208" i="19"/>
  <c r="AI208" i="19"/>
  <c r="AJ208" i="19"/>
  <c r="AK208" i="19"/>
  <c r="AL208" i="19"/>
  <c r="AM208" i="19"/>
  <c r="AN208" i="19"/>
  <c r="AO208" i="19"/>
  <c r="AP208" i="19"/>
  <c r="AQ208" i="19"/>
  <c r="AR208" i="19"/>
  <c r="C209" i="19"/>
  <c r="D209" i="19"/>
  <c r="E209" i="19"/>
  <c r="F209" i="19"/>
  <c r="H209" i="19"/>
  <c r="I209" i="19"/>
  <c r="J209" i="19"/>
  <c r="K209" i="19"/>
  <c r="L209" i="19"/>
  <c r="M209" i="19"/>
  <c r="N209" i="19"/>
  <c r="P209" i="19"/>
  <c r="Q209" i="19"/>
  <c r="S209" i="19"/>
  <c r="V209" i="19"/>
  <c r="W209" i="19"/>
  <c r="X209" i="19"/>
  <c r="Z209" i="19"/>
  <c r="D207" i="32" s="1"/>
  <c r="AA209" i="19"/>
  <c r="AB209" i="19"/>
  <c r="AC209" i="19"/>
  <c r="AD209" i="19"/>
  <c r="AE209" i="19"/>
  <c r="AF209" i="19"/>
  <c r="AG209" i="19"/>
  <c r="AH209" i="19"/>
  <c r="AI209" i="19"/>
  <c r="AJ209" i="19"/>
  <c r="AK209" i="19"/>
  <c r="AL209" i="19"/>
  <c r="AM209" i="19"/>
  <c r="AN209" i="19"/>
  <c r="AO209" i="19"/>
  <c r="AP209" i="19"/>
  <c r="AQ209" i="19"/>
  <c r="AR209" i="19"/>
  <c r="C210" i="19"/>
  <c r="D210" i="19"/>
  <c r="E210" i="19"/>
  <c r="F210" i="19"/>
  <c r="H210" i="19"/>
  <c r="I210" i="19"/>
  <c r="J210" i="19"/>
  <c r="K210" i="19"/>
  <c r="L210" i="19"/>
  <c r="M210" i="19"/>
  <c r="N210" i="19"/>
  <c r="P210" i="19"/>
  <c r="Q210" i="19"/>
  <c r="S210" i="19"/>
  <c r="V210" i="19"/>
  <c r="W210" i="19"/>
  <c r="X210" i="19"/>
  <c r="Z210" i="19"/>
  <c r="AA210" i="19"/>
  <c r="AB210" i="19"/>
  <c r="AC210" i="19"/>
  <c r="AD210" i="19"/>
  <c r="AE210" i="19"/>
  <c r="AF210" i="19"/>
  <c r="AG210" i="19"/>
  <c r="AH210" i="19"/>
  <c r="AI210" i="19"/>
  <c r="AJ210" i="19"/>
  <c r="AK210" i="19"/>
  <c r="AL210" i="19"/>
  <c r="AM210" i="19"/>
  <c r="AN210" i="19"/>
  <c r="AO210" i="19"/>
  <c r="AP210" i="19"/>
  <c r="AQ210" i="19"/>
  <c r="AR210" i="19"/>
  <c r="C211" i="19"/>
  <c r="D211" i="19"/>
  <c r="E211" i="19"/>
  <c r="F211" i="19"/>
  <c r="H211" i="19"/>
  <c r="I211" i="19"/>
  <c r="J211" i="19"/>
  <c r="K211" i="19"/>
  <c r="L211" i="19"/>
  <c r="M211" i="19"/>
  <c r="N211" i="19"/>
  <c r="P211" i="19"/>
  <c r="Q211" i="19"/>
  <c r="O211" i="19" s="1"/>
  <c r="S211" i="19"/>
  <c r="V211" i="19"/>
  <c r="W211" i="19"/>
  <c r="X211" i="19"/>
  <c r="Z211" i="19"/>
  <c r="D209" i="32" s="1"/>
  <c r="AA211" i="19"/>
  <c r="AB211" i="19"/>
  <c r="AC211" i="19"/>
  <c r="AD211" i="19"/>
  <c r="AE211" i="19"/>
  <c r="AF211" i="19"/>
  <c r="AG211" i="19"/>
  <c r="AH211" i="19"/>
  <c r="AI211" i="19"/>
  <c r="AJ211" i="19"/>
  <c r="AK211" i="19"/>
  <c r="AL211" i="19"/>
  <c r="AM211" i="19"/>
  <c r="AN211" i="19"/>
  <c r="AO211" i="19"/>
  <c r="AP211" i="19"/>
  <c r="AQ211" i="19"/>
  <c r="AR211" i="19"/>
  <c r="C212" i="19"/>
  <c r="D212" i="19"/>
  <c r="E212" i="19"/>
  <c r="F212" i="19"/>
  <c r="H212" i="19"/>
  <c r="I212" i="19"/>
  <c r="J212" i="19"/>
  <c r="K212" i="19"/>
  <c r="L212" i="19"/>
  <c r="M212" i="19"/>
  <c r="N212" i="19"/>
  <c r="P212" i="19"/>
  <c r="Q212" i="19"/>
  <c r="S212" i="19"/>
  <c r="V212" i="19"/>
  <c r="W212" i="19"/>
  <c r="X212" i="19"/>
  <c r="Z212" i="19"/>
  <c r="D210" i="32" s="1"/>
  <c r="AA212" i="19"/>
  <c r="AB212" i="19"/>
  <c r="AC212" i="19"/>
  <c r="AD212" i="19"/>
  <c r="AE212" i="19"/>
  <c r="AF212" i="19"/>
  <c r="AG212" i="19"/>
  <c r="AH212" i="19"/>
  <c r="AI212" i="19"/>
  <c r="AJ212" i="19"/>
  <c r="AK212" i="19"/>
  <c r="AL212" i="19"/>
  <c r="AM212" i="19"/>
  <c r="AN212" i="19"/>
  <c r="AO212" i="19"/>
  <c r="AP212" i="19"/>
  <c r="AQ212" i="19"/>
  <c r="AR212" i="19"/>
  <c r="C213" i="19"/>
  <c r="D213" i="19"/>
  <c r="E213" i="19"/>
  <c r="F213" i="19"/>
  <c r="H213" i="19"/>
  <c r="I213" i="19"/>
  <c r="J213" i="19"/>
  <c r="K213" i="19"/>
  <c r="L213" i="19"/>
  <c r="M213" i="19"/>
  <c r="N213" i="19"/>
  <c r="P213" i="19"/>
  <c r="Q213" i="19"/>
  <c r="S213" i="19"/>
  <c r="V213" i="19"/>
  <c r="W213" i="19"/>
  <c r="X213" i="19"/>
  <c r="Z213" i="19"/>
  <c r="D211" i="32" s="1"/>
  <c r="AA213" i="19"/>
  <c r="AB213" i="19"/>
  <c r="AC213" i="19"/>
  <c r="AD213" i="19"/>
  <c r="AE213" i="19"/>
  <c r="AF213" i="19"/>
  <c r="AG213" i="19"/>
  <c r="AH213" i="19"/>
  <c r="AI213" i="19"/>
  <c r="AJ213" i="19"/>
  <c r="AK213" i="19"/>
  <c r="AL213" i="19"/>
  <c r="AM213" i="19"/>
  <c r="AN213" i="19"/>
  <c r="AO213" i="19"/>
  <c r="AP213" i="19"/>
  <c r="AQ213" i="19"/>
  <c r="AR213" i="19"/>
  <c r="C214" i="19"/>
  <c r="D214" i="19"/>
  <c r="E214" i="19"/>
  <c r="F214" i="19"/>
  <c r="H214" i="19"/>
  <c r="I214" i="19"/>
  <c r="J214" i="19"/>
  <c r="K214" i="19"/>
  <c r="L214" i="19"/>
  <c r="M214" i="19"/>
  <c r="N214" i="19"/>
  <c r="P214" i="19"/>
  <c r="Q214" i="19"/>
  <c r="S214" i="19"/>
  <c r="V214" i="19"/>
  <c r="Y214" i="19" s="1"/>
  <c r="W214" i="19"/>
  <c r="X214" i="19"/>
  <c r="Z214" i="19"/>
  <c r="AA214" i="19"/>
  <c r="AB214" i="19"/>
  <c r="AC214" i="19"/>
  <c r="AD214" i="19"/>
  <c r="AE214" i="19"/>
  <c r="AF214" i="19"/>
  <c r="AG214" i="19"/>
  <c r="AH214" i="19"/>
  <c r="AI214" i="19"/>
  <c r="AJ214" i="19"/>
  <c r="AK214" i="19"/>
  <c r="AL214" i="19"/>
  <c r="AM214" i="19"/>
  <c r="AN214" i="19"/>
  <c r="AO214" i="19"/>
  <c r="AP214" i="19"/>
  <c r="AQ214" i="19"/>
  <c r="AR214" i="19"/>
  <c r="C215" i="19"/>
  <c r="D215" i="19"/>
  <c r="E215" i="19"/>
  <c r="F215" i="19"/>
  <c r="H215" i="19"/>
  <c r="I215" i="19"/>
  <c r="J215" i="19"/>
  <c r="K215" i="19"/>
  <c r="L215" i="19"/>
  <c r="M215" i="19"/>
  <c r="N215" i="19"/>
  <c r="P215" i="19"/>
  <c r="Q215" i="19"/>
  <c r="O215" i="19" s="1"/>
  <c r="S215" i="19"/>
  <c r="V215" i="19"/>
  <c r="W215" i="19"/>
  <c r="X215" i="19"/>
  <c r="Z215" i="19"/>
  <c r="AA215" i="19"/>
  <c r="AB215" i="19"/>
  <c r="AC215" i="19"/>
  <c r="AD215" i="19"/>
  <c r="AE215" i="19"/>
  <c r="AF215" i="19"/>
  <c r="AG215" i="19"/>
  <c r="AH215" i="19"/>
  <c r="AI215" i="19"/>
  <c r="AJ215" i="19"/>
  <c r="AK215" i="19"/>
  <c r="AL215" i="19"/>
  <c r="AM215" i="19"/>
  <c r="AN215" i="19"/>
  <c r="AO215" i="19"/>
  <c r="AP215" i="19"/>
  <c r="AQ215" i="19"/>
  <c r="AR215" i="19"/>
  <c r="C216" i="19"/>
  <c r="D216" i="19"/>
  <c r="E216" i="19"/>
  <c r="F216" i="19"/>
  <c r="H216" i="19"/>
  <c r="I216" i="19"/>
  <c r="J216" i="19"/>
  <c r="K216" i="19"/>
  <c r="L216" i="19"/>
  <c r="M216" i="19"/>
  <c r="N216" i="19"/>
  <c r="P216" i="19"/>
  <c r="Q216" i="19"/>
  <c r="S216" i="19"/>
  <c r="V216" i="19"/>
  <c r="W216" i="19"/>
  <c r="X216" i="19"/>
  <c r="Z216" i="19"/>
  <c r="AA216" i="19"/>
  <c r="AB216" i="19"/>
  <c r="AC216" i="19"/>
  <c r="AD216" i="19"/>
  <c r="AE216" i="19"/>
  <c r="AF216" i="19"/>
  <c r="AG216" i="19"/>
  <c r="AH216" i="19"/>
  <c r="AI216" i="19"/>
  <c r="AJ216" i="19"/>
  <c r="AK216" i="19"/>
  <c r="AL216" i="19"/>
  <c r="AM216" i="19"/>
  <c r="AN216" i="19"/>
  <c r="AO216" i="19"/>
  <c r="AP216" i="19"/>
  <c r="AQ216" i="19"/>
  <c r="AR216" i="19"/>
  <c r="C217" i="19"/>
  <c r="D217" i="19"/>
  <c r="E217" i="19"/>
  <c r="F217" i="19"/>
  <c r="H217" i="19"/>
  <c r="I217" i="19"/>
  <c r="J217" i="19"/>
  <c r="K217" i="19"/>
  <c r="L217" i="19"/>
  <c r="M217" i="19"/>
  <c r="N217" i="19"/>
  <c r="P217" i="19"/>
  <c r="Q217" i="19"/>
  <c r="S217" i="19"/>
  <c r="V217" i="19"/>
  <c r="W217" i="19"/>
  <c r="X217" i="19"/>
  <c r="Z217" i="19"/>
  <c r="AA217" i="19"/>
  <c r="AB217" i="19"/>
  <c r="AC217" i="19"/>
  <c r="AD217" i="19"/>
  <c r="AE217" i="19"/>
  <c r="AG217" i="19"/>
  <c r="AH217" i="19"/>
  <c r="AI217" i="19"/>
  <c r="AJ217" i="19"/>
  <c r="AL217" i="19"/>
  <c r="AM217" i="19"/>
  <c r="AN217" i="19"/>
  <c r="AO217" i="19"/>
  <c r="AP217" i="19"/>
  <c r="AQ217" i="19"/>
  <c r="AR217" i="19"/>
  <c r="C218" i="19"/>
  <c r="D218" i="19"/>
  <c r="E218" i="19"/>
  <c r="F218" i="19"/>
  <c r="H218" i="19"/>
  <c r="I218" i="19"/>
  <c r="J218" i="19"/>
  <c r="K218" i="19"/>
  <c r="L218" i="19"/>
  <c r="M218" i="19"/>
  <c r="N218" i="19"/>
  <c r="P218" i="19"/>
  <c r="Q218" i="19"/>
  <c r="S218" i="19"/>
  <c r="V218" i="19"/>
  <c r="Y218" i="19" s="1"/>
  <c r="W218" i="19"/>
  <c r="X218" i="19"/>
  <c r="Z218" i="19"/>
  <c r="D216" i="32" s="1"/>
  <c r="AA218" i="19"/>
  <c r="AB218" i="19"/>
  <c r="AC218" i="19"/>
  <c r="AD218" i="19"/>
  <c r="AE218" i="19"/>
  <c r="AF218" i="19"/>
  <c r="AG218" i="19"/>
  <c r="AH218" i="19"/>
  <c r="AI218" i="19"/>
  <c r="AJ218" i="19"/>
  <c r="AK218" i="19"/>
  <c r="AL218" i="19"/>
  <c r="AM218" i="19"/>
  <c r="AN218" i="19"/>
  <c r="AO218" i="19"/>
  <c r="AP218" i="19"/>
  <c r="AQ218" i="19"/>
  <c r="AR218" i="19"/>
  <c r="C219" i="19"/>
  <c r="D219" i="19"/>
  <c r="G219" i="19" s="1"/>
  <c r="E219" i="19"/>
  <c r="F219" i="19"/>
  <c r="H219" i="19"/>
  <c r="I219" i="19"/>
  <c r="J219" i="19"/>
  <c r="K219" i="19"/>
  <c r="L219" i="19"/>
  <c r="M219" i="19"/>
  <c r="N219" i="19"/>
  <c r="P219" i="19"/>
  <c r="Q219" i="19"/>
  <c r="O219" i="19" s="1"/>
  <c r="S219" i="19"/>
  <c r="V219" i="19"/>
  <c r="W219" i="19"/>
  <c r="X219" i="19"/>
  <c r="Z219" i="19"/>
  <c r="D217" i="32" s="1"/>
  <c r="AA219" i="19"/>
  <c r="AB219" i="19"/>
  <c r="AC219" i="19"/>
  <c r="AD219" i="19"/>
  <c r="AE219" i="19"/>
  <c r="AF219" i="19"/>
  <c r="AG219" i="19"/>
  <c r="AH219" i="19"/>
  <c r="AI219" i="19"/>
  <c r="AJ219" i="19"/>
  <c r="AK219" i="19"/>
  <c r="AL219" i="19"/>
  <c r="AM219" i="19"/>
  <c r="AN219" i="19"/>
  <c r="AO219" i="19"/>
  <c r="AP219" i="19"/>
  <c r="AQ219" i="19"/>
  <c r="AR219" i="19"/>
  <c r="C220" i="19"/>
  <c r="D220" i="19"/>
  <c r="E220" i="19"/>
  <c r="F220" i="19"/>
  <c r="H220" i="19"/>
  <c r="I220" i="19"/>
  <c r="J220" i="19"/>
  <c r="K220" i="19"/>
  <c r="L220" i="19"/>
  <c r="M220" i="19"/>
  <c r="N220" i="19"/>
  <c r="P220" i="19"/>
  <c r="Q220" i="19"/>
  <c r="S220" i="19"/>
  <c r="V220" i="19"/>
  <c r="W220" i="19"/>
  <c r="X220" i="19"/>
  <c r="Z220" i="19"/>
  <c r="D218" i="32" s="1"/>
  <c r="AA220" i="19"/>
  <c r="AB220" i="19"/>
  <c r="AC220" i="19"/>
  <c r="AD220" i="19"/>
  <c r="AE220" i="19"/>
  <c r="AF220" i="19"/>
  <c r="AG220" i="19"/>
  <c r="AH220" i="19"/>
  <c r="AI220" i="19"/>
  <c r="AJ220" i="19"/>
  <c r="AK220" i="19"/>
  <c r="AL220" i="19"/>
  <c r="AM220" i="19"/>
  <c r="AN220" i="19"/>
  <c r="AO220" i="19"/>
  <c r="AP220" i="19"/>
  <c r="AQ220" i="19"/>
  <c r="AR220" i="19"/>
  <c r="C221" i="19"/>
  <c r="D221" i="19"/>
  <c r="E221" i="19"/>
  <c r="F221" i="19"/>
  <c r="H221" i="19"/>
  <c r="I221" i="19"/>
  <c r="J221" i="19"/>
  <c r="K221" i="19"/>
  <c r="L221" i="19"/>
  <c r="M221" i="19"/>
  <c r="N221" i="19"/>
  <c r="P221" i="19"/>
  <c r="Q221" i="19"/>
  <c r="S221" i="19"/>
  <c r="V221" i="19"/>
  <c r="W221" i="19"/>
  <c r="X221" i="19"/>
  <c r="Z221" i="19"/>
  <c r="D219" i="32" s="1"/>
  <c r="AA221" i="19"/>
  <c r="AB221" i="19"/>
  <c r="AC221" i="19"/>
  <c r="AD221" i="19"/>
  <c r="AE221" i="19"/>
  <c r="AF221" i="19"/>
  <c r="AG221" i="19"/>
  <c r="AH221" i="19"/>
  <c r="AI221" i="19"/>
  <c r="AJ221" i="19"/>
  <c r="AK221" i="19"/>
  <c r="AL221" i="19"/>
  <c r="AM221" i="19"/>
  <c r="AN221" i="19"/>
  <c r="AO221" i="19"/>
  <c r="AP221" i="19"/>
  <c r="AQ221" i="19"/>
  <c r="AR221" i="19"/>
  <c r="C222" i="19"/>
  <c r="D222" i="19"/>
  <c r="E222" i="19"/>
  <c r="F222" i="19"/>
  <c r="H222" i="19"/>
  <c r="I222" i="19"/>
  <c r="J222" i="19"/>
  <c r="K222" i="19"/>
  <c r="L222" i="19"/>
  <c r="M222" i="19"/>
  <c r="N222" i="19"/>
  <c r="P222" i="19"/>
  <c r="Q222" i="19"/>
  <c r="S222" i="19"/>
  <c r="V222" i="19"/>
  <c r="W222" i="19"/>
  <c r="X222" i="19"/>
  <c r="Z222" i="19"/>
  <c r="D220" i="32" s="1"/>
  <c r="AA222" i="19"/>
  <c r="AB222" i="19"/>
  <c r="AC222" i="19"/>
  <c r="AD222" i="19"/>
  <c r="AE222" i="19"/>
  <c r="AF222" i="19"/>
  <c r="AG222" i="19"/>
  <c r="AH222" i="19"/>
  <c r="AI222" i="19"/>
  <c r="AJ222" i="19"/>
  <c r="AK222" i="19"/>
  <c r="AL222" i="19"/>
  <c r="AM222" i="19"/>
  <c r="AN222" i="19"/>
  <c r="AO222" i="19"/>
  <c r="AP222" i="19"/>
  <c r="AQ222" i="19"/>
  <c r="AR222" i="19"/>
  <c r="C223" i="19"/>
  <c r="D223" i="19"/>
  <c r="E223" i="19"/>
  <c r="F223" i="19"/>
  <c r="H223" i="19"/>
  <c r="I223" i="19"/>
  <c r="J223" i="19"/>
  <c r="K223" i="19"/>
  <c r="L223" i="19"/>
  <c r="M223" i="19"/>
  <c r="N223" i="19"/>
  <c r="P223" i="19"/>
  <c r="Q223" i="19"/>
  <c r="O223" i="19" s="1"/>
  <c r="S223" i="19"/>
  <c r="V223" i="19"/>
  <c r="W223" i="19"/>
  <c r="X223" i="19"/>
  <c r="Z223" i="19"/>
  <c r="D221" i="32" s="1"/>
  <c r="AA223" i="19"/>
  <c r="AB223" i="19"/>
  <c r="AC223" i="19"/>
  <c r="AD223" i="19"/>
  <c r="AE223" i="19"/>
  <c r="AF223" i="19"/>
  <c r="AG223" i="19"/>
  <c r="AH223" i="19"/>
  <c r="AI223" i="19"/>
  <c r="AJ223" i="19"/>
  <c r="AK223" i="19"/>
  <c r="AL223" i="19"/>
  <c r="AM223" i="19"/>
  <c r="AN223" i="19"/>
  <c r="AO223" i="19"/>
  <c r="AP223" i="19"/>
  <c r="AQ223" i="19"/>
  <c r="AR223" i="19"/>
  <c r="C224" i="19"/>
  <c r="D224" i="19"/>
  <c r="E224" i="19"/>
  <c r="F224" i="19"/>
  <c r="H224" i="19"/>
  <c r="I224" i="19"/>
  <c r="J224" i="19"/>
  <c r="K224" i="19"/>
  <c r="L224" i="19"/>
  <c r="M224" i="19"/>
  <c r="N224" i="19"/>
  <c r="P224" i="19"/>
  <c r="Q224" i="19"/>
  <c r="S224" i="19"/>
  <c r="V224" i="19"/>
  <c r="W224" i="19"/>
  <c r="X224" i="19"/>
  <c r="Z224" i="19"/>
  <c r="D222" i="32" s="1"/>
  <c r="AA224" i="19"/>
  <c r="AB224" i="19"/>
  <c r="AC224" i="19"/>
  <c r="AD224" i="19"/>
  <c r="AE224" i="19"/>
  <c r="AF224" i="19"/>
  <c r="AG224" i="19"/>
  <c r="AH224" i="19"/>
  <c r="AI224" i="19"/>
  <c r="AJ224" i="19"/>
  <c r="AK224" i="19"/>
  <c r="AL224" i="19"/>
  <c r="AM224" i="19"/>
  <c r="AN224" i="19"/>
  <c r="AO224" i="19"/>
  <c r="AP224" i="19"/>
  <c r="AQ224" i="19"/>
  <c r="AR224" i="19"/>
  <c r="C225" i="19"/>
  <c r="D225" i="19"/>
  <c r="E225" i="19"/>
  <c r="F225" i="19"/>
  <c r="H225" i="19"/>
  <c r="I225" i="19"/>
  <c r="J225" i="19"/>
  <c r="K225" i="19"/>
  <c r="L225" i="19"/>
  <c r="M225" i="19"/>
  <c r="N225" i="19"/>
  <c r="P225" i="19"/>
  <c r="Q225" i="19"/>
  <c r="S225" i="19"/>
  <c r="V225" i="19"/>
  <c r="W225" i="19"/>
  <c r="X225" i="19"/>
  <c r="Z225" i="19"/>
  <c r="AA225" i="19"/>
  <c r="AB225" i="19"/>
  <c r="AC225" i="19"/>
  <c r="AD225" i="19"/>
  <c r="AE225" i="19"/>
  <c r="AF225" i="19"/>
  <c r="AG225" i="19"/>
  <c r="AH225" i="19"/>
  <c r="AI225" i="19"/>
  <c r="AJ225" i="19"/>
  <c r="AK225" i="19"/>
  <c r="AL225" i="19"/>
  <c r="AM225" i="19"/>
  <c r="AN225" i="19"/>
  <c r="AO225" i="19"/>
  <c r="AP225" i="19"/>
  <c r="AQ225" i="19"/>
  <c r="AR225" i="19"/>
  <c r="C226" i="19"/>
  <c r="D226" i="19"/>
  <c r="E226" i="19"/>
  <c r="F226" i="19"/>
  <c r="H226" i="19"/>
  <c r="I226" i="19"/>
  <c r="J226" i="19"/>
  <c r="K226" i="19"/>
  <c r="L226" i="19"/>
  <c r="M226" i="19"/>
  <c r="N226" i="19"/>
  <c r="P226" i="19"/>
  <c r="Q226" i="19"/>
  <c r="S226" i="19"/>
  <c r="V226" i="19"/>
  <c r="W226" i="19"/>
  <c r="X226" i="19"/>
  <c r="Z226" i="19"/>
  <c r="D224" i="32" s="1"/>
  <c r="AA226" i="19"/>
  <c r="AB226" i="19"/>
  <c r="AC226" i="19"/>
  <c r="AD226" i="19"/>
  <c r="AE226" i="19"/>
  <c r="AF226" i="19"/>
  <c r="AG226" i="19"/>
  <c r="AH226" i="19"/>
  <c r="AI226" i="19"/>
  <c r="AJ226" i="19"/>
  <c r="AK226" i="19"/>
  <c r="AL226" i="19"/>
  <c r="AM226" i="19"/>
  <c r="AN226" i="19"/>
  <c r="AO226" i="19"/>
  <c r="AP226" i="19"/>
  <c r="AQ226" i="19"/>
  <c r="AR226" i="19"/>
  <c r="C227" i="19"/>
  <c r="D227" i="19"/>
  <c r="E227" i="19"/>
  <c r="F227" i="19"/>
  <c r="H227" i="19"/>
  <c r="I227" i="19"/>
  <c r="J227" i="19"/>
  <c r="K227" i="19"/>
  <c r="L227" i="19"/>
  <c r="M227" i="19"/>
  <c r="N227" i="19"/>
  <c r="P227" i="19"/>
  <c r="Q227" i="19"/>
  <c r="O227" i="19" s="1"/>
  <c r="S227" i="19"/>
  <c r="V227" i="19"/>
  <c r="W227" i="19"/>
  <c r="X227" i="19"/>
  <c r="Z227" i="19"/>
  <c r="D225" i="32" s="1"/>
  <c r="AA227" i="19"/>
  <c r="AB227" i="19"/>
  <c r="AC227" i="19"/>
  <c r="AD227" i="19"/>
  <c r="AE227" i="19"/>
  <c r="AF227" i="19"/>
  <c r="AG227" i="19"/>
  <c r="AH227" i="19"/>
  <c r="AI227" i="19"/>
  <c r="AJ227" i="19"/>
  <c r="AK227" i="19"/>
  <c r="AL227" i="19"/>
  <c r="AM227" i="19"/>
  <c r="AN227" i="19"/>
  <c r="AO227" i="19"/>
  <c r="AP227" i="19"/>
  <c r="AQ227" i="19"/>
  <c r="AR227" i="19"/>
  <c r="C228" i="19"/>
  <c r="D228" i="19"/>
  <c r="E228" i="19"/>
  <c r="F228" i="19"/>
  <c r="H228" i="19"/>
  <c r="I228" i="19"/>
  <c r="J228" i="19"/>
  <c r="K228" i="19"/>
  <c r="L228" i="19"/>
  <c r="M228" i="19"/>
  <c r="N228" i="19"/>
  <c r="P228" i="19"/>
  <c r="Q228" i="19"/>
  <c r="S228" i="19"/>
  <c r="V228" i="19"/>
  <c r="W228" i="19"/>
  <c r="X228" i="19"/>
  <c r="Z228" i="19"/>
  <c r="D226" i="32" s="1"/>
  <c r="AA228" i="19"/>
  <c r="AB228" i="19"/>
  <c r="AC228" i="19"/>
  <c r="AD228" i="19"/>
  <c r="AE228" i="19"/>
  <c r="AF228" i="19"/>
  <c r="AG228" i="19"/>
  <c r="AH228" i="19"/>
  <c r="AI228" i="19"/>
  <c r="AJ228" i="19"/>
  <c r="AK228" i="19"/>
  <c r="AL228" i="19"/>
  <c r="AM228" i="19"/>
  <c r="AN228" i="19"/>
  <c r="AO228" i="19"/>
  <c r="AP228" i="19"/>
  <c r="AQ228" i="19"/>
  <c r="AR228" i="19"/>
  <c r="C229" i="19"/>
  <c r="D229" i="19"/>
  <c r="E229" i="19"/>
  <c r="F229" i="19"/>
  <c r="H229" i="19"/>
  <c r="I229" i="19"/>
  <c r="J229" i="19"/>
  <c r="K229" i="19"/>
  <c r="L229" i="19"/>
  <c r="M229" i="19"/>
  <c r="N229" i="19"/>
  <c r="P229" i="19"/>
  <c r="Q229" i="19"/>
  <c r="S229" i="19"/>
  <c r="V229" i="19"/>
  <c r="W229" i="19"/>
  <c r="X229" i="19"/>
  <c r="Z229" i="19"/>
  <c r="D227" i="32" s="1"/>
  <c r="AA229" i="19"/>
  <c r="AB229" i="19"/>
  <c r="AC229" i="19"/>
  <c r="AD229" i="19"/>
  <c r="AE229" i="19"/>
  <c r="AF229" i="19"/>
  <c r="AG229" i="19"/>
  <c r="AH229" i="19"/>
  <c r="AI229" i="19"/>
  <c r="AJ229" i="19"/>
  <c r="AK229" i="19"/>
  <c r="AL229" i="19"/>
  <c r="AM229" i="19"/>
  <c r="AN229" i="19"/>
  <c r="AO229" i="19"/>
  <c r="AP229" i="19"/>
  <c r="AQ229" i="19"/>
  <c r="AR229" i="19"/>
  <c r="C230" i="19"/>
  <c r="D230" i="19"/>
  <c r="E230" i="19"/>
  <c r="F230" i="19"/>
  <c r="H230" i="19"/>
  <c r="I230" i="19"/>
  <c r="J230" i="19"/>
  <c r="K230" i="19"/>
  <c r="L230" i="19"/>
  <c r="M230" i="19"/>
  <c r="N230" i="19"/>
  <c r="P230" i="19"/>
  <c r="Q230" i="19"/>
  <c r="S230" i="19"/>
  <c r="V230" i="19"/>
  <c r="Y230" i="19" s="1"/>
  <c r="W230" i="19"/>
  <c r="X230" i="19"/>
  <c r="Z230" i="19"/>
  <c r="D228" i="32" s="1"/>
  <c r="AA230" i="19"/>
  <c r="AB230" i="19"/>
  <c r="AC230" i="19"/>
  <c r="AD230" i="19"/>
  <c r="AE230" i="19"/>
  <c r="AF230" i="19"/>
  <c r="AG230" i="19"/>
  <c r="AH230" i="19"/>
  <c r="AI230" i="19"/>
  <c r="AJ230" i="19"/>
  <c r="AK230" i="19"/>
  <c r="AL230" i="19"/>
  <c r="AM230" i="19"/>
  <c r="AN230" i="19"/>
  <c r="AO230" i="19"/>
  <c r="AP230" i="19"/>
  <c r="AQ230" i="19"/>
  <c r="AR230" i="19"/>
  <c r="C231" i="19"/>
  <c r="D231" i="19"/>
  <c r="E231" i="19"/>
  <c r="F231" i="19"/>
  <c r="H231" i="19"/>
  <c r="I231" i="19"/>
  <c r="J231" i="19"/>
  <c r="K231" i="19"/>
  <c r="L231" i="19"/>
  <c r="M231" i="19"/>
  <c r="N231" i="19"/>
  <c r="P231" i="19"/>
  <c r="Q231" i="19"/>
  <c r="S231" i="19"/>
  <c r="V231" i="19"/>
  <c r="W231" i="19"/>
  <c r="X231" i="19"/>
  <c r="Z231" i="19"/>
  <c r="D229" i="32" s="1"/>
  <c r="AA231" i="19"/>
  <c r="AB231" i="19"/>
  <c r="AC231" i="19"/>
  <c r="AD231" i="19"/>
  <c r="AE231" i="19"/>
  <c r="AF231" i="19"/>
  <c r="AG231" i="19"/>
  <c r="AH231" i="19"/>
  <c r="AI231" i="19"/>
  <c r="AJ231" i="19"/>
  <c r="AK231" i="19"/>
  <c r="AL231" i="19"/>
  <c r="AM231" i="19"/>
  <c r="AN231" i="19"/>
  <c r="AO231" i="19"/>
  <c r="AP231" i="19"/>
  <c r="AQ231" i="19"/>
  <c r="AR231" i="19"/>
  <c r="C232" i="19"/>
  <c r="D232" i="19"/>
  <c r="E232" i="19"/>
  <c r="F232" i="19"/>
  <c r="H232" i="19"/>
  <c r="I232" i="19"/>
  <c r="J232" i="19"/>
  <c r="K232" i="19"/>
  <c r="L232" i="19"/>
  <c r="M232" i="19"/>
  <c r="N232" i="19"/>
  <c r="P232" i="19"/>
  <c r="Q232" i="19"/>
  <c r="S232" i="19"/>
  <c r="V232" i="19"/>
  <c r="W232" i="19"/>
  <c r="X232" i="19"/>
  <c r="Z232" i="19"/>
  <c r="AA232" i="19"/>
  <c r="AB232" i="19"/>
  <c r="AC232" i="19"/>
  <c r="AD232" i="19"/>
  <c r="AE232" i="19"/>
  <c r="AF232" i="19"/>
  <c r="AG232" i="19"/>
  <c r="AH232" i="19"/>
  <c r="AI232" i="19"/>
  <c r="AJ232" i="19"/>
  <c r="AK232" i="19"/>
  <c r="AL232" i="19"/>
  <c r="AM232" i="19"/>
  <c r="AN232" i="19"/>
  <c r="AO232" i="19"/>
  <c r="AP232" i="19"/>
  <c r="AQ232" i="19"/>
  <c r="AR232" i="19"/>
  <c r="C233" i="19"/>
  <c r="D233" i="19"/>
  <c r="E233" i="19"/>
  <c r="F233" i="19"/>
  <c r="H233" i="19"/>
  <c r="I233" i="19"/>
  <c r="J233" i="19"/>
  <c r="K233" i="19"/>
  <c r="L233" i="19"/>
  <c r="M233" i="19"/>
  <c r="N233" i="19"/>
  <c r="P233" i="19"/>
  <c r="Q233" i="19"/>
  <c r="S233" i="19"/>
  <c r="V233" i="19"/>
  <c r="W233" i="19"/>
  <c r="X233" i="19"/>
  <c r="Z233" i="19"/>
  <c r="D231" i="32" s="1"/>
  <c r="AA233" i="19"/>
  <c r="AB233" i="19"/>
  <c r="AC233" i="19"/>
  <c r="AD233" i="19"/>
  <c r="AE233" i="19"/>
  <c r="AF233" i="19"/>
  <c r="AG233" i="19"/>
  <c r="AH233" i="19"/>
  <c r="AI233" i="19"/>
  <c r="AJ233" i="19"/>
  <c r="AK233" i="19"/>
  <c r="AL233" i="19"/>
  <c r="AM233" i="19"/>
  <c r="AN233" i="19"/>
  <c r="AO233" i="19"/>
  <c r="AP233" i="19"/>
  <c r="AQ233" i="19"/>
  <c r="AR233" i="19"/>
  <c r="C234" i="19"/>
  <c r="D234" i="19"/>
  <c r="E234" i="19"/>
  <c r="F234" i="19"/>
  <c r="H234" i="19"/>
  <c r="I234" i="19"/>
  <c r="J234" i="19"/>
  <c r="K234" i="19"/>
  <c r="L234" i="19"/>
  <c r="M234" i="19"/>
  <c r="N234" i="19"/>
  <c r="P234" i="19"/>
  <c r="Q234" i="19"/>
  <c r="S234" i="19"/>
  <c r="V234" i="19"/>
  <c r="W234" i="19"/>
  <c r="X234" i="19"/>
  <c r="Z234" i="19"/>
  <c r="D232" i="32" s="1"/>
  <c r="AA234" i="19"/>
  <c r="AB234" i="19"/>
  <c r="AC234" i="19"/>
  <c r="AD234" i="19"/>
  <c r="AE234" i="19"/>
  <c r="AF234" i="19"/>
  <c r="AG234" i="19"/>
  <c r="AH234" i="19"/>
  <c r="AI234" i="19"/>
  <c r="AJ234" i="19"/>
  <c r="AK234" i="19"/>
  <c r="AL234" i="19"/>
  <c r="AM234" i="19"/>
  <c r="AN234" i="19"/>
  <c r="AO234" i="19"/>
  <c r="AP234" i="19"/>
  <c r="AQ234" i="19"/>
  <c r="AR234" i="19"/>
  <c r="C235" i="19"/>
  <c r="D235" i="19"/>
  <c r="E235" i="19"/>
  <c r="F235" i="19"/>
  <c r="H235" i="19"/>
  <c r="I235" i="19"/>
  <c r="J235" i="19"/>
  <c r="K235" i="19"/>
  <c r="L235" i="19"/>
  <c r="M235" i="19"/>
  <c r="N235" i="19"/>
  <c r="P235" i="19"/>
  <c r="Q235" i="19"/>
  <c r="S235" i="19"/>
  <c r="V235" i="19"/>
  <c r="W235" i="19"/>
  <c r="X235" i="19"/>
  <c r="Z235" i="19"/>
  <c r="D233" i="32" s="1"/>
  <c r="AA235" i="19"/>
  <c r="AB235" i="19"/>
  <c r="AC235" i="19"/>
  <c r="AD235" i="19"/>
  <c r="AE235" i="19"/>
  <c r="AF235" i="19"/>
  <c r="AG235" i="19"/>
  <c r="AH235" i="19"/>
  <c r="AI235" i="19"/>
  <c r="AJ235" i="19"/>
  <c r="AK235" i="19"/>
  <c r="AL235" i="19"/>
  <c r="AM235" i="19"/>
  <c r="AN235" i="19"/>
  <c r="AO235" i="19"/>
  <c r="AP235" i="19"/>
  <c r="AQ235" i="19"/>
  <c r="AR235" i="19"/>
  <c r="C236" i="19"/>
  <c r="D236" i="19"/>
  <c r="E236" i="19"/>
  <c r="F236" i="19"/>
  <c r="H236" i="19"/>
  <c r="I236" i="19"/>
  <c r="J236" i="19"/>
  <c r="K236" i="19"/>
  <c r="L236" i="19"/>
  <c r="M236" i="19"/>
  <c r="N236" i="19"/>
  <c r="P236" i="19"/>
  <c r="Q236" i="19"/>
  <c r="S236" i="19"/>
  <c r="V236" i="19"/>
  <c r="W236" i="19"/>
  <c r="X236" i="19"/>
  <c r="Z236" i="19"/>
  <c r="D234" i="32" s="1"/>
  <c r="AA236" i="19"/>
  <c r="AB236" i="19"/>
  <c r="AC236" i="19"/>
  <c r="AD236" i="19"/>
  <c r="AE236" i="19"/>
  <c r="AF236" i="19"/>
  <c r="AG236" i="19"/>
  <c r="AH236" i="19"/>
  <c r="AI236" i="19"/>
  <c r="AJ236" i="19"/>
  <c r="AK236" i="19"/>
  <c r="AL236" i="19"/>
  <c r="AM236" i="19"/>
  <c r="AN236" i="19"/>
  <c r="AO236" i="19"/>
  <c r="AP236" i="19"/>
  <c r="AQ236" i="19"/>
  <c r="AR236" i="19"/>
  <c r="C237" i="19"/>
  <c r="D237" i="19"/>
  <c r="E237" i="19"/>
  <c r="F237" i="19"/>
  <c r="H237" i="19"/>
  <c r="I237" i="19"/>
  <c r="J237" i="19"/>
  <c r="K237" i="19"/>
  <c r="L237" i="19"/>
  <c r="M237" i="19"/>
  <c r="N237" i="19"/>
  <c r="P237" i="19"/>
  <c r="Q237" i="19"/>
  <c r="S237" i="19"/>
  <c r="V237" i="19"/>
  <c r="W237" i="19"/>
  <c r="X237" i="19"/>
  <c r="Z237" i="19"/>
  <c r="D235" i="32" s="1"/>
  <c r="AA237" i="19"/>
  <c r="AB237" i="19"/>
  <c r="AC237" i="19"/>
  <c r="AD237" i="19"/>
  <c r="AE237" i="19"/>
  <c r="AF237" i="19"/>
  <c r="AG237" i="19"/>
  <c r="AH237" i="19"/>
  <c r="AI237" i="19"/>
  <c r="AJ237" i="19"/>
  <c r="AK237" i="19"/>
  <c r="AL237" i="19"/>
  <c r="AM237" i="19"/>
  <c r="AN237" i="19"/>
  <c r="AO237" i="19"/>
  <c r="AP237" i="19"/>
  <c r="AQ237" i="19"/>
  <c r="AR237" i="19"/>
  <c r="C238" i="19"/>
  <c r="D238" i="19"/>
  <c r="E238" i="19"/>
  <c r="F238" i="19"/>
  <c r="H238" i="19"/>
  <c r="I238" i="19"/>
  <c r="J238" i="19"/>
  <c r="K238" i="19"/>
  <c r="L238" i="19"/>
  <c r="M238" i="19"/>
  <c r="N238" i="19"/>
  <c r="P238" i="19"/>
  <c r="Q238" i="19"/>
  <c r="S238" i="19"/>
  <c r="V238" i="19"/>
  <c r="W238" i="19"/>
  <c r="X238" i="19"/>
  <c r="Z238" i="19"/>
  <c r="D236" i="32" s="1"/>
  <c r="AA238" i="19"/>
  <c r="AB238" i="19"/>
  <c r="AC238" i="19"/>
  <c r="AD238" i="19"/>
  <c r="AE238" i="19"/>
  <c r="AF238" i="19"/>
  <c r="AG238" i="19"/>
  <c r="AH238" i="19"/>
  <c r="AI238" i="19"/>
  <c r="AJ238" i="19"/>
  <c r="AK238" i="19"/>
  <c r="AL238" i="19"/>
  <c r="AM238" i="19"/>
  <c r="AN238" i="19"/>
  <c r="AO238" i="19"/>
  <c r="AP238" i="19"/>
  <c r="AQ238" i="19"/>
  <c r="AR238" i="19"/>
  <c r="C239" i="19"/>
  <c r="D239" i="19"/>
  <c r="E239" i="19"/>
  <c r="F239" i="19"/>
  <c r="H239" i="19"/>
  <c r="I239" i="19"/>
  <c r="J239" i="19"/>
  <c r="K239" i="19"/>
  <c r="L239" i="19"/>
  <c r="M239" i="19"/>
  <c r="N239" i="19"/>
  <c r="P239" i="19"/>
  <c r="Q239" i="19"/>
  <c r="S239" i="19"/>
  <c r="V239" i="19"/>
  <c r="W239" i="19"/>
  <c r="X239" i="19"/>
  <c r="Z239" i="19"/>
  <c r="D237" i="32" s="1"/>
  <c r="AA239" i="19"/>
  <c r="AB239" i="19"/>
  <c r="AC239" i="19"/>
  <c r="AD239" i="19"/>
  <c r="AE239" i="19"/>
  <c r="AF239" i="19"/>
  <c r="AG239" i="19"/>
  <c r="AH239" i="19"/>
  <c r="AI239" i="19"/>
  <c r="AJ239" i="19"/>
  <c r="AK239" i="19"/>
  <c r="AL239" i="19"/>
  <c r="AM239" i="19"/>
  <c r="AN239" i="19"/>
  <c r="AO239" i="19"/>
  <c r="AP239" i="19"/>
  <c r="AQ239" i="19"/>
  <c r="AR239" i="19"/>
  <c r="C240" i="19"/>
  <c r="D240" i="19"/>
  <c r="E240" i="19"/>
  <c r="F240" i="19"/>
  <c r="H240" i="19"/>
  <c r="I240" i="19"/>
  <c r="J240" i="19"/>
  <c r="K240" i="19"/>
  <c r="L240" i="19"/>
  <c r="M240" i="19"/>
  <c r="N240" i="19"/>
  <c r="P240" i="19"/>
  <c r="Q240" i="19"/>
  <c r="S240" i="19"/>
  <c r="V240" i="19"/>
  <c r="W240" i="19"/>
  <c r="X240" i="19"/>
  <c r="Z240" i="19"/>
  <c r="D238" i="32" s="1"/>
  <c r="AA240" i="19"/>
  <c r="AB240" i="19"/>
  <c r="AC240" i="19"/>
  <c r="AD240" i="19"/>
  <c r="AE240" i="19"/>
  <c r="AF240" i="19"/>
  <c r="AG240" i="19"/>
  <c r="AH240" i="19"/>
  <c r="AI240" i="19"/>
  <c r="AJ240" i="19"/>
  <c r="AK240" i="19"/>
  <c r="AL240" i="19"/>
  <c r="AM240" i="19"/>
  <c r="AN240" i="19"/>
  <c r="AO240" i="19"/>
  <c r="AP240" i="19"/>
  <c r="AQ240" i="19"/>
  <c r="AR240" i="19"/>
  <c r="C241" i="19"/>
  <c r="D241" i="19"/>
  <c r="E241" i="19"/>
  <c r="F241" i="19"/>
  <c r="H241" i="19"/>
  <c r="I241" i="19"/>
  <c r="J241" i="19"/>
  <c r="K241" i="19"/>
  <c r="L241" i="19"/>
  <c r="M241" i="19"/>
  <c r="N241" i="19"/>
  <c r="P241" i="19"/>
  <c r="Q241" i="19"/>
  <c r="S241" i="19"/>
  <c r="V241" i="19"/>
  <c r="W241" i="19"/>
  <c r="X241" i="19"/>
  <c r="Z241" i="19"/>
  <c r="D239" i="32" s="1"/>
  <c r="AA241" i="19"/>
  <c r="AB241" i="19"/>
  <c r="AC241" i="19"/>
  <c r="AD241" i="19"/>
  <c r="AE241" i="19"/>
  <c r="AF241" i="19"/>
  <c r="AG241" i="19"/>
  <c r="AH241" i="19"/>
  <c r="AI241" i="19"/>
  <c r="AJ241" i="19"/>
  <c r="AK241" i="19"/>
  <c r="AL241" i="19"/>
  <c r="AM241" i="19"/>
  <c r="AN241" i="19"/>
  <c r="AO241" i="19"/>
  <c r="AP241" i="19"/>
  <c r="AQ241" i="19"/>
  <c r="AR241" i="19"/>
  <c r="C242" i="19"/>
  <c r="D242" i="19"/>
  <c r="E242" i="19"/>
  <c r="F242" i="19"/>
  <c r="H242" i="19"/>
  <c r="I242" i="19"/>
  <c r="J242" i="19"/>
  <c r="K242" i="19"/>
  <c r="L242" i="19"/>
  <c r="M242" i="19"/>
  <c r="N242" i="19"/>
  <c r="P242" i="19"/>
  <c r="Q242" i="19"/>
  <c r="S242" i="19"/>
  <c r="V242" i="19"/>
  <c r="W242" i="19"/>
  <c r="X242" i="19"/>
  <c r="Z242" i="19"/>
  <c r="D240" i="32" s="1"/>
  <c r="AA242" i="19"/>
  <c r="AB242" i="19"/>
  <c r="AC242" i="19"/>
  <c r="AD242" i="19"/>
  <c r="AE242" i="19"/>
  <c r="AF242" i="19"/>
  <c r="AG242" i="19"/>
  <c r="AH242" i="19"/>
  <c r="AI242" i="19"/>
  <c r="AJ242" i="19"/>
  <c r="AK242" i="19"/>
  <c r="AL242" i="19"/>
  <c r="AM242" i="19"/>
  <c r="AN242" i="19"/>
  <c r="AO242" i="19"/>
  <c r="AP242" i="19"/>
  <c r="AQ242" i="19"/>
  <c r="AR242" i="19"/>
  <c r="C243" i="19"/>
  <c r="D243" i="19"/>
  <c r="E243" i="19"/>
  <c r="F243" i="19"/>
  <c r="H243" i="19"/>
  <c r="I243" i="19"/>
  <c r="J243" i="19"/>
  <c r="K243" i="19"/>
  <c r="L243" i="19"/>
  <c r="M243" i="19"/>
  <c r="N243" i="19"/>
  <c r="P243" i="19"/>
  <c r="Q243" i="19"/>
  <c r="S243" i="19"/>
  <c r="V243" i="19"/>
  <c r="W243" i="19"/>
  <c r="X243" i="19"/>
  <c r="Z243" i="19"/>
  <c r="D241" i="32" s="1"/>
  <c r="AA243" i="19"/>
  <c r="AB243" i="19"/>
  <c r="AC243" i="19"/>
  <c r="AD243" i="19"/>
  <c r="AE243" i="19"/>
  <c r="AF243" i="19"/>
  <c r="AG243" i="19"/>
  <c r="AH243" i="19"/>
  <c r="AI243" i="19"/>
  <c r="AJ243" i="19"/>
  <c r="AK243" i="19"/>
  <c r="AL243" i="19"/>
  <c r="AM243" i="19"/>
  <c r="AN243" i="19"/>
  <c r="AO243" i="19"/>
  <c r="AP243" i="19"/>
  <c r="AQ243" i="19"/>
  <c r="AR243" i="19"/>
  <c r="C244" i="19"/>
  <c r="D244" i="19"/>
  <c r="E244" i="19"/>
  <c r="F244" i="19"/>
  <c r="H244" i="19"/>
  <c r="I244" i="19"/>
  <c r="J244" i="19"/>
  <c r="K244" i="19"/>
  <c r="L244" i="19"/>
  <c r="M244" i="19"/>
  <c r="N244" i="19"/>
  <c r="P244" i="19"/>
  <c r="Q244" i="19"/>
  <c r="S244" i="19"/>
  <c r="V244" i="19"/>
  <c r="W244" i="19"/>
  <c r="X244" i="19"/>
  <c r="Z244" i="19"/>
  <c r="AA244" i="19"/>
  <c r="AB244" i="19"/>
  <c r="AC244" i="19"/>
  <c r="AD244" i="19"/>
  <c r="AE244" i="19"/>
  <c r="AF244" i="19"/>
  <c r="AG244" i="19"/>
  <c r="AH244" i="19"/>
  <c r="AI244" i="19"/>
  <c r="AJ244" i="19"/>
  <c r="AK244" i="19"/>
  <c r="AL244" i="19"/>
  <c r="AM244" i="19"/>
  <c r="AN244" i="19"/>
  <c r="AO244" i="19"/>
  <c r="AP244" i="19"/>
  <c r="AQ244" i="19"/>
  <c r="AR244" i="19"/>
  <c r="C245" i="19"/>
  <c r="D245" i="19"/>
  <c r="E245" i="19"/>
  <c r="F245" i="19"/>
  <c r="H245" i="19"/>
  <c r="I245" i="19"/>
  <c r="J245" i="19"/>
  <c r="K245" i="19"/>
  <c r="L245" i="19"/>
  <c r="M245" i="19"/>
  <c r="N245" i="19"/>
  <c r="P245" i="19"/>
  <c r="Q245" i="19"/>
  <c r="S245" i="19"/>
  <c r="V245" i="19"/>
  <c r="W245" i="19"/>
  <c r="X245" i="19"/>
  <c r="Z245" i="19"/>
  <c r="D243" i="32" s="1"/>
  <c r="AA245" i="19"/>
  <c r="AB245" i="19"/>
  <c r="AC245" i="19"/>
  <c r="AD245" i="19"/>
  <c r="AE245" i="19"/>
  <c r="AF245" i="19"/>
  <c r="AG245" i="19"/>
  <c r="AH245" i="19"/>
  <c r="AI245" i="19"/>
  <c r="AJ245" i="19"/>
  <c r="AK245" i="19"/>
  <c r="AL245" i="19"/>
  <c r="AM245" i="19"/>
  <c r="AN245" i="19"/>
  <c r="AO245" i="19"/>
  <c r="AP245" i="19"/>
  <c r="AQ245" i="19"/>
  <c r="AR245" i="19"/>
  <c r="C246" i="19"/>
  <c r="D246" i="19"/>
  <c r="E246" i="19"/>
  <c r="F246" i="19"/>
  <c r="H246" i="19"/>
  <c r="I246" i="19"/>
  <c r="J246" i="19"/>
  <c r="K246" i="19"/>
  <c r="L246" i="19"/>
  <c r="M246" i="19"/>
  <c r="N246" i="19"/>
  <c r="P246" i="19"/>
  <c r="Q246" i="19"/>
  <c r="S246" i="19"/>
  <c r="V246" i="19"/>
  <c r="W246" i="19"/>
  <c r="X246" i="19"/>
  <c r="Y246" i="19"/>
  <c r="Z246" i="19"/>
  <c r="AA246" i="19"/>
  <c r="AB246" i="19"/>
  <c r="AC246" i="19"/>
  <c r="AD246" i="19"/>
  <c r="AE246" i="19"/>
  <c r="AF246" i="19"/>
  <c r="AG246" i="19"/>
  <c r="AH246" i="19"/>
  <c r="AI246" i="19"/>
  <c r="AJ246" i="19"/>
  <c r="AK246" i="19"/>
  <c r="AL246" i="19"/>
  <c r="AM246" i="19"/>
  <c r="AN246" i="19"/>
  <c r="AO246" i="19"/>
  <c r="AP246" i="19"/>
  <c r="AQ246" i="19"/>
  <c r="AR246" i="19"/>
  <c r="C247" i="19"/>
  <c r="D247" i="19"/>
  <c r="E247" i="19"/>
  <c r="F247" i="19"/>
  <c r="H247" i="19"/>
  <c r="I247" i="19"/>
  <c r="J247" i="19"/>
  <c r="K247" i="19"/>
  <c r="L247" i="19"/>
  <c r="M247" i="19"/>
  <c r="N247" i="19"/>
  <c r="P247" i="19"/>
  <c r="Q247" i="19"/>
  <c r="S247" i="19"/>
  <c r="V247" i="19"/>
  <c r="W247" i="19"/>
  <c r="X247" i="19"/>
  <c r="Z247" i="19"/>
  <c r="D245" i="32" s="1"/>
  <c r="AA247" i="19"/>
  <c r="AB247" i="19"/>
  <c r="AC247" i="19"/>
  <c r="AD247" i="19"/>
  <c r="AE247" i="19"/>
  <c r="AF247" i="19"/>
  <c r="AG247" i="19"/>
  <c r="AH247" i="19"/>
  <c r="AI247" i="19"/>
  <c r="AJ247" i="19"/>
  <c r="AK247" i="19"/>
  <c r="AL247" i="19"/>
  <c r="AM247" i="19"/>
  <c r="AN247" i="19"/>
  <c r="AO247" i="19"/>
  <c r="AP247" i="19"/>
  <c r="AQ247" i="19"/>
  <c r="AR247" i="19"/>
  <c r="C248" i="19"/>
  <c r="D248" i="19"/>
  <c r="E248" i="19"/>
  <c r="F248" i="19"/>
  <c r="H248" i="19"/>
  <c r="I248" i="19"/>
  <c r="J248" i="19"/>
  <c r="K248" i="19"/>
  <c r="L248" i="19"/>
  <c r="M248" i="19"/>
  <c r="N248" i="19"/>
  <c r="P248" i="19"/>
  <c r="Q248" i="19"/>
  <c r="S248" i="19"/>
  <c r="V248" i="19"/>
  <c r="W248" i="19"/>
  <c r="X248" i="19"/>
  <c r="Z248" i="19"/>
  <c r="D246" i="32" s="1"/>
  <c r="AA248" i="19"/>
  <c r="AB248" i="19"/>
  <c r="AC248" i="19"/>
  <c r="AD248" i="19"/>
  <c r="AE248" i="19"/>
  <c r="AF248" i="19"/>
  <c r="AG248" i="19"/>
  <c r="AH248" i="19"/>
  <c r="AI248" i="19"/>
  <c r="AJ248" i="19"/>
  <c r="AK248" i="19"/>
  <c r="AL248" i="19"/>
  <c r="AM248" i="19"/>
  <c r="AN248" i="19"/>
  <c r="AO248" i="19"/>
  <c r="AP248" i="19"/>
  <c r="AQ248" i="19"/>
  <c r="AR248" i="19"/>
  <c r="C249" i="19"/>
  <c r="D249" i="19"/>
  <c r="E249" i="19"/>
  <c r="F249" i="19"/>
  <c r="H249" i="19"/>
  <c r="I249" i="19"/>
  <c r="J249" i="19"/>
  <c r="K249" i="19"/>
  <c r="L249" i="19"/>
  <c r="M249" i="19"/>
  <c r="N249" i="19"/>
  <c r="P249" i="19"/>
  <c r="Q249" i="19"/>
  <c r="O249" i="19" s="1"/>
  <c r="S249" i="19"/>
  <c r="V249" i="19"/>
  <c r="W249" i="19"/>
  <c r="X249" i="19"/>
  <c r="Z249" i="19"/>
  <c r="AA249" i="19"/>
  <c r="AB249" i="19"/>
  <c r="AC249" i="19"/>
  <c r="AD249" i="19"/>
  <c r="AE249" i="19"/>
  <c r="AF249" i="19"/>
  <c r="AG249" i="19"/>
  <c r="AH249" i="19"/>
  <c r="AI249" i="19"/>
  <c r="AJ249" i="19"/>
  <c r="AK249" i="19"/>
  <c r="AL249" i="19"/>
  <c r="AM249" i="19"/>
  <c r="AN249" i="19"/>
  <c r="AO249" i="19"/>
  <c r="AP249" i="19"/>
  <c r="AQ249" i="19"/>
  <c r="AR249" i="19"/>
  <c r="C250" i="19"/>
  <c r="D250" i="19"/>
  <c r="E250" i="19"/>
  <c r="F250" i="19"/>
  <c r="H250" i="19"/>
  <c r="I250" i="19"/>
  <c r="J250" i="19"/>
  <c r="K250" i="19"/>
  <c r="L250" i="19"/>
  <c r="M250" i="19"/>
  <c r="N250" i="19"/>
  <c r="P250" i="19"/>
  <c r="Q250" i="19"/>
  <c r="S250" i="19"/>
  <c r="V250" i="19"/>
  <c r="W250" i="19"/>
  <c r="X250" i="19"/>
  <c r="Z250" i="19"/>
  <c r="D248" i="32" s="1"/>
  <c r="AA250" i="19"/>
  <c r="AB250" i="19"/>
  <c r="AC250" i="19"/>
  <c r="AD250" i="19"/>
  <c r="AE250" i="19"/>
  <c r="AF250" i="19"/>
  <c r="AG250" i="19"/>
  <c r="AH250" i="19"/>
  <c r="AI250" i="19"/>
  <c r="AJ250" i="19"/>
  <c r="AK250" i="19"/>
  <c r="AL250" i="19"/>
  <c r="AM250" i="19"/>
  <c r="AN250" i="19"/>
  <c r="AO250" i="19"/>
  <c r="AP250" i="19"/>
  <c r="AQ250" i="19"/>
  <c r="AR250" i="19"/>
  <c r="C251" i="19"/>
  <c r="D251" i="19"/>
  <c r="E251" i="19"/>
  <c r="F251" i="19"/>
  <c r="H251" i="19"/>
  <c r="I251" i="19"/>
  <c r="J251" i="19"/>
  <c r="K251" i="19"/>
  <c r="L251" i="19"/>
  <c r="M251" i="19"/>
  <c r="N251" i="19"/>
  <c r="P251" i="19"/>
  <c r="Q251" i="19"/>
  <c r="O251" i="19" s="1"/>
  <c r="S251" i="19"/>
  <c r="V251" i="19"/>
  <c r="W251" i="19"/>
  <c r="X251" i="19"/>
  <c r="Z251" i="19"/>
  <c r="D249" i="32" s="1"/>
  <c r="AA251" i="19"/>
  <c r="AB251" i="19"/>
  <c r="AC251" i="19"/>
  <c r="AD251" i="19"/>
  <c r="AE251" i="19"/>
  <c r="AF251" i="19"/>
  <c r="AG251" i="19"/>
  <c r="AH251" i="19"/>
  <c r="AI251" i="19"/>
  <c r="AJ251" i="19"/>
  <c r="AK251" i="19"/>
  <c r="AL251" i="19"/>
  <c r="AM251" i="19"/>
  <c r="AN251" i="19"/>
  <c r="AO251" i="19"/>
  <c r="AP251" i="19"/>
  <c r="AQ251" i="19"/>
  <c r="AR251" i="19"/>
  <c r="C252" i="19"/>
  <c r="D252" i="19"/>
  <c r="E252" i="19"/>
  <c r="F252" i="19"/>
  <c r="H252" i="19"/>
  <c r="I252" i="19"/>
  <c r="J252" i="19"/>
  <c r="K252" i="19"/>
  <c r="L252" i="19"/>
  <c r="M252" i="19"/>
  <c r="N252" i="19"/>
  <c r="P252" i="19"/>
  <c r="Q252" i="19"/>
  <c r="S252" i="19"/>
  <c r="V252" i="19"/>
  <c r="W252" i="19"/>
  <c r="X252" i="19"/>
  <c r="Y252" i="19" s="1"/>
  <c r="Z252" i="19"/>
  <c r="AA252" i="19"/>
  <c r="AB252" i="19"/>
  <c r="AC252" i="19"/>
  <c r="AD252" i="19"/>
  <c r="AE252" i="19"/>
  <c r="AF252" i="19"/>
  <c r="AG252" i="19"/>
  <c r="AH252" i="19"/>
  <c r="AI252" i="19"/>
  <c r="AJ252" i="19"/>
  <c r="AK252" i="19"/>
  <c r="AL252" i="19"/>
  <c r="AM252" i="19"/>
  <c r="AN252" i="19"/>
  <c r="AO252" i="19"/>
  <c r="AP252" i="19"/>
  <c r="AQ252" i="19"/>
  <c r="AR252" i="19"/>
  <c r="C253" i="19"/>
  <c r="D253" i="19"/>
  <c r="E253" i="19"/>
  <c r="F253" i="19"/>
  <c r="H253" i="19"/>
  <c r="I253" i="19"/>
  <c r="J253" i="19"/>
  <c r="K253" i="19"/>
  <c r="L253" i="19"/>
  <c r="M253" i="19"/>
  <c r="N253" i="19"/>
  <c r="P253" i="19"/>
  <c r="Q253" i="19"/>
  <c r="S253" i="19"/>
  <c r="V253" i="19"/>
  <c r="W253" i="19"/>
  <c r="X253" i="19"/>
  <c r="Z253" i="19"/>
  <c r="D251" i="32" s="1"/>
  <c r="AA253" i="19"/>
  <c r="AB253" i="19"/>
  <c r="AC253" i="19"/>
  <c r="AD253" i="19"/>
  <c r="AE253" i="19"/>
  <c r="AF253" i="19"/>
  <c r="AG253" i="19"/>
  <c r="AH253" i="19"/>
  <c r="AI253" i="19"/>
  <c r="AJ253" i="19"/>
  <c r="AK253" i="19"/>
  <c r="AL253" i="19"/>
  <c r="AM253" i="19"/>
  <c r="AN253" i="19"/>
  <c r="AO253" i="19"/>
  <c r="AP253" i="19"/>
  <c r="AQ253" i="19"/>
  <c r="AR253" i="19"/>
  <c r="C254" i="19"/>
  <c r="D254" i="19"/>
  <c r="E254" i="19"/>
  <c r="F254" i="19"/>
  <c r="H254" i="19"/>
  <c r="I254" i="19"/>
  <c r="J254" i="19"/>
  <c r="K254" i="19"/>
  <c r="L254" i="19"/>
  <c r="M254" i="19"/>
  <c r="N254" i="19"/>
  <c r="P254" i="19"/>
  <c r="Q254" i="19"/>
  <c r="S254" i="19"/>
  <c r="V254" i="19"/>
  <c r="W254" i="19"/>
  <c r="X254" i="19"/>
  <c r="Y254" i="19" s="1"/>
  <c r="Z254" i="19"/>
  <c r="D252" i="32" s="1"/>
  <c r="AA254" i="19"/>
  <c r="AB254" i="19"/>
  <c r="AC254" i="19"/>
  <c r="AD254" i="19"/>
  <c r="AE254" i="19"/>
  <c r="AF254" i="19"/>
  <c r="AG254" i="19"/>
  <c r="AH254" i="19"/>
  <c r="AI254" i="19"/>
  <c r="AJ254" i="19"/>
  <c r="AK254" i="19"/>
  <c r="AL254" i="19"/>
  <c r="AM254" i="19"/>
  <c r="AN254" i="19"/>
  <c r="AO254" i="19"/>
  <c r="AP254" i="19"/>
  <c r="AQ254" i="19"/>
  <c r="AR254" i="19"/>
  <c r="C255" i="19"/>
  <c r="D255" i="19"/>
  <c r="E255" i="19"/>
  <c r="F255" i="19"/>
  <c r="H255" i="19"/>
  <c r="I255" i="19"/>
  <c r="J255" i="19"/>
  <c r="K255" i="19"/>
  <c r="L255" i="19"/>
  <c r="M255" i="19"/>
  <c r="N255" i="19"/>
  <c r="P255" i="19"/>
  <c r="Q255" i="19"/>
  <c r="S255" i="19"/>
  <c r="V255" i="19"/>
  <c r="W255" i="19"/>
  <c r="X255" i="19"/>
  <c r="Z255" i="19"/>
  <c r="D253" i="32" s="1"/>
  <c r="AA255" i="19"/>
  <c r="AB255" i="19"/>
  <c r="AC255" i="19"/>
  <c r="AD255" i="19"/>
  <c r="AE255" i="19"/>
  <c r="AF255" i="19"/>
  <c r="AG255" i="19"/>
  <c r="AH255" i="19"/>
  <c r="AI255" i="19"/>
  <c r="AJ255" i="19"/>
  <c r="AK255" i="19"/>
  <c r="AL255" i="19"/>
  <c r="AM255" i="19"/>
  <c r="AN255" i="19"/>
  <c r="AO255" i="19"/>
  <c r="AP255" i="19"/>
  <c r="AQ255" i="19"/>
  <c r="AR255" i="19"/>
  <c r="C256" i="19"/>
  <c r="D256" i="19"/>
  <c r="E256" i="19"/>
  <c r="F256" i="19"/>
  <c r="H256" i="19"/>
  <c r="I256" i="19"/>
  <c r="J256" i="19"/>
  <c r="K256" i="19"/>
  <c r="L256" i="19"/>
  <c r="M256" i="19"/>
  <c r="N256" i="19"/>
  <c r="P256" i="19"/>
  <c r="Q256" i="19"/>
  <c r="S256" i="19"/>
  <c r="V256" i="19"/>
  <c r="W256" i="19"/>
  <c r="X256" i="19"/>
  <c r="Z256" i="19"/>
  <c r="D254" i="32" s="1"/>
  <c r="AA256" i="19"/>
  <c r="AB256" i="19"/>
  <c r="AC256" i="19"/>
  <c r="AD256" i="19"/>
  <c r="AE256" i="19"/>
  <c r="AF256" i="19"/>
  <c r="AG256" i="19"/>
  <c r="AH256" i="19"/>
  <c r="AI256" i="19"/>
  <c r="AJ256" i="19"/>
  <c r="AK256" i="19"/>
  <c r="AL256" i="19"/>
  <c r="AM256" i="19"/>
  <c r="AN256" i="19"/>
  <c r="AO256" i="19"/>
  <c r="AP256" i="19"/>
  <c r="AQ256" i="19"/>
  <c r="AR256" i="19"/>
  <c r="C257" i="19"/>
  <c r="D257" i="19"/>
  <c r="E257" i="19"/>
  <c r="F257" i="19"/>
  <c r="H257" i="19"/>
  <c r="I257" i="19"/>
  <c r="J257" i="19"/>
  <c r="K257" i="19"/>
  <c r="L257" i="19"/>
  <c r="M257" i="19"/>
  <c r="N257" i="19"/>
  <c r="P257" i="19"/>
  <c r="Q257" i="19"/>
  <c r="O257" i="19" s="1"/>
  <c r="S257" i="19"/>
  <c r="V257" i="19"/>
  <c r="W257" i="19"/>
  <c r="X257" i="19"/>
  <c r="Z257" i="19"/>
  <c r="D255" i="32" s="1"/>
  <c r="AA257" i="19"/>
  <c r="AB257" i="19"/>
  <c r="AC257" i="19"/>
  <c r="AD257" i="19"/>
  <c r="AE257" i="19"/>
  <c r="AF257" i="19"/>
  <c r="AG257" i="19"/>
  <c r="AH257" i="19"/>
  <c r="AI257" i="19"/>
  <c r="AJ257" i="19"/>
  <c r="AK257" i="19"/>
  <c r="AL257" i="19"/>
  <c r="AM257" i="19"/>
  <c r="AN257" i="19"/>
  <c r="AO257" i="19"/>
  <c r="AP257" i="19"/>
  <c r="AQ257" i="19"/>
  <c r="AR257" i="19"/>
  <c r="C258" i="19"/>
  <c r="D258" i="19"/>
  <c r="E258" i="19"/>
  <c r="F258" i="19"/>
  <c r="H258" i="19"/>
  <c r="I258" i="19"/>
  <c r="J258" i="19"/>
  <c r="K258" i="19"/>
  <c r="L258" i="19"/>
  <c r="M258" i="19"/>
  <c r="N258" i="19"/>
  <c r="P258" i="19"/>
  <c r="Q258" i="19"/>
  <c r="S258" i="19"/>
  <c r="V258" i="19"/>
  <c r="W258" i="19"/>
  <c r="X258" i="19"/>
  <c r="Y258" i="19" s="1"/>
  <c r="Z258" i="19"/>
  <c r="AA258" i="19"/>
  <c r="AB258" i="19"/>
  <c r="AC258" i="19"/>
  <c r="AD258" i="19"/>
  <c r="AE258" i="19"/>
  <c r="AF258" i="19"/>
  <c r="AG258" i="19"/>
  <c r="AH258" i="19"/>
  <c r="AI258" i="19"/>
  <c r="AJ258" i="19"/>
  <c r="AK258" i="19"/>
  <c r="AL258" i="19"/>
  <c r="AM258" i="19"/>
  <c r="AN258" i="19"/>
  <c r="AO258" i="19"/>
  <c r="AP258" i="19"/>
  <c r="AQ258" i="19"/>
  <c r="AR258" i="19"/>
  <c r="C259" i="19"/>
  <c r="D259" i="19"/>
  <c r="E259" i="19"/>
  <c r="F259" i="19"/>
  <c r="H259" i="19"/>
  <c r="I259" i="19"/>
  <c r="J259" i="19"/>
  <c r="K259" i="19"/>
  <c r="L259" i="19"/>
  <c r="M259" i="19"/>
  <c r="N259" i="19"/>
  <c r="P259" i="19"/>
  <c r="Q259" i="19"/>
  <c r="S259" i="19"/>
  <c r="V259" i="19"/>
  <c r="W259" i="19"/>
  <c r="X259" i="19"/>
  <c r="Z259" i="19"/>
  <c r="AA259" i="19"/>
  <c r="AB259" i="19"/>
  <c r="AC259" i="19"/>
  <c r="AD259" i="19"/>
  <c r="AE259" i="19"/>
  <c r="AF259" i="19"/>
  <c r="AG259" i="19"/>
  <c r="AH259" i="19"/>
  <c r="AI259" i="19"/>
  <c r="AJ259" i="19"/>
  <c r="AK259" i="19"/>
  <c r="AL259" i="19"/>
  <c r="AM259" i="19"/>
  <c r="AN259" i="19"/>
  <c r="AO259" i="19"/>
  <c r="AP259" i="19"/>
  <c r="AQ259" i="19"/>
  <c r="AR259" i="19"/>
  <c r="C260" i="19"/>
  <c r="D260" i="19"/>
  <c r="E260" i="19"/>
  <c r="F260" i="19"/>
  <c r="H260" i="19"/>
  <c r="I260" i="19"/>
  <c r="J260" i="19"/>
  <c r="K260" i="19"/>
  <c r="L260" i="19"/>
  <c r="M260" i="19"/>
  <c r="N260" i="19"/>
  <c r="P260" i="19"/>
  <c r="Q260" i="19"/>
  <c r="S260" i="19"/>
  <c r="V260" i="19"/>
  <c r="W260" i="19"/>
  <c r="X260" i="19"/>
  <c r="Z260" i="19"/>
  <c r="D258" i="32" s="1"/>
  <c r="AA260" i="19"/>
  <c r="AB260" i="19"/>
  <c r="AC260" i="19"/>
  <c r="AD260" i="19"/>
  <c r="AE260" i="19"/>
  <c r="AF260" i="19"/>
  <c r="AG260" i="19"/>
  <c r="AH260" i="19"/>
  <c r="AI260" i="19"/>
  <c r="AJ260" i="19"/>
  <c r="AK260" i="19"/>
  <c r="AL260" i="19"/>
  <c r="AM260" i="19"/>
  <c r="AN260" i="19"/>
  <c r="AO260" i="19"/>
  <c r="AP260" i="19"/>
  <c r="AQ260" i="19"/>
  <c r="AR260" i="19"/>
  <c r="C261" i="19"/>
  <c r="D261" i="19"/>
  <c r="E261" i="19"/>
  <c r="F261" i="19"/>
  <c r="H261" i="19"/>
  <c r="I261" i="19"/>
  <c r="J261" i="19"/>
  <c r="K261" i="19"/>
  <c r="L261" i="19"/>
  <c r="M261" i="19"/>
  <c r="N261" i="19"/>
  <c r="P261" i="19"/>
  <c r="Q261" i="19"/>
  <c r="O261" i="19" s="1"/>
  <c r="S261" i="19"/>
  <c r="V261" i="19"/>
  <c r="W261" i="19"/>
  <c r="X261" i="19"/>
  <c r="Z261" i="19"/>
  <c r="AA261" i="19"/>
  <c r="AB261" i="19"/>
  <c r="AC261" i="19"/>
  <c r="AD261" i="19"/>
  <c r="AE261" i="19"/>
  <c r="AF261" i="19"/>
  <c r="AG261" i="19"/>
  <c r="AH261" i="19"/>
  <c r="AI261" i="19"/>
  <c r="AJ261" i="19"/>
  <c r="AK261" i="19"/>
  <c r="AL261" i="19"/>
  <c r="AM261" i="19"/>
  <c r="AN261" i="19"/>
  <c r="AO261" i="19"/>
  <c r="AP261" i="19"/>
  <c r="AQ261" i="19"/>
  <c r="AR261" i="19"/>
  <c r="C262" i="19"/>
  <c r="D262" i="19"/>
  <c r="E262" i="19"/>
  <c r="F262" i="19"/>
  <c r="H262" i="19"/>
  <c r="I262" i="19"/>
  <c r="J262" i="19"/>
  <c r="K262" i="19"/>
  <c r="L262" i="19"/>
  <c r="M262" i="19"/>
  <c r="N262" i="19"/>
  <c r="P262" i="19"/>
  <c r="Q262" i="19"/>
  <c r="S262" i="19"/>
  <c r="V262" i="19"/>
  <c r="W262" i="19"/>
  <c r="X262" i="19"/>
  <c r="Z262" i="19"/>
  <c r="D260" i="32" s="1"/>
  <c r="AA262" i="19"/>
  <c r="AB262" i="19"/>
  <c r="AC262" i="19"/>
  <c r="AD262" i="19"/>
  <c r="AE262" i="19"/>
  <c r="AF262" i="19"/>
  <c r="AG262" i="19"/>
  <c r="AH262" i="19"/>
  <c r="AI262" i="19"/>
  <c r="AJ262" i="19"/>
  <c r="AK262" i="19"/>
  <c r="AL262" i="19"/>
  <c r="AM262" i="19"/>
  <c r="AN262" i="19"/>
  <c r="AO262" i="19"/>
  <c r="AP262" i="19"/>
  <c r="AQ262" i="19"/>
  <c r="AR262" i="19"/>
  <c r="C263" i="19"/>
  <c r="D263" i="19"/>
  <c r="E263" i="19"/>
  <c r="F263" i="19"/>
  <c r="H263" i="19"/>
  <c r="I263" i="19"/>
  <c r="J263" i="19"/>
  <c r="K263" i="19"/>
  <c r="L263" i="19"/>
  <c r="M263" i="19"/>
  <c r="N263" i="19"/>
  <c r="P263" i="19"/>
  <c r="Q263" i="19"/>
  <c r="O263" i="19" s="1"/>
  <c r="S263" i="19"/>
  <c r="V263" i="19"/>
  <c r="W263" i="19"/>
  <c r="X263" i="19"/>
  <c r="Z263" i="19"/>
  <c r="D261" i="32" s="1"/>
  <c r="AA263" i="19"/>
  <c r="AB263" i="19"/>
  <c r="AC263" i="19"/>
  <c r="AD263" i="19"/>
  <c r="AE263" i="19"/>
  <c r="AF263" i="19"/>
  <c r="AG263" i="19"/>
  <c r="AH263" i="19"/>
  <c r="AI263" i="19"/>
  <c r="AJ263" i="19"/>
  <c r="AK263" i="19"/>
  <c r="AL263" i="19"/>
  <c r="AM263" i="19"/>
  <c r="AN263" i="19"/>
  <c r="AO263" i="19"/>
  <c r="AP263" i="19"/>
  <c r="AQ263" i="19"/>
  <c r="AR263" i="19"/>
  <c r="C264" i="19"/>
  <c r="D264" i="19"/>
  <c r="E264" i="19"/>
  <c r="F264" i="19"/>
  <c r="H264" i="19"/>
  <c r="I264" i="19"/>
  <c r="J264" i="19"/>
  <c r="K264" i="19"/>
  <c r="L264" i="19"/>
  <c r="M264" i="19"/>
  <c r="N264" i="19"/>
  <c r="P264" i="19"/>
  <c r="Q264" i="19"/>
  <c r="S264" i="19"/>
  <c r="V264" i="19"/>
  <c r="W264" i="19"/>
  <c r="X264" i="19"/>
  <c r="Y264" i="19" s="1"/>
  <c r="Z264" i="19"/>
  <c r="D262" i="32" s="1"/>
  <c r="AA264" i="19"/>
  <c r="AB264" i="19"/>
  <c r="AC264" i="19"/>
  <c r="AD264" i="19"/>
  <c r="AE264" i="19"/>
  <c r="AF264" i="19"/>
  <c r="AG264" i="19"/>
  <c r="AH264" i="19"/>
  <c r="AI264" i="19"/>
  <c r="AJ264" i="19"/>
  <c r="AK264" i="19"/>
  <c r="AL264" i="19"/>
  <c r="AM264" i="19"/>
  <c r="AN264" i="19"/>
  <c r="AO264" i="19"/>
  <c r="AP264" i="19"/>
  <c r="AQ264" i="19"/>
  <c r="AR264" i="19"/>
  <c r="C265" i="19"/>
  <c r="D265" i="19"/>
  <c r="E265" i="19"/>
  <c r="F265" i="19"/>
  <c r="H265" i="19"/>
  <c r="I265" i="19"/>
  <c r="J265" i="19"/>
  <c r="K265" i="19"/>
  <c r="L265" i="19"/>
  <c r="M265" i="19"/>
  <c r="N265" i="19"/>
  <c r="P265" i="19"/>
  <c r="Q265" i="19"/>
  <c r="S265" i="19"/>
  <c r="V265" i="19"/>
  <c r="W265" i="19"/>
  <c r="X265" i="19"/>
  <c r="Z265" i="19"/>
  <c r="D263" i="32" s="1"/>
  <c r="AA265" i="19"/>
  <c r="AB265" i="19"/>
  <c r="AC265" i="19"/>
  <c r="AD265" i="19"/>
  <c r="AE265" i="19"/>
  <c r="AF265" i="19"/>
  <c r="AG265" i="19"/>
  <c r="AH265" i="19"/>
  <c r="AI265" i="19"/>
  <c r="AJ265" i="19"/>
  <c r="AK265" i="19"/>
  <c r="AL265" i="19"/>
  <c r="AM265" i="19"/>
  <c r="AN265" i="19"/>
  <c r="AO265" i="19"/>
  <c r="AP265" i="19"/>
  <c r="AQ265" i="19"/>
  <c r="AR265" i="19"/>
  <c r="C266" i="19"/>
  <c r="D266" i="19"/>
  <c r="E266" i="19"/>
  <c r="F266" i="19"/>
  <c r="H266" i="19"/>
  <c r="I266" i="19"/>
  <c r="J266" i="19"/>
  <c r="K266" i="19"/>
  <c r="L266" i="19"/>
  <c r="M266" i="19"/>
  <c r="N266" i="19"/>
  <c r="P266" i="19"/>
  <c r="Q266" i="19"/>
  <c r="S266" i="19"/>
  <c r="V266" i="19"/>
  <c r="W266" i="19"/>
  <c r="X266" i="19"/>
  <c r="Z266" i="19"/>
  <c r="AA266" i="19"/>
  <c r="AB266" i="19"/>
  <c r="AC266" i="19"/>
  <c r="AD266" i="19"/>
  <c r="AE266" i="19"/>
  <c r="AF266" i="19"/>
  <c r="AG266" i="19"/>
  <c r="AH266" i="19"/>
  <c r="AI266" i="19"/>
  <c r="AJ266" i="19"/>
  <c r="AK266" i="19"/>
  <c r="AL266" i="19"/>
  <c r="AM266" i="19"/>
  <c r="AN266" i="19"/>
  <c r="AO266" i="19"/>
  <c r="AP266" i="19"/>
  <c r="AQ266" i="19"/>
  <c r="AR266" i="19"/>
  <c r="C267" i="19"/>
  <c r="D267" i="19"/>
  <c r="E267" i="19"/>
  <c r="F267" i="19"/>
  <c r="H267" i="19"/>
  <c r="I267" i="19"/>
  <c r="J267" i="19"/>
  <c r="K267" i="19"/>
  <c r="L267" i="19"/>
  <c r="M267" i="19"/>
  <c r="N267" i="19"/>
  <c r="P267" i="19"/>
  <c r="Q267" i="19"/>
  <c r="S267" i="19"/>
  <c r="V267" i="19"/>
  <c r="W267" i="19"/>
  <c r="X267" i="19"/>
  <c r="Z267" i="19"/>
  <c r="AA267" i="19"/>
  <c r="AB267" i="19"/>
  <c r="AC267" i="19"/>
  <c r="AD267" i="19"/>
  <c r="AE267" i="19"/>
  <c r="AF267" i="19"/>
  <c r="AG267" i="19"/>
  <c r="AH267" i="19"/>
  <c r="AI267" i="19"/>
  <c r="AJ267" i="19"/>
  <c r="AK267" i="19"/>
  <c r="AL267" i="19"/>
  <c r="AM267" i="19"/>
  <c r="AN267" i="19"/>
  <c r="AO267" i="19"/>
  <c r="AP267" i="19"/>
  <c r="AQ267" i="19"/>
  <c r="AR267" i="19"/>
  <c r="C268" i="19"/>
  <c r="D268" i="19"/>
  <c r="E268" i="19"/>
  <c r="F268" i="19"/>
  <c r="H268" i="19"/>
  <c r="I268" i="19"/>
  <c r="J268" i="19"/>
  <c r="K268" i="19"/>
  <c r="L268" i="19"/>
  <c r="M268" i="19"/>
  <c r="N268" i="19"/>
  <c r="P268" i="19"/>
  <c r="Q268" i="19"/>
  <c r="S268" i="19"/>
  <c r="V268" i="19"/>
  <c r="W268" i="19"/>
  <c r="X268" i="19"/>
  <c r="Z268" i="19"/>
  <c r="D266" i="32" s="1"/>
  <c r="AA268" i="19"/>
  <c r="AB268" i="19"/>
  <c r="AC268" i="19"/>
  <c r="AD268" i="19"/>
  <c r="AE268" i="19"/>
  <c r="AF268" i="19"/>
  <c r="AG268" i="19"/>
  <c r="AH268" i="19"/>
  <c r="AI268" i="19"/>
  <c r="AJ268" i="19"/>
  <c r="AK268" i="19"/>
  <c r="AL268" i="19"/>
  <c r="AM268" i="19"/>
  <c r="AN268" i="19"/>
  <c r="AO268" i="19"/>
  <c r="AP268" i="19"/>
  <c r="AQ268" i="19"/>
  <c r="AR268" i="19"/>
  <c r="D269" i="19"/>
  <c r="E269" i="19"/>
  <c r="F269" i="19"/>
  <c r="H269" i="19"/>
  <c r="I269" i="19"/>
  <c r="J269" i="19"/>
  <c r="K269" i="19"/>
  <c r="L269" i="19"/>
  <c r="M269" i="19"/>
  <c r="N269" i="19"/>
  <c r="P269" i="19"/>
  <c r="Q269" i="19"/>
  <c r="S269" i="19"/>
  <c r="V269" i="19"/>
  <c r="W269" i="19"/>
  <c r="X269" i="19"/>
  <c r="Z269" i="19"/>
  <c r="AA269" i="19"/>
  <c r="AB269" i="19"/>
  <c r="AC269" i="19"/>
  <c r="AD269" i="19"/>
  <c r="AE269" i="19"/>
  <c r="AF269" i="19"/>
  <c r="AG269" i="19"/>
  <c r="AH269" i="19"/>
  <c r="AI269" i="19"/>
  <c r="AJ269" i="19"/>
  <c r="AK269" i="19"/>
  <c r="AL269" i="19"/>
  <c r="AM269" i="19"/>
  <c r="AN269" i="19"/>
  <c r="AO269" i="19"/>
  <c r="AP269" i="19"/>
  <c r="AQ269" i="19"/>
  <c r="AR269" i="19"/>
  <c r="C270" i="19"/>
  <c r="D270" i="19"/>
  <c r="E270" i="19"/>
  <c r="F270" i="19"/>
  <c r="H270" i="19"/>
  <c r="I270" i="19"/>
  <c r="J270" i="19"/>
  <c r="K270" i="19"/>
  <c r="L270" i="19"/>
  <c r="M270" i="19"/>
  <c r="N270" i="19"/>
  <c r="P270" i="19"/>
  <c r="Q270" i="19"/>
  <c r="S270" i="19"/>
  <c r="V270" i="19"/>
  <c r="W270" i="19"/>
  <c r="X270" i="19"/>
  <c r="Z270" i="19"/>
  <c r="D268" i="32" s="1"/>
  <c r="AA270" i="19"/>
  <c r="AB270" i="19"/>
  <c r="AC270" i="19"/>
  <c r="AD270" i="19"/>
  <c r="AE270" i="19"/>
  <c r="AF270" i="19"/>
  <c r="AG270" i="19"/>
  <c r="AH270" i="19"/>
  <c r="AI270" i="19"/>
  <c r="AJ270" i="19"/>
  <c r="AK270" i="19"/>
  <c r="AL270" i="19"/>
  <c r="AM270" i="19"/>
  <c r="AN270" i="19"/>
  <c r="AO270" i="19"/>
  <c r="AP270" i="19"/>
  <c r="AQ270" i="19"/>
  <c r="AR270" i="19"/>
  <c r="C271" i="19"/>
  <c r="D271" i="19"/>
  <c r="E271" i="19"/>
  <c r="F271" i="19"/>
  <c r="H271" i="19"/>
  <c r="I271" i="19"/>
  <c r="J271" i="19"/>
  <c r="K271" i="19"/>
  <c r="L271" i="19"/>
  <c r="M271" i="19"/>
  <c r="N271" i="19"/>
  <c r="P271" i="19"/>
  <c r="Q271" i="19"/>
  <c r="S271" i="19"/>
  <c r="V271" i="19"/>
  <c r="W271" i="19"/>
  <c r="X271" i="19"/>
  <c r="Z271" i="19"/>
  <c r="D269" i="32" s="1"/>
  <c r="AA271" i="19"/>
  <c r="AB271" i="19"/>
  <c r="AC271" i="19"/>
  <c r="AD271" i="19"/>
  <c r="AE271" i="19"/>
  <c r="AF271" i="19"/>
  <c r="AG271" i="19"/>
  <c r="AH271" i="19"/>
  <c r="AI271" i="19"/>
  <c r="AJ271" i="19"/>
  <c r="AK271" i="19"/>
  <c r="AL271" i="19"/>
  <c r="AM271" i="19"/>
  <c r="AN271" i="19"/>
  <c r="AO271" i="19"/>
  <c r="AP271" i="19"/>
  <c r="AQ271" i="19"/>
  <c r="AR271" i="19"/>
  <c r="C272" i="19"/>
  <c r="D272" i="19"/>
  <c r="E272" i="19"/>
  <c r="F272" i="19"/>
  <c r="H272" i="19"/>
  <c r="I272" i="19"/>
  <c r="J272" i="19"/>
  <c r="K272" i="19"/>
  <c r="L272" i="19"/>
  <c r="M272" i="19"/>
  <c r="N272" i="19"/>
  <c r="P272" i="19"/>
  <c r="Q272" i="19"/>
  <c r="S272" i="19"/>
  <c r="V272" i="19"/>
  <c r="W272" i="19"/>
  <c r="X272" i="19"/>
  <c r="Z272" i="19"/>
  <c r="AA272" i="19"/>
  <c r="AB272" i="19"/>
  <c r="AC272" i="19"/>
  <c r="AD272" i="19"/>
  <c r="AE272" i="19"/>
  <c r="AF272" i="19"/>
  <c r="AG272" i="19"/>
  <c r="AH272" i="19"/>
  <c r="AI272" i="19"/>
  <c r="AJ272" i="19"/>
  <c r="AK272" i="19"/>
  <c r="AL272" i="19"/>
  <c r="AM272" i="19"/>
  <c r="AN272" i="19"/>
  <c r="AO272" i="19"/>
  <c r="AP272" i="19"/>
  <c r="AQ272" i="19"/>
  <c r="AR272" i="19"/>
  <c r="C273" i="19"/>
  <c r="D273" i="19"/>
  <c r="E273" i="19"/>
  <c r="F273" i="19"/>
  <c r="H273" i="19"/>
  <c r="I273" i="19"/>
  <c r="J273" i="19"/>
  <c r="K273" i="19"/>
  <c r="L273" i="19"/>
  <c r="M273" i="19"/>
  <c r="N273" i="19"/>
  <c r="P273" i="19"/>
  <c r="Q273" i="19"/>
  <c r="S273" i="19"/>
  <c r="V273" i="19"/>
  <c r="W273" i="19"/>
  <c r="X273" i="19"/>
  <c r="Z273" i="19"/>
  <c r="D271" i="32" s="1"/>
  <c r="AA273" i="19"/>
  <c r="AB273" i="19"/>
  <c r="AC273" i="19"/>
  <c r="AD273" i="19"/>
  <c r="AE273" i="19"/>
  <c r="AF273" i="19"/>
  <c r="AG273" i="19"/>
  <c r="AH273" i="19"/>
  <c r="AI273" i="19"/>
  <c r="AJ273" i="19"/>
  <c r="AK273" i="19"/>
  <c r="AL273" i="19"/>
  <c r="AM273" i="19"/>
  <c r="AN273" i="19"/>
  <c r="AO273" i="19"/>
  <c r="AP273" i="19"/>
  <c r="AQ273" i="19"/>
  <c r="AR273" i="19"/>
  <c r="C274" i="19"/>
  <c r="D274" i="19"/>
  <c r="E274" i="19"/>
  <c r="F274" i="19"/>
  <c r="H274" i="19"/>
  <c r="I274" i="19"/>
  <c r="J274" i="19"/>
  <c r="K274" i="19"/>
  <c r="L274" i="19"/>
  <c r="M274" i="19"/>
  <c r="N274" i="19"/>
  <c r="P274" i="19"/>
  <c r="Q274" i="19"/>
  <c r="S274" i="19"/>
  <c r="V274" i="19"/>
  <c r="W274" i="19"/>
  <c r="X274" i="19"/>
  <c r="Z274" i="19"/>
  <c r="AA274" i="19"/>
  <c r="AB274" i="19"/>
  <c r="AC274" i="19"/>
  <c r="AD274" i="19"/>
  <c r="AE274" i="19"/>
  <c r="AF274" i="19"/>
  <c r="AG274" i="19"/>
  <c r="AH274" i="19"/>
  <c r="AI274" i="19"/>
  <c r="AJ274" i="19"/>
  <c r="AK274" i="19"/>
  <c r="AL274" i="19"/>
  <c r="AM274" i="19"/>
  <c r="AN274" i="19"/>
  <c r="AO274" i="19"/>
  <c r="AP274" i="19"/>
  <c r="AQ274" i="19"/>
  <c r="AR274" i="19"/>
  <c r="C275" i="19"/>
  <c r="D275" i="19"/>
  <c r="E275" i="19"/>
  <c r="F275" i="19"/>
  <c r="H275" i="19"/>
  <c r="I275" i="19"/>
  <c r="J275" i="19"/>
  <c r="K275" i="19"/>
  <c r="L275" i="19"/>
  <c r="M275" i="19"/>
  <c r="N275" i="19"/>
  <c r="P275" i="19"/>
  <c r="Q275" i="19"/>
  <c r="S275" i="19"/>
  <c r="V275" i="19"/>
  <c r="W275" i="19"/>
  <c r="X275" i="19"/>
  <c r="Z275" i="19"/>
  <c r="D273" i="32" s="1"/>
  <c r="AA275" i="19"/>
  <c r="AB275" i="19"/>
  <c r="AC275" i="19"/>
  <c r="AD275" i="19"/>
  <c r="AE275" i="19"/>
  <c r="AF275" i="19"/>
  <c r="AG275" i="19"/>
  <c r="AH275" i="19"/>
  <c r="AI275" i="19"/>
  <c r="AJ275" i="19"/>
  <c r="AK275" i="19"/>
  <c r="AL275" i="19"/>
  <c r="AM275" i="19"/>
  <c r="AN275" i="19"/>
  <c r="AO275" i="19"/>
  <c r="AP275" i="19"/>
  <c r="AQ275" i="19"/>
  <c r="AR275" i="19"/>
  <c r="C276" i="19"/>
  <c r="D276" i="19"/>
  <c r="E276" i="19"/>
  <c r="F276" i="19"/>
  <c r="H276" i="19"/>
  <c r="I276" i="19"/>
  <c r="J276" i="19"/>
  <c r="K276" i="19"/>
  <c r="L276" i="19"/>
  <c r="M276" i="19"/>
  <c r="N276" i="19"/>
  <c r="P276" i="19"/>
  <c r="Q276" i="19"/>
  <c r="S276" i="19"/>
  <c r="V276" i="19"/>
  <c r="W276" i="19"/>
  <c r="X276" i="19"/>
  <c r="Z276" i="19"/>
  <c r="D274" i="32" s="1"/>
  <c r="AA276" i="19"/>
  <c r="AB276" i="19"/>
  <c r="AC276" i="19"/>
  <c r="AD276" i="19"/>
  <c r="AE276" i="19"/>
  <c r="AF276" i="19"/>
  <c r="AG276" i="19"/>
  <c r="AH276" i="19"/>
  <c r="AI276" i="19"/>
  <c r="AJ276" i="19"/>
  <c r="AK276" i="19"/>
  <c r="AL276" i="19"/>
  <c r="AM276" i="19"/>
  <c r="AN276" i="19"/>
  <c r="AO276" i="19"/>
  <c r="AP276" i="19"/>
  <c r="AQ276" i="19"/>
  <c r="AR276" i="19"/>
  <c r="C277" i="19"/>
  <c r="D277" i="19"/>
  <c r="E277" i="19"/>
  <c r="F277" i="19"/>
  <c r="H277" i="19"/>
  <c r="I277" i="19"/>
  <c r="J277" i="19"/>
  <c r="K277" i="19"/>
  <c r="L277" i="19"/>
  <c r="M277" i="19"/>
  <c r="N277" i="19"/>
  <c r="P277" i="19"/>
  <c r="Q277" i="19"/>
  <c r="S277" i="19"/>
  <c r="V277" i="19"/>
  <c r="W277" i="19"/>
  <c r="X277" i="19"/>
  <c r="Z277" i="19"/>
  <c r="D275" i="32" s="1"/>
  <c r="AA277" i="19"/>
  <c r="AB277" i="19"/>
  <c r="AC277" i="19"/>
  <c r="AD277" i="19"/>
  <c r="AE277" i="19"/>
  <c r="AF277" i="19"/>
  <c r="AG277" i="19"/>
  <c r="AH277" i="19"/>
  <c r="AI277" i="19"/>
  <c r="AJ277" i="19"/>
  <c r="AK277" i="19"/>
  <c r="AL277" i="19"/>
  <c r="AM277" i="19"/>
  <c r="AN277" i="19"/>
  <c r="AO277" i="19"/>
  <c r="AP277" i="19"/>
  <c r="AQ277" i="19"/>
  <c r="AR277" i="19"/>
  <c r="C278" i="19"/>
  <c r="D278" i="19"/>
  <c r="E278" i="19"/>
  <c r="F278" i="19"/>
  <c r="H278" i="19"/>
  <c r="I278" i="19"/>
  <c r="J278" i="19"/>
  <c r="K278" i="19"/>
  <c r="L278" i="19"/>
  <c r="M278" i="19"/>
  <c r="N278" i="19"/>
  <c r="P278" i="19"/>
  <c r="Q278" i="19"/>
  <c r="S278" i="19"/>
  <c r="V278" i="19"/>
  <c r="W278" i="19"/>
  <c r="X278" i="19"/>
  <c r="Z278" i="19"/>
  <c r="D276" i="32" s="1"/>
  <c r="AA278" i="19"/>
  <c r="AB278" i="19"/>
  <c r="AC278" i="19"/>
  <c r="AD278" i="19"/>
  <c r="AE278" i="19"/>
  <c r="AF278" i="19"/>
  <c r="AG278" i="19"/>
  <c r="AH278" i="19"/>
  <c r="AI278" i="19"/>
  <c r="AJ278" i="19"/>
  <c r="AK278" i="19"/>
  <c r="AL278" i="19"/>
  <c r="AM278" i="19"/>
  <c r="AN278" i="19"/>
  <c r="AO278" i="19"/>
  <c r="AP278" i="19"/>
  <c r="AQ278" i="19"/>
  <c r="AR278" i="19"/>
  <c r="C279" i="19"/>
  <c r="D279" i="19"/>
  <c r="E279" i="19"/>
  <c r="F279" i="19"/>
  <c r="H279" i="19"/>
  <c r="I279" i="19"/>
  <c r="J279" i="19"/>
  <c r="K279" i="19"/>
  <c r="L279" i="19"/>
  <c r="M279" i="19"/>
  <c r="N279" i="19"/>
  <c r="P279" i="19"/>
  <c r="Q279" i="19"/>
  <c r="S279" i="19"/>
  <c r="V279" i="19"/>
  <c r="W279" i="19"/>
  <c r="X279" i="19"/>
  <c r="Z279" i="19"/>
  <c r="AA279" i="19"/>
  <c r="AB279" i="19"/>
  <c r="AC279" i="19"/>
  <c r="AD279" i="19"/>
  <c r="AE279" i="19"/>
  <c r="AF279" i="19"/>
  <c r="AG279" i="19"/>
  <c r="AH279" i="19"/>
  <c r="AI279" i="19"/>
  <c r="AJ279" i="19"/>
  <c r="AK279" i="19"/>
  <c r="AL279" i="19"/>
  <c r="AM279" i="19"/>
  <c r="AN279" i="19"/>
  <c r="AO279" i="19"/>
  <c r="AP279" i="19"/>
  <c r="AQ279" i="19"/>
  <c r="AR279" i="19"/>
  <c r="C280" i="19"/>
  <c r="D280" i="19"/>
  <c r="E280" i="19"/>
  <c r="F280" i="19"/>
  <c r="H280" i="19"/>
  <c r="I280" i="19"/>
  <c r="J280" i="19"/>
  <c r="K280" i="19"/>
  <c r="L280" i="19"/>
  <c r="M280" i="19"/>
  <c r="N280" i="19"/>
  <c r="P280" i="19"/>
  <c r="Q280" i="19"/>
  <c r="S280" i="19"/>
  <c r="V280" i="19"/>
  <c r="W280" i="19"/>
  <c r="X280" i="19"/>
  <c r="Z280" i="19"/>
  <c r="D278" i="32" s="1"/>
  <c r="AA280" i="19"/>
  <c r="AB280" i="19"/>
  <c r="AC280" i="19"/>
  <c r="AD280" i="19"/>
  <c r="AE280" i="19"/>
  <c r="AF280" i="19"/>
  <c r="AG280" i="19"/>
  <c r="AH280" i="19"/>
  <c r="AI280" i="19"/>
  <c r="AJ280" i="19"/>
  <c r="AK280" i="19"/>
  <c r="AL280" i="19"/>
  <c r="AM280" i="19"/>
  <c r="AN280" i="19"/>
  <c r="AO280" i="19"/>
  <c r="AP280" i="19"/>
  <c r="AQ280" i="19"/>
  <c r="AR280" i="19"/>
  <c r="D281" i="19"/>
  <c r="E281" i="19"/>
  <c r="F281" i="19"/>
  <c r="H281" i="19"/>
  <c r="I281" i="19"/>
  <c r="J281" i="19"/>
  <c r="K281" i="19"/>
  <c r="L281" i="19"/>
  <c r="M281" i="19"/>
  <c r="N281" i="19"/>
  <c r="P281" i="19"/>
  <c r="Q281" i="19"/>
  <c r="S281" i="19"/>
  <c r="V281" i="19"/>
  <c r="W281" i="19"/>
  <c r="X281" i="19"/>
  <c r="Z281" i="19"/>
  <c r="AA281" i="19"/>
  <c r="AB281" i="19"/>
  <c r="AC281" i="19"/>
  <c r="AD281" i="19"/>
  <c r="AE281" i="19"/>
  <c r="AF281" i="19"/>
  <c r="AG281" i="19"/>
  <c r="AH281" i="19"/>
  <c r="AI281" i="19"/>
  <c r="AJ281" i="19"/>
  <c r="AK281" i="19"/>
  <c r="AL281" i="19"/>
  <c r="AM281" i="19"/>
  <c r="AN281" i="19"/>
  <c r="AO281" i="19"/>
  <c r="AP281" i="19"/>
  <c r="AQ281" i="19"/>
  <c r="AR281" i="19"/>
  <c r="C282" i="19"/>
  <c r="D282" i="19"/>
  <c r="E282" i="19"/>
  <c r="F282" i="19"/>
  <c r="H282" i="19"/>
  <c r="I282" i="19"/>
  <c r="J282" i="19"/>
  <c r="K282" i="19"/>
  <c r="L282" i="19"/>
  <c r="M282" i="19"/>
  <c r="N282" i="19"/>
  <c r="P282" i="19"/>
  <c r="Q282" i="19"/>
  <c r="S282" i="19"/>
  <c r="V282" i="19"/>
  <c r="W282" i="19"/>
  <c r="X282" i="19"/>
  <c r="Y282" i="19" s="1"/>
  <c r="Z282" i="19"/>
  <c r="AA282" i="19"/>
  <c r="AB282" i="19"/>
  <c r="AC282" i="19"/>
  <c r="AD282" i="19"/>
  <c r="AE282" i="19"/>
  <c r="AF282" i="19"/>
  <c r="AG282" i="19"/>
  <c r="AH282" i="19"/>
  <c r="AI282" i="19"/>
  <c r="AJ282" i="19"/>
  <c r="AK282" i="19"/>
  <c r="AL282" i="19"/>
  <c r="AM282" i="19"/>
  <c r="AN282" i="19"/>
  <c r="AO282" i="19"/>
  <c r="AP282" i="19"/>
  <c r="AQ282" i="19"/>
  <c r="AR282" i="19"/>
  <c r="C283" i="19"/>
  <c r="D283" i="19"/>
  <c r="E283" i="19"/>
  <c r="F283" i="19"/>
  <c r="G283" i="19" s="1"/>
  <c r="H283" i="19"/>
  <c r="I283" i="19"/>
  <c r="J283" i="19"/>
  <c r="K283" i="19"/>
  <c r="L283" i="19"/>
  <c r="M283" i="19"/>
  <c r="N283" i="19"/>
  <c r="P283" i="19"/>
  <c r="Q283" i="19"/>
  <c r="S283" i="19"/>
  <c r="V283" i="19"/>
  <c r="W283" i="19"/>
  <c r="X283" i="19"/>
  <c r="Z283" i="19"/>
  <c r="D281" i="32" s="1"/>
  <c r="AA283" i="19"/>
  <c r="AB283" i="19"/>
  <c r="AC283" i="19"/>
  <c r="AD283" i="19"/>
  <c r="AE283" i="19"/>
  <c r="AF283" i="19"/>
  <c r="AG283" i="19"/>
  <c r="AH283" i="19"/>
  <c r="AI283" i="19"/>
  <c r="AJ283" i="19"/>
  <c r="AK283" i="19"/>
  <c r="AL283" i="19"/>
  <c r="AM283" i="19"/>
  <c r="AN283" i="19"/>
  <c r="AO283" i="19"/>
  <c r="AP283" i="19"/>
  <c r="AQ283" i="19"/>
  <c r="AR283" i="19"/>
  <c r="C284" i="19"/>
  <c r="D284" i="19"/>
  <c r="E284" i="19"/>
  <c r="F284" i="19"/>
  <c r="H284" i="19"/>
  <c r="I284" i="19"/>
  <c r="J284" i="19"/>
  <c r="K284" i="19"/>
  <c r="L284" i="19"/>
  <c r="M284" i="19"/>
  <c r="N284" i="19"/>
  <c r="P284" i="19"/>
  <c r="Q284" i="19"/>
  <c r="S284" i="19"/>
  <c r="V284" i="19"/>
  <c r="W284" i="19"/>
  <c r="X284" i="19"/>
  <c r="Z284" i="19"/>
  <c r="AA284" i="19"/>
  <c r="AB284" i="19"/>
  <c r="AC284" i="19"/>
  <c r="AD284" i="19"/>
  <c r="AE284" i="19"/>
  <c r="AF284" i="19"/>
  <c r="AG284" i="19"/>
  <c r="AH284" i="19"/>
  <c r="AI284" i="19"/>
  <c r="AJ284" i="19"/>
  <c r="AK284" i="19"/>
  <c r="AL284" i="19"/>
  <c r="AM284" i="19"/>
  <c r="AN284" i="19"/>
  <c r="AO284" i="19"/>
  <c r="AP284" i="19"/>
  <c r="AQ284" i="19"/>
  <c r="AR284" i="19"/>
  <c r="C285" i="19"/>
  <c r="D285" i="19"/>
  <c r="E285" i="19"/>
  <c r="F285" i="19"/>
  <c r="H285" i="19"/>
  <c r="I285" i="19"/>
  <c r="J285" i="19"/>
  <c r="K285" i="19"/>
  <c r="L285" i="19"/>
  <c r="M285" i="19"/>
  <c r="N285" i="19"/>
  <c r="P285" i="19"/>
  <c r="O285" i="19" s="1"/>
  <c r="Q285" i="19"/>
  <c r="S285" i="19"/>
  <c r="V285" i="19"/>
  <c r="W285" i="19"/>
  <c r="X285" i="19"/>
  <c r="Z285" i="19"/>
  <c r="AA285" i="19"/>
  <c r="AB285" i="19"/>
  <c r="AC285" i="19"/>
  <c r="AD285" i="19"/>
  <c r="AE285" i="19"/>
  <c r="AF285" i="19"/>
  <c r="AG285" i="19"/>
  <c r="AH285" i="19"/>
  <c r="AI285" i="19"/>
  <c r="AJ285" i="19"/>
  <c r="AK285" i="19"/>
  <c r="AL285" i="19"/>
  <c r="AM285" i="19"/>
  <c r="AN285" i="19"/>
  <c r="AO285" i="19"/>
  <c r="AP285" i="19"/>
  <c r="AQ285" i="19"/>
  <c r="AR285" i="19"/>
  <c r="C286" i="19"/>
  <c r="D286" i="19"/>
  <c r="E286" i="19"/>
  <c r="F286" i="19"/>
  <c r="H286" i="19"/>
  <c r="I286" i="19"/>
  <c r="J286" i="19"/>
  <c r="K286" i="19"/>
  <c r="L286" i="19"/>
  <c r="M286" i="19"/>
  <c r="N286" i="19"/>
  <c r="P286" i="19"/>
  <c r="O286" i="19" s="1"/>
  <c r="Q286" i="19"/>
  <c r="S286" i="19"/>
  <c r="V286" i="19"/>
  <c r="W286" i="19"/>
  <c r="X286" i="19"/>
  <c r="Z286" i="19"/>
  <c r="AA286" i="19"/>
  <c r="AB286" i="19"/>
  <c r="AC286" i="19"/>
  <c r="AD286" i="19"/>
  <c r="AE286" i="19"/>
  <c r="AF286" i="19"/>
  <c r="AG286" i="19"/>
  <c r="AH286" i="19"/>
  <c r="AI286" i="19"/>
  <c r="AJ286" i="19"/>
  <c r="AK286" i="19"/>
  <c r="AL286" i="19"/>
  <c r="AM286" i="19"/>
  <c r="AN286" i="19"/>
  <c r="AO286" i="19"/>
  <c r="AP286" i="19"/>
  <c r="AQ286" i="19"/>
  <c r="AR286" i="19"/>
  <c r="C287" i="19"/>
  <c r="D287" i="19"/>
  <c r="E287" i="19"/>
  <c r="F287" i="19"/>
  <c r="H287" i="19"/>
  <c r="I287" i="19"/>
  <c r="J287" i="19"/>
  <c r="K287" i="19"/>
  <c r="L287" i="19"/>
  <c r="M287" i="19"/>
  <c r="N287" i="19"/>
  <c r="P287" i="19"/>
  <c r="Q287" i="19"/>
  <c r="S287" i="19"/>
  <c r="V287" i="19"/>
  <c r="W287" i="19"/>
  <c r="X287" i="19"/>
  <c r="Z287" i="19"/>
  <c r="AA287" i="19"/>
  <c r="AB287" i="19"/>
  <c r="AC287" i="19"/>
  <c r="AD287" i="19"/>
  <c r="AE287" i="19"/>
  <c r="AF287" i="19"/>
  <c r="AG287" i="19"/>
  <c r="AH287" i="19"/>
  <c r="AI287" i="19"/>
  <c r="AJ287" i="19"/>
  <c r="AK287" i="19"/>
  <c r="AL287" i="19"/>
  <c r="AM287" i="19"/>
  <c r="AN287" i="19"/>
  <c r="AO287" i="19"/>
  <c r="AP287" i="19"/>
  <c r="AQ287" i="19"/>
  <c r="AR287" i="19"/>
  <c r="C288" i="19"/>
  <c r="D288" i="19"/>
  <c r="E288" i="19"/>
  <c r="F288" i="19"/>
  <c r="H288" i="19"/>
  <c r="I288" i="19"/>
  <c r="J288" i="19"/>
  <c r="K288" i="19"/>
  <c r="L288" i="19"/>
  <c r="M288" i="19"/>
  <c r="N288" i="19"/>
  <c r="P288" i="19"/>
  <c r="Q288" i="19"/>
  <c r="S288" i="19"/>
  <c r="V288" i="19"/>
  <c r="W288" i="19"/>
  <c r="X288" i="19"/>
  <c r="Z288" i="19"/>
  <c r="AA288" i="19"/>
  <c r="AB288" i="19"/>
  <c r="AC288" i="19"/>
  <c r="AD288" i="19"/>
  <c r="AE288" i="19"/>
  <c r="AF288" i="19"/>
  <c r="AG288" i="19"/>
  <c r="AH288" i="19"/>
  <c r="AI288" i="19"/>
  <c r="AJ288" i="19"/>
  <c r="AK288" i="19"/>
  <c r="AL288" i="19"/>
  <c r="AM288" i="19"/>
  <c r="AN288" i="19"/>
  <c r="AO288" i="19"/>
  <c r="AP288" i="19"/>
  <c r="AQ288" i="19"/>
  <c r="AR288" i="19"/>
  <c r="C289" i="19"/>
  <c r="D289" i="19"/>
  <c r="E289" i="19"/>
  <c r="F289" i="19"/>
  <c r="H289" i="19"/>
  <c r="I289" i="19"/>
  <c r="J289" i="19"/>
  <c r="K289" i="19"/>
  <c r="L289" i="19"/>
  <c r="M289" i="19"/>
  <c r="N289" i="19"/>
  <c r="P289" i="19"/>
  <c r="O289" i="19" s="1"/>
  <c r="Q289" i="19"/>
  <c r="S289" i="19"/>
  <c r="V289" i="19"/>
  <c r="W289" i="19"/>
  <c r="X289" i="19"/>
  <c r="Z289" i="19"/>
  <c r="AA289" i="19"/>
  <c r="AB289" i="19"/>
  <c r="AC289" i="19"/>
  <c r="AD289" i="19"/>
  <c r="AE289" i="19"/>
  <c r="AF289" i="19"/>
  <c r="AG289" i="19"/>
  <c r="AH289" i="19"/>
  <c r="AI289" i="19"/>
  <c r="AJ289" i="19"/>
  <c r="AK289" i="19"/>
  <c r="AL289" i="19"/>
  <c r="AM289" i="19"/>
  <c r="AN289" i="19"/>
  <c r="AO289" i="19"/>
  <c r="AP289" i="19"/>
  <c r="AQ289" i="19"/>
  <c r="AR289" i="19"/>
  <c r="C290" i="19"/>
  <c r="D290" i="19"/>
  <c r="E290" i="19"/>
  <c r="F290" i="19"/>
  <c r="H290" i="19"/>
  <c r="I290" i="19"/>
  <c r="J290" i="19"/>
  <c r="K290" i="19"/>
  <c r="L290" i="19"/>
  <c r="M290" i="19"/>
  <c r="N290" i="19"/>
  <c r="P290" i="19"/>
  <c r="O290" i="19" s="1"/>
  <c r="Q290" i="19"/>
  <c r="S290" i="19"/>
  <c r="V290" i="19"/>
  <c r="W290" i="19"/>
  <c r="X290" i="19"/>
  <c r="Z290" i="19"/>
  <c r="AA290" i="19"/>
  <c r="AB290" i="19"/>
  <c r="AC290" i="19"/>
  <c r="AD290" i="19"/>
  <c r="AE290" i="19"/>
  <c r="AF290" i="19"/>
  <c r="AG290" i="19"/>
  <c r="AH290" i="19"/>
  <c r="AI290" i="19"/>
  <c r="AJ290" i="19"/>
  <c r="AK290" i="19"/>
  <c r="AL290" i="19"/>
  <c r="AM290" i="19"/>
  <c r="AN290" i="19"/>
  <c r="AO290" i="19"/>
  <c r="AP290" i="19"/>
  <c r="AQ290" i="19"/>
  <c r="AR290" i="19"/>
  <c r="C291" i="19"/>
  <c r="D291" i="19"/>
  <c r="E291" i="19"/>
  <c r="F291" i="19"/>
  <c r="H291" i="19"/>
  <c r="I291" i="19"/>
  <c r="J291" i="19"/>
  <c r="K291" i="19"/>
  <c r="L291" i="19"/>
  <c r="M291" i="19"/>
  <c r="N291" i="19"/>
  <c r="P291" i="19"/>
  <c r="Q291" i="19"/>
  <c r="S291" i="19"/>
  <c r="V291" i="19"/>
  <c r="W291" i="19"/>
  <c r="X291" i="19"/>
  <c r="Z291" i="19"/>
  <c r="AA291" i="19"/>
  <c r="AB291" i="19"/>
  <c r="AC291" i="19"/>
  <c r="AD291" i="19"/>
  <c r="AE291" i="19"/>
  <c r="AF291" i="19"/>
  <c r="AG291" i="19"/>
  <c r="AH291" i="19"/>
  <c r="AI291" i="19"/>
  <c r="AJ291" i="19"/>
  <c r="AK291" i="19"/>
  <c r="AL291" i="19"/>
  <c r="AM291" i="19"/>
  <c r="AN291" i="19"/>
  <c r="AO291" i="19"/>
  <c r="AP291" i="19"/>
  <c r="AQ291" i="19"/>
  <c r="AR291" i="19"/>
  <c r="C292" i="19"/>
  <c r="D292" i="19"/>
  <c r="E292" i="19"/>
  <c r="F292" i="19"/>
  <c r="H292" i="19"/>
  <c r="I292" i="19"/>
  <c r="J292" i="19"/>
  <c r="K292" i="19"/>
  <c r="L292" i="19"/>
  <c r="M292" i="19"/>
  <c r="N292" i="19"/>
  <c r="P292" i="19"/>
  <c r="Q292" i="19"/>
  <c r="S292" i="19"/>
  <c r="V292" i="19"/>
  <c r="W292" i="19"/>
  <c r="X292" i="19"/>
  <c r="Z292" i="19"/>
  <c r="AA292" i="19"/>
  <c r="AB292" i="19"/>
  <c r="AC292" i="19"/>
  <c r="AD292" i="19"/>
  <c r="AE292" i="19"/>
  <c r="AF292" i="19"/>
  <c r="AG292" i="19"/>
  <c r="AH292" i="19"/>
  <c r="AI292" i="19"/>
  <c r="AJ292" i="19"/>
  <c r="AK292" i="19"/>
  <c r="AL292" i="19"/>
  <c r="AM292" i="19"/>
  <c r="AN292" i="19"/>
  <c r="AO292" i="19"/>
  <c r="AP292" i="19"/>
  <c r="AQ292" i="19"/>
  <c r="AR292" i="19"/>
  <c r="C293" i="19"/>
  <c r="D293" i="19"/>
  <c r="E293" i="19"/>
  <c r="F293" i="19"/>
  <c r="H293" i="19"/>
  <c r="I293" i="19"/>
  <c r="J293" i="19"/>
  <c r="K293" i="19"/>
  <c r="L293" i="19"/>
  <c r="M293" i="19"/>
  <c r="N293" i="19"/>
  <c r="P293" i="19"/>
  <c r="O293" i="19" s="1"/>
  <c r="Q293" i="19"/>
  <c r="S293" i="19"/>
  <c r="V293" i="19"/>
  <c r="W293" i="19"/>
  <c r="X293" i="19"/>
  <c r="Z293" i="19"/>
  <c r="AA293" i="19"/>
  <c r="AB293" i="19"/>
  <c r="AC293" i="19"/>
  <c r="AD293" i="19"/>
  <c r="AE293" i="19"/>
  <c r="AF293" i="19"/>
  <c r="AG293" i="19"/>
  <c r="AH293" i="19"/>
  <c r="AI293" i="19"/>
  <c r="AJ293" i="19"/>
  <c r="AK293" i="19"/>
  <c r="AL293" i="19"/>
  <c r="AM293" i="19"/>
  <c r="AN293" i="19"/>
  <c r="AO293" i="19"/>
  <c r="AP293" i="19"/>
  <c r="AQ293" i="19"/>
  <c r="AR293" i="19"/>
  <c r="C294" i="19"/>
  <c r="D294" i="19"/>
  <c r="E294" i="19"/>
  <c r="F294" i="19"/>
  <c r="H294" i="19"/>
  <c r="I294" i="19"/>
  <c r="J294" i="19"/>
  <c r="K294" i="19"/>
  <c r="L294" i="19"/>
  <c r="M294" i="19"/>
  <c r="N294" i="19"/>
  <c r="P294" i="19"/>
  <c r="O294" i="19" s="1"/>
  <c r="Q294" i="19"/>
  <c r="S294" i="19"/>
  <c r="V294" i="19"/>
  <c r="Y294" i="19" s="1"/>
  <c r="W294" i="19"/>
  <c r="X294" i="19"/>
  <c r="Z294" i="19"/>
  <c r="D292" i="32" s="1"/>
  <c r="AA294" i="19"/>
  <c r="AB294" i="19"/>
  <c r="AC294" i="19"/>
  <c r="AD294" i="19"/>
  <c r="AE294" i="19"/>
  <c r="AF294" i="19"/>
  <c r="AG294" i="19"/>
  <c r="AH294" i="19"/>
  <c r="AI294" i="19"/>
  <c r="AJ294" i="19"/>
  <c r="AK294" i="19"/>
  <c r="AL294" i="19"/>
  <c r="AM294" i="19"/>
  <c r="AN294" i="19"/>
  <c r="AO294" i="19"/>
  <c r="AP294" i="19"/>
  <c r="AQ294" i="19"/>
  <c r="AR294" i="19"/>
  <c r="C295" i="19"/>
  <c r="D295" i="19"/>
  <c r="E295" i="19"/>
  <c r="F295" i="19"/>
  <c r="H295" i="19"/>
  <c r="I295" i="19"/>
  <c r="J295" i="19"/>
  <c r="K295" i="19"/>
  <c r="L295" i="19"/>
  <c r="M295" i="19"/>
  <c r="N295" i="19"/>
  <c r="P295" i="19"/>
  <c r="Q295" i="19"/>
  <c r="S295" i="19"/>
  <c r="V295" i="19"/>
  <c r="W295" i="19"/>
  <c r="X295" i="19"/>
  <c r="Z295" i="19"/>
  <c r="D293" i="32" s="1"/>
  <c r="AA295" i="19"/>
  <c r="AB295" i="19"/>
  <c r="AC295" i="19"/>
  <c r="AD295" i="19"/>
  <c r="AE295" i="19"/>
  <c r="AF295" i="19"/>
  <c r="AG295" i="19"/>
  <c r="AH295" i="19"/>
  <c r="AI295" i="19"/>
  <c r="AJ295" i="19"/>
  <c r="AK295" i="19"/>
  <c r="AL295" i="19"/>
  <c r="AM295" i="19"/>
  <c r="AN295" i="19"/>
  <c r="AO295" i="19"/>
  <c r="AP295" i="19"/>
  <c r="AQ295" i="19"/>
  <c r="AR295" i="19"/>
  <c r="C296" i="19"/>
  <c r="D296" i="19"/>
  <c r="E296" i="19"/>
  <c r="F296" i="19"/>
  <c r="H296" i="19"/>
  <c r="I296" i="19"/>
  <c r="J296" i="19"/>
  <c r="K296" i="19"/>
  <c r="L296" i="19"/>
  <c r="M296" i="19"/>
  <c r="N296" i="19"/>
  <c r="P296" i="19"/>
  <c r="Q296" i="19"/>
  <c r="S296" i="19"/>
  <c r="V296" i="19"/>
  <c r="W296" i="19"/>
  <c r="X296" i="19"/>
  <c r="Z296" i="19"/>
  <c r="D294" i="32" s="1"/>
  <c r="AA296" i="19"/>
  <c r="AB296" i="19"/>
  <c r="AC296" i="19"/>
  <c r="AD296" i="19"/>
  <c r="AE296" i="19"/>
  <c r="AF296" i="19"/>
  <c r="AG296" i="19"/>
  <c r="AH296" i="19"/>
  <c r="AI296" i="19"/>
  <c r="AJ296" i="19"/>
  <c r="AK296" i="19"/>
  <c r="AL296" i="19"/>
  <c r="AM296" i="19"/>
  <c r="AN296" i="19"/>
  <c r="AO296" i="19"/>
  <c r="AP296" i="19"/>
  <c r="AQ296" i="19"/>
  <c r="AR296" i="19"/>
  <c r="C297" i="19"/>
  <c r="D297" i="19"/>
  <c r="E297" i="19"/>
  <c r="F297" i="19"/>
  <c r="H297" i="19"/>
  <c r="I297" i="19"/>
  <c r="J297" i="19"/>
  <c r="K297" i="19"/>
  <c r="L297" i="19"/>
  <c r="M297" i="19"/>
  <c r="N297" i="19"/>
  <c r="P297" i="19"/>
  <c r="Q297" i="19"/>
  <c r="O297" i="19" s="1"/>
  <c r="S297" i="19"/>
  <c r="V297" i="19"/>
  <c r="W297" i="19"/>
  <c r="X297" i="19"/>
  <c r="Z297" i="19"/>
  <c r="D295" i="32" s="1"/>
  <c r="AA297" i="19"/>
  <c r="AB297" i="19"/>
  <c r="AC297" i="19"/>
  <c r="AD297" i="19"/>
  <c r="AE297" i="19"/>
  <c r="AF297" i="19"/>
  <c r="AG297" i="19"/>
  <c r="AH297" i="19"/>
  <c r="AI297" i="19"/>
  <c r="AJ297" i="19"/>
  <c r="AK297" i="19"/>
  <c r="AL297" i="19"/>
  <c r="AM297" i="19"/>
  <c r="AN297" i="19"/>
  <c r="AO297" i="19"/>
  <c r="AP297" i="19"/>
  <c r="AQ297" i="19"/>
  <c r="AR297" i="19"/>
  <c r="C298" i="19"/>
  <c r="D298" i="19"/>
  <c r="E298" i="19"/>
  <c r="F298" i="19"/>
  <c r="H298" i="19"/>
  <c r="I298" i="19"/>
  <c r="J298" i="19"/>
  <c r="K298" i="19"/>
  <c r="L298" i="19"/>
  <c r="M298" i="19"/>
  <c r="N298" i="19"/>
  <c r="P298" i="19"/>
  <c r="Q298" i="19"/>
  <c r="S298" i="19"/>
  <c r="V298" i="19"/>
  <c r="W298" i="19"/>
  <c r="X298" i="19"/>
  <c r="Z298" i="19"/>
  <c r="AA298" i="19"/>
  <c r="AB298" i="19"/>
  <c r="AC298" i="19"/>
  <c r="AD298" i="19"/>
  <c r="AE298" i="19"/>
  <c r="AF298" i="19"/>
  <c r="AG298" i="19"/>
  <c r="AH298" i="19"/>
  <c r="AI298" i="19"/>
  <c r="AJ298" i="19"/>
  <c r="AK298" i="19"/>
  <c r="AL298" i="19"/>
  <c r="AM298" i="19"/>
  <c r="AN298" i="19"/>
  <c r="AO298" i="19"/>
  <c r="AP298" i="19"/>
  <c r="AQ298" i="19"/>
  <c r="AR298" i="19"/>
  <c r="C299" i="19"/>
  <c r="D299" i="19"/>
  <c r="E299" i="19"/>
  <c r="F299" i="19"/>
  <c r="H299" i="19"/>
  <c r="I299" i="19"/>
  <c r="J299" i="19"/>
  <c r="K299" i="19"/>
  <c r="L299" i="19"/>
  <c r="M299" i="19"/>
  <c r="N299" i="19"/>
  <c r="P299" i="19"/>
  <c r="Q299" i="19"/>
  <c r="S299" i="19"/>
  <c r="V299" i="19"/>
  <c r="W299" i="19"/>
  <c r="X299" i="19"/>
  <c r="Z299" i="19"/>
  <c r="D297" i="32" s="1"/>
  <c r="AA299" i="19"/>
  <c r="AB299" i="19"/>
  <c r="AC299" i="19"/>
  <c r="AD299" i="19"/>
  <c r="AE299" i="19"/>
  <c r="AF299" i="19"/>
  <c r="AG299" i="19"/>
  <c r="AH299" i="19"/>
  <c r="AI299" i="19"/>
  <c r="AJ299" i="19"/>
  <c r="AK299" i="19"/>
  <c r="AL299" i="19"/>
  <c r="AM299" i="19"/>
  <c r="AN299" i="19"/>
  <c r="AO299" i="19"/>
  <c r="AP299" i="19"/>
  <c r="AQ299" i="19"/>
  <c r="AR299" i="19"/>
  <c r="C300" i="19"/>
  <c r="D300" i="19"/>
  <c r="E300" i="19"/>
  <c r="F300" i="19"/>
  <c r="H300" i="19"/>
  <c r="I300" i="19"/>
  <c r="J300" i="19"/>
  <c r="K300" i="19"/>
  <c r="L300" i="19"/>
  <c r="M300" i="19"/>
  <c r="N300" i="19"/>
  <c r="P300" i="19"/>
  <c r="Q300" i="19"/>
  <c r="S300" i="19"/>
  <c r="V300" i="19"/>
  <c r="W300" i="19"/>
  <c r="X300" i="19"/>
  <c r="Z300" i="19"/>
  <c r="D298" i="32" s="1"/>
  <c r="AA300" i="19"/>
  <c r="AB300" i="19"/>
  <c r="AC300" i="19"/>
  <c r="AD300" i="19"/>
  <c r="AE300" i="19"/>
  <c r="AF300" i="19"/>
  <c r="AG300" i="19"/>
  <c r="AH300" i="19"/>
  <c r="AI300" i="19"/>
  <c r="AJ300" i="19"/>
  <c r="AK300" i="19"/>
  <c r="AL300" i="19"/>
  <c r="AM300" i="19"/>
  <c r="AN300" i="19"/>
  <c r="AO300" i="19"/>
  <c r="AP300" i="19"/>
  <c r="AQ300" i="19"/>
  <c r="AR300" i="19"/>
  <c r="C301" i="19"/>
  <c r="D301" i="19"/>
  <c r="E301" i="19"/>
  <c r="F301" i="19"/>
  <c r="H301" i="19"/>
  <c r="I301" i="19"/>
  <c r="J301" i="19"/>
  <c r="K301" i="19"/>
  <c r="L301" i="19"/>
  <c r="M301" i="19"/>
  <c r="N301" i="19"/>
  <c r="P301" i="19"/>
  <c r="Q301" i="19"/>
  <c r="O301" i="19" s="1"/>
  <c r="S301" i="19"/>
  <c r="V301" i="19"/>
  <c r="W301" i="19"/>
  <c r="X301" i="19"/>
  <c r="Z301" i="19"/>
  <c r="D299" i="32" s="1"/>
  <c r="AA301" i="19"/>
  <c r="AB301" i="19"/>
  <c r="AC301" i="19"/>
  <c r="AD301" i="19"/>
  <c r="AE301" i="19"/>
  <c r="AF301" i="19"/>
  <c r="AG301" i="19"/>
  <c r="AH301" i="19"/>
  <c r="AI301" i="19"/>
  <c r="AJ301" i="19"/>
  <c r="AK301" i="19"/>
  <c r="AL301" i="19"/>
  <c r="AM301" i="19"/>
  <c r="AN301" i="19"/>
  <c r="AO301" i="19"/>
  <c r="AP301" i="19"/>
  <c r="AQ301" i="19"/>
  <c r="AR301" i="19"/>
  <c r="C302" i="19"/>
  <c r="D302" i="19"/>
  <c r="E302" i="19"/>
  <c r="F302" i="19"/>
  <c r="H302" i="19"/>
  <c r="I302" i="19"/>
  <c r="J302" i="19"/>
  <c r="K302" i="19"/>
  <c r="L302" i="19"/>
  <c r="M302" i="19"/>
  <c r="N302" i="19"/>
  <c r="P302" i="19"/>
  <c r="Q302" i="19"/>
  <c r="S302" i="19"/>
  <c r="V302" i="19"/>
  <c r="W302" i="19"/>
  <c r="X302" i="19"/>
  <c r="Z302" i="19"/>
  <c r="AA302" i="19"/>
  <c r="AB302" i="19"/>
  <c r="AC302" i="19"/>
  <c r="AD302" i="19"/>
  <c r="AE302" i="19"/>
  <c r="AF302" i="19"/>
  <c r="AG302" i="19"/>
  <c r="AH302" i="19"/>
  <c r="AI302" i="19"/>
  <c r="AJ302" i="19"/>
  <c r="AK302" i="19"/>
  <c r="AL302" i="19"/>
  <c r="AM302" i="19"/>
  <c r="AN302" i="19"/>
  <c r="AO302" i="19"/>
  <c r="AP302" i="19"/>
  <c r="AQ302" i="19"/>
  <c r="AR302" i="19"/>
  <c r="C303" i="19"/>
  <c r="D303" i="19"/>
  <c r="E303" i="19"/>
  <c r="F303" i="19"/>
  <c r="H303" i="19"/>
  <c r="I303" i="19"/>
  <c r="J303" i="19"/>
  <c r="K303" i="19"/>
  <c r="L303" i="19"/>
  <c r="M303" i="19"/>
  <c r="N303" i="19"/>
  <c r="P303" i="19"/>
  <c r="Q303" i="19"/>
  <c r="S303" i="19"/>
  <c r="V303" i="19"/>
  <c r="W303" i="19"/>
  <c r="X303" i="19"/>
  <c r="Z303" i="19"/>
  <c r="AA303" i="19"/>
  <c r="AB303" i="19"/>
  <c r="AC303" i="19"/>
  <c r="AD303" i="19"/>
  <c r="AE303" i="19"/>
  <c r="AF303" i="19"/>
  <c r="AG303" i="19"/>
  <c r="AH303" i="19"/>
  <c r="AI303" i="19"/>
  <c r="AJ303" i="19"/>
  <c r="AK303" i="19"/>
  <c r="AL303" i="19"/>
  <c r="AM303" i="19"/>
  <c r="AN303" i="19"/>
  <c r="AO303" i="19"/>
  <c r="AP303" i="19"/>
  <c r="AQ303" i="19"/>
  <c r="AR303" i="19"/>
  <c r="C304" i="19"/>
  <c r="D304" i="19"/>
  <c r="E304" i="19"/>
  <c r="F304" i="19"/>
  <c r="H304" i="19"/>
  <c r="I304" i="19"/>
  <c r="J304" i="19"/>
  <c r="K304" i="19"/>
  <c r="L304" i="19"/>
  <c r="M304" i="19"/>
  <c r="N304" i="19"/>
  <c r="P304" i="19"/>
  <c r="Q304" i="19"/>
  <c r="S304" i="19"/>
  <c r="V304" i="19"/>
  <c r="W304" i="19"/>
  <c r="X304" i="19"/>
  <c r="Z304" i="19"/>
  <c r="D302" i="32" s="1"/>
  <c r="AA304" i="19"/>
  <c r="AB304" i="19"/>
  <c r="AC304" i="19"/>
  <c r="AD304" i="19"/>
  <c r="AE304" i="19"/>
  <c r="AF304" i="19"/>
  <c r="AG304" i="19"/>
  <c r="AH304" i="19"/>
  <c r="AI304" i="19"/>
  <c r="AJ304" i="19"/>
  <c r="AK304" i="19"/>
  <c r="AL304" i="19"/>
  <c r="AM304" i="19"/>
  <c r="AN304" i="19"/>
  <c r="AO304" i="19"/>
  <c r="AP304" i="19"/>
  <c r="AQ304" i="19"/>
  <c r="AR304" i="19"/>
  <c r="C305" i="19"/>
  <c r="D305" i="19"/>
  <c r="E305" i="19"/>
  <c r="F305" i="19"/>
  <c r="H305" i="19"/>
  <c r="I305" i="19"/>
  <c r="J305" i="19"/>
  <c r="K305" i="19"/>
  <c r="L305" i="19"/>
  <c r="M305" i="19"/>
  <c r="N305" i="19"/>
  <c r="P305" i="19"/>
  <c r="Q305" i="19"/>
  <c r="O305" i="19" s="1"/>
  <c r="S305" i="19"/>
  <c r="V305" i="19"/>
  <c r="W305" i="19"/>
  <c r="X305" i="19"/>
  <c r="Z305" i="19"/>
  <c r="D303" i="32" s="1"/>
  <c r="AA305" i="19"/>
  <c r="AB305" i="19"/>
  <c r="AC305" i="19"/>
  <c r="AD305" i="19"/>
  <c r="AE305" i="19"/>
  <c r="AF305" i="19"/>
  <c r="AG305" i="19"/>
  <c r="AH305" i="19"/>
  <c r="AI305" i="19"/>
  <c r="AJ305" i="19"/>
  <c r="AK305" i="19"/>
  <c r="AL305" i="19"/>
  <c r="AM305" i="19"/>
  <c r="AN305" i="19"/>
  <c r="AO305" i="19"/>
  <c r="AP305" i="19"/>
  <c r="AQ305" i="19"/>
  <c r="AR305" i="19"/>
  <c r="C306" i="19"/>
  <c r="D306" i="19"/>
  <c r="E306" i="19"/>
  <c r="F306" i="19"/>
  <c r="H306" i="19"/>
  <c r="I306" i="19"/>
  <c r="J306" i="19"/>
  <c r="K306" i="19"/>
  <c r="L306" i="19"/>
  <c r="M306" i="19"/>
  <c r="N306" i="19"/>
  <c r="P306" i="19"/>
  <c r="Q306" i="19"/>
  <c r="S306" i="19"/>
  <c r="V306" i="19"/>
  <c r="Y306" i="19" s="1"/>
  <c r="W306" i="19"/>
  <c r="X306" i="19"/>
  <c r="Z306" i="19"/>
  <c r="D304" i="32" s="1"/>
  <c r="AA306" i="19"/>
  <c r="AB306" i="19"/>
  <c r="AC306" i="19"/>
  <c r="AD306" i="19"/>
  <c r="AE306" i="19"/>
  <c r="AF306" i="19"/>
  <c r="AG306" i="19"/>
  <c r="AH306" i="19"/>
  <c r="AI306" i="19"/>
  <c r="AJ306" i="19"/>
  <c r="AK306" i="19"/>
  <c r="AL306" i="19"/>
  <c r="AM306" i="19"/>
  <c r="AN306" i="19"/>
  <c r="AO306" i="19"/>
  <c r="AP306" i="19"/>
  <c r="AQ306" i="19"/>
  <c r="AR306" i="19"/>
  <c r="C307" i="19"/>
  <c r="D307" i="19"/>
  <c r="E307" i="19"/>
  <c r="F307" i="19"/>
  <c r="H307" i="19"/>
  <c r="I307" i="19"/>
  <c r="J307" i="19"/>
  <c r="K307" i="19"/>
  <c r="L307" i="19"/>
  <c r="M307" i="19"/>
  <c r="N307" i="19"/>
  <c r="P307" i="19"/>
  <c r="Q307" i="19"/>
  <c r="O307" i="19" s="1"/>
  <c r="S307" i="19"/>
  <c r="V307" i="19"/>
  <c r="W307" i="19"/>
  <c r="X307" i="19"/>
  <c r="Z307" i="19"/>
  <c r="D305" i="32" s="1"/>
  <c r="AA307" i="19"/>
  <c r="AB307" i="19"/>
  <c r="AC307" i="19"/>
  <c r="AD307" i="19"/>
  <c r="AE307" i="19"/>
  <c r="AF307" i="19"/>
  <c r="AG307" i="19"/>
  <c r="AH307" i="19"/>
  <c r="AI307" i="19"/>
  <c r="AJ307" i="19"/>
  <c r="AK307" i="19"/>
  <c r="AL307" i="19"/>
  <c r="AM307" i="19"/>
  <c r="AN307" i="19"/>
  <c r="AO307" i="19"/>
  <c r="AP307" i="19"/>
  <c r="AQ307" i="19"/>
  <c r="AR307" i="19"/>
  <c r="C308" i="19"/>
  <c r="D308" i="19"/>
  <c r="E308" i="19"/>
  <c r="F308" i="19"/>
  <c r="H308" i="19"/>
  <c r="I308" i="19"/>
  <c r="J308" i="19"/>
  <c r="K308" i="19"/>
  <c r="L308" i="19"/>
  <c r="M308" i="19"/>
  <c r="N308" i="19"/>
  <c r="P308" i="19"/>
  <c r="Q308" i="19"/>
  <c r="S308" i="19"/>
  <c r="V308" i="19"/>
  <c r="W308" i="19"/>
  <c r="X308" i="19"/>
  <c r="Z308" i="19"/>
  <c r="D306" i="32" s="1"/>
  <c r="AA308" i="19"/>
  <c r="AB308" i="19"/>
  <c r="AC308" i="19"/>
  <c r="AD308" i="19"/>
  <c r="AE308" i="19"/>
  <c r="AF308" i="19"/>
  <c r="AG308" i="19"/>
  <c r="AH308" i="19"/>
  <c r="AI308" i="19"/>
  <c r="AJ308" i="19"/>
  <c r="AK308" i="19"/>
  <c r="AL308" i="19"/>
  <c r="AM308" i="19"/>
  <c r="AN308" i="19"/>
  <c r="AO308" i="19"/>
  <c r="AP308" i="19"/>
  <c r="AQ308" i="19"/>
  <c r="AR308" i="19"/>
  <c r="C309" i="19"/>
  <c r="D309" i="19"/>
  <c r="E309" i="19"/>
  <c r="F309" i="19"/>
  <c r="H309" i="19"/>
  <c r="I309" i="19"/>
  <c r="J309" i="19"/>
  <c r="K309" i="19"/>
  <c r="L309" i="19"/>
  <c r="M309" i="19"/>
  <c r="N309" i="19"/>
  <c r="P309" i="19"/>
  <c r="Q309" i="19"/>
  <c r="S309" i="19"/>
  <c r="V309" i="19"/>
  <c r="W309" i="19"/>
  <c r="X309" i="19"/>
  <c r="Z309" i="19"/>
  <c r="D307" i="32" s="1"/>
  <c r="AA309" i="19"/>
  <c r="AB309" i="19"/>
  <c r="AC309" i="19"/>
  <c r="AD309" i="19"/>
  <c r="AE309" i="19"/>
  <c r="AF309" i="19"/>
  <c r="AG309" i="19"/>
  <c r="AH309" i="19"/>
  <c r="AI309" i="19"/>
  <c r="AJ309" i="19"/>
  <c r="AK309" i="19"/>
  <c r="AL309" i="19"/>
  <c r="AM309" i="19"/>
  <c r="AN309" i="19"/>
  <c r="AO309" i="19"/>
  <c r="AP309" i="19"/>
  <c r="AQ309" i="19"/>
  <c r="AR309" i="19"/>
  <c r="C310" i="19"/>
  <c r="D310" i="19"/>
  <c r="E310" i="19"/>
  <c r="F310" i="19"/>
  <c r="H310" i="19"/>
  <c r="I310" i="19"/>
  <c r="J310" i="19"/>
  <c r="K310" i="19"/>
  <c r="L310" i="19"/>
  <c r="M310" i="19"/>
  <c r="N310" i="19"/>
  <c r="P310" i="19"/>
  <c r="Q310" i="19"/>
  <c r="S310" i="19"/>
  <c r="V310" i="19"/>
  <c r="W310" i="19"/>
  <c r="X310" i="19"/>
  <c r="Z310" i="19"/>
  <c r="D308" i="32" s="1"/>
  <c r="AA310" i="19"/>
  <c r="AB310" i="19"/>
  <c r="AC310" i="19"/>
  <c r="AD310" i="19"/>
  <c r="AE310" i="19"/>
  <c r="AF310" i="19"/>
  <c r="AG310" i="19"/>
  <c r="AH310" i="19"/>
  <c r="AI310" i="19"/>
  <c r="AJ310" i="19"/>
  <c r="AK310" i="19"/>
  <c r="AL310" i="19"/>
  <c r="AM310" i="19"/>
  <c r="AN310" i="19"/>
  <c r="AO310" i="19"/>
  <c r="AP310" i="19"/>
  <c r="AQ310" i="19"/>
  <c r="AR310" i="19"/>
  <c r="C311" i="19"/>
  <c r="D311" i="19"/>
  <c r="E311" i="19"/>
  <c r="F311" i="19"/>
  <c r="H311" i="19"/>
  <c r="I311" i="19"/>
  <c r="J311" i="19"/>
  <c r="K311" i="19"/>
  <c r="L311" i="19"/>
  <c r="M311" i="19"/>
  <c r="N311" i="19"/>
  <c r="P311" i="19"/>
  <c r="Q311" i="19"/>
  <c r="O311" i="19" s="1"/>
  <c r="S311" i="19"/>
  <c r="V311" i="19"/>
  <c r="W311" i="19"/>
  <c r="X311" i="19"/>
  <c r="Z311" i="19"/>
  <c r="D309" i="32" s="1"/>
  <c r="AA311" i="19"/>
  <c r="AB311" i="19"/>
  <c r="AC311" i="19"/>
  <c r="AD311" i="19"/>
  <c r="AE311" i="19"/>
  <c r="AF311" i="19"/>
  <c r="AG311" i="19"/>
  <c r="AH311" i="19"/>
  <c r="AI311" i="19"/>
  <c r="AJ311" i="19"/>
  <c r="AK311" i="19"/>
  <c r="AL311" i="19"/>
  <c r="AM311" i="19"/>
  <c r="AN311" i="19"/>
  <c r="AO311" i="19"/>
  <c r="AP311" i="19"/>
  <c r="AQ311" i="19"/>
  <c r="AR311" i="19"/>
  <c r="C312" i="19"/>
  <c r="D312" i="19"/>
  <c r="E312" i="19"/>
  <c r="F312" i="19"/>
  <c r="H312" i="19"/>
  <c r="I312" i="19"/>
  <c r="J312" i="19"/>
  <c r="K312" i="19"/>
  <c r="L312" i="19"/>
  <c r="M312" i="19"/>
  <c r="N312" i="19"/>
  <c r="P312" i="19"/>
  <c r="Q312" i="19"/>
  <c r="S312" i="19"/>
  <c r="V312" i="19"/>
  <c r="W312" i="19"/>
  <c r="X312" i="19"/>
  <c r="Z312" i="19"/>
  <c r="D310" i="32" s="1"/>
  <c r="AA312" i="19"/>
  <c r="AB312" i="19"/>
  <c r="AC312" i="19"/>
  <c r="AD312" i="19"/>
  <c r="AE312" i="19"/>
  <c r="AF312" i="19"/>
  <c r="AG312" i="19"/>
  <c r="AH312" i="19"/>
  <c r="AI312" i="19"/>
  <c r="AJ312" i="19"/>
  <c r="AK312" i="19"/>
  <c r="AL312" i="19"/>
  <c r="AM312" i="19"/>
  <c r="AN312" i="19"/>
  <c r="AO312" i="19"/>
  <c r="AP312" i="19"/>
  <c r="AQ312" i="19"/>
  <c r="AR312" i="19"/>
  <c r="C313" i="19"/>
  <c r="D313" i="19"/>
  <c r="E313" i="19"/>
  <c r="F313" i="19"/>
  <c r="H313" i="19"/>
  <c r="I313" i="19"/>
  <c r="J313" i="19"/>
  <c r="K313" i="19"/>
  <c r="L313" i="19"/>
  <c r="M313" i="19"/>
  <c r="N313" i="19"/>
  <c r="P313" i="19"/>
  <c r="Q313" i="19"/>
  <c r="S313" i="19"/>
  <c r="V313" i="19"/>
  <c r="W313" i="19"/>
  <c r="X313" i="19"/>
  <c r="Z313" i="19"/>
  <c r="AA313" i="19"/>
  <c r="AB313" i="19"/>
  <c r="AC313" i="19"/>
  <c r="AD313" i="19"/>
  <c r="AE313" i="19"/>
  <c r="AF313" i="19"/>
  <c r="AG313" i="19"/>
  <c r="AH313" i="19"/>
  <c r="AI313" i="19"/>
  <c r="AJ313" i="19"/>
  <c r="AK313" i="19"/>
  <c r="AL313" i="19"/>
  <c r="AM313" i="19"/>
  <c r="AN313" i="19"/>
  <c r="AO313" i="19"/>
  <c r="AP313" i="19"/>
  <c r="AQ313" i="19"/>
  <c r="AR313" i="19"/>
  <c r="C314" i="19"/>
  <c r="D314" i="19"/>
  <c r="E314" i="19"/>
  <c r="F314" i="19"/>
  <c r="H314" i="19"/>
  <c r="I314" i="19"/>
  <c r="J314" i="19"/>
  <c r="K314" i="19"/>
  <c r="L314" i="19"/>
  <c r="M314" i="19"/>
  <c r="N314" i="19"/>
  <c r="P314" i="19"/>
  <c r="Q314" i="19"/>
  <c r="S314" i="19"/>
  <c r="V314" i="19"/>
  <c r="W314" i="19"/>
  <c r="X314" i="19"/>
  <c r="Z314" i="19"/>
  <c r="D312" i="32" s="1"/>
  <c r="AA314" i="19"/>
  <c r="AB314" i="19"/>
  <c r="AC314" i="19"/>
  <c r="AD314" i="19"/>
  <c r="AE314" i="19"/>
  <c r="AF314" i="19"/>
  <c r="AG314" i="19"/>
  <c r="AH314" i="19"/>
  <c r="AI314" i="19"/>
  <c r="AJ314" i="19"/>
  <c r="AK314" i="19"/>
  <c r="AL314" i="19"/>
  <c r="AM314" i="19"/>
  <c r="AN314" i="19"/>
  <c r="AO314" i="19"/>
  <c r="AP314" i="19"/>
  <c r="AQ314" i="19"/>
  <c r="AR314" i="19"/>
  <c r="C315" i="19"/>
  <c r="D315" i="19"/>
  <c r="E315" i="19"/>
  <c r="F315" i="19"/>
  <c r="H315" i="19"/>
  <c r="I315" i="19"/>
  <c r="J315" i="19"/>
  <c r="K315" i="19"/>
  <c r="L315" i="19"/>
  <c r="M315" i="19"/>
  <c r="N315" i="19"/>
  <c r="P315" i="19"/>
  <c r="Q315" i="19"/>
  <c r="O315" i="19" s="1"/>
  <c r="S315" i="19"/>
  <c r="V315" i="19"/>
  <c r="W315" i="19"/>
  <c r="X315" i="19"/>
  <c r="Z315" i="19"/>
  <c r="D313" i="32" s="1"/>
  <c r="AA315" i="19"/>
  <c r="AB315" i="19"/>
  <c r="AC315" i="19"/>
  <c r="AD315" i="19"/>
  <c r="AE315" i="19"/>
  <c r="AF315" i="19"/>
  <c r="AG315" i="19"/>
  <c r="AH315" i="19"/>
  <c r="AI315" i="19"/>
  <c r="AJ315" i="19"/>
  <c r="AK315" i="19"/>
  <c r="AL315" i="19"/>
  <c r="AM315" i="19"/>
  <c r="AN315" i="19"/>
  <c r="AO315" i="19"/>
  <c r="AP315" i="19"/>
  <c r="AQ315" i="19"/>
  <c r="AR315" i="19"/>
  <c r="C316" i="19"/>
  <c r="D316" i="19"/>
  <c r="E316" i="19"/>
  <c r="F316" i="19"/>
  <c r="H316" i="19"/>
  <c r="I316" i="19"/>
  <c r="J316" i="19"/>
  <c r="K316" i="19"/>
  <c r="L316" i="19"/>
  <c r="M316" i="19"/>
  <c r="N316" i="19"/>
  <c r="P316" i="19"/>
  <c r="Q316" i="19"/>
  <c r="S316" i="19"/>
  <c r="V316" i="19"/>
  <c r="W316" i="19"/>
  <c r="X316" i="19"/>
  <c r="Z316" i="19"/>
  <c r="D314" i="32" s="1"/>
  <c r="AA316" i="19"/>
  <c r="AB316" i="19"/>
  <c r="AC316" i="19"/>
  <c r="AD316" i="19"/>
  <c r="AE316" i="19"/>
  <c r="AF316" i="19"/>
  <c r="AG316" i="19"/>
  <c r="AH316" i="19"/>
  <c r="AI316" i="19"/>
  <c r="AJ316" i="19"/>
  <c r="AK316" i="19"/>
  <c r="AL316" i="19"/>
  <c r="AM316" i="19"/>
  <c r="AN316" i="19"/>
  <c r="AO316" i="19"/>
  <c r="AP316" i="19"/>
  <c r="AQ316" i="19"/>
  <c r="AR316" i="19"/>
  <c r="C317" i="19"/>
  <c r="D317" i="19"/>
  <c r="E317" i="19"/>
  <c r="F317" i="19"/>
  <c r="H317" i="19"/>
  <c r="I317" i="19"/>
  <c r="J317" i="19"/>
  <c r="K317" i="19"/>
  <c r="L317" i="19"/>
  <c r="M317" i="19"/>
  <c r="N317" i="19"/>
  <c r="P317" i="19"/>
  <c r="Q317" i="19"/>
  <c r="S317" i="19"/>
  <c r="V317" i="19"/>
  <c r="W317" i="19"/>
  <c r="X317" i="19"/>
  <c r="Z317" i="19"/>
  <c r="D315" i="32" s="1"/>
  <c r="AA317" i="19"/>
  <c r="AB317" i="19"/>
  <c r="AC317" i="19"/>
  <c r="AD317" i="19"/>
  <c r="AE317" i="19"/>
  <c r="AF317" i="19"/>
  <c r="AG317" i="19"/>
  <c r="AH317" i="19"/>
  <c r="AI317" i="19"/>
  <c r="AJ317" i="19"/>
  <c r="AK317" i="19"/>
  <c r="AL317" i="19"/>
  <c r="AM317" i="19"/>
  <c r="AN317" i="19"/>
  <c r="AO317" i="19"/>
  <c r="AP317" i="19"/>
  <c r="AQ317" i="19"/>
  <c r="AR317" i="19"/>
  <c r="C318" i="19"/>
  <c r="D318" i="19"/>
  <c r="E318" i="19"/>
  <c r="F318" i="19"/>
  <c r="H318" i="19"/>
  <c r="I318" i="19"/>
  <c r="J318" i="19"/>
  <c r="K318" i="19"/>
  <c r="L318" i="19"/>
  <c r="M318" i="19"/>
  <c r="N318" i="19"/>
  <c r="P318" i="19"/>
  <c r="Q318" i="19"/>
  <c r="S318" i="19"/>
  <c r="V318" i="19"/>
  <c r="W318" i="19"/>
  <c r="X318" i="19"/>
  <c r="Z318" i="19"/>
  <c r="AA318" i="19"/>
  <c r="AB318" i="19"/>
  <c r="AC318" i="19"/>
  <c r="AD318" i="19"/>
  <c r="AE318" i="19"/>
  <c r="AF318" i="19"/>
  <c r="AG318" i="19"/>
  <c r="AH318" i="19"/>
  <c r="AI318" i="19"/>
  <c r="AJ318" i="19"/>
  <c r="AK318" i="19"/>
  <c r="AL318" i="19"/>
  <c r="AM318" i="19"/>
  <c r="AN318" i="19"/>
  <c r="AO318" i="19"/>
  <c r="AP318" i="19"/>
  <c r="AQ318" i="19"/>
  <c r="AR318" i="19"/>
  <c r="C319" i="19"/>
  <c r="D319" i="19"/>
  <c r="E319" i="19"/>
  <c r="F319" i="19"/>
  <c r="H319" i="19"/>
  <c r="I319" i="19"/>
  <c r="J319" i="19"/>
  <c r="K319" i="19"/>
  <c r="L319" i="19"/>
  <c r="M319" i="19"/>
  <c r="N319" i="19"/>
  <c r="P319" i="19"/>
  <c r="Q319" i="19"/>
  <c r="O319" i="19" s="1"/>
  <c r="S319" i="19"/>
  <c r="V319" i="19"/>
  <c r="W319" i="19"/>
  <c r="X319" i="19"/>
  <c r="Z319" i="19"/>
  <c r="AA319" i="19"/>
  <c r="AB319" i="19"/>
  <c r="AC319" i="19"/>
  <c r="AD319" i="19"/>
  <c r="AE319" i="19"/>
  <c r="AF319" i="19"/>
  <c r="AG319" i="19"/>
  <c r="AH319" i="19"/>
  <c r="AI319" i="19"/>
  <c r="AJ319" i="19"/>
  <c r="AK319" i="19"/>
  <c r="AL319" i="19"/>
  <c r="AM319" i="19"/>
  <c r="AN319" i="19"/>
  <c r="AO319" i="19"/>
  <c r="AP319" i="19"/>
  <c r="AQ319" i="19"/>
  <c r="AR319" i="19"/>
  <c r="C320" i="19"/>
  <c r="D320" i="19"/>
  <c r="E320" i="19"/>
  <c r="F320" i="19"/>
  <c r="H320" i="19"/>
  <c r="I320" i="19"/>
  <c r="J320" i="19"/>
  <c r="K320" i="19"/>
  <c r="L320" i="19"/>
  <c r="M320" i="19"/>
  <c r="N320" i="19"/>
  <c r="P320" i="19"/>
  <c r="Q320" i="19"/>
  <c r="S320" i="19"/>
  <c r="V320" i="19"/>
  <c r="W320" i="19"/>
  <c r="X320" i="19"/>
  <c r="Z320" i="19"/>
  <c r="D318" i="32" s="1"/>
  <c r="AA320" i="19"/>
  <c r="AB320" i="19"/>
  <c r="AC320" i="19"/>
  <c r="AD320" i="19"/>
  <c r="AE320" i="19"/>
  <c r="AF320" i="19"/>
  <c r="AG320" i="19"/>
  <c r="AH320" i="19"/>
  <c r="AI320" i="19"/>
  <c r="AJ320" i="19"/>
  <c r="AK320" i="19"/>
  <c r="AL320" i="19"/>
  <c r="AM320" i="19"/>
  <c r="AN320" i="19"/>
  <c r="AO320" i="19"/>
  <c r="AP320" i="19"/>
  <c r="AQ320" i="19"/>
  <c r="AR320" i="19"/>
  <c r="C321" i="19"/>
  <c r="D321" i="19"/>
  <c r="E321" i="19"/>
  <c r="F321" i="19"/>
  <c r="H321" i="19"/>
  <c r="I321" i="19"/>
  <c r="J321" i="19"/>
  <c r="K321" i="19"/>
  <c r="L321" i="19"/>
  <c r="M321" i="19"/>
  <c r="N321" i="19"/>
  <c r="P321" i="19"/>
  <c r="Q321" i="19"/>
  <c r="S321" i="19"/>
  <c r="V321" i="19"/>
  <c r="W321" i="19"/>
  <c r="X321" i="19"/>
  <c r="Z321" i="19"/>
  <c r="AA321" i="19"/>
  <c r="AB321" i="19"/>
  <c r="AC321" i="19"/>
  <c r="AD321" i="19"/>
  <c r="AE321" i="19"/>
  <c r="AF321" i="19"/>
  <c r="AG321" i="19"/>
  <c r="AH321" i="19"/>
  <c r="AI321" i="19"/>
  <c r="AJ321" i="19"/>
  <c r="AK321" i="19"/>
  <c r="AL321" i="19"/>
  <c r="AM321" i="19"/>
  <c r="AN321" i="19"/>
  <c r="AO321" i="19"/>
  <c r="AP321" i="19"/>
  <c r="AQ321" i="19"/>
  <c r="AR321" i="19"/>
  <c r="C322" i="19"/>
  <c r="D322" i="19"/>
  <c r="E322" i="19"/>
  <c r="F322" i="19"/>
  <c r="H322" i="19"/>
  <c r="I322" i="19"/>
  <c r="J322" i="19"/>
  <c r="K322" i="19"/>
  <c r="L322" i="19"/>
  <c r="M322" i="19"/>
  <c r="N322" i="19"/>
  <c r="P322" i="19"/>
  <c r="Q322" i="19"/>
  <c r="S322" i="19"/>
  <c r="V322" i="19"/>
  <c r="Y322" i="19" s="1"/>
  <c r="W322" i="19"/>
  <c r="X322" i="19"/>
  <c r="Z322" i="19"/>
  <c r="D320" i="32" s="1"/>
  <c r="AA322" i="19"/>
  <c r="AB322" i="19"/>
  <c r="AC322" i="19"/>
  <c r="AD322" i="19"/>
  <c r="AE322" i="19"/>
  <c r="AF322" i="19"/>
  <c r="AG322" i="19"/>
  <c r="AH322" i="19"/>
  <c r="AI322" i="19"/>
  <c r="AJ322" i="19"/>
  <c r="AK322" i="19"/>
  <c r="AL322" i="19"/>
  <c r="AM322" i="19"/>
  <c r="AN322" i="19"/>
  <c r="AO322" i="19"/>
  <c r="AP322" i="19"/>
  <c r="AQ322" i="19"/>
  <c r="AR322" i="19"/>
  <c r="C323" i="19"/>
  <c r="D323" i="19"/>
  <c r="E323" i="19"/>
  <c r="F323" i="19"/>
  <c r="H323" i="19"/>
  <c r="I323" i="19"/>
  <c r="J323" i="19"/>
  <c r="K323" i="19"/>
  <c r="L323" i="19"/>
  <c r="M323" i="19"/>
  <c r="N323" i="19"/>
  <c r="P323" i="19"/>
  <c r="O323" i="19" s="1"/>
  <c r="Q323" i="19"/>
  <c r="S323" i="19"/>
  <c r="V323" i="19"/>
  <c r="W323" i="19"/>
  <c r="X323" i="19"/>
  <c r="Z323" i="19"/>
  <c r="D321" i="32" s="1"/>
  <c r="AA323" i="19"/>
  <c r="AB323" i="19"/>
  <c r="AC323" i="19"/>
  <c r="AD323" i="19"/>
  <c r="AE323" i="19"/>
  <c r="AF323" i="19"/>
  <c r="AG323" i="19"/>
  <c r="AH323" i="19"/>
  <c r="AI323" i="19"/>
  <c r="AJ323" i="19"/>
  <c r="AK323" i="19"/>
  <c r="AL323" i="19"/>
  <c r="AM323" i="19"/>
  <c r="AN323" i="19"/>
  <c r="AO323" i="19"/>
  <c r="AP323" i="19"/>
  <c r="AQ323" i="19"/>
  <c r="AR323" i="19"/>
  <c r="C324" i="19"/>
  <c r="D324" i="19"/>
  <c r="E324" i="19"/>
  <c r="F324" i="19"/>
  <c r="H324" i="19"/>
  <c r="I324" i="19"/>
  <c r="J324" i="19"/>
  <c r="K324" i="19"/>
  <c r="L324" i="19"/>
  <c r="M324" i="19"/>
  <c r="N324" i="19"/>
  <c r="P324" i="19"/>
  <c r="Q324" i="19"/>
  <c r="S324" i="19"/>
  <c r="V324" i="19"/>
  <c r="W324" i="19"/>
  <c r="X324" i="19"/>
  <c r="Z324" i="19"/>
  <c r="D322" i="32" s="1"/>
  <c r="AA324" i="19"/>
  <c r="AB324" i="19"/>
  <c r="AC324" i="19"/>
  <c r="AD324" i="19"/>
  <c r="AE324" i="19"/>
  <c r="AF324" i="19"/>
  <c r="AG324" i="19"/>
  <c r="AH324" i="19"/>
  <c r="AI324" i="19"/>
  <c r="AJ324" i="19"/>
  <c r="AK324" i="19"/>
  <c r="AL324" i="19"/>
  <c r="AM324" i="19"/>
  <c r="AN324" i="19"/>
  <c r="AO324" i="19"/>
  <c r="AP324" i="19"/>
  <c r="AQ324" i="19"/>
  <c r="AR324" i="19"/>
  <c r="D7" i="32"/>
  <c r="D8" i="32"/>
  <c r="D15" i="32"/>
  <c r="D16" i="32"/>
  <c r="D19" i="32"/>
  <c r="D20" i="32"/>
  <c r="D23" i="32"/>
  <c r="D24" i="32"/>
  <c r="D27" i="32"/>
  <c r="D28" i="32"/>
  <c r="D31" i="32"/>
  <c r="D51" i="32"/>
  <c r="D55" i="32"/>
  <c r="D56" i="32"/>
  <c r="D59" i="32"/>
  <c r="D63" i="32"/>
  <c r="D67" i="32"/>
  <c r="D68" i="32"/>
  <c r="D71" i="32"/>
  <c r="D72" i="32"/>
  <c r="D75" i="32"/>
  <c r="D79" i="32"/>
  <c r="D83" i="32"/>
  <c r="D84" i="32"/>
  <c r="D87" i="32"/>
  <c r="D88" i="32"/>
  <c r="D91" i="32"/>
  <c r="D95" i="32"/>
  <c r="D99" i="32"/>
  <c r="D100" i="32"/>
  <c r="D103" i="32"/>
  <c r="D104" i="32"/>
  <c r="D107" i="32"/>
  <c r="D111" i="32"/>
  <c r="D115" i="32"/>
  <c r="D116" i="32"/>
  <c r="D119" i="32"/>
  <c r="D120" i="32"/>
  <c r="D123" i="32"/>
  <c r="D127" i="32"/>
  <c r="D131" i="32"/>
  <c r="D132" i="32"/>
  <c r="D135" i="32"/>
  <c r="D136" i="32"/>
  <c r="D139" i="32"/>
  <c r="D143" i="32"/>
  <c r="D147" i="32"/>
  <c r="D151" i="32"/>
  <c r="D152" i="32"/>
  <c r="D155" i="32"/>
  <c r="D159" i="32"/>
  <c r="D163" i="32"/>
  <c r="D168" i="32"/>
  <c r="D171" i="32"/>
  <c r="D180" i="32"/>
  <c r="D183" i="32"/>
  <c r="D191" i="32"/>
  <c r="D195" i="32"/>
  <c r="D200" i="32"/>
  <c r="D203" i="32"/>
  <c r="D212" i="32"/>
  <c r="D215" i="32"/>
  <c r="D223" i="32"/>
  <c r="D244" i="32"/>
  <c r="D247" i="32"/>
  <c r="D259" i="32"/>
  <c r="D264" i="32"/>
  <c r="D267" i="32"/>
  <c r="D279" i="32"/>
  <c r="D280" i="32"/>
  <c r="D283" i="32"/>
  <c r="D287" i="32"/>
  <c r="D291" i="32"/>
  <c r="D296" i="32"/>
  <c r="D311" i="32"/>
  <c r="D319" i="32"/>
  <c r="D6" i="32"/>
  <c r="D13" i="32"/>
  <c r="D14" i="32"/>
  <c r="D17" i="32"/>
  <c r="D18" i="32"/>
  <c r="D21" i="32"/>
  <c r="D22" i="32"/>
  <c r="D25" i="32"/>
  <c r="D26" i="32"/>
  <c r="D37" i="32"/>
  <c r="D49" i="32"/>
  <c r="D54" i="32"/>
  <c r="D57" i="32"/>
  <c r="D58" i="32"/>
  <c r="D60" i="32"/>
  <c r="D61" i="32"/>
  <c r="D62" i="32"/>
  <c r="D64" i="32"/>
  <c r="D65" i="32"/>
  <c r="D66" i="32"/>
  <c r="D69" i="32"/>
  <c r="D70" i="32"/>
  <c r="D73" i="32"/>
  <c r="D74" i="32"/>
  <c r="D76" i="32"/>
  <c r="D77" i="32"/>
  <c r="D78" i="32"/>
  <c r="D80" i="32"/>
  <c r="D81" i="32"/>
  <c r="D82" i="32"/>
  <c r="D85" i="32"/>
  <c r="D86" i="32"/>
  <c r="D89" i="32"/>
  <c r="D90" i="32"/>
  <c r="D92" i="32"/>
  <c r="D93" i="32"/>
  <c r="D94" i="32"/>
  <c r="D96" i="32"/>
  <c r="D97" i="32"/>
  <c r="D98" i="32"/>
  <c r="D101" i="32"/>
  <c r="D102" i="32"/>
  <c r="D105" i="32"/>
  <c r="D106" i="32"/>
  <c r="D108" i="32"/>
  <c r="D109" i="32"/>
  <c r="D110" i="32"/>
  <c r="D112" i="32"/>
  <c r="D113" i="32"/>
  <c r="D114" i="32"/>
  <c r="D117" i="32"/>
  <c r="D118" i="32"/>
  <c r="D121" i="32"/>
  <c r="D122" i="32"/>
  <c r="D124" i="32"/>
  <c r="D125" i="32"/>
  <c r="D126" i="32"/>
  <c r="D128" i="32"/>
  <c r="D129" i="32"/>
  <c r="D130" i="32"/>
  <c r="D133" i="32"/>
  <c r="D134" i="32"/>
  <c r="D137" i="32"/>
  <c r="D138" i="32"/>
  <c r="D140" i="32"/>
  <c r="D141" i="32"/>
  <c r="D142" i="32"/>
  <c r="D144" i="32"/>
  <c r="D145" i="32"/>
  <c r="D146" i="32"/>
  <c r="D149" i="32"/>
  <c r="D150" i="32"/>
  <c r="D153" i="32"/>
  <c r="D154" i="32"/>
  <c r="D156" i="32"/>
  <c r="D157" i="32"/>
  <c r="D158" i="32"/>
  <c r="D160" i="32"/>
  <c r="D165" i="32"/>
  <c r="D166" i="32"/>
  <c r="D172" i="32"/>
  <c r="D173" i="32"/>
  <c r="D177" i="32"/>
  <c r="D178" i="32"/>
  <c r="D186" i="32"/>
  <c r="D188" i="32"/>
  <c r="D192" i="32"/>
  <c r="D193" i="32"/>
  <c r="D201" i="32"/>
  <c r="D202" i="32"/>
  <c r="D206" i="32"/>
  <c r="D208" i="32"/>
  <c r="D213" i="32"/>
  <c r="D214" i="32"/>
  <c r="D230" i="32"/>
  <c r="D242" i="32"/>
  <c r="D250" i="32"/>
  <c r="D256" i="32"/>
  <c r="D257" i="32"/>
  <c r="D265" i="32"/>
  <c r="D270" i="32"/>
  <c r="D272" i="32"/>
  <c r="D277" i="32"/>
  <c r="D282" i="32"/>
  <c r="D284" i="32"/>
  <c r="D285" i="32"/>
  <c r="D286" i="32"/>
  <c r="D288" i="32"/>
  <c r="D289" i="32"/>
  <c r="D290" i="32"/>
  <c r="D300" i="32"/>
  <c r="D301" i="32"/>
  <c r="D316" i="32"/>
  <c r="D317" i="32"/>
  <c r="G307" i="19" l="1"/>
  <c r="Y160" i="19"/>
  <c r="G215" i="19"/>
  <c r="G199" i="19"/>
  <c r="R199" i="19" s="1"/>
  <c r="U199" i="19" s="1"/>
  <c r="G189" i="19"/>
  <c r="G185" i="19"/>
  <c r="G181" i="19"/>
  <c r="G177" i="19"/>
  <c r="G173" i="19"/>
  <c r="G169" i="19"/>
  <c r="R169" i="19" s="1"/>
  <c r="U169" i="19" s="1"/>
  <c r="G165" i="19"/>
  <c r="G161" i="19"/>
  <c r="R161" i="19" s="1"/>
  <c r="U161" i="19" s="1"/>
  <c r="Y30" i="19"/>
  <c r="O30" i="19"/>
  <c r="G29" i="19"/>
  <c r="O27" i="19"/>
  <c r="G25" i="19"/>
  <c r="O23" i="19"/>
  <c r="G21" i="19"/>
  <c r="O19" i="19"/>
  <c r="R19" i="19" s="1"/>
  <c r="U19" i="19" s="1"/>
  <c r="O17" i="19"/>
  <c r="G291" i="19"/>
  <c r="R291" i="19" s="1"/>
  <c r="U291" i="19" s="1"/>
  <c r="G287" i="19"/>
  <c r="O136" i="19"/>
  <c r="R136" i="19" s="1"/>
  <c r="U136" i="19" s="1"/>
  <c r="O131" i="19"/>
  <c r="Y128" i="19"/>
  <c r="O127" i="19"/>
  <c r="Y124" i="19"/>
  <c r="O123" i="19"/>
  <c r="Y120" i="19"/>
  <c r="O119" i="19"/>
  <c r="O113" i="19"/>
  <c r="O109" i="19"/>
  <c r="Y104" i="19"/>
  <c r="O103" i="19"/>
  <c r="O101" i="19"/>
  <c r="Y100" i="19"/>
  <c r="O99" i="19"/>
  <c r="Y96" i="19"/>
  <c r="O95" i="19"/>
  <c r="Y92" i="19"/>
  <c r="O91" i="19"/>
  <c r="Y88" i="19"/>
  <c r="O87" i="19"/>
  <c r="O85" i="19"/>
  <c r="O81" i="19"/>
  <c r="O77" i="19"/>
  <c r="Y72" i="19"/>
  <c r="O71" i="19"/>
  <c r="O69" i="19"/>
  <c r="O65" i="19"/>
  <c r="Y61" i="19"/>
  <c r="O60" i="19"/>
  <c r="G31" i="19"/>
  <c r="O324" i="19"/>
  <c r="G323" i="19"/>
  <c r="Y320" i="19"/>
  <c r="Y316" i="19"/>
  <c r="Y312" i="19"/>
  <c r="Y308" i="19"/>
  <c r="Y302" i="19"/>
  <c r="O282" i="19"/>
  <c r="O281" i="19"/>
  <c r="G277" i="19"/>
  <c r="O275" i="19"/>
  <c r="G273" i="19"/>
  <c r="O271" i="19"/>
  <c r="O267" i="19"/>
  <c r="Y228" i="19"/>
  <c r="Y224" i="19"/>
  <c r="Y220" i="19"/>
  <c r="Y190" i="19"/>
  <c r="Y178" i="19"/>
  <c r="Y174" i="19"/>
  <c r="Y170" i="19"/>
  <c r="Y162" i="19"/>
  <c r="Y135" i="19"/>
  <c r="Y122" i="19"/>
  <c r="Y118" i="19"/>
  <c r="Y102" i="19"/>
  <c r="Y98" i="19"/>
  <c r="Y94" i="19"/>
  <c r="Y90" i="19"/>
  <c r="Y86" i="19"/>
  <c r="Y70" i="19"/>
  <c r="Y59" i="19"/>
  <c r="O52" i="19"/>
  <c r="O49" i="19"/>
  <c r="Y44" i="19"/>
  <c r="O43" i="19"/>
  <c r="R43" i="19" s="1"/>
  <c r="U43" i="19" s="1"/>
  <c r="Y40" i="19"/>
  <c r="O39" i="19"/>
  <c r="Y36" i="19"/>
  <c r="O35" i="19"/>
  <c r="R35" i="19" s="1"/>
  <c r="U35" i="19" s="1"/>
  <c r="Y32" i="19"/>
  <c r="Y324" i="19"/>
  <c r="Y323" i="19"/>
  <c r="Y266" i="19"/>
  <c r="O246" i="19"/>
  <c r="O245" i="19"/>
  <c r="G243" i="19"/>
  <c r="O242" i="19"/>
  <c r="O241" i="19"/>
  <c r="G239" i="19"/>
  <c r="R239" i="19" s="1"/>
  <c r="U239" i="19" s="1"/>
  <c r="O238" i="19"/>
  <c r="O237" i="19"/>
  <c r="R237" i="19" s="1"/>
  <c r="U237" i="19" s="1"/>
  <c r="G233" i="19"/>
  <c r="O231" i="19"/>
  <c r="R231" i="19" s="1"/>
  <c r="U231" i="19" s="1"/>
  <c r="G136" i="19"/>
  <c r="T136" i="19" s="1"/>
  <c r="G123" i="19"/>
  <c r="T123" i="19" s="1"/>
  <c r="G119" i="19"/>
  <c r="G103" i="19"/>
  <c r="T103" i="19" s="1"/>
  <c r="G99" i="19"/>
  <c r="G95" i="19"/>
  <c r="T95" i="19" s="1"/>
  <c r="G91" i="19"/>
  <c r="G87" i="19"/>
  <c r="T87" i="19" s="1"/>
  <c r="G71" i="19"/>
  <c r="G60" i="19"/>
  <c r="R60" i="19" s="1"/>
  <c r="U60" i="19" s="1"/>
  <c r="G13" i="19"/>
  <c r="G9" i="19"/>
  <c r="T9" i="19" s="1"/>
  <c r="O321" i="19"/>
  <c r="G319" i="19"/>
  <c r="R319" i="19" s="1"/>
  <c r="U319" i="19" s="1"/>
  <c r="O317" i="19"/>
  <c r="G315" i="19"/>
  <c r="R315" i="19" s="1"/>
  <c r="U315" i="19" s="1"/>
  <c r="O314" i="19"/>
  <c r="O313" i="19"/>
  <c r="O309" i="19"/>
  <c r="G305" i="19"/>
  <c r="R305" i="19" s="1"/>
  <c r="U305" i="19" s="1"/>
  <c r="O303" i="19"/>
  <c r="G301" i="19"/>
  <c r="R301" i="19" s="1"/>
  <c r="U301" i="19" s="1"/>
  <c r="O299" i="19"/>
  <c r="G299" i="19"/>
  <c r="T299" i="19" s="1"/>
  <c r="G297" i="19"/>
  <c r="O295" i="19"/>
  <c r="R295" i="19" s="1"/>
  <c r="U295" i="19" s="1"/>
  <c r="Y292" i="19"/>
  <c r="O291" i="19"/>
  <c r="Y288" i="19"/>
  <c r="O287" i="19"/>
  <c r="R287" i="19" s="1"/>
  <c r="U287" i="19" s="1"/>
  <c r="Y284" i="19"/>
  <c r="O283" i="19"/>
  <c r="R283" i="19" s="1"/>
  <c r="U283" i="19" s="1"/>
  <c r="Y280" i="19"/>
  <c r="O279" i="19"/>
  <c r="Y278" i="19"/>
  <c r="O277" i="19"/>
  <c r="R277" i="19" s="1"/>
  <c r="U277" i="19" s="1"/>
  <c r="Y274" i="19"/>
  <c r="O273" i="19"/>
  <c r="R273" i="19" s="1"/>
  <c r="U273" i="19" s="1"/>
  <c r="Y270" i="19"/>
  <c r="O269" i="19"/>
  <c r="O266" i="19"/>
  <c r="O265" i="19"/>
  <c r="Y310" i="19"/>
  <c r="Y298" i="19"/>
  <c r="Y262" i="19"/>
  <c r="G261" i="19"/>
  <c r="T261" i="19" s="1"/>
  <c r="O259" i="19"/>
  <c r="G257" i="19"/>
  <c r="T257" i="19" s="1"/>
  <c r="O255" i="19"/>
  <c r="O253" i="19"/>
  <c r="G249" i="19"/>
  <c r="O247" i="19"/>
  <c r="Y244" i="19"/>
  <c r="O243" i="19"/>
  <c r="R243" i="19" s="1"/>
  <c r="U243" i="19" s="1"/>
  <c r="Y240" i="19"/>
  <c r="O239" i="19"/>
  <c r="Y236" i="19"/>
  <c r="O235" i="19"/>
  <c r="R235" i="19" s="1"/>
  <c r="U235" i="19" s="1"/>
  <c r="Y234" i="19"/>
  <c r="O233" i="19"/>
  <c r="O230" i="19"/>
  <c r="O229" i="19"/>
  <c r="G227" i="19"/>
  <c r="O226" i="19"/>
  <c r="O225" i="19"/>
  <c r="G223" i="19"/>
  <c r="R223" i="19" s="1"/>
  <c r="U223" i="19" s="1"/>
  <c r="O222" i="19"/>
  <c r="O221" i="19"/>
  <c r="O218" i="19"/>
  <c r="O217" i="19"/>
  <c r="R217" i="19" s="1"/>
  <c r="U217" i="19" s="1"/>
  <c r="G217" i="19"/>
  <c r="O214" i="19"/>
  <c r="O213" i="19"/>
  <c r="G213" i="19"/>
  <c r="T213" i="19" s="1"/>
  <c r="G211" i="19"/>
  <c r="O210" i="19"/>
  <c r="O209" i="19"/>
  <c r="G209" i="19"/>
  <c r="G207" i="19"/>
  <c r="O206" i="19"/>
  <c r="O205" i="19"/>
  <c r="G205" i="19"/>
  <c r="T205" i="19" s="1"/>
  <c r="G203" i="19"/>
  <c r="O202" i="19"/>
  <c r="O201" i="19"/>
  <c r="G201" i="19"/>
  <c r="O198" i="19"/>
  <c r="O197" i="19"/>
  <c r="G197" i="19"/>
  <c r="G195" i="19"/>
  <c r="R195" i="19" s="1"/>
  <c r="U195" i="19" s="1"/>
  <c r="O194" i="19"/>
  <c r="O193" i="19"/>
  <c r="G193" i="19"/>
  <c r="O191" i="19"/>
  <c r="O187" i="19"/>
  <c r="G187" i="19"/>
  <c r="O183" i="19"/>
  <c r="G183" i="19"/>
  <c r="T183" i="19" s="1"/>
  <c r="O179" i="19"/>
  <c r="O175" i="19"/>
  <c r="O171" i="19"/>
  <c r="O167" i="19"/>
  <c r="G167" i="19"/>
  <c r="O163" i="19"/>
  <c r="R163" i="19" s="1"/>
  <c r="U163" i="19" s="1"/>
  <c r="G143" i="19"/>
  <c r="T143" i="19" s="1"/>
  <c r="Y132" i="19"/>
  <c r="Y130" i="19"/>
  <c r="Y126" i="19"/>
  <c r="Y216" i="19"/>
  <c r="Y212" i="19"/>
  <c r="Y208" i="19"/>
  <c r="Y204" i="19"/>
  <c r="Y200" i="19"/>
  <c r="Y196" i="19"/>
  <c r="Y192" i="19"/>
  <c r="Y186" i="19"/>
  <c r="Y182" i="19"/>
  <c r="Y166" i="19"/>
  <c r="O161" i="19"/>
  <c r="Y158" i="19"/>
  <c r="Y142" i="19"/>
  <c r="O137" i="19"/>
  <c r="Y134" i="19"/>
  <c r="O133" i="19"/>
  <c r="R133" i="19" s="1"/>
  <c r="U133" i="19" s="1"/>
  <c r="G133" i="19"/>
  <c r="G131" i="19"/>
  <c r="R131" i="19" s="1"/>
  <c r="U131" i="19" s="1"/>
  <c r="G127" i="19"/>
  <c r="Y114" i="19"/>
  <c r="Y110" i="19"/>
  <c r="Y106" i="19"/>
  <c r="Y82" i="19"/>
  <c r="Y78" i="19"/>
  <c r="Y74" i="19"/>
  <c r="Y66" i="19"/>
  <c r="Y63" i="19"/>
  <c r="Y46" i="19"/>
  <c r="O31" i="19"/>
  <c r="O29" i="19"/>
  <c r="R29" i="19" s="1"/>
  <c r="U29" i="19" s="1"/>
  <c r="Y26" i="19"/>
  <c r="O25" i="19"/>
  <c r="Y22" i="19"/>
  <c r="O21" i="19"/>
  <c r="Y18" i="19"/>
  <c r="Y16" i="19"/>
  <c r="O15" i="19"/>
  <c r="O13" i="19"/>
  <c r="Y10" i="19"/>
  <c r="O9" i="19"/>
  <c r="O130" i="19"/>
  <c r="O129" i="19"/>
  <c r="O125" i="19"/>
  <c r="O121" i="19"/>
  <c r="O118" i="19"/>
  <c r="G117" i="19"/>
  <c r="R117" i="19" s="1"/>
  <c r="U117" i="19" s="1"/>
  <c r="O115" i="19"/>
  <c r="G115" i="19"/>
  <c r="T115" i="19" s="1"/>
  <c r="G113" i="19"/>
  <c r="O111" i="19"/>
  <c r="G111" i="19"/>
  <c r="G109" i="19"/>
  <c r="T109" i="19" s="1"/>
  <c r="O107" i="19"/>
  <c r="G107" i="19"/>
  <c r="T107" i="19" s="1"/>
  <c r="O105" i="19"/>
  <c r="O98" i="19"/>
  <c r="O97" i="19"/>
  <c r="O93" i="19"/>
  <c r="O89" i="19"/>
  <c r="O86" i="19"/>
  <c r="G85" i="19"/>
  <c r="O83" i="19"/>
  <c r="R83" i="19" s="1"/>
  <c r="U83" i="19" s="1"/>
  <c r="G83" i="19"/>
  <c r="G81" i="19"/>
  <c r="R81" i="19" s="1"/>
  <c r="U81" i="19" s="1"/>
  <c r="O79" i="19"/>
  <c r="G79" i="19"/>
  <c r="T79" i="19" s="1"/>
  <c r="G77" i="19"/>
  <c r="O75" i="19"/>
  <c r="G75" i="19"/>
  <c r="O73" i="19"/>
  <c r="G69" i="19"/>
  <c r="R69" i="19" s="1"/>
  <c r="U69" i="19" s="1"/>
  <c r="O67" i="19"/>
  <c r="R67" i="19" s="1"/>
  <c r="U67" i="19" s="1"/>
  <c r="G67" i="19"/>
  <c r="G65" i="19"/>
  <c r="R65" i="19" s="1"/>
  <c r="U65" i="19" s="1"/>
  <c r="O64" i="19"/>
  <c r="G64" i="19"/>
  <c r="T64" i="19" s="1"/>
  <c r="O62" i="19"/>
  <c r="O59" i="19"/>
  <c r="O58" i="19"/>
  <c r="O56" i="19"/>
  <c r="O51" i="19"/>
  <c r="O50" i="19"/>
  <c r="G49" i="19"/>
  <c r="O47" i="19"/>
  <c r="G47" i="19"/>
  <c r="O45" i="19"/>
  <c r="O42" i="19"/>
  <c r="O41" i="19"/>
  <c r="O37" i="19"/>
  <c r="O33" i="19"/>
  <c r="G27" i="19"/>
  <c r="G23" i="19"/>
  <c r="T23" i="19" s="1"/>
  <c r="G19" i="19"/>
  <c r="G11" i="19"/>
  <c r="R11" i="19" s="1"/>
  <c r="U11" i="19" s="1"/>
  <c r="Y319" i="19"/>
  <c r="Y315" i="19"/>
  <c r="Y311" i="19"/>
  <c r="Y307" i="19"/>
  <c r="T307" i="19"/>
  <c r="Y301" i="19"/>
  <c r="G300" i="19"/>
  <c r="G296" i="19"/>
  <c r="G295" i="19"/>
  <c r="Y291" i="19"/>
  <c r="Y287" i="19"/>
  <c r="Y283" i="19"/>
  <c r="T283" i="19"/>
  <c r="Y279" i="19"/>
  <c r="G276" i="19"/>
  <c r="Y273" i="19"/>
  <c r="G272" i="19"/>
  <c r="Y269" i="19"/>
  <c r="G268" i="19"/>
  <c r="G267" i="19"/>
  <c r="R267" i="19" s="1"/>
  <c r="U267" i="19" s="1"/>
  <c r="Y263" i="19"/>
  <c r="G260" i="19"/>
  <c r="Y257" i="19"/>
  <c r="G256" i="19"/>
  <c r="T256" i="19" s="1"/>
  <c r="Y251" i="19"/>
  <c r="G321" i="19"/>
  <c r="R321" i="19" s="1"/>
  <c r="U321" i="19" s="1"/>
  <c r="Y318" i="19"/>
  <c r="Y317" i="19"/>
  <c r="G317" i="19"/>
  <c r="T317" i="19" s="1"/>
  <c r="G316" i="19"/>
  <c r="T316" i="19" s="1"/>
  <c r="Y314" i="19"/>
  <c r="Y313" i="19"/>
  <c r="G313" i="19"/>
  <c r="T313" i="19" s="1"/>
  <c r="G312" i="19"/>
  <c r="G311" i="19"/>
  <c r="O310" i="19"/>
  <c r="G309" i="19"/>
  <c r="R309" i="19" s="1"/>
  <c r="U309" i="19" s="1"/>
  <c r="Y304" i="19"/>
  <c r="Y303" i="19"/>
  <c r="G303" i="19"/>
  <c r="R303" i="19" s="1"/>
  <c r="U303" i="19" s="1"/>
  <c r="Y300" i="19"/>
  <c r="Y299" i="19"/>
  <c r="O298" i="19"/>
  <c r="Y296" i="19"/>
  <c r="Y295" i="19"/>
  <c r="G293" i="19"/>
  <c r="R293" i="19" s="1"/>
  <c r="U293" i="19" s="1"/>
  <c r="G292" i="19"/>
  <c r="Y290" i="19"/>
  <c r="Y289" i="19"/>
  <c r="G289" i="19"/>
  <c r="T289" i="19" s="1"/>
  <c r="G288" i="19"/>
  <c r="Y286" i="19"/>
  <c r="Y285" i="19"/>
  <c r="G285" i="19"/>
  <c r="T285" i="19" s="1"/>
  <c r="G284" i="19"/>
  <c r="G280" i="19"/>
  <c r="G279" i="19"/>
  <c r="R279" i="19" s="1"/>
  <c r="U279" i="19" s="1"/>
  <c r="O278" i="19"/>
  <c r="Y276" i="19"/>
  <c r="Y275" i="19"/>
  <c r="G275" i="19"/>
  <c r="R275" i="19" s="1"/>
  <c r="U275" i="19" s="1"/>
  <c r="O274" i="19"/>
  <c r="Y272" i="19"/>
  <c r="Y271" i="19"/>
  <c r="G271" i="19"/>
  <c r="R271" i="19" s="1"/>
  <c r="U271" i="19" s="1"/>
  <c r="O270" i="19"/>
  <c r="Y268" i="19"/>
  <c r="Y267" i="19"/>
  <c r="G265" i="19"/>
  <c r="T265" i="19" s="1"/>
  <c r="G264" i="19"/>
  <c r="G263" i="19"/>
  <c r="R263" i="19" s="1"/>
  <c r="U263" i="19" s="1"/>
  <c r="O262" i="19"/>
  <c r="Y260" i="19"/>
  <c r="Y259" i="19"/>
  <c r="G259" i="19"/>
  <c r="R259" i="19" s="1"/>
  <c r="U259" i="19" s="1"/>
  <c r="O258" i="19"/>
  <c r="Y256" i="19"/>
  <c r="Y255" i="19"/>
  <c r="G255" i="19"/>
  <c r="R255" i="19" s="1"/>
  <c r="U255" i="19" s="1"/>
  <c r="O254" i="19"/>
  <c r="Y250" i="19"/>
  <c r="Y253" i="19"/>
  <c r="G253" i="19"/>
  <c r="G252" i="19"/>
  <c r="T252" i="19" s="1"/>
  <c r="G251" i="19"/>
  <c r="O250" i="19"/>
  <c r="Y248" i="19"/>
  <c r="Y247" i="19"/>
  <c r="G245" i="19"/>
  <c r="G244" i="19"/>
  <c r="T244" i="19" s="1"/>
  <c r="Y242" i="19"/>
  <c r="Y241" i="19"/>
  <c r="G241" i="19"/>
  <c r="G240" i="19"/>
  <c r="T240" i="19" s="1"/>
  <c r="Y238" i="19"/>
  <c r="Y237" i="19"/>
  <c r="G237" i="19"/>
  <c r="G236" i="19"/>
  <c r="T236" i="19" s="1"/>
  <c r="G235" i="19"/>
  <c r="O234" i="19"/>
  <c r="Y232" i="19"/>
  <c r="Y231" i="19"/>
  <c r="G229" i="19"/>
  <c r="G228" i="19"/>
  <c r="Y226" i="19"/>
  <c r="Y225" i="19"/>
  <c r="G225" i="19"/>
  <c r="G224" i="19"/>
  <c r="T224" i="19" s="1"/>
  <c r="Y222" i="19"/>
  <c r="Y221" i="19"/>
  <c r="G221" i="19"/>
  <c r="G220" i="19"/>
  <c r="T220" i="19" s="1"/>
  <c r="G216" i="19"/>
  <c r="G212" i="19"/>
  <c r="T212" i="19" s="1"/>
  <c r="Y210" i="19"/>
  <c r="Y209" i="19"/>
  <c r="G208" i="19"/>
  <c r="Y206" i="19"/>
  <c r="Y205" i="19"/>
  <c r="G204" i="19"/>
  <c r="T204" i="19" s="1"/>
  <c r="Y202" i="19"/>
  <c r="Y201" i="19"/>
  <c r="G200" i="19"/>
  <c r="G196" i="19"/>
  <c r="T196" i="19" s="1"/>
  <c r="Y194" i="19"/>
  <c r="Y193" i="19"/>
  <c r="G192" i="19"/>
  <c r="G191" i="19"/>
  <c r="R191" i="19" s="1"/>
  <c r="U191" i="19" s="1"/>
  <c r="O190" i="19"/>
  <c r="O186" i="19"/>
  <c r="O182" i="19"/>
  <c r="G179" i="19"/>
  <c r="R179" i="19" s="1"/>
  <c r="U179" i="19" s="1"/>
  <c r="O178" i="19"/>
  <c r="G175" i="19"/>
  <c r="T175" i="19" s="1"/>
  <c r="O174" i="19"/>
  <c r="G171" i="19"/>
  <c r="R171" i="19" s="1"/>
  <c r="U171" i="19" s="1"/>
  <c r="O170" i="19"/>
  <c r="O166" i="19"/>
  <c r="G163" i="19"/>
  <c r="O162" i="19"/>
  <c r="G159" i="19"/>
  <c r="O158" i="19"/>
  <c r="O157" i="19"/>
  <c r="G157" i="19"/>
  <c r="T157" i="19" s="1"/>
  <c r="O155" i="19"/>
  <c r="G155" i="19"/>
  <c r="T155" i="19" s="1"/>
  <c r="O153" i="19"/>
  <c r="G153" i="19"/>
  <c r="T153" i="19" s="1"/>
  <c r="O151" i="19"/>
  <c r="G151" i="19"/>
  <c r="T151" i="19" s="1"/>
  <c r="O150" i="19"/>
  <c r="O149" i="19"/>
  <c r="R149" i="19" s="1"/>
  <c r="U149" i="19" s="1"/>
  <c r="G149" i="19"/>
  <c r="O147" i="19"/>
  <c r="G147" i="19"/>
  <c r="O145" i="19"/>
  <c r="G145" i="19"/>
  <c r="G144" i="19"/>
  <c r="T144" i="19" s="1"/>
  <c r="O142" i="19"/>
  <c r="O141" i="19"/>
  <c r="G141" i="19"/>
  <c r="O139" i="19"/>
  <c r="G139" i="19"/>
  <c r="Y136" i="19"/>
  <c r="O135" i="19"/>
  <c r="G135" i="19"/>
  <c r="R135" i="19" s="1"/>
  <c r="U135" i="19" s="1"/>
  <c r="Y133" i="19"/>
  <c r="O132" i="19"/>
  <c r="G132" i="19"/>
  <c r="G129" i="19"/>
  <c r="T129" i="19" s="1"/>
  <c r="G128" i="19"/>
  <c r="T128" i="19" s="1"/>
  <c r="G125" i="19"/>
  <c r="T125" i="19" s="1"/>
  <c r="G124" i="19"/>
  <c r="G121" i="19"/>
  <c r="T121" i="19" s="1"/>
  <c r="Y116" i="19"/>
  <c r="Y115" i="19"/>
  <c r="O114" i="19"/>
  <c r="Y112" i="19"/>
  <c r="Y111" i="19"/>
  <c r="Y108" i="19"/>
  <c r="Y107" i="19"/>
  <c r="G105" i="19"/>
  <c r="R105" i="19" s="1"/>
  <c r="U105" i="19" s="1"/>
  <c r="G248" i="19"/>
  <c r="G247" i="19"/>
  <c r="R247" i="19" s="1"/>
  <c r="U247" i="19" s="1"/>
  <c r="Y243" i="19"/>
  <c r="Y239" i="19"/>
  <c r="Y235" i="19"/>
  <c r="G232" i="19"/>
  <c r="G231" i="19"/>
  <c r="Y227" i="19"/>
  <c r="Y223" i="19"/>
  <c r="T207" i="19"/>
  <c r="Y189" i="19"/>
  <c r="G188" i="19"/>
  <c r="T188" i="19" s="1"/>
  <c r="G184" i="19"/>
  <c r="G180" i="19"/>
  <c r="T180" i="19" s="1"/>
  <c r="Y177" i="19"/>
  <c r="G176" i="19"/>
  <c r="T176" i="19" s="1"/>
  <c r="R159" i="19"/>
  <c r="U159" i="19" s="1"/>
  <c r="Y156" i="19"/>
  <c r="Y155" i="19"/>
  <c r="Y154" i="19"/>
  <c r="Y152" i="19"/>
  <c r="Y151" i="19"/>
  <c r="Y150" i="19"/>
  <c r="Y148" i="19"/>
  <c r="Y147" i="19"/>
  <c r="Y146" i="19"/>
  <c r="Y144" i="19"/>
  <c r="Y143" i="19"/>
  <c r="Y140" i="19"/>
  <c r="Y139" i="19"/>
  <c r="Y138" i="19"/>
  <c r="Y131" i="19"/>
  <c r="Y127" i="19"/>
  <c r="Y123" i="19"/>
  <c r="Y119" i="19"/>
  <c r="T113" i="19"/>
  <c r="G108" i="19"/>
  <c r="Y103" i="19"/>
  <c r="R49" i="19"/>
  <c r="U49" i="19" s="1"/>
  <c r="R13" i="19"/>
  <c r="U13" i="19" s="1"/>
  <c r="G101" i="19"/>
  <c r="R101" i="19" s="1"/>
  <c r="U101" i="19" s="1"/>
  <c r="G97" i="19"/>
  <c r="T97" i="19" s="1"/>
  <c r="G93" i="19"/>
  <c r="G92" i="19"/>
  <c r="G89" i="19"/>
  <c r="Y84" i="19"/>
  <c r="Y83" i="19"/>
  <c r="O82" i="19"/>
  <c r="Y80" i="19"/>
  <c r="Y79" i="19"/>
  <c r="Y76" i="19"/>
  <c r="Y75" i="19"/>
  <c r="G73" i="19"/>
  <c r="Y68" i="19"/>
  <c r="Y67" i="19"/>
  <c r="O66" i="19"/>
  <c r="G62" i="19"/>
  <c r="R62" i="19" s="1"/>
  <c r="U62" i="19" s="1"/>
  <c r="O61" i="19"/>
  <c r="Y57" i="19"/>
  <c r="Y54" i="19"/>
  <c r="Y53" i="19"/>
  <c r="Y48" i="19"/>
  <c r="Y47" i="19"/>
  <c r="G45" i="19"/>
  <c r="R45" i="19" s="1"/>
  <c r="U45" i="19" s="1"/>
  <c r="G41" i="19"/>
  <c r="T41" i="19" s="1"/>
  <c r="G37" i="19"/>
  <c r="T37" i="19" s="1"/>
  <c r="G36" i="19"/>
  <c r="G33" i="19"/>
  <c r="T33" i="19" s="1"/>
  <c r="Y28" i="19"/>
  <c r="Y27" i="19"/>
  <c r="O26" i="19"/>
  <c r="Y24" i="19"/>
  <c r="Y23" i="19"/>
  <c r="Y20" i="19"/>
  <c r="Y19" i="19"/>
  <c r="G17" i="19"/>
  <c r="R17" i="19" s="1"/>
  <c r="U17" i="19" s="1"/>
  <c r="Y12" i="19"/>
  <c r="Y11" i="19"/>
  <c r="O10" i="19"/>
  <c r="Y8" i="19"/>
  <c r="Y99" i="19"/>
  <c r="Y95" i="19"/>
  <c r="Y91" i="19"/>
  <c r="Y87" i="19"/>
  <c r="G76" i="19"/>
  <c r="Y71" i="19"/>
  <c r="T65" i="19"/>
  <c r="G58" i="19"/>
  <c r="R58" i="19" s="1"/>
  <c r="U58" i="19" s="1"/>
  <c r="G57" i="19"/>
  <c r="T57" i="19" s="1"/>
  <c r="G54" i="19"/>
  <c r="T54" i="19" s="1"/>
  <c r="G53" i="19"/>
  <c r="T53" i="19" s="1"/>
  <c r="Y43" i="19"/>
  <c r="Y39" i="19"/>
  <c r="Y35" i="19"/>
  <c r="Y31" i="19"/>
  <c r="T25" i="19"/>
  <c r="G20" i="19"/>
  <c r="Y15" i="19"/>
  <c r="T319" i="19"/>
  <c r="T287" i="19"/>
  <c r="T267" i="19"/>
  <c r="T235" i="19"/>
  <c r="T303" i="19"/>
  <c r="T279" i="19"/>
  <c r="T275" i="19"/>
  <c r="T255" i="19"/>
  <c r="T247" i="19"/>
  <c r="T243" i="19"/>
  <c r="T223" i="19"/>
  <c r="T315" i="19"/>
  <c r="T295" i="19"/>
  <c r="T291" i="19"/>
  <c r="T251" i="19"/>
  <c r="R251" i="19"/>
  <c r="U251" i="19" s="1"/>
  <c r="T171" i="19"/>
  <c r="T323" i="19"/>
  <c r="R323" i="19"/>
  <c r="U323" i="19" s="1"/>
  <c r="T311" i="19"/>
  <c r="R311" i="19"/>
  <c r="U311" i="19" s="1"/>
  <c r="T271" i="19"/>
  <c r="T263" i="19"/>
  <c r="T259" i="19"/>
  <c r="T239" i="19"/>
  <c r="T231" i="19"/>
  <c r="T227" i="19"/>
  <c r="R227" i="19"/>
  <c r="U227" i="19" s="1"/>
  <c r="T203" i="19"/>
  <c r="R203" i="19"/>
  <c r="U203" i="19" s="1"/>
  <c r="T296" i="19"/>
  <c r="R289" i="19"/>
  <c r="U289" i="19" s="1"/>
  <c r="T280" i="19"/>
  <c r="T241" i="19"/>
  <c r="R241" i="19"/>
  <c r="U241" i="19" s="1"/>
  <c r="T232" i="19"/>
  <c r="T211" i="19"/>
  <c r="R211" i="19"/>
  <c r="U211" i="19" s="1"/>
  <c r="T200" i="19"/>
  <c r="T179" i="19"/>
  <c r="R139" i="19"/>
  <c r="U139" i="19" s="1"/>
  <c r="T139" i="19"/>
  <c r="T83" i="19"/>
  <c r="G324" i="19"/>
  <c r="G308" i="19"/>
  <c r="O306" i="19"/>
  <c r="Y293" i="19"/>
  <c r="T277" i="19"/>
  <c r="T268" i="19"/>
  <c r="R261" i="19"/>
  <c r="U261" i="19" s="1"/>
  <c r="T245" i="19"/>
  <c r="R245" i="19"/>
  <c r="U245" i="19" s="1"/>
  <c r="Y229" i="19"/>
  <c r="T229" i="19"/>
  <c r="R229" i="19"/>
  <c r="U229" i="19" s="1"/>
  <c r="T219" i="19"/>
  <c r="T215" i="19"/>
  <c r="R215" i="19"/>
  <c r="U215" i="19" s="1"/>
  <c r="T187" i="19"/>
  <c r="R183" i="19"/>
  <c r="U183" i="19" s="1"/>
  <c r="R115" i="19"/>
  <c r="U115" i="19" s="1"/>
  <c r="R95" i="19"/>
  <c r="U95" i="19" s="1"/>
  <c r="T93" i="19"/>
  <c r="R93" i="19"/>
  <c r="U93" i="19" s="1"/>
  <c r="T89" i="19"/>
  <c r="R89" i="19"/>
  <c r="U89" i="19" s="1"/>
  <c r="T27" i="19"/>
  <c r="R27" i="19"/>
  <c r="U27" i="19" s="1"/>
  <c r="Y321" i="19"/>
  <c r="G320" i="19"/>
  <c r="O318" i="19"/>
  <c r="R313" i="19"/>
  <c r="U313" i="19" s="1"/>
  <c r="T309" i="19"/>
  <c r="R307" i="19"/>
  <c r="U307" i="19" s="1"/>
  <c r="Y305" i="19"/>
  <c r="G304" i="19"/>
  <c r="O302" i="19"/>
  <c r="R299" i="19"/>
  <c r="U299" i="19" s="1"/>
  <c r="Y297" i="19"/>
  <c r="T297" i="19"/>
  <c r="R297" i="19"/>
  <c r="U297" i="19" s="1"/>
  <c r="T288" i="19"/>
  <c r="Y281" i="19"/>
  <c r="T272" i="19"/>
  <c r="Y265" i="19"/>
  <c r="R265" i="19"/>
  <c r="U265" i="19" s="1"/>
  <c r="Y249" i="19"/>
  <c r="T249" i="19"/>
  <c r="R249" i="19"/>
  <c r="U249" i="19" s="1"/>
  <c r="Y233" i="19"/>
  <c r="T233" i="19"/>
  <c r="R233" i="19"/>
  <c r="U233" i="19" s="1"/>
  <c r="R219" i="19"/>
  <c r="U219" i="19" s="1"/>
  <c r="Y217" i="19"/>
  <c r="T217" i="19"/>
  <c r="T216" i="19"/>
  <c r="R207" i="19"/>
  <c r="U207" i="19" s="1"/>
  <c r="T195" i="19"/>
  <c r="R187" i="19"/>
  <c r="U187" i="19" s="1"/>
  <c r="Y185" i="19"/>
  <c r="T184" i="19"/>
  <c r="T163" i="19"/>
  <c r="R155" i="19"/>
  <c r="U155" i="19" s="1"/>
  <c r="R153" i="19"/>
  <c r="U153" i="19" s="1"/>
  <c r="R151" i="19"/>
  <c r="U151" i="19" s="1"/>
  <c r="T273" i="19"/>
  <c r="T264" i="19"/>
  <c r="R257" i="19"/>
  <c r="U257" i="19" s="1"/>
  <c r="T248" i="19"/>
  <c r="T225" i="19"/>
  <c r="R225" i="19"/>
  <c r="U225" i="19" s="1"/>
  <c r="O322" i="19"/>
  <c r="R317" i="19"/>
  <c r="U317" i="19" s="1"/>
  <c r="Y309" i="19"/>
  <c r="T300" i="19"/>
  <c r="T293" i="19"/>
  <c r="T284" i="19"/>
  <c r="Y277" i="19"/>
  <c r="Y261" i="19"/>
  <c r="Y245" i="19"/>
  <c r="T312" i="19"/>
  <c r="T301" i="19"/>
  <c r="T292" i="19"/>
  <c r="R285" i="19"/>
  <c r="U285" i="19" s="1"/>
  <c r="T276" i="19"/>
  <c r="T260" i="19"/>
  <c r="T253" i="19"/>
  <c r="R253" i="19"/>
  <c r="U253" i="19" s="1"/>
  <c r="T237" i="19"/>
  <c r="T228" i="19"/>
  <c r="T221" i="19"/>
  <c r="R221" i="19"/>
  <c r="U221" i="19" s="1"/>
  <c r="T199" i="19"/>
  <c r="T191" i="19"/>
  <c r="T167" i="19"/>
  <c r="R167" i="19"/>
  <c r="U167" i="19" s="1"/>
  <c r="T159" i="19"/>
  <c r="R143" i="19"/>
  <c r="U143" i="19" s="1"/>
  <c r="T137" i="19"/>
  <c r="R137" i="19"/>
  <c r="U137" i="19" s="1"/>
  <c r="G322" i="19"/>
  <c r="O320" i="19"/>
  <c r="G318" i="19"/>
  <c r="O316" i="19"/>
  <c r="R316" i="19" s="1"/>
  <c r="U316" i="19" s="1"/>
  <c r="G314" i="19"/>
  <c r="O312" i="19"/>
  <c r="R312" i="19" s="1"/>
  <c r="U312" i="19" s="1"/>
  <c r="G310" i="19"/>
  <c r="O308" i="19"/>
  <c r="G306" i="19"/>
  <c r="O304" i="19"/>
  <c r="G302" i="19"/>
  <c r="O300" i="19"/>
  <c r="R300" i="19" s="1"/>
  <c r="U300" i="19" s="1"/>
  <c r="G298" i="19"/>
  <c r="O296" i="19"/>
  <c r="R296" i="19" s="1"/>
  <c r="U296" i="19" s="1"/>
  <c r="G294" i="19"/>
  <c r="O292" i="19"/>
  <c r="R292" i="19" s="1"/>
  <c r="U292" i="19" s="1"/>
  <c r="G290" i="19"/>
  <c r="O288" i="19"/>
  <c r="R288" i="19" s="1"/>
  <c r="U288" i="19" s="1"/>
  <c r="G286" i="19"/>
  <c r="O284" i="19"/>
  <c r="R284" i="19" s="1"/>
  <c r="U284" i="19" s="1"/>
  <c r="G282" i="19"/>
  <c r="O280" i="19"/>
  <c r="R280" i="19" s="1"/>
  <c r="U280" i="19" s="1"/>
  <c r="G278" i="19"/>
  <c r="O276" i="19"/>
  <c r="R276" i="19" s="1"/>
  <c r="U276" i="19" s="1"/>
  <c r="G274" i="19"/>
  <c r="O272" i="19"/>
  <c r="R272" i="19" s="1"/>
  <c r="U272" i="19" s="1"/>
  <c r="G270" i="19"/>
  <c r="O268" i="19"/>
  <c r="R268" i="19" s="1"/>
  <c r="U268" i="19" s="1"/>
  <c r="G266" i="19"/>
  <c r="O264" i="19"/>
  <c r="R264" i="19" s="1"/>
  <c r="U264" i="19" s="1"/>
  <c r="G262" i="19"/>
  <c r="O260" i="19"/>
  <c r="R260" i="19" s="1"/>
  <c r="U260" i="19" s="1"/>
  <c r="G258" i="19"/>
  <c r="O256" i="19"/>
  <c r="R256" i="19" s="1"/>
  <c r="U256" i="19" s="1"/>
  <c r="G254" i="19"/>
  <c r="O252" i="19"/>
  <c r="R252" i="19" s="1"/>
  <c r="U252" i="19" s="1"/>
  <c r="G250" i="19"/>
  <c r="O248" i="19"/>
  <c r="R248" i="19" s="1"/>
  <c r="U248" i="19" s="1"/>
  <c r="G246" i="19"/>
  <c r="O244" i="19"/>
  <c r="R244" i="19" s="1"/>
  <c r="U244" i="19" s="1"/>
  <c r="G242" i="19"/>
  <c r="O240" i="19"/>
  <c r="R240" i="19" s="1"/>
  <c r="U240" i="19" s="1"/>
  <c r="G238" i="19"/>
  <c r="O236" i="19"/>
  <c r="R236" i="19" s="1"/>
  <c r="U236" i="19" s="1"/>
  <c r="G234" i="19"/>
  <c r="O232" i="19"/>
  <c r="R232" i="19" s="1"/>
  <c r="U232" i="19" s="1"/>
  <c r="G230" i="19"/>
  <c r="O228" i="19"/>
  <c r="R228" i="19" s="1"/>
  <c r="U228" i="19" s="1"/>
  <c r="G226" i="19"/>
  <c r="O224" i="19"/>
  <c r="R224" i="19" s="1"/>
  <c r="U224" i="19" s="1"/>
  <c r="G222" i="19"/>
  <c r="O220" i="19"/>
  <c r="R220" i="19" s="1"/>
  <c r="U220" i="19" s="1"/>
  <c r="G218" i="19"/>
  <c r="Y213" i="19"/>
  <c r="Y197" i="19"/>
  <c r="Y181" i="19"/>
  <c r="G152" i="19"/>
  <c r="T127" i="19"/>
  <c r="R127" i="19"/>
  <c r="U127" i="19" s="1"/>
  <c r="R125" i="19"/>
  <c r="U125" i="19" s="1"/>
  <c r="R121" i="19"/>
  <c r="U121" i="19" s="1"/>
  <c r="G96" i="19"/>
  <c r="T76" i="19"/>
  <c r="T208" i="19"/>
  <c r="T192" i="19"/>
  <c r="R147" i="19"/>
  <c r="U147" i="19" s="1"/>
  <c r="T147" i="19"/>
  <c r="R145" i="19"/>
  <c r="U145" i="19" s="1"/>
  <c r="T145" i="19"/>
  <c r="T108" i="19"/>
  <c r="O216" i="19"/>
  <c r="R216" i="19" s="1"/>
  <c r="U216" i="19" s="1"/>
  <c r="G214" i="19"/>
  <c r="O212" i="19"/>
  <c r="R212" i="19" s="1"/>
  <c r="U212" i="19" s="1"/>
  <c r="G210" i="19"/>
  <c r="T209" i="19"/>
  <c r="O208" i="19"/>
  <c r="R208" i="19" s="1"/>
  <c r="U208" i="19" s="1"/>
  <c r="G206" i="19"/>
  <c r="O204" i="19"/>
  <c r="R204" i="19" s="1"/>
  <c r="U204" i="19" s="1"/>
  <c r="G202" i="19"/>
  <c r="T201" i="19"/>
  <c r="O200" i="19"/>
  <c r="R200" i="19" s="1"/>
  <c r="U200" i="19" s="1"/>
  <c r="G198" i="19"/>
  <c r="T197" i="19"/>
  <c r="O196" i="19"/>
  <c r="R196" i="19" s="1"/>
  <c r="U196" i="19" s="1"/>
  <c r="G194" i="19"/>
  <c r="T193" i="19"/>
  <c r="O192" i="19"/>
  <c r="R192" i="19" s="1"/>
  <c r="U192" i="19" s="1"/>
  <c r="G190" i="19"/>
  <c r="T189" i="19"/>
  <c r="O188" i="19"/>
  <c r="R188" i="19" s="1"/>
  <c r="U188" i="19" s="1"/>
  <c r="G186" i="19"/>
  <c r="T185" i="19"/>
  <c r="O184" i="19"/>
  <c r="R184" i="19" s="1"/>
  <c r="U184" i="19" s="1"/>
  <c r="G182" i="19"/>
  <c r="T181" i="19"/>
  <c r="O180" i="19"/>
  <c r="R180" i="19" s="1"/>
  <c r="U180" i="19" s="1"/>
  <c r="G178" i="19"/>
  <c r="T177" i="19"/>
  <c r="O176" i="19"/>
  <c r="T173" i="19"/>
  <c r="O172" i="19"/>
  <c r="T169" i="19"/>
  <c r="O168" i="19"/>
  <c r="T165" i="19"/>
  <c r="O164" i="19"/>
  <c r="T161" i="19"/>
  <c r="O160" i="19"/>
  <c r="R157" i="19"/>
  <c r="U157" i="19" s="1"/>
  <c r="O154" i="19"/>
  <c r="T149" i="19"/>
  <c r="O146" i="19"/>
  <c r="R141" i="19"/>
  <c r="U141" i="19" s="1"/>
  <c r="T141" i="19"/>
  <c r="O138" i="19"/>
  <c r="T135" i="19"/>
  <c r="T133" i="19"/>
  <c r="T131" i="19"/>
  <c r="T124" i="19"/>
  <c r="T111" i="19"/>
  <c r="R111" i="19"/>
  <c r="U111" i="19" s="1"/>
  <c r="R109" i="19"/>
  <c r="U109" i="19" s="1"/>
  <c r="O102" i="19"/>
  <c r="T99" i="19"/>
  <c r="R99" i="19"/>
  <c r="U99" i="19" s="1"/>
  <c r="T92" i="19"/>
  <c r="R79" i="19"/>
  <c r="U79" i="19" s="1"/>
  <c r="T77" i="19"/>
  <c r="R77" i="19"/>
  <c r="U77" i="19" s="1"/>
  <c r="O70" i="19"/>
  <c r="T67" i="19"/>
  <c r="R56" i="19"/>
  <c r="U56" i="19" s="1"/>
  <c r="T39" i="19"/>
  <c r="R39" i="19"/>
  <c r="U39" i="19" s="1"/>
  <c r="R37" i="19"/>
  <c r="U37" i="19" s="1"/>
  <c r="R33" i="19"/>
  <c r="U33" i="19" s="1"/>
  <c r="G8" i="19"/>
  <c r="Y219" i="19"/>
  <c r="Y215" i="19"/>
  <c r="R213" i="19"/>
  <c r="U213" i="19" s="1"/>
  <c r="Y211" i="19"/>
  <c r="R209" i="19"/>
  <c r="U209" i="19" s="1"/>
  <c r="Y207" i="19"/>
  <c r="R205" i="19"/>
  <c r="U205" i="19" s="1"/>
  <c r="Y203" i="19"/>
  <c r="R201" i="19"/>
  <c r="U201" i="19" s="1"/>
  <c r="Y199" i="19"/>
  <c r="R197" i="19"/>
  <c r="U197" i="19" s="1"/>
  <c r="Y195" i="19"/>
  <c r="R193" i="19"/>
  <c r="U193" i="19" s="1"/>
  <c r="Y191" i="19"/>
  <c r="R189" i="19"/>
  <c r="U189" i="19" s="1"/>
  <c r="Y187" i="19"/>
  <c r="R185" i="19"/>
  <c r="U185" i="19" s="1"/>
  <c r="Y183" i="19"/>
  <c r="R181" i="19"/>
  <c r="U181" i="19" s="1"/>
  <c r="Y179" i="19"/>
  <c r="R177" i="19"/>
  <c r="U177" i="19" s="1"/>
  <c r="Y175" i="19"/>
  <c r="R173" i="19"/>
  <c r="U173" i="19" s="1"/>
  <c r="R165" i="19"/>
  <c r="U165" i="19" s="1"/>
  <c r="G156" i="19"/>
  <c r="G148" i="19"/>
  <c r="G140" i="19"/>
  <c r="G134" i="19"/>
  <c r="R132" i="19"/>
  <c r="U132" i="19" s="1"/>
  <c r="T132" i="19"/>
  <c r="G112" i="19"/>
  <c r="G80" i="19"/>
  <c r="T73" i="19"/>
  <c r="T62" i="19"/>
  <c r="G174" i="19"/>
  <c r="G172" i="19"/>
  <c r="G170" i="19"/>
  <c r="G168" i="19"/>
  <c r="G166" i="19"/>
  <c r="G164" i="19"/>
  <c r="G162" i="19"/>
  <c r="G160" i="19"/>
  <c r="G158" i="19"/>
  <c r="O156" i="19"/>
  <c r="G154" i="19"/>
  <c r="O152" i="19"/>
  <c r="G150" i="19"/>
  <c r="O148" i="19"/>
  <c r="G146" i="19"/>
  <c r="O144" i="19"/>
  <c r="R144" i="19" s="1"/>
  <c r="U144" i="19" s="1"/>
  <c r="G142" i="19"/>
  <c r="O140" i="19"/>
  <c r="G138" i="19"/>
  <c r="O134" i="19"/>
  <c r="O126" i="19"/>
  <c r="R123" i="19"/>
  <c r="U123" i="19" s="1"/>
  <c r="G120" i="19"/>
  <c r="T117" i="19"/>
  <c r="R113" i="19"/>
  <c r="U113" i="19" s="1"/>
  <c r="O110" i="19"/>
  <c r="R107" i="19"/>
  <c r="U107" i="19" s="1"/>
  <c r="G104" i="19"/>
  <c r="T101" i="19"/>
  <c r="O94" i="19"/>
  <c r="T91" i="19"/>
  <c r="R91" i="19"/>
  <c r="U91" i="19" s="1"/>
  <c r="G88" i="19"/>
  <c r="T85" i="19"/>
  <c r="O78" i="19"/>
  <c r="T75" i="19"/>
  <c r="R75" i="19"/>
  <c r="U75" i="19" s="1"/>
  <c r="G72" i="19"/>
  <c r="T69" i="19"/>
  <c r="Y173" i="19"/>
  <c r="Y171" i="19"/>
  <c r="Y169" i="19"/>
  <c r="Y167" i="19"/>
  <c r="Y165" i="19"/>
  <c r="Y163" i="19"/>
  <c r="Y161" i="19"/>
  <c r="Y159" i="19"/>
  <c r="Y157" i="19"/>
  <c r="Y153" i="19"/>
  <c r="Y149" i="19"/>
  <c r="Y145" i="19"/>
  <c r="Y141" i="19"/>
  <c r="Y137" i="19"/>
  <c r="O122" i="19"/>
  <c r="T119" i="19"/>
  <c r="R119" i="19"/>
  <c r="U119" i="19" s="1"/>
  <c r="G116" i="19"/>
  <c r="O106" i="19"/>
  <c r="R103" i="19"/>
  <c r="U103" i="19" s="1"/>
  <c r="G100" i="19"/>
  <c r="O90" i="19"/>
  <c r="R87" i="19"/>
  <c r="U87" i="19" s="1"/>
  <c r="G84" i="19"/>
  <c r="O74" i="19"/>
  <c r="T71" i="19"/>
  <c r="R71" i="19"/>
  <c r="U71" i="19" s="1"/>
  <c r="R54" i="19"/>
  <c r="U54" i="19" s="1"/>
  <c r="G40" i="19"/>
  <c r="T20" i="19"/>
  <c r="G130" i="19"/>
  <c r="O128" i="19"/>
  <c r="R128" i="19" s="1"/>
  <c r="U128" i="19" s="1"/>
  <c r="G126" i="19"/>
  <c r="O124" i="19"/>
  <c r="R124" i="19" s="1"/>
  <c r="U124" i="19" s="1"/>
  <c r="G122" i="19"/>
  <c r="O120" i="19"/>
  <c r="G118" i="19"/>
  <c r="O116" i="19"/>
  <c r="G114" i="19"/>
  <c r="O112" i="19"/>
  <c r="G110" i="19"/>
  <c r="O108" i="19"/>
  <c r="R108" i="19" s="1"/>
  <c r="U108" i="19" s="1"/>
  <c r="G106" i="19"/>
  <c r="O104" i="19"/>
  <c r="G102" i="19"/>
  <c r="O100" i="19"/>
  <c r="G98" i="19"/>
  <c r="O96" i="19"/>
  <c r="G94" i="19"/>
  <c r="O92" i="19"/>
  <c r="G90" i="19"/>
  <c r="O88" i="19"/>
  <c r="G86" i="19"/>
  <c r="O84" i="19"/>
  <c r="G82" i="19"/>
  <c r="O80" i="19"/>
  <c r="G78" i="19"/>
  <c r="O76" i="19"/>
  <c r="G74" i="19"/>
  <c r="O72" i="19"/>
  <c r="G70" i="19"/>
  <c r="O68" i="19"/>
  <c r="G66" i="19"/>
  <c r="T58" i="19"/>
  <c r="T49" i="19"/>
  <c r="G24" i="19"/>
  <c r="Y129" i="19"/>
  <c r="Y125" i="19"/>
  <c r="Y121" i="19"/>
  <c r="Y117" i="19"/>
  <c r="Y113" i="19"/>
  <c r="Y109" i="19"/>
  <c r="Y105" i="19"/>
  <c r="Y101" i="19"/>
  <c r="Y97" i="19"/>
  <c r="Y93" i="19"/>
  <c r="Y89" i="19"/>
  <c r="Y85" i="19"/>
  <c r="Y81" i="19"/>
  <c r="Y77" i="19"/>
  <c r="Y73" i="19"/>
  <c r="Y69" i="19"/>
  <c r="Y65" i="19"/>
  <c r="O63" i="19"/>
  <c r="Y58" i="19"/>
  <c r="R52" i="19"/>
  <c r="U52" i="19" s="1"/>
  <c r="Y50" i="19"/>
  <c r="O46" i="19"/>
  <c r="T43" i="19"/>
  <c r="T36" i="19"/>
  <c r="R23" i="19"/>
  <c r="U23" i="19" s="1"/>
  <c r="T21" i="19"/>
  <c r="R21" i="19"/>
  <c r="U21" i="19" s="1"/>
  <c r="O14" i="19"/>
  <c r="T11" i="19"/>
  <c r="G63" i="19"/>
  <c r="G61" i="19"/>
  <c r="Y56" i="19"/>
  <c r="Y52" i="19"/>
  <c r="G48" i="19"/>
  <c r="R41" i="19"/>
  <c r="U41" i="19" s="1"/>
  <c r="O38" i="19"/>
  <c r="T35" i="19"/>
  <c r="G32" i="19"/>
  <c r="T29" i="19"/>
  <c r="R25" i="19"/>
  <c r="U25" i="19" s="1"/>
  <c r="O22" i="19"/>
  <c r="T19" i="19"/>
  <c r="G16" i="19"/>
  <c r="T13" i="19"/>
  <c r="R9" i="19"/>
  <c r="U9" i="19" s="1"/>
  <c r="Y64" i="19"/>
  <c r="Y62" i="19"/>
  <c r="Y60" i="19"/>
  <c r="G59" i="19"/>
  <c r="O57" i="19"/>
  <c r="R57" i="19" s="1"/>
  <c r="U57" i="19" s="1"/>
  <c r="G55" i="19"/>
  <c r="O53" i="19"/>
  <c r="R53" i="19" s="1"/>
  <c r="U53" i="19" s="1"/>
  <c r="G51" i="19"/>
  <c r="T47" i="19"/>
  <c r="R47" i="19"/>
  <c r="U47" i="19" s="1"/>
  <c r="G44" i="19"/>
  <c r="O34" i="19"/>
  <c r="T31" i="19"/>
  <c r="R31" i="19"/>
  <c r="U31" i="19" s="1"/>
  <c r="G28" i="19"/>
  <c r="O18" i="19"/>
  <c r="T15" i="19"/>
  <c r="R15" i="19"/>
  <c r="U15" i="19" s="1"/>
  <c r="G12" i="19"/>
  <c r="G50" i="19"/>
  <c r="O48" i="19"/>
  <c r="G46" i="19"/>
  <c r="O44" i="19"/>
  <c r="G42" i="19"/>
  <c r="O40" i="19"/>
  <c r="G38" i="19"/>
  <c r="O36" i="19"/>
  <c r="R36" i="19" s="1"/>
  <c r="U36" i="19" s="1"/>
  <c r="G34" i="19"/>
  <c r="O32" i="19"/>
  <c r="G30" i="19"/>
  <c r="O28" i="19"/>
  <c r="G26" i="19"/>
  <c r="O24" i="19"/>
  <c r="G22" i="19"/>
  <c r="O20" i="19"/>
  <c r="R20" i="19" s="1"/>
  <c r="U20" i="19" s="1"/>
  <c r="G18" i="19"/>
  <c r="O16" i="19"/>
  <c r="G14" i="19"/>
  <c r="O12" i="19"/>
  <c r="G10" i="19"/>
  <c r="O8" i="19"/>
  <c r="Y49" i="19"/>
  <c r="Y45" i="19"/>
  <c r="Y41" i="19"/>
  <c r="Y37" i="19"/>
  <c r="Y33" i="19"/>
  <c r="Y29" i="19"/>
  <c r="Y25" i="19"/>
  <c r="Y21" i="19"/>
  <c r="Y17" i="19"/>
  <c r="Y13" i="19"/>
  <c r="Y9" i="19"/>
  <c r="M7" i="42"/>
  <c r="T45" i="19" l="1"/>
  <c r="T60" i="19"/>
  <c r="T17" i="19"/>
  <c r="R97" i="19"/>
  <c r="U97" i="19" s="1"/>
  <c r="R129" i="19"/>
  <c r="U129" i="19" s="1"/>
  <c r="T105" i="19"/>
  <c r="T305" i="19"/>
  <c r="T81" i="19"/>
  <c r="R73" i="19"/>
  <c r="U73" i="19" s="1"/>
  <c r="R64" i="19"/>
  <c r="U64" i="19" s="1"/>
  <c r="R85" i="19"/>
  <c r="U85" i="19" s="1"/>
  <c r="R76" i="19"/>
  <c r="U76" i="19" s="1"/>
  <c r="R92" i="19"/>
  <c r="U92" i="19" s="1"/>
  <c r="R176" i="19"/>
  <c r="U176" i="19" s="1"/>
  <c r="T321" i="19"/>
  <c r="R175" i="19"/>
  <c r="U175" i="19" s="1"/>
  <c r="R14" i="19"/>
  <c r="U14" i="19" s="1"/>
  <c r="T14" i="19"/>
  <c r="R30" i="19"/>
  <c r="U30" i="19" s="1"/>
  <c r="T30" i="19"/>
  <c r="R48" i="19"/>
  <c r="U48" i="19" s="1"/>
  <c r="T48" i="19"/>
  <c r="R63" i="19"/>
  <c r="U63" i="19" s="1"/>
  <c r="T63" i="19"/>
  <c r="R40" i="19"/>
  <c r="U40" i="19" s="1"/>
  <c r="T40" i="19"/>
  <c r="R172" i="19"/>
  <c r="U172" i="19" s="1"/>
  <c r="T172" i="19"/>
  <c r="R80" i="19"/>
  <c r="U80" i="19" s="1"/>
  <c r="T80" i="19"/>
  <c r="T156" i="19"/>
  <c r="R156" i="19"/>
  <c r="U156" i="19" s="1"/>
  <c r="R218" i="19"/>
  <c r="U218" i="19" s="1"/>
  <c r="T218" i="19"/>
  <c r="R234" i="19"/>
  <c r="U234" i="19" s="1"/>
  <c r="T234" i="19"/>
  <c r="R250" i="19"/>
  <c r="U250" i="19" s="1"/>
  <c r="T250" i="19"/>
  <c r="R266" i="19"/>
  <c r="U266" i="19" s="1"/>
  <c r="T266" i="19"/>
  <c r="R282" i="19"/>
  <c r="U282" i="19" s="1"/>
  <c r="T282" i="19"/>
  <c r="R298" i="19"/>
  <c r="U298" i="19" s="1"/>
  <c r="T298" i="19"/>
  <c r="R314" i="19"/>
  <c r="U314" i="19" s="1"/>
  <c r="T314" i="19"/>
  <c r="R322" i="19"/>
  <c r="U322" i="19" s="1"/>
  <c r="T322" i="19"/>
  <c r="R308" i="19"/>
  <c r="U308" i="19" s="1"/>
  <c r="T308" i="19"/>
  <c r="R24" i="19"/>
  <c r="U24" i="19" s="1"/>
  <c r="T24" i="19"/>
  <c r="R74" i="19"/>
  <c r="U74" i="19" s="1"/>
  <c r="T74" i="19"/>
  <c r="R90" i="19"/>
  <c r="U90" i="19" s="1"/>
  <c r="T90" i="19"/>
  <c r="R106" i="19"/>
  <c r="U106" i="19" s="1"/>
  <c r="T106" i="19"/>
  <c r="R114" i="19"/>
  <c r="U114" i="19" s="1"/>
  <c r="T114" i="19"/>
  <c r="R130" i="19"/>
  <c r="U130" i="19" s="1"/>
  <c r="T130" i="19"/>
  <c r="R88" i="19"/>
  <c r="U88" i="19" s="1"/>
  <c r="T88" i="19"/>
  <c r="R120" i="19"/>
  <c r="U120" i="19" s="1"/>
  <c r="T120" i="19"/>
  <c r="T150" i="19"/>
  <c r="R150" i="19"/>
  <c r="U150" i="19" s="1"/>
  <c r="R166" i="19"/>
  <c r="U166" i="19" s="1"/>
  <c r="T166" i="19"/>
  <c r="R174" i="19"/>
  <c r="U174" i="19" s="1"/>
  <c r="T174" i="19"/>
  <c r="R134" i="19"/>
  <c r="U134" i="19" s="1"/>
  <c r="T134" i="19"/>
  <c r="R186" i="19"/>
  <c r="U186" i="19" s="1"/>
  <c r="T186" i="19"/>
  <c r="R202" i="19"/>
  <c r="U202" i="19" s="1"/>
  <c r="T202" i="19"/>
  <c r="R304" i="19"/>
  <c r="U304" i="19" s="1"/>
  <c r="T304" i="19"/>
  <c r="R10" i="19"/>
  <c r="U10" i="19" s="1"/>
  <c r="T10" i="19"/>
  <c r="R18" i="19"/>
  <c r="U18" i="19" s="1"/>
  <c r="T18" i="19"/>
  <c r="R26" i="19"/>
  <c r="U26" i="19" s="1"/>
  <c r="T26" i="19"/>
  <c r="R34" i="19"/>
  <c r="U34" i="19" s="1"/>
  <c r="T34" i="19"/>
  <c r="R42" i="19"/>
  <c r="U42" i="19" s="1"/>
  <c r="T42" i="19"/>
  <c r="R50" i="19"/>
  <c r="U50" i="19" s="1"/>
  <c r="T50" i="19"/>
  <c r="T51" i="19"/>
  <c r="R51" i="19"/>
  <c r="U51" i="19" s="1"/>
  <c r="T59" i="19"/>
  <c r="R59" i="19"/>
  <c r="U59" i="19" s="1"/>
  <c r="R32" i="19"/>
  <c r="U32" i="19" s="1"/>
  <c r="T32" i="19"/>
  <c r="R160" i="19"/>
  <c r="U160" i="19" s="1"/>
  <c r="T160" i="19"/>
  <c r="R168" i="19"/>
  <c r="U168" i="19" s="1"/>
  <c r="T168" i="19"/>
  <c r="R112" i="19"/>
  <c r="U112" i="19" s="1"/>
  <c r="T112" i="19"/>
  <c r="T140" i="19"/>
  <c r="R140" i="19"/>
  <c r="U140" i="19" s="1"/>
  <c r="R182" i="19"/>
  <c r="U182" i="19" s="1"/>
  <c r="T182" i="19"/>
  <c r="R198" i="19"/>
  <c r="U198" i="19" s="1"/>
  <c r="T198" i="19"/>
  <c r="R214" i="19"/>
  <c r="U214" i="19" s="1"/>
  <c r="T214" i="19"/>
  <c r="T152" i="19"/>
  <c r="R152" i="19"/>
  <c r="U152" i="19" s="1"/>
  <c r="R222" i="19"/>
  <c r="U222" i="19" s="1"/>
  <c r="T222" i="19"/>
  <c r="R230" i="19"/>
  <c r="U230" i="19" s="1"/>
  <c r="T230" i="19"/>
  <c r="R238" i="19"/>
  <c r="U238" i="19" s="1"/>
  <c r="T238" i="19"/>
  <c r="R246" i="19"/>
  <c r="U246" i="19" s="1"/>
  <c r="T246" i="19"/>
  <c r="R254" i="19"/>
  <c r="U254" i="19" s="1"/>
  <c r="T254" i="19"/>
  <c r="R262" i="19"/>
  <c r="U262" i="19" s="1"/>
  <c r="T262" i="19"/>
  <c r="R270" i="19"/>
  <c r="U270" i="19" s="1"/>
  <c r="T270" i="19"/>
  <c r="R278" i="19"/>
  <c r="U278" i="19" s="1"/>
  <c r="T278" i="19"/>
  <c r="R286" i="19"/>
  <c r="U286" i="19" s="1"/>
  <c r="T286" i="19"/>
  <c r="R294" i="19"/>
  <c r="U294" i="19" s="1"/>
  <c r="T294" i="19"/>
  <c r="R302" i="19"/>
  <c r="U302" i="19" s="1"/>
  <c r="T302" i="19"/>
  <c r="R310" i="19"/>
  <c r="U310" i="19" s="1"/>
  <c r="T310" i="19"/>
  <c r="R318" i="19"/>
  <c r="U318" i="19" s="1"/>
  <c r="T318" i="19"/>
  <c r="R22" i="19"/>
  <c r="U22" i="19" s="1"/>
  <c r="T22" i="19"/>
  <c r="R38" i="19"/>
  <c r="U38" i="19" s="1"/>
  <c r="T38" i="19"/>
  <c r="R46" i="19"/>
  <c r="U46" i="19" s="1"/>
  <c r="T46" i="19"/>
  <c r="T55" i="19"/>
  <c r="R55" i="19"/>
  <c r="U55" i="19" s="1"/>
  <c r="R16" i="19"/>
  <c r="U16" i="19" s="1"/>
  <c r="T16" i="19"/>
  <c r="R164" i="19"/>
  <c r="U164" i="19" s="1"/>
  <c r="T164" i="19"/>
  <c r="R190" i="19"/>
  <c r="U190" i="19" s="1"/>
  <c r="T190" i="19"/>
  <c r="R206" i="19"/>
  <c r="U206" i="19" s="1"/>
  <c r="T206" i="19"/>
  <c r="R226" i="19"/>
  <c r="U226" i="19" s="1"/>
  <c r="T226" i="19"/>
  <c r="R242" i="19"/>
  <c r="U242" i="19" s="1"/>
  <c r="T242" i="19"/>
  <c r="R258" i="19"/>
  <c r="U258" i="19" s="1"/>
  <c r="T258" i="19"/>
  <c r="R274" i="19"/>
  <c r="U274" i="19" s="1"/>
  <c r="T274" i="19"/>
  <c r="R290" i="19"/>
  <c r="U290" i="19" s="1"/>
  <c r="T290" i="19"/>
  <c r="R306" i="19"/>
  <c r="U306" i="19" s="1"/>
  <c r="T306" i="19"/>
  <c r="R66" i="19"/>
  <c r="U66" i="19" s="1"/>
  <c r="T66" i="19"/>
  <c r="R82" i="19"/>
  <c r="U82" i="19" s="1"/>
  <c r="T82" i="19"/>
  <c r="R98" i="19"/>
  <c r="U98" i="19" s="1"/>
  <c r="T98" i="19"/>
  <c r="R122" i="19"/>
  <c r="U122" i="19" s="1"/>
  <c r="T122" i="19"/>
  <c r="T142" i="19"/>
  <c r="R142" i="19"/>
  <c r="U142" i="19" s="1"/>
  <c r="R158" i="19"/>
  <c r="U158" i="19" s="1"/>
  <c r="T158" i="19"/>
  <c r="T324" i="19"/>
  <c r="R324" i="19"/>
  <c r="U324" i="19" s="1"/>
  <c r="R12" i="19"/>
  <c r="U12" i="19" s="1"/>
  <c r="T12" i="19"/>
  <c r="R28" i="19"/>
  <c r="U28" i="19" s="1"/>
  <c r="T28" i="19"/>
  <c r="R44" i="19"/>
  <c r="U44" i="19" s="1"/>
  <c r="T44" i="19"/>
  <c r="R61" i="19"/>
  <c r="U61" i="19" s="1"/>
  <c r="T61" i="19"/>
  <c r="R70" i="19"/>
  <c r="U70" i="19" s="1"/>
  <c r="T70" i="19"/>
  <c r="R78" i="19"/>
  <c r="U78" i="19" s="1"/>
  <c r="T78" i="19"/>
  <c r="R86" i="19"/>
  <c r="U86" i="19" s="1"/>
  <c r="T86" i="19"/>
  <c r="R94" i="19"/>
  <c r="U94" i="19" s="1"/>
  <c r="T94" i="19"/>
  <c r="R102" i="19"/>
  <c r="U102" i="19" s="1"/>
  <c r="T102" i="19"/>
  <c r="R110" i="19"/>
  <c r="U110" i="19" s="1"/>
  <c r="T110" i="19"/>
  <c r="R118" i="19"/>
  <c r="U118" i="19" s="1"/>
  <c r="T118" i="19"/>
  <c r="R126" i="19"/>
  <c r="U126" i="19" s="1"/>
  <c r="T126" i="19"/>
  <c r="R84" i="19"/>
  <c r="U84" i="19" s="1"/>
  <c r="T84" i="19"/>
  <c r="R100" i="19"/>
  <c r="U100" i="19" s="1"/>
  <c r="T100" i="19"/>
  <c r="R116" i="19"/>
  <c r="U116" i="19" s="1"/>
  <c r="T116" i="19"/>
  <c r="R72" i="19"/>
  <c r="U72" i="19" s="1"/>
  <c r="T72" i="19"/>
  <c r="R104" i="19"/>
  <c r="U104" i="19" s="1"/>
  <c r="T104" i="19"/>
  <c r="T138" i="19"/>
  <c r="R138" i="19"/>
  <c r="U138" i="19" s="1"/>
  <c r="T146" i="19"/>
  <c r="R146" i="19"/>
  <c r="U146" i="19" s="1"/>
  <c r="T154" i="19"/>
  <c r="R154" i="19"/>
  <c r="U154" i="19" s="1"/>
  <c r="R162" i="19"/>
  <c r="U162" i="19" s="1"/>
  <c r="T162" i="19"/>
  <c r="R170" i="19"/>
  <c r="U170" i="19" s="1"/>
  <c r="T170" i="19"/>
  <c r="T148" i="19"/>
  <c r="R148" i="19"/>
  <c r="U148" i="19" s="1"/>
  <c r="R8" i="19"/>
  <c r="U8" i="19" s="1"/>
  <c r="T8" i="19"/>
  <c r="R178" i="19"/>
  <c r="U178" i="19" s="1"/>
  <c r="T178" i="19"/>
  <c r="R194" i="19"/>
  <c r="U194" i="19" s="1"/>
  <c r="T194" i="19"/>
  <c r="R210" i="19"/>
  <c r="U210" i="19" s="1"/>
  <c r="T210" i="19"/>
  <c r="R96" i="19"/>
  <c r="U96" i="19" s="1"/>
  <c r="T96" i="19"/>
  <c r="R320" i="19"/>
  <c r="U320" i="19" s="1"/>
  <c r="T320" i="19"/>
  <c r="C269" i="42"/>
  <c r="C269" i="19" s="1"/>
  <c r="G269" i="19" s="1"/>
  <c r="T269" i="19" l="1"/>
  <c r="R269" i="19"/>
  <c r="U269" i="19" s="1"/>
  <c r="C68" i="42" l="1"/>
  <c r="C68" i="19" l="1"/>
  <c r="G68" i="19" s="1"/>
  <c r="B67" i="51"/>
  <c r="B7" i="51"/>
  <c r="E12" i="51" s="1"/>
  <c r="R68" i="19" l="1"/>
  <c r="U68" i="19" s="1"/>
  <c r="T68" i="19"/>
  <c r="B66" i="51"/>
  <c r="D60" i="51"/>
  <c r="D54" i="51"/>
  <c r="D48" i="51"/>
  <c r="D44" i="51"/>
  <c r="D40" i="51"/>
  <c r="D31" i="51"/>
  <c r="D27" i="51"/>
  <c r="D50" i="51"/>
  <c r="D42" i="51"/>
  <c r="D29" i="51"/>
  <c r="D49" i="51"/>
  <c r="D41" i="51"/>
  <c r="D61" i="51"/>
  <c r="D53" i="51"/>
  <c r="D47" i="51"/>
  <c r="D43" i="51"/>
  <c r="D39" i="51"/>
  <c r="D30" i="51"/>
  <c r="D26" i="51"/>
  <c r="D59" i="51"/>
  <c r="D46" i="51"/>
  <c r="D38" i="51"/>
  <c r="D55" i="51"/>
  <c r="D45" i="51"/>
  <c r="D32" i="51"/>
  <c r="D28" i="51"/>
  <c r="D13" i="51"/>
  <c r="D17" i="51"/>
  <c r="D24" i="51"/>
  <c r="D14" i="51"/>
  <c r="D18" i="51"/>
  <c r="D25" i="51"/>
  <c r="D15" i="51"/>
  <c r="D19" i="51"/>
  <c r="D12" i="51"/>
  <c r="D16" i="51"/>
  <c r="D20" i="51"/>
  <c r="D23" i="51"/>
  <c r="D11" i="51"/>
  <c r="D51" i="51" l="1"/>
  <c r="D33" i="51"/>
  <c r="D21" i="51"/>
  <c r="C281" i="42"/>
  <c r="AE217" i="42"/>
  <c r="AK217" i="19" s="1"/>
  <c r="Z217" i="42"/>
  <c r="AF217" i="19" s="1"/>
  <c r="C281" i="19" l="1"/>
  <c r="G281" i="19" s="1"/>
  <c r="C325" i="42"/>
  <c r="D34" i="51"/>
  <c r="T281" i="19" l="1"/>
  <c r="R281" i="19"/>
  <c r="U281" i="19" s="1"/>
  <c r="AL207" i="42"/>
  <c r="C3" i="13" l="1"/>
  <c r="I5" i="13"/>
  <c r="Q7" i="19" l="1"/>
  <c r="AR6" i="19"/>
  <c r="S6" i="19"/>
  <c r="AM6" i="42"/>
  <c r="B56" i="40" l="1"/>
  <c r="K14" i="49" l="1"/>
  <c r="K112" i="49"/>
  <c r="K114" i="49"/>
  <c r="K117" i="49"/>
  <c r="K119" i="49"/>
  <c r="K120" i="49"/>
  <c r="K121" i="49"/>
  <c r="K122" i="49"/>
  <c r="K124" i="49"/>
  <c r="K126" i="49"/>
  <c r="K127" i="49"/>
  <c r="K128" i="49"/>
  <c r="K129" i="49"/>
  <c r="K130" i="49"/>
  <c r="K131" i="49"/>
  <c r="K134" i="49"/>
  <c r="K135" i="49"/>
  <c r="K137" i="49"/>
  <c r="K144" i="49"/>
  <c r="K149" i="49"/>
  <c r="K150" i="49"/>
  <c r="K151" i="49"/>
  <c r="K154" i="49"/>
  <c r="K155" i="49"/>
  <c r="K156" i="49"/>
  <c r="K158" i="49"/>
  <c r="K196" i="49"/>
  <c r="K207" i="49"/>
  <c r="K208" i="49"/>
  <c r="K226" i="49"/>
  <c r="K230" i="49"/>
  <c r="K231" i="49"/>
  <c r="K283" i="49"/>
  <c r="K284" i="49"/>
  <c r="K285" i="49"/>
  <c r="K286" i="49"/>
  <c r="K287" i="49"/>
  <c r="K288" i="49"/>
  <c r="K289" i="49"/>
  <c r="K290" i="49"/>
  <c r="K291" i="49"/>
  <c r="K292" i="49"/>
  <c r="K304" i="49"/>
  <c r="K305" i="49"/>
  <c r="K314" i="49"/>
  <c r="K322" i="49"/>
  <c r="K7" i="49"/>
  <c r="K6" i="49"/>
  <c r="I5" i="49"/>
  <c r="A2" i="49"/>
  <c r="C324"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69" i="49"/>
  <c r="B169" i="49"/>
  <c r="A170" i="49"/>
  <c r="B170"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8" i="49"/>
  <c r="B218" i="49"/>
  <c r="A219" i="49"/>
  <c r="B219"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A242" i="49"/>
  <c r="B242" i="49"/>
  <c r="A243" i="49"/>
  <c r="B243" i="49"/>
  <c r="A244" i="49"/>
  <c r="B244" i="49"/>
  <c r="A245" i="49"/>
  <c r="B245" i="49"/>
  <c r="A246" i="49"/>
  <c r="B246" i="49"/>
  <c r="A247"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A314" i="49"/>
  <c r="B314" i="49"/>
  <c r="A315" i="49"/>
  <c r="B315" i="49"/>
  <c r="A316" i="49"/>
  <c r="B316" i="49"/>
  <c r="A317" i="49"/>
  <c r="B317" i="49"/>
  <c r="A318" i="49"/>
  <c r="B318" i="49"/>
  <c r="A319" i="49"/>
  <c r="B319" i="49"/>
  <c r="A320" i="49"/>
  <c r="B320" i="49"/>
  <c r="A321" i="49"/>
  <c r="B321" i="49"/>
  <c r="A322" i="49"/>
  <c r="B322" i="49"/>
  <c r="A323" i="49"/>
  <c r="B323" i="49"/>
  <c r="B6" i="49"/>
  <c r="A6" i="49"/>
  <c r="B324" i="49" l="1"/>
  <c r="B7" i="48"/>
  <c r="B9" i="48" l="1"/>
  <c r="F8" i="48"/>
  <c r="B8" i="48"/>
  <c r="C8" i="34"/>
  <c r="U6" i="19" l="1"/>
  <c r="C167" i="32"/>
  <c r="E167" i="32" s="1"/>
  <c r="C306" i="32"/>
  <c r="E306" i="32" s="1"/>
  <c r="C318" i="32"/>
  <c r="E318" i="32" s="1"/>
  <c r="C25" i="40" l="1"/>
  <c r="A2" i="25"/>
  <c r="H6" i="13"/>
  <c r="J5"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0" i="13"/>
  <c r="B170"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19" i="13"/>
  <c r="B219"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4" i="13"/>
  <c r="B244"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A315" i="13"/>
  <c r="B315" i="13"/>
  <c r="A316" i="13"/>
  <c r="B316" i="13"/>
  <c r="A317" i="13"/>
  <c r="B317" i="13"/>
  <c r="A318" i="13"/>
  <c r="B318" i="13"/>
  <c r="A319" i="13"/>
  <c r="B319" i="13"/>
  <c r="A320" i="13"/>
  <c r="B320" i="13"/>
  <c r="A321" i="13"/>
  <c r="B321" i="13"/>
  <c r="A322" i="13"/>
  <c r="B322" i="13"/>
  <c r="A323" i="13"/>
  <c r="B323" i="13"/>
  <c r="B6" i="13"/>
  <c r="A6" i="13"/>
  <c r="H8" i="13"/>
  <c r="A6" i="39"/>
  <c r="B6" i="39"/>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A314" i="39"/>
  <c r="B314" i="39"/>
  <c r="A315" i="39"/>
  <c r="B315" i="39"/>
  <c r="A316" i="39"/>
  <c r="B316" i="39"/>
  <c r="A317" i="39"/>
  <c r="B317" i="39"/>
  <c r="A318" i="39"/>
  <c r="B318" i="39"/>
  <c r="A319" i="39"/>
  <c r="B319" i="39"/>
  <c r="A320" i="39"/>
  <c r="B320" i="39"/>
  <c r="A321" i="39"/>
  <c r="B321" i="39"/>
  <c r="A322" i="39"/>
  <c r="B322" i="39"/>
  <c r="B5" i="39"/>
  <c r="A5" i="39"/>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314" i="12"/>
  <c r="B314" i="12"/>
  <c r="A315" i="12"/>
  <c r="B315" i="12"/>
  <c r="A316" i="12"/>
  <c r="B316" i="12"/>
  <c r="A317" i="12"/>
  <c r="B317" i="12"/>
  <c r="A318" i="12"/>
  <c r="B318" i="12"/>
  <c r="A319" i="12"/>
  <c r="B319" i="12"/>
  <c r="A320" i="12"/>
  <c r="B320" i="12"/>
  <c r="A321" i="12"/>
  <c r="B321" i="12"/>
  <c r="A322" i="12"/>
  <c r="B322" i="12"/>
  <c r="B5" i="12"/>
  <c r="A5" i="12"/>
  <c r="G5" i="11"/>
  <c r="K323" i="11"/>
  <c r="F323" i="11"/>
  <c r="E323" i="11"/>
  <c r="D323" i="11"/>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D161" i="34"/>
  <c r="D162" i="34"/>
  <c r="D163" i="34"/>
  <c r="D164" i="34"/>
  <c r="D165" i="34"/>
  <c r="D166" i="34"/>
  <c r="D167" i="34"/>
  <c r="D168" i="34"/>
  <c r="D169" i="34"/>
  <c r="D170" i="34"/>
  <c r="D171" i="34"/>
  <c r="D172" i="34"/>
  <c r="D173" i="34"/>
  <c r="D174" i="34"/>
  <c r="D175" i="34"/>
  <c r="D176" i="34"/>
  <c r="D177" i="34"/>
  <c r="D178" i="34"/>
  <c r="D179" i="34"/>
  <c r="D180" i="34"/>
  <c r="D181" i="34"/>
  <c r="D182" i="34"/>
  <c r="D183" i="34"/>
  <c r="D184" i="34"/>
  <c r="D185" i="34"/>
  <c r="D186" i="34"/>
  <c r="D187" i="34"/>
  <c r="D188" i="34"/>
  <c r="D189" i="34"/>
  <c r="D190" i="34"/>
  <c r="D191" i="34"/>
  <c r="D192" i="34"/>
  <c r="D193" i="34"/>
  <c r="D194" i="34"/>
  <c r="D195" i="34"/>
  <c r="D196" i="34"/>
  <c r="D197" i="34"/>
  <c r="D198" i="34"/>
  <c r="D199" i="34"/>
  <c r="D200" i="34"/>
  <c r="D201" i="34"/>
  <c r="D202" i="34"/>
  <c r="D203" i="34"/>
  <c r="D204" i="34"/>
  <c r="D205" i="34"/>
  <c r="D206" i="34"/>
  <c r="D207" i="34"/>
  <c r="D208" i="34"/>
  <c r="D209" i="34"/>
  <c r="D210" i="34"/>
  <c r="D211" i="34"/>
  <c r="D212" i="34"/>
  <c r="D213" i="34"/>
  <c r="D214" i="34"/>
  <c r="D215" i="34"/>
  <c r="D216" i="34"/>
  <c r="D217" i="34"/>
  <c r="D218" i="34"/>
  <c r="D219" i="34"/>
  <c r="D220" i="34"/>
  <c r="D221" i="34"/>
  <c r="D222" i="34"/>
  <c r="D223" i="34"/>
  <c r="D224" i="34"/>
  <c r="D225" i="34"/>
  <c r="D226" i="34"/>
  <c r="D227" i="34"/>
  <c r="D228" i="34"/>
  <c r="D229" i="34"/>
  <c r="D230" i="34"/>
  <c r="D231" i="34"/>
  <c r="D232" i="34"/>
  <c r="D233" i="34"/>
  <c r="D234" i="34"/>
  <c r="D235" i="34"/>
  <c r="D236" i="34"/>
  <c r="D237" i="34"/>
  <c r="D238" i="34"/>
  <c r="D239" i="34"/>
  <c r="D240" i="34"/>
  <c r="D241" i="34"/>
  <c r="D242" i="34"/>
  <c r="D243" i="34"/>
  <c r="D244" i="34"/>
  <c r="D245" i="34"/>
  <c r="D246" i="34"/>
  <c r="D247" i="34"/>
  <c r="D248" i="34"/>
  <c r="D249" i="34"/>
  <c r="D250" i="34"/>
  <c r="D251" i="34"/>
  <c r="D252" i="34"/>
  <c r="D253" i="34"/>
  <c r="D254" i="34"/>
  <c r="D255" i="34"/>
  <c r="D256" i="34"/>
  <c r="D257" i="34"/>
  <c r="D258" i="34"/>
  <c r="D259" i="34"/>
  <c r="D260" i="34"/>
  <c r="D261" i="34"/>
  <c r="D262" i="34"/>
  <c r="D263" i="34"/>
  <c r="D264" i="34"/>
  <c r="D265" i="34"/>
  <c r="D266" i="34"/>
  <c r="D267" i="34"/>
  <c r="D268" i="34"/>
  <c r="D269" i="34"/>
  <c r="D270" i="34"/>
  <c r="D271" i="34"/>
  <c r="D272" i="34"/>
  <c r="D273" i="34"/>
  <c r="D274" i="34"/>
  <c r="D275" i="34"/>
  <c r="D276" i="34"/>
  <c r="D277" i="34"/>
  <c r="D278" i="34"/>
  <c r="D279" i="34"/>
  <c r="D280" i="34"/>
  <c r="D281" i="34"/>
  <c r="D282" i="34"/>
  <c r="D283" i="34"/>
  <c r="D284" i="34"/>
  <c r="D285" i="34"/>
  <c r="D286" i="34"/>
  <c r="D287" i="34"/>
  <c r="D288" i="34"/>
  <c r="D289" i="34"/>
  <c r="D290" i="34"/>
  <c r="D291" i="34"/>
  <c r="D292" i="34"/>
  <c r="D293" i="34"/>
  <c r="D294" i="34"/>
  <c r="D295" i="34"/>
  <c r="D296" i="34"/>
  <c r="D297" i="34"/>
  <c r="D298" i="34"/>
  <c r="D299" i="34"/>
  <c r="D300" i="34"/>
  <c r="D301" i="34"/>
  <c r="D302" i="34"/>
  <c r="D303" i="34"/>
  <c r="D304" i="34"/>
  <c r="D305" i="34"/>
  <c r="D306" i="34"/>
  <c r="D307" i="34"/>
  <c r="D308" i="34"/>
  <c r="D309" i="34"/>
  <c r="D310" i="34"/>
  <c r="D311" i="34"/>
  <c r="D312" i="34"/>
  <c r="D313" i="34"/>
  <c r="D314" i="34"/>
  <c r="D315" i="34"/>
  <c r="D316" i="34"/>
  <c r="D317" i="34"/>
  <c r="D318" i="34"/>
  <c r="D319" i="34"/>
  <c r="D320" i="34"/>
  <c r="D321" i="34"/>
  <c r="D322" i="34"/>
  <c r="D323" i="34"/>
  <c r="D324" i="34"/>
  <c r="D325" i="34"/>
  <c r="D326" i="34"/>
  <c r="D327" i="34"/>
  <c r="D328" i="34"/>
  <c r="D329" i="34"/>
  <c r="D330" i="34"/>
  <c r="D331" i="34"/>
  <c r="D332" i="34"/>
  <c r="D333" i="34"/>
  <c r="D16" i="34"/>
  <c r="A17" i="34"/>
  <c r="B17" i="34"/>
  <c r="A18" i="34"/>
  <c r="B18" i="34"/>
  <c r="A19" i="34"/>
  <c r="B19" i="34"/>
  <c r="A20" i="34"/>
  <c r="B20" i="34"/>
  <c r="A21" i="34"/>
  <c r="B21" i="34"/>
  <c r="A22" i="34"/>
  <c r="B22" i="34"/>
  <c r="A23" i="34"/>
  <c r="B23" i="34"/>
  <c r="A24" i="34"/>
  <c r="B24" i="34"/>
  <c r="A25" i="34"/>
  <c r="B25" i="34"/>
  <c r="A26" i="34"/>
  <c r="B26" i="34"/>
  <c r="A27" i="34"/>
  <c r="B27" i="34"/>
  <c r="A28" i="34"/>
  <c r="B28" i="34"/>
  <c r="A29" i="34"/>
  <c r="B29" i="34"/>
  <c r="A30" i="34"/>
  <c r="B30" i="34"/>
  <c r="A31" i="34"/>
  <c r="B31" i="34"/>
  <c r="A32" i="34"/>
  <c r="B32" i="34"/>
  <c r="A33" i="34"/>
  <c r="B33" i="34"/>
  <c r="A34" i="34"/>
  <c r="B34" i="34"/>
  <c r="A35" i="34"/>
  <c r="B35" i="34"/>
  <c r="A36" i="34"/>
  <c r="B36" i="34"/>
  <c r="A37" i="34"/>
  <c r="B37" i="34"/>
  <c r="A38" i="34"/>
  <c r="B38" i="34"/>
  <c r="A39" i="34"/>
  <c r="B39" i="34"/>
  <c r="A40" i="34"/>
  <c r="B40" i="34"/>
  <c r="A41" i="34"/>
  <c r="B41" i="34"/>
  <c r="A42" i="34"/>
  <c r="B42" i="34"/>
  <c r="A43" i="34"/>
  <c r="B43" i="34"/>
  <c r="A44" i="34"/>
  <c r="B44" i="34"/>
  <c r="A45" i="34"/>
  <c r="B45" i="34"/>
  <c r="A46" i="34"/>
  <c r="B46" i="34"/>
  <c r="A47" i="34"/>
  <c r="B47" i="34"/>
  <c r="A48" i="34"/>
  <c r="B48" i="34"/>
  <c r="A49" i="34"/>
  <c r="B49" i="34"/>
  <c r="A50" i="34"/>
  <c r="B50" i="34"/>
  <c r="A51" i="34"/>
  <c r="B51" i="34"/>
  <c r="A52" i="34"/>
  <c r="B52" i="34"/>
  <c r="A53" i="34"/>
  <c r="B53" i="34"/>
  <c r="A54" i="34"/>
  <c r="B54" i="34"/>
  <c r="A55" i="34"/>
  <c r="B55" i="34"/>
  <c r="A56" i="34"/>
  <c r="B56" i="34"/>
  <c r="A57" i="34"/>
  <c r="B57" i="34"/>
  <c r="A58" i="34"/>
  <c r="B58" i="34"/>
  <c r="A59" i="34"/>
  <c r="B59" i="34"/>
  <c r="A60" i="34"/>
  <c r="B60" i="34"/>
  <c r="A61" i="34"/>
  <c r="B61" i="34"/>
  <c r="A62" i="34"/>
  <c r="B62" i="34"/>
  <c r="A63" i="34"/>
  <c r="B63" i="34"/>
  <c r="A64" i="34"/>
  <c r="B64" i="34"/>
  <c r="A65" i="34"/>
  <c r="B65" i="34"/>
  <c r="A66" i="34"/>
  <c r="B66" i="34"/>
  <c r="A67" i="34"/>
  <c r="B67" i="34"/>
  <c r="A68" i="34"/>
  <c r="B68" i="34"/>
  <c r="A69" i="34"/>
  <c r="B69" i="34"/>
  <c r="A70" i="34"/>
  <c r="B70" i="34"/>
  <c r="A71" i="34"/>
  <c r="B71" i="34"/>
  <c r="A72" i="34"/>
  <c r="B72" i="34"/>
  <c r="A73" i="34"/>
  <c r="B73" i="34"/>
  <c r="A74" i="34"/>
  <c r="B74" i="34"/>
  <c r="A75" i="34"/>
  <c r="B75" i="34"/>
  <c r="A76" i="34"/>
  <c r="B76" i="34"/>
  <c r="A77" i="34"/>
  <c r="B77" i="34"/>
  <c r="A78" i="34"/>
  <c r="B78" i="34"/>
  <c r="A79" i="34"/>
  <c r="B79" i="34"/>
  <c r="A80" i="34"/>
  <c r="B80" i="34"/>
  <c r="A81" i="34"/>
  <c r="B81" i="34"/>
  <c r="A82" i="34"/>
  <c r="B82" i="34"/>
  <c r="A83" i="34"/>
  <c r="B83" i="34"/>
  <c r="A84" i="34"/>
  <c r="B84" i="34"/>
  <c r="A85" i="34"/>
  <c r="B85" i="34"/>
  <c r="A86" i="34"/>
  <c r="B86" i="34"/>
  <c r="A87" i="34"/>
  <c r="B87" i="34"/>
  <c r="A88" i="34"/>
  <c r="B88" i="34"/>
  <c r="A89" i="34"/>
  <c r="B89" i="34"/>
  <c r="A90" i="34"/>
  <c r="B90" i="34"/>
  <c r="A91" i="34"/>
  <c r="B91" i="34"/>
  <c r="A92" i="34"/>
  <c r="B92" i="34"/>
  <c r="A93" i="34"/>
  <c r="B93" i="34"/>
  <c r="A94" i="34"/>
  <c r="B94" i="34"/>
  <c r="A95" i="34"/>
  <c r="B95" i="34"/>
  <c r="A96" i="34"/>
  <c r="B96" i="34"/>
  <c r="A97" i="34"/>
  <c r="B97" i="34"/>
  <c r="A98" i="34"/>
  <c r="B98" i="34"/>
  <c r="A99" i="34"/>
  <c r="B99" i="34"/>
  <c r="A100" i="34"/>
  <c r="B100" i="34"/>
  <c r="A101" i="34"/>
  <c r="B101" i="34"/>
  <c r="A102" i="34"/>
  <c r="B102" i="34"/>
  <c r="A103" i="34"/>
  <c r="B103" i="34"/>
  <c r="A104" i="34"/>
  <c r="B104" i="34"/>
  <c r="A105" i="34"/>
  <c r="B105" i="34"/>
  <c r="A106" i="34"/>
  <c r="B106" i="34"/>
  <c r="A107" i="34"/>
  <c r="B107" i="34"/>
  <c r="A108" i="34"/>
  <c r="B108" i="34"/>
  <c r="A109" i="34"/>
  <c r="B109" i="34"/>
  <c r="A110" i="34"/>
  <c r="B110" i="34"/>
  <c r="A111" i="34"/>
  <c r="B111" i="34"/>
  <c r="A112" i="34"/>
  <c r="B112" i="34"/>
  <c r="A113" i="34"/>
  <c r="B113" i="34"/>
  <c r="A114" i="34"/>
  <c r="B114" i="34"/>
  <c r="A115" i="34"/>
  <c r="B115" i="34"/>
  <c r="A116" i="34"/>
  <c r="B116" i="34"/>
  <c r="A117" i="34"/>
  <c r="B117" i="34"/>
  <c r="A118" i="34"/>
  <c r="B118" i="34"/>
  <c r="A119" i="34"/>
  <c r="B119" i="34"/>
  <c r="A120" i="34"/>
  <c r="B120" i="34"/>
  <c r="A121" i="34"/>
  <c r="B121" i="34"/>
  <c r="A122" i="34"/>
  <c r="B122" i="34"/>
  <c r="A123" i="34"/>
  <c r="B123" i="34"/>
  <c r="A124" i="34"/>
  <c r="B124" i="34"/>
  <c r="A125" i="34"/>
  <c r="B125" i="34"/>
  <c r="A126" i="34"/>
  <c r="B126" i="34"/>
  <c r="A127" i="34"/>
  <c r="B127" i="34"/>
  <c r="A128" i="34"/>
  <c r="B128" i="34"/>
  <c r="A129" i="34"/>
  <c r="B129" i="34"/>
  <c r="A130" i="34"/>
  <c r="B130" i="34"/>
  <c r="A131" i="34"/>
  <c r="B131" i="34"/>
  <c r="A132" i="34"/>
  <c r="B132" i="34"/>
  <c r="A133" i="34"/>
  <c r="B133" i="34"/>
  <c r="A134" i="34"/>
  <c r="B134" i="34"/>
  <c r="A135" i="34"/>
  <c r="B135" i="34"/>
  <c r="A136" i="34"/>
  <c r="B136" i="34"/>
  <c r="A137" i="34"/>
  <c r="B137" i="34"/>
  <c r="A138" i="34"/>
  <c r="B138" i="34"/>
  <c r="A139" i="34"/>
  <c r="B139" i="34"/>
  <c r="A140" i="34"/>
  <c r="B140" i="34"/>
  <c r="A141" i="34"/>
  <c r="B141" i="34"/>
  <c r="A142" i="34"/>
  <c r="B142" i="34"/>
  <c r="A143" i="34"/>
  <c r="B143" i="34"/>
  <c r="A144" i="34"/>
  <c r="B144" i="34"/>
  <c r="A145" i="34"/>
  <c r="B145" i="34"/>
  <c r="A146" i="34"/>
  <c r="B146" i="34"/>
  <c r="A147" i="34"/>
  <c r="B147" i="34"/>
  <c r="A148" i="34"/>
  <c r="B148" i="34"/>
  <c r="A149" i="34"/>
  <c r="B149" i="34"/>
  <c r="A150" i="34"/>
  <c r="B150" i="34"/>
  <c r="A151" i="34"/>
  <c r="B151" i="34"/>
  <c r="A152" i="34"/>
  <c r="B152" i="34"/>
  <c r="A153" i="34"/>
  <c r="B153" i="34"/>
  <c r="A154" i="34"/>
  <c r="B154" i="34"/>
  <c r="A155" i="34"/>
  <c r="B155" i="34"/>
  <c r="A156" i="34"/>
  <c r="B156" i="34"/>
  <c r="A157" i="34"/>
  <c r="B157" i="34"/>
  <c r="A158" i="34"/>
  <c r="B158" i="34"/>
  <c r="A159" i="34"/>
  <c r="B159" i="34"/>
  <c r="A160" i="34"/>
  <c r="B160" i="34"/>
  <c r="A161" i="34"/>
  <c r="B161" i="34"/>
  <c r="A162" i="34"/>
  <c r="B162" i="34"/>
  <c r="A163" i="34"/>
  <c r="B163" i="34"/>
  <c r="A164" i="34"/>
  <c r="B164" i="34"/>
  <c r="A165" i="34"/>
  <c r="B165" i="34"/>
  <c r="A166" i="34"/>
  <c r="B166" i="34"/>
  <c r="A167" i="34"/>
  <c r="B167" i="34"/>
  <c r="A168" i="34"/>
  <c r="B168" i="34"/>
  <c r="A169" i="34"/>
  <c r="B169" i="34"/>
  <c r="A170" i="34"/>
  <c r="B170" i="34"/>
  <c r="A171" i="34"/>
  <c r="B171" i="34"/>
  <c r="A172" i="34"/>
  <c r="B172" i="34"/>
  <c r="A173" i="34"/>
  <c r="B173" i="34"/>
  <c r="A174" i="34"/>
  <c r="B174" i="34"/>
  <c r="A175" i="34"/>
  <c r="B175" i="34"/>
  <c r="A176" i="34"/>
  <c r="B176" i="34"/>
  <c r="A177" i="34"/>
  <c r="B177" i="34"/>
  <c r="A178" i="34"/>
  <c r="B178" i="34"/>
  <c r="A179" i="34"/>
  <c r="B179" i="34"/>
  <c r="A180" i="34"/>
  <c r="B180" i="34"/>
  <c r="A181" i="34"/>
  <c r="B181" i="34"/>
  <c r="A182" i="34"/>
  <c r="B182" i="34"/>
  <c r="A183" i="34"/>
  <c r="B183" i="34"/>
  <c r="A184" i="34"/>
  <c r="B184" i="34"/>
  <c r="A185" i="34"/>
  <c r="B185" i="34"/>
  <c r="A186" i="34"/>
  <c r="B186" i="34"/>
  <c r="A187" i="34"/>
  <c r="B187" i="34"/>
  <c r="A188" i="34"/>
  <c r="B188" i="34"/>
  <c r="A189" i="34"/>
  <c r="B189" i="34"/>
  <c r="A190" i="34"/>
  <c r="B190" i="34"/>
  <c r="A191" i="34"/>
  <c r="B191" i="34"/>
  <c r="A192" i="34"/>
  <c r="B192" i="34"/>
  <c r="A193" i="34"/>
  <c r="B193" i="34"/>
  <c r="A194" i="34"/>
  <c r="B194" i="34"/>
  <c r="A195" i="34"/>
  <c r="B195" i="34"/>
  <c r="A196" i="34"/>
  <c r="B196" i="34"/>
  <c r="A197" i="34"/>
  <c r="B197" i="34"/>
  <c r="A198" i="34"/>
  <c r="B198" i="34"/>
  <c r="A199" i="34"/>
  <c r="B199" i="34"/>
  <c r="A200" i="34"/>
  <c r="B200" i="34"/>
  <c r="A201" i="34"/>
  <c r="B201" i="34"/>
  <c r="A202" i="34"/>
  <c r="B202" i="34"/>
  <c r="A203" i="34"/>
  <c r="B203" i="34"/>
  <c r="A204" i="34"/>
  <c r="B204" i="34"/>
  <c r="A205" i="34"/>
  <c r="B205" i="34"/>
  <c r="A206" i="34"/>
  <c r="B206" i="34"/>
  <c r="A207" i="34"/>
  <c r="B207" i="34"/>
  <c r="A208" i="34"/>
  <c r="B208" i="34"/>
  <c r="A209" i="34"/>
  <c r="B209" i="34"/>
  <c r="A210" i="34"/>
  <c r="B210" i="34"/>
  <c r="A211" i="34"/>
  <c r="B211" i="34"/>
  <c r="A212" i="34"/>
  <c r="B212" i="34"/>
  <c r="A213" i="34"/>
  <c r="B213" i="34"/>
  <c r="A214" i="34"/>
  <c r="B214" i="34"/>
  <c r="A215" i="34"/>
  <c r="B215" i="34"/>
  <c r="A216" i="34"/>
  <c r="B216" i="34"/>
  <c r="A217" i="34"/>
  <c r="B217" i="34"/>
  <c r="A218" i="34"/>
  <c r="B218" i="34"/>
  <c r="A219" i="34"/>
  <c r="B219" i="34"/>
  <c r="A220" i="34"/>
  <c r="B220" i="34"/>
  <c r="A221" i="34"/>
  <c r="B221" i="34"/>
  <c r="A222" i="34"/>
  <c r="B222" i="34"/>
  <c r="A223" i="34"/>
  <c r="B223" i="34"/>
  <c r="A224" i="34"/>
  <c r="B224" i="34"/>
  <c r="A225" i="34"/>
  <c r="B225" i="34"/>
  <c r="A226" i="34"/>
  <c r="B226" i="34"/>
  <c r="A227" i="34"/>
  <c r="B227" i="34"/>
  <c r="A228" i="34"/>
  <c r="B228" i="34"/>
  <c r="A229" i="34"/>
  <c r="B229" i="34"/>
  <c r="A230" i="34"/>
  <c r="B230" i="34"/>
  <c r="A231" i="34"/>
  <c r="B231" i="34"/>
  <c r="A232" i="34"/>
  <c r="B232" i="34"/>
  <c r="A233" i="34"/>
  <c r="B233" i="34"/>
  <c r="A234" i="34"/>
  <c r="B234" i="34"/>
  <c r="A235" i="34"/>
  <c r="B235" i="34"/>
  <c r="A236" i="34"/>
  <c r="B236" i="34"/>
  <c r="A237" i="34"/>
  <c r="B237" i="34"/>
  <c r="A238" i="34"/>
  <c r="B238" i="34"/>
  <c r="A239" i="34"/>
  <c r="B239" i="34"/>
  <c r="A240" i="34"/>
  <c r="B240" i="34"/>
  <c r="A241" i="34"/>
  <c r="B241" i="34"/>
  <c r="A242" i="34"/>
  <c r="B242" i="34"/>
  <c r="A243" i="34"/>
  <c r="B243" i="34"/>
  <c r="A244" i="34"/>
  <c r="B244" i="34"/>
  <c r="A245" i="34"/>
  <c r="B245" i="34"/>
  <c r="A246" i="34"/>
  <c r="B246" i="34"/>
  <c r="A247" i="34"/>
  <c r="B247" i="34"/>
  <c r="A248" i="34"/>
  <c r="B248" i="34"/>
  <c r="A249" i="34"/>
  <c r="B249" i="34"/>
  <c r="A250" i="34"/>
  <c r="B250" i="34"/>
  <c r="A251" i="34"/>
  <c r="B251" i="34"/>
  <c r="A252" i="34"/>
  <c r="B252" i="34"/>
  <c r="A253" i="34"/>
  <c r="B253" i="34"/>
  <c r="A254" i="34"/>
  <c r="B254" i="34"/>
  <c r="A255" i="34"/>
  <c r="B255" i="34"/>
  <c r="A256" i="34"/>
  <c r="B256" i="34"/>
  <c r="A257" i="34"/>
  <c r="B257" i="34"/>
  <c r="A258" i="34"/>
  <c r="B258" i="34"/>
  <c r="A259" i="34"/>
  <c r="B259" i="34"/>
  <c r="A260" i="34"/>
  <c r="B260" i="34"/>
  <c r="A261" i="34"/>
  <c r="B261" i="34"/>
  <c r="A262" i="34"/>
  <c r="B262" i="34"/>
  <c r="A263" i="34"/>
  <c r="B263" i="34"/>
  <c r="A264" i="34"/>
  <c r="B264" i="34"/>
  <c r="A265" i="34"/>
  <c r="B265" i="34"/>
  <c r="A266" i="34"/>
  <c r="B266" i="34"/>
  <c r="A267" i="34"/>
  <c r="B267" i="34"/>
  <c r="A268" i="34"/>
  <c r="B268" i="34"/>
  <c r="A269" i="34"/>
  <c r="B269" i="34"/>
  <c r="A270" i="34"/>
  <c r="B270" i="34"/>
  <c r="A271" i="34"/>
  <c r="B271" i="34"/>
  <c r="A272" i="34"/>
  <c r="B272" i="34"/>
  <c r="A273" i="34"/>
  <c r="B273" i="34"/>
  <c r="A274" i="34"/>
  <c r="B274" i="34"/>
  <c r="A275" i="34"/>
  <c r="B275" i="34"/>
  <c r="A276" i="34"/>
  <c r="B276" i="34"/>
  <c r="A277" i="34"/>
  <c r="B277" i="34"/>
  <c r="A278" i="34"/>
  <c r="B278" i="34"/>
  <c r="A279" i="34"/>
  <c r="B279" i="34"/>
  <c r="A280" i="34"/>
  <c r="B280" i="34"/>
  <c r="A281" i="34"/>
  <c r="B281" i="34"/>
  <c r="A282" i="34"/>
  <c r="B282" i="34"/>
  <c r="A283" i="34"/>
  <c r="B283" i="34"/>
  <c r="A284" i="34"/>
  <c r="B284" i="34"/>
  <c r="A285" i="34"/>
  <c r="B285" i="34"/>
  <c r="A286" i="34"/>
  <c r="B286" i="34"/>
  <c r="A287" i="34"/>
  <c r="B287" i="34"/>
  <c r="A288" i="34"/>
  <c r="B288" i="34"/>
  <c r="A289" i="34"/>
  <c r="B289" i="34"/>
  <c r="A290" i="34"/>
  <c r="B290" i="34"/>
  <c r="A291" i="34"/>
  <c r="B291" i="34"/>
  <c r="A292" i="34"/>
  <c r="B292" i="34"/>
  <c r="A293" i="34"/>
  <c r="B293" i="34"/>
  <c r="A294" i="34"/>
  <c r="B294" i="34"/>
  <c r="A295" i="34"/>
  <c r="B295" i="34"/>
  <c r="A296" i="34"/>
  <c r="B296" i="34"/>
  <c r="A297" i="34"/>
  <c r="B297" i="34"/>
  <c r="A298" i="34"/>
  <c r="B298" i="34"/>
  <c r="A299" i="34"/>
  <c r="B299" i="34"/>
  <c r="A300" i="34"/>
  <c r="B300" i="34"/>
  <c r="A301" i="34"/>
  <c r="B301" i="34"/>
  <c r="A302" i="34"/>
  <c r="B302" i="34"/>
  <c r="A303" i="34"/>
  <c r="B303" i="34"/>
  <c r="A304" i="34"/>
  <c r="B304" i="34"/>
  <c r="A305" i="34"/>
  <c r="B305" i="34"/>
  <c r="A306" i="34"/>
  <c r="B306" i="34"/>
  <c r="A307" i="34"/>
  <c r="B307" i="34"/>
  <c r="A308" i="34"/>
  <c r="B308" i="34"/>
  <c r="A309" i="34"/>
  <c r="B309" i="34"/>
  <c r="A310" i="34"/>
  <c r="B310" i="34"/>
  <c r="A311" i="34"/>
  <c r="B311" i="34"/>
  <c r="A312" i="34"/>
  <c r="B312" i="34"/>
  <c r="A313" i="34"/>
  <c r="B313" i="34"/>
  <c r="A314" i="34"/>
  <c r="B314" i="34"/>
  <c r="A315" i="34"/>
  <c r="B315" i="34"/>
  <c r="A316" i="34"/>
  <c r="B316" i="34"/>
  <c r="A317" i="34"/>
  <c r="B317" i="34"/>
  <c r="A318" i="34"/>
  <c r="B318" i="34"/>
  <c r="A319" i="34"/>
  <c r="B319" i="34"/>
  <c r="A320" i="34"/>
  <c r="B320" i="34"/>
  <c r="A321" i="34"/>
  <c r="B321" i="34"/>
  <c r="A322" i="34"/>
  <c r="B322" i="34"/>
  <c r="A323" i="34"/>
  <c r="B323" i="34"/>
  <c r="A324" i="34"/>
  <c r="B324" i="34"/>
  <c r="A325" i="34"/>
  <c r="B325" i="34"/>
  <c r="A326" i="34"/>
  <c r="B326" i="34"/>
  <c r="A327" i="34"/>
  <c r="B327" i="34"/>
  <c r="A328" i="34"/>
  <c r="B328" i="34"/>
  <c r="A329" i="34"/>
  <c r="B329" i="34"/>
  <c r="A330" i="34"/>
  <c r="B330" i="34"/>
  <c r="A331" i="34"/>
  <c r="B331" i="34"/>
  <c r="A332" i="34"/>
  <c r="B332" i="34"/>
  <c r="A333" i="34"/>
  <c r="B333" i="34"/>
  <c r="B16" i="34"/>
  <c r="A16" i="34"/>
  <c r="G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302" i="37"/>
  <c r="G303" i="37"/>
  <c r="G304" i="37"/>
  <c r="G305" i="37"/>
  <c r="G306" i="37"/>
  <c r="G307" i="37"/>
  <c r="G308" i="37"/>
  <c r="G309" i="37"/>
  <c r="G310" i="37"/>
  <c r="G311" i="37"/>
  <c r="G312" i="37"/>
  <c r="G313" i="37"/>
  <c r="G314" i="37"/>
  <c r="G315" i="37"/>
  <c r="G316" i="37"/>
  <c r="G317" i="37"/>
  <c r="G318" i="37"/>
  <c r="G319" i="37"/>
  <c r="G320" i="37"/>
  <c r="G321" i="37"/>
  <c r="G322" i="37"/>
  <c r="G9" i="37"/>
  <c r="G10" i="37"/>
  <c r="G6" i="37"/>
  <c r="G7" i="37"/>
  <c r="G8" i="37"/>
  <c r="G5" i="37"/>
  <c r="C6" i="37"/>
  <c r="C7" i="37"/>
  <c r="C8" i="37"/>
  <c r="C9" i="37"/>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68" i="37"/>
  <c r="C69" i="37"/>
  <c r="C70" i="37"/>
  <c r="C71" i="37"/>
  <c r="C72" i="37"/>
  <c r="C73" i="37"/>
  <c r="C74" i="37"/>
  <c r="C75" i="37"/>
  <c r="C76" i="37"/>
  <c r="C77" i="37"/>
  <c r="C78" i="37"/>
  <c r="C79" i="37"/>
  <c r="C80" i="37"/>
  <c r="C81" i="37"/>
  <c r="C82" i="37"/>
  <c r="C83" i="37"/>
  <c r="C84" i="37"/>
  <c r="C85" i="37"/>
  <c r="C86" i="37"/>
  <c r="C87" i="37"/>
  <c r="C88" i="37"/>
  <c r="C89" i="37"/>
  <c r="C90" i="37"/>
  <c r="C91" i="37"/>
  <c r="C92" i="37"/>
  <c r="C93" i="37"/>
  <c r="C94" i="37"/>
  <c r="C95" i="37"/>
  <c r="C96" i="37"/>
  <c r="C97" i="37"/>
  <c r="C98" i="37"/>
  <c r="C99" i="37"/>
  <c r="C100" i="37"/>
  <c r="C101" i="37"/>
  <c r="C102" i="37"/>
  <c r="C103" i="37"/>
  <c r="C104" i="37"/>
  <c r="C105" i="37"/>
  <c r="C106" i="37"/>
  <c r="C107" i="37"/>
  <c r="C108" i="37"/>
  <c r="C109" i="37"/>
  <c r="C110" i="37"/>
  <c r="C111" i="37"/>
  <c r="C112" i="37"/>
  <c r="C113" i="37"/>
  <c r="C114" i="37"/>
  <c r="C115" i="37"/>
  <c r="C116" i="37"/>
  <c r="C117" i="37"/>
  <c r="C118" i="37"/>
  <c r="C119" i="37"/>
  <c r="C120" i="37"/>
  <c r="C121" i="37"/>
  <c r="C122" i="37"/>
  <c r="C123" i="37"/>
  <c r="C124" i="37"/>
  <c r="C125" i="37"/>
  <c r="C126" i="37"/>
  <c r="C127" i="37"/>
  <c r="C128" i="37"/>
  <c r="C129" i="37"/>
  <c r="C130" i="37"/>
  <c r="C131" i="37"/>
  <c r="C132" i="37"/>
  <c r="C133" i="37"/>
  <c r="C134" i="37"/>
  <c r="C135" i="37"/>
  <c r="C136" i="37"/>
  <c r="C137" i="37"/>
  <c r="C138" i="37"/>
  <c r="C139" i="37"/>
  <c r="C140" i="37"/>
  <c r="C141" i="37"/>
  <c r="C142" i="37"/>
  <c r="C143" i="37"/>
  <c r="C144" i="37"/>
  <c r="C145" i="37"/>
  <c r="C146" i="37"/>
  <c r="C147" i="37"/>
  <c r="C148" i="37"/>
  <c r="C149" i="37"/>
  <c r="C150" i="37"/>
  <c r="C151" i="37"/>
  <c r="C152" i="37"/>
  <c r="C153" i="37"/>
  <c r="C154" i="37"/>
  <c r="C155" i="37"/>
  <c r="C156" i="37"/>
  <c r="C157" i="37"/>
  <c r="C158" i="37"/>
  <c r="C159" i="37"/>
  <c r="C160" i="37"/>
  <c r="C161" i="37"/>
  <c r="C162" i="37"/>
  <c r="C163" i="37"/>
  <c r="C164" i="37"/>
  <c r="C165" i="37"/>
  <c r="C166" i="37"/>
  <c r="C167" i="37"/>
  <c r="C168" i="37"/>
  <c r="C169" i="37"/>
  <c r="C170" i="37"/>
  <c r="C171" i="37"/>
  <c r="C172" i="37"/>
  <c r="C173" i="37"/>
  <c r="C174" i="37"/>
  <c r="C175" i="37"/>
  <c r="C176" i="37"/>
  <c r="C177" i="37"/>
  <c r="C178" i="37"/>
  <c r="C179" i="37"/>
  <c r="C180" i="37"/>
  <c r="C181" i="37"/>
  <c r="C182" i="37"/>
  <c r="C183" i="37"/>
  <c r="C184" i="37"/>
  <c r="C185" i="37"/>
  <c r="C186" i="37"/>
  <c r="C187" i="37"/>
  <c r="C188" i="37"/>
  <c r="C189" i="37"/>
  <c r="C190" i="37"/>
  <c r="C191" i="37"/>
  <c r="C192" i="37"/>
  <c r="C193" i="37"/>
  <c r="C194" i="37"/>
  <c r="C195" i="37"/>
  <c r="C196" i="37"/>
  <c r="C197" i="37"/>
  <c r="C198" i="37"/>
  <c r="C199" i="37"/>
  <c r="C200" i="37"/>
  <c r="C201" i="37"/>
  <c r="C202" i="37"/>
  <c r="C203" i="37"/>
  <c r="C204" i="37"/>
  <c r="C205" i="37"/>
  <c r="C206" i="37"/>
  <c r="C207" i="37"/>
  <c r="C208" i="37"/>
  <c r="C209" i="37"/>
  <c r="C210" i="37"/>
  <c r="C211" i="37"/>
  <c r="C212" i="37"/>
  <c r="C213" i="37"/>
  <c r="C214" i="37"/>
  <c r="C215" i="37"/>
  <c r="C216" i="37"/>
  <c r="C217" i="37"/>
  <c r="C218" i="37"/>
  <c r="C219" i="37"/>
  <c r="C220" i="37"/>
  <c r="C221" i="37"/>
  <c r="C222" i="37"/>
  <c r="C223" i="37"/>
  <c r="C224" i="37"/>
  <c r="C225" i="37"/>
  <c r="C226" i="37"/>
  <c r="C227" i="37"/>
  <c r="C228" i="37"/>
  <c r="C229" i="37"/>
  <c r="C230" i="37"/>
  <c r="C231" i="37"/>
  <c r="C232" i="37"/>
  <c r="C233" i="37"/>
  <c r="C234" i="37"/>
  <c r="C235" i="37"/>
  <c r="C236" i="37"/>
  <c r="C237" i="37"/>
  <c r="C238" i="37"/>
  <c r="C239" i="37"/>
  <c r="C240" i="37"/>
  <c r="C241" i="37"/>
  <c r="C242" i="37"/>
  <c r="C243" i="37"/>
  <c r="C244" i="37"/>
  <c r="C245" i="37"/>
  <c r="C246" i="37"/>
  <c r="C247" i="37"/>
  <c r="C248" i="37"/>
  <c r="C249" i="37"/>
  <c r="C250" i="37"/>
  <c r="C251" i="37"/>
  <c r="C252" i="37"/>
  <c r="C253" i="37"/>
  <c r="C254" i="37"/>
  <c r="C255" i="37"/>
  <c r="C256" i="37"/>
  <c r="C257" i="37"/>
  <c r="C258" i="37"/>
  <c r="C259" i="37"/>
  <c r="C260" i="37"/>
  <c r="C261" i="37"/>
  <c r="C262" i="37"/>
  <c r="C263" i="37"/>
  <c r="C264" i="37"/>
  <c r="C265" i="37"/>
  <c r="C266" i="37"/>
  <c r="C267" i="37"/>
  <c r="C268" i="37"/>
  <c r="C269" i="37"/>
  <c r="C270" i="37"/>
  <c r="C271" i="37"/>
  <c r="C272" i="37"/>
  <c r="C273" i="37"/>
  <c r="C274" i="37"/>
  <c r="C275" i="37"/>
  <c r="C276" i="37"/>
  <c r="C277" i="37"/>
  <c r="C278" i="37"/>
  <c r="C279" i="37"/>
  <c r="C280" i="37"/>
  <c r="C281" i="37"/>
  <c r="C282" i="37"/>
  <c r="C283" i="37"/>
  <c r="C284" i="37"/>
  <c r="C285" i="37"/>
  <c r="C286" i="37"/>
  <c r="C287" i="37"/>
  <c r="C288" i="37"/>
  <c r="C289" i="37"/>
  <c r="C290" i="37"/>
  <c r="C291" i="37"/>
  <c r="C292" i="37"/>
  <c r="C293" i="37"/>
  <c r="C294" i="37"/>
  <c r="C295" i="37"/>
  <c r="C296" i="37"/>
  <c r="C297" i="37"/>
  <c r="C298" i="37"/>
  <c r="C299" i="37"/>
  <c r="C300" i="37"/>
  <c r="C301" i="37"/>
  <c r="C302" i="37"/>
  <c r="C303" i="37"/>
  <c r="C304" i="37"/>
  <c r="C305" i="37"/>
  <c r="C306" i="37"/>
  <c r="C307" i="37"/>
  <c r="C308" i="37"/>
  <c r="C309" i="37"/>
  <c r="C310" i="37"/>
  <c r="C311" i="37"/>
  <c r="C312" i="37"/>
  <c r="C313" i="37"/>
  <c r="C314" i="37"/>
  <c r="C315" i="37"/>
  <c r="C316" i="37"/>
  <c r="C317" i="37"/>
  <c r="C318" i="37"/>
  <c r="C319" i="37"/>
  <c r="C320" i="37"/>
  <c r="C321" i="37"/>
  <c r="C322" i="37"/>
  <c r="C5" i="37"/>
  <c r="A6" i="37"/>
  <c r="B6" i="37"/>
  <c r="A7" i="37"/>
  <c r="B7" i="37"/>
  <c r="A8" i="37"/>
  <c r="B8" i="37"/>
  <c r="A9" i="37"/>
  <c r="B9" i="37"/>
  <c r="A10" i="37"/>
  <c r="B10" i="37"/>
  <c r="A11" i="37"/>
  <c r="B11" i="37"/>
  <c r="A12" i="37"/>
  <c r="B12" i="37"/>
  <c r="A13" i="37"/>
  <c r="B13" i="37"/>
  <c r="A14" i="37"/>
  <c r="B14" i="37"/>
  <c r="A15" i="37"/>
  <c r="B15" i="37"/>
  <c r="A16" i="37"/>
  <c r="B16" i="37"/>
  <c r="A17" i="37"/>
  <c r="B17" i="37"/>
  <c r="A18" i="37"/>
  <c r="B18" i="37"/>
  <c r="A19" i="37"/>
  <c r="B19" i="37"/>
  <c r="A20" i="37"/>
  <c r="B20" i="37"/>
  <c r="A21" i="37"/>
  <c r="B21" i="37"/>
  <c r="A22" i="37"/>
  <c r="B22" i="37"/>
  <c r="A23" i="37"/>
  <c r="B23" i="37"/>
  <c r="A24" i="37"/>
  <c r="B24" i="37"/>
  <c r="A25" i="37"/>
  <c r="B25" i="37"/>
  <c r="A26" i="37"/>
  <c r="B26" i="37"/>
  <c r="A27" i="37"/>
  <c r="B27" i="37"/>
  <c r="A28" i="37"/>
  <c r="B28" i="37"/>
  <c r="A29" i="37"/>
  <c r="B29" i="37"/>
  <c r="A30" i="37"/>
  <c r="B30" i="37"/>
  <c r="A31" i="37"/>
  <c r="B31" i="37"/>
  <c r="A32" i="37"/>
  <c r="B32" i="37"/>
  <c r="A33" i="37"/>
  <c r="B33" i="37"/>
  <c r="A34" i="37"/>
  <c r="B34" i="37"/>
  <c r="A35" i="37"/>
  <c r="B35" i="37"/>
  <c r="A36" i="37"/>
  <c r="B36" i="37"/>
  <c r="A37" i="37"/>
  <c r="B37" i="37"/>
  <c r="A38" i="37"/>
  <c r="B38" i="37"/>
  <c r="A39" i="37"/>
  <c r="B39" i="37"/>
  <c r="A40" i="37"/>
  <c r="B40" i="37"/>
  <c r="A41" i="37"/>
  <c r="B41" i="37"/>
  <c r="A42" i="37"/>
  <c r="B42" i="37"/>
  <c r="A43" i="37"/>
  <c r="B43" i="37"/>
  <c r="A44" i="37"/>
  <c r="B44" i="37"/>
  <c r="A45" i="37"/>
  <c r="B45" i="37"/>
  <c r="A46" i="37"/>
  <c r="B46" i="37"/>
  <c r="A47" i="37"/>
  <c r="B47" i="37"/>
  <c r="A48" i="37"/>
  <c r="B48" i="37"/>
  <c r="A49" i="37"/>
  <c r="B49" i="37"/>
  <c r="A50" i="37"/>
  <c r="B50" i="37"/>
  <c r="A51" i="37"/>
  <c r="B51" i="37"/>
  <c r="A52" i="37"/>
  <c r="B52" i="37"/>
  <c r="A53" i="37"/>
  <c r="B53" i="37"/>
  <c r="A54" i="37"/>
  <c r="B54" i="37"/>
  <c r="A55" i="37"/>
  <c r="B55" i="37"/>
  <c r="A56" i="37"/>
  <c r="B56" i="37"/>
  <c r="A57" i="37"/>
  <c r="B57" i="37"/>
  <c r="A58" i="37"/>
  <c r="B58" i="37"/>
  <c r="A59" i="37"/>
  <c r="B59" i="37"/>
  <c r="A60" i="37"/>
  <c r="B60" i="37"/>
  <c r="A61" i="37"/>
  <c r="B61" i="37"/>
  <c r="A62" i="37"/>
  <c r="B62" i="37"/>
  <c r="A63" i="37"/>
  <c r="B63" i="37"/>
  <c r="A64" i="37"/>
  <c r="B64" i="37"/>
  <c r="A65" i="37"/>
  <c r="B65" i="37"/>
  <c r="A66" i="37"/>
  <c r="B66" i="37"/>
  <c r="A67" i="37"/>
  <c r="B67" i="37"/>
  <c r="A68" i="37"/>
  <c r="B68" i="37"/>
  <c r="A69" i="37"/>
  <c r="B69" i="37"/>
  <c r="A70" i="37"/>
  <c r="B70" i="37"/>
  <c r="A71" i="37"/>
  <c r="B71" i="37"/>
  <c r="A72" i="37"/>
  <c r="B72" i="37"/>
  <c r="A73" i="37"/>
  <c r="B73" i="37"/>
  <c r="A74" i="37"/>
  <c r="B74" i="37"/>
  <c r="A75" i="37"/>
  <c r="B75" i="37"/>
  <c r="A76" i="37"/>
  <c r="B76" i="37"/>
  <c r="A77" i="37"/>
  <c r="B77" i="37"/>
  <c r="A78" i="37"/>
  <c r="B78" i="37"/>
  <c r="A79" i="37"/>
  <c r="B79" i="37"/>
  <c r="A80" i="37"/>
  <c r="B80" i="37"/>
  <c r="A81" i="37"/>
  <c r="B81" i="37"/>
  <c r="A82" i="37"/>
  <c r="B82" i="37"/>
  <c r="A83" i="37"/>
  <c r="B83" i="37"/>
  <c r="A84" i="37"/>
  <c r="B84" i="37"/>
  <c r="A85" i="37"/>
  <c r="B85" i="37"/>
  <c r="A86" i="37"/>
  <c r="B86" i="37"/>
  <c r="A87" i="37"/>
  <c r="B87" i="37"/>
  <c r="A88" i="37"/>
  <c r="B88" i="37"/>
  <c r="A89" i="37"/>
  <c r="B89" i="37"/>
  <c r="A90" i="37"/>
  <c r="B90" i="37"/>
  <c r="A91" i="37"/>
  <c r="B91" i="37"/>
  <c r="A92" i="37"/>
  <c r="B92" i="37"/>
  <c r="A93" i="37"/>
  <c r="B93" i="37"/>
  <c r="A94" i="37"/>
  <c r="B94" i="37"/>
  <c r="A95" i="37"/>
  <c r="B95" i="37"/>
  <c r="A96" i="37"/>
  <c r="B96" i="37"/>
  <c r="A97" i="37"/>
  <c r="B97" i="37"/>
  <c r="A98" i="37"/>
  <c r="B98" i="37"/>
  <c r="A99" i="37"/>
  <c r="B99" i="37"/>
  <c r="A100" i="37"/>
  <c r="B100" i="37"/>
  <c r="A101" i="37"/>
  <c r="B101" i="37"/>
  <c r="A102" i="37"/>
  <c r="B102" i="37"/>
  <c r="A103" i="37"/>
  <c r="B103" i="37"/>
  <c r="A104" i="37"/>
  <c r="B104" i="37"/>
  <c r="A105" i="37"/>
  <c r="B105" i="37"/>
  <c r="A106" i="37"/>
  <c r="B106" i="37"/>
  <c r="A107" i="37"/>
  <c r="B107" i="37"/>
  <c r="A108" i="37"/>
  <c r="B108" i="37"/>
  <c r="A109" i="37"/>
  <c r="B109" i="37"/>
  <c r="A110" i="37"/>
  <c r="B110" i="37"/>
  <c r="A111" i="37"/>
  <c r="B111" i="37"/>
  <c r="A112" i="37"/>
  <c r="B112" i="37"/>
  <c r="A113" i="37"/>
  <c r="B113" i="37"/>
  <c r="A114" i="37"/>
  <c r="B114" i="37"/>
  <c r="A115" i="37"/>
  <c r="B115" i="37"/>
  <c r="A116" i="37"/>
  <c r="B116" i="37"/>
  <c r="A117" i="37"/>
  <c r="B117" i="37"/>
  <c r="A118" i="37"/>
  <c r="B118" i="37"/>
  <c r="A119" i="37"/>
  <c r="B119" i="37"/>
  <c r="A120" i="37"/>
  <c r="B120" i="37"/>
  <c r="A121" i="37"/>
  <c r="B121" i="37"/>
  <c r="A122" i="37"/>
  <c r="B122" i="37"/>
  <c r="A123" i="37"/>
  <c r="B123" i="37"/>
  <c r="A124" i="37"/>
  <c r="B124" i="37"/>
  <c r="A125" i="37"/>
  <c r="B125" i="37"/>
  <c r="A126" i="37"/>
  <c r="B126" i="37"/>
  <c r="A127" i="37"/>
  <c r="B127" i="37"/>
  <c r="A128" i="37"/>
  <c r="B128" i="37"/>
  <c r="A129" i="37"/>
  <c r="B129" i="37"/>
  <c r="A130" i="37"/>
  <c r="B130" i="37"/>
  <c r="A131" i="37"/>
  <c r="B131" i="37"/>
  <c r="A132" i="37"/>
  <c r="B132" i="37"/>
  <c r="A133" i="37"/>
  <c r="B133" i="37"/>
  <c r="A134" i="37"/>
  <c r="B134" i="37"/>
  <c r="A135" i="37"/>
  <c r="B135" i="37"/>
  <c r="A136" i="37"/>
  <c r="B136" i="37"/>
  <c r="A137" i="37"/>
  <c r="B137" i="37"/>
  <c r="A138" i="37"/>
  <c r="B138" i="37"/>
  <c r="A139" i="37"/>
  <c r="B139" i="37"/>
  <c r="A140" i="37"/>
  <c r="B140" i="37"/>
  <c r="A141" i="37"/>
  <c r="B141" i="37"/>
  <c r="A142" i="37"/>
  <c r="B142" i="37"/>
  <c r="A143" i="37"/>
  <c r="B143" i="37"/>
  <c r="A144" i="37"/>
  <c r="B144" i="37"/>
  <c r="A145" i="37"/>
  <c r="B145" i="37"/>
  <c r="A146" i="37"/>
  <c r="B146" i="37"/>
  <c r="A147" i="37"/>
  <c r="B147" i="37"/>
  <c r="A148" i="37"/>
  <c r="B148" i="37"/>
  <c r="A149" i="37"/>
  <c r="B149" i="37"/>
  <c r="A150" i="37"/>
  <c r="B150" i="37"/>
  <c r="A151" i="37"/>
  <c r="B151" i="37"/>
  <c r="A152" i="37"/>
  <c r="B152" i="37"/>
  <c r="A153" i="37"/>
  <c r="B153" i="37"/>
  <c r="A154" i="37"/>
  <c r="B154" i="37"/>
  <c r="A155" i="37"/>
  <c r="B155" i="37"/>
  <c r="A156" i="37"/>
  <c r="B156" i="37"/>
  <c r="A157" i="37"/>
  <c r="B157" i="37"/>
  <c r="A158" i="37"/>
  <c r="B158" i="37"/>
  <c r="A159" i="37"/>
  <c r="B159" i="37"/>
  <c r="A160" i="37"/>
  <c r="B160" i="37"/>
  <c r="A161" i="37"/>
  <c r="B161" i="37"/>
  <c r="A162" i="37"/>
  <c r="B162" i="37"/>
  <c r="A163" i="37"/>
  <c r="B163" i="37"/>
  <c r="A164" i="37"/>
  <c r="B164" i="37"/>
  <c r="A165" i="37"/>
  <c r="B165" i="37"/>
  <c r="A166" i="37"/>
  <c r="B166" i="37"/>
  <c r="A167" i="37"/>
  <c r="B167" i="37"/>
  <c r="A168" i="37"/>
  <c r="B168" i="37"/>
  <c r="A169" i="37"/>
  <c r="B169" i="37"/>
  <c r="A170" i="37"/>
  <c r="B170" i="37"/>
  <c r="A171" i="37"/>
  <c r="B171" i="37"/>
  <c r="A172" i="37"/>
  <c r="B172" i="37"/>
  <c r="A173" i="37"/>
  <c r="B173" i="37"/>
  <c r="A174" i="37"/>
  <c r="B174" i="37"/>
  <c r="A175" i="37"/>
  <c r="B175" i="37"/>
  <c r="A176" i="37"/>
  <c r="B176" i="37"/>
  <c r="A177" i="37"/>
  <c r="B177" i="37"/>
  <c r="A178" i="37"/>
  <c r="B178" i="37"/>
  <c r="A179" i="37"/>
  <c r="B179" i="37"/>
  <c r="A180" i="37"/>
  <c r="B180" i="37"/>
  <c r="A181" i="37"/>
  <c r="B181" i="37"/>
  <c r="A182" i="37"/>
  <c r="B182" i="37"/>
  <c r="A183" i="37"/>
  <c r="B183" i="37"/>
  <c r="A184" i="37"/>
  <c r="B184" i="37"/>
  <c r="A185" i="37"/>
  <c r="B185" i="37"/>
  <c r="A186" i="37"/>
  <c r="B186" i="37"/>
  <c r="A187" i="37"/>
  <c r="B187" i="37"/>
  <c r="A188" i="37"/>
  <c r="B188" i="37"/>
  <c r="A189" i="37"/>
  <c r="B189" i="37"/>
  <c r="A190" i="37"/>
  <c r="B190" i="37"/>
  <c r="A191" i="37"/>
  <c r="B191" i="37"/>
  <c r="A192" i="37"/>
  <c r="B192" i="37"/>
  <c r="A193" i="37"/>
  <c r="B193" i="37"/>
  <c r="A194" i="37"/>
  <c r="B194" i="37"/>
  <c r="A195" i="37"/>
  <c r="B195" i="37"/>
  <c r="A196" i="37"/>
  <c r="B196" i="37"/>
  <c r="A197" i="37"/>
  <c r="B197" i="37"/>
  <c r="A198" i="37"/>
  <c r="B198" i="37"/>
  <c r="A199" i="37"/>
  <c r="B199" i="37"/>
  <c r="A200" i="37"/>
  <c r="B200" i="37"/>
  <c r="A201" i="37"/>
  <c r="B201" i="37"/>
  <c r="A202" i="37"/>
  <c r="B202" i="37"/>
  <c r="A203" i="37"/>
  <c r="B203" i="37"/>
  <c r="A204" i="37"/>
  <c r="B204" i="37"/>
  <c r="A205" i="37"/>
  <c r="B205" i="37"/>
  <c r="A206" i="37"/>
  <c r="B206" i="37"/>
  <c r="A207" i="37"/>
  <c r="B207" i="37"/>
  <c r="A208" i="37"/>
  <c r="B208" i="37"/>
  <c r="A209" i="37"/>
  <c r="B209" i="37"/>
  <c r="A210" i="37"/>
  <c r="B210" i="37"/>
  <c r="A211" i="37"/>
  <c r="B211" i="37"/>
  <c r="A212" i="37"/>
  <c r="B212" i="37"/>
  <c r="A213" i="37"/>
  <c r="B213" i="37"/>
  <c r="A214" i="37"/>
  <c r="B214" i="37"/>
  <c r="A215" i="37"/>
  <c r="B215" i="37"/>
  <c r="A216" i="37"/>
  <c r="B216" i="37"/>
  <c r="A217" i="37"/>
  <c r="B217" i="37"/>
  <c r="A218" i="37"/>
  <c r="B218" i="37"/>
  <c r="A219" i="37"/>
  <c r="B219" i="37"/>
  <c r="A220" i="37"/>
  <c r="B220" i="37"/>
  <c r="A221" i="37"/>
  <c r="B221" i="37"/>
  <c r="A222" i="37"/>
  <c r="B222" i="37"/>
  <c r="A223" i="37"/>
  <c r="B223" i="37"/>
  <c r="A224" i="37"/>
  <c r="B224" i="37"/>
  <c r="A225" i="37"/>
  <c r="B225" i="37"/>
  <c r="A226" i="37"/>
  <c r="B226" i="37"/>
  <c r="A227" i="37"/>
  <c r="B227" i="37"/>
  <c r="A228" i="37"/>
  <c r="B228" i="37"/>
  <c r="A229" i="37"/>
  <c r="B229" i="37"/>
  <c r="A230" i="37"/>
  <c r="B230" i="37"/>
  <c r="A231" i="37"/>
  <c r="B231" i="37"/>
  <c r="A232" i="37"/>
  <c r="B232" i="37"/>
  <c r="A233" i="37"/>
  <c r="B233" i="37"/>
  <c r="A234" i="37"/>
  <c r="B234" i="37"/>
  <c r="A235" i="37"/>
  <c r="B235" i="37"/>
  <c r="A236" i="37"/>
  <c r="B236" i="37"/>
  <c r="A237" i="37"/>
  <c r="B237" i="37"/>
  <c r="A238" i="37"/>
  <c r="B238" i="37"/>
  <c r="A239" i="37"/>
  <c r="B239" i="37"/>
  <c r="A240" i="37"/>
  <c r="B240" i="37"/>
  <c r="A241" i="37"/>
  <c r="B241" i="37"/>
  <c r="A242" i="37"/>
  <c r="B242" i="37"/>
  <c r="A243" i="37"/>
  <c r="B243" i="37"/>
  <c r="A244" i="37"/>
  <c r="B244" i="37"/>
  <c r="A245" i="37"/>
  <c r="B245" i="37"/>
  <c r="A246" i="37"/>
  <c r="B246" i="37"/>
  <c r="A247" i="37"/>
  <c r="B247" i="37"/>
  <c r="A248" i="37"/>
  <c r="B248" i="37"/>
  <c r="A249" i="37"/>
  <c r="B249" i="37"/>
  <c r="A250" i="37"/>
  <c r="B250" i="37"/>
  <c r="A251" i="37"/>
  <c r="B251" i="37"/>
  <c r="A252" i="37"/>
  <c r="B252" i="37"/>
  <c r="A253" i="37"/>
  <c r="B253" i="37"/>
  <c r="A254" i="37"/>
  <c r="B254" i="37"/>
  <c r="A255" i="37"/>
  <c r="B255" i="37"/>
  <c r="A256" i="37"/>
  <c r="B256" i="37"/>
  <c r="A257" i="37"/>
  <c r="B257" i="37"/>
  <c r="A258" i="37"/>
  <c r="B258" i="37"/>
  <c r="A259" i="37"/>
  <c r="B259" i="37"/>
  <c r="A260" i="37"/>
  <c r="B260" i="37"/>
  <c r="A261" i="37"/>
  <c r="B261" i="37"/>
  <c r="A262" i="37"/>
  <c r="B262" i="37"/>
  <c r="A263" i="37"/>
  <c r="B263" i="37"/>
  <c r="A264" i="37"/>
  <c r="B264" i="37"/>
  <c r="A265" i="37"/>
  <c r="B265" i="37"/>
  <c r="A266" i="37"/>
  <c r="B266" i="37"/>
  <c r="A267" i="37"/>
  <c r="B267" i="37"/>
  <c r="A268" i="37"/>
  <c r="B268" i="37"/>
  <c r="A269" i="37"/>
  <c r="B269" i="37"/>
  <c r="A270" i="37"/>
  <c r="B270" i="37"/>
  <c r="A271" i="37"/>
  <c r="B271" i="37"/>
  <c r="A272" i="37"/>
  <c r="B272" i="37"/>
  <c r="A273" i="37"/>
  <c r="B273" i="37"/>
  <c r="A274" i="37"/>
  <c r="B274" i="37"/>
  <c r="A275" i="37"/>
  <c r="B275" i="37"/>
  <c r="A276" i="37"/>
  <c r="B276" i="37"/>
  <c r="A277" i="37"/>
  <c r="B277" i="37"/>
  <c r="A278" i="37"/>
  <c r="B278" i="37"/>
  <c r="A279" i="37"/>
  <c r="B279" i="37"/>
  <c r="A280" i="37"/>
  <c r="B280" i="37"/>
  <c r="A281" i="37"/>
  <c r="B281" i="37"/>
  <c r="A282" i="37"/>
  <c r="B282" i="37"/>
  <c r="A283" i="37"/>
  <c r="B283" i="37"/>
  <c r="A284" i="37"/>
  <c r="B284" i="37"/>
  <c r="A285" i="37"/>
  <c r="B285" i="37"/>
  <c r="A286" i="37"/>
  <c r="B286" i="37"/>
  <c r="A287" i="37"/>
  <c r="B287" i="37"/>
  <c r="A288" i="37"/>
  <c r="B288" i="37"/>
  <c r="A289" i="37"/>
  <c r="B289" i="37"/>
  <c r="A290" i="37"/>
  <c r="B290" i="37"/>
  <c r="A291" i="37"/>
  <c r="B291" i="37"/>
  <c r="A292" i="37"/>
  <c r="B292" i="37"/>
  <c r="A293" i="37"/>
  <c r="B293" i="37"/>
  <c r="A294" i="37"/>
  <c r="B294" i="37"/>
  <c r="A295" i="37"/>
  <c r="B295" i="37"/>
  <c r="A296" i="37"/>
  <c r="B296" i="37"/>
  <c r="A297" i="37"/>
  <c r="B297" i="37"/>
  <c r="A298" i="37"/>
  <c r="B298" i="37"/>
  <c r="A299" i="37"/>
  <c r="B299" i="37"/>
  <c r="A300" i="37"/>
  <c r="B300" i="37"/>
  <c r="A301" i="37"/>
  <c r="B301" i="37"/>
  <c r="A302" i="37"/>
  <c r="B302" i="37"/>
  <c r="A303" i="37"/>
  <c r="B303" i="37"/>
  <c r="A304" i="37"/>
  <c r="B304" i="37"/>
  <c r="A305" i="37"/>
  <c r="B305" i="37"/>
  <c r="A306" i="37"/>
  <c r="B306" i="37"/>
  <c r="A307" i="37"/>
  <c r="B307" i="37"/>
  <c r="A308" i="37"/>
  <c r="B308" i="37"/>
  <c r="A309" i="37"/>
  <c r="B309" i="37"/>
  <c r="A310" i="37"/>
  <c r="B310" i="37"/>
  <c r="A311" i="37"/>
  <c r="B311" i="37"/>
  <c r="A312" i="37"/>
  <c r="B312" i="37"/>
  <c r="A313" i="37"/>
  <c r="B313" i="37"/>
  <c r="A314" i="37"/>
  <c r="B314" i="37"/>
  <c r="A315" i="37"/>
  <c r="B315" i="37"/>
  <c r="A316" i="37"/>
  <c r="B316" i="37"/>
  <c r="A317" i="37"/>
  <c r="B317" i="37"/>
  <c r="A318" i="37"/>
  <c r="B318" i="37"/>
  <c r="A319" i="37"/>
  <c r="B319" i="37"/>
  <c r="A320" i="37"/>
  <c r="B320" i="37"/>
  <c r="A321" i="37"/>
  <c r="B321" i="37"/>
  <c r="A322" i="37"/>
  <c r="B322" i="37"/>
  <c r="B5" i="37"/>
  <c r="A5" i="37"/>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C83" i="36"/>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C197" i="36"/>
  <c r="C198" i="36"/>
  <c r="C199" i="36"/>
  <c r="C200" i="36"/>
  <c r="C201" i="36"/>
  <c r="C202" i="36"/>
  <c r="C203" i="36"/>
  <c r="C204" i="36"/>
  <c r="C205" i="36"/>
  <c r="C206" i="36"/>
  <c r="C207" i="36"/>
  <c r="C208" i="36"/>
  <c r="C209" i="36"/>
  <c r="C210" i="36"/>
  <c r="C211" i="36"/>
  <c r="C212" i="36"/>
  <c r="C213" i="36"/>
  <c r="C214" i="36"/>
  <c r="C215" i="36"/>
  <c r="C216" i="36"/>
  <c r="C217" i="36"/>
  <c r="C218" i="36"/>
  <c r="C219" i="36"/>
  <c r="C220" i="36"/>
  <c r="C221" i="36"/>
  <c r="C222" i="36"/>
  <c r="C223" i="36"/>
  <c r="C224" i="36"/>
  <c r="C225" i="36"/>
  <c r="C226" i="36"/>
  <c r="C227" i="36"/>
  <c r="C228" i="36"/>
  <c r="C229" i="36"/>
  <c r="C230" i="36"/>
  <c r="C231" i="36"/>
  <c r="C232" i="36"/>
  <c r="C233" i="36"/>
  <c r="C234" i="36"/>
  <c r="C235" i="36"/>
  <c r="C236" i="36"/>
  <c r="C237" i="36"/>
  <c r="C238" i="36"/>
  <c r="C239" i="36"/>
  <c r="C240" i="36"/>
  <c r="C241" i="36"/>
  <c r="C242" i="36"/>
  <c r="C243" i="36"/>
  <c r="C244" i="36"/>
  <c r="C245" i="36"/>
  <c r="C246" i="36"/>
  <c r="C247" i="36"/>
  <c r="C248" i="36"/>
  <c r="C249" i="36"/>
  <c r="C250" i="36"/>
  <c r="C251" i="36"/>
  <c r="C252" i="36"/>
  <c r="C253" i="36"/>
  <c r="C254" i="36"/>
  <c r="C255" i="36"/>
  <c r="C256" i="36"/>
  <c r="C257" i="36"/>
  <c r="C258" i="36"/>
  <c r="C259" i="36"/>
  <c r="C260" i="36"/>
  <c r="C261" i="36"/>
  <c r="C262" i="36"/>
  <c r="C263" i="36"/>
  <c r="C264" i="36"/>
  <c r="C265" i="36"/>
  <c r="C266" i="36"/>
  <c r="C267" i="36"/>
  <c r="C268" i="36"/>
  <c r="C269" i="36"/>
  <c r="C270" i="36"/>
  <c r="C271" i="36"/>
  <c r="C272" i="36"/>
  <c r="C273" i="36"/>
  <c r="C274" i="36"/>
  <c r="C275" i="36"/>
  <c r="C276" i="36"/>
  <c r="C277" i="36"/>
  <c r="C278" i="36"/>
  <c r="C279" i="36"/>
  <c r="C280" i="36"/>
  <c r="C281" i="36"/>
  <c r="C282" i="36"/>
  <c r="C283" i="36"/>
  <c r="C284" i="36"/>
  <c r="C285" i="36"/>
  <c r="C286" i="36"/>
  <c r="C287" i="36"/>
  <c r="C288" i="36"/>
  <c r="C289" i="36"/>
  <c r="C290" i="36"/>
  <c r="C291" i="36"/>
  <c r="C292" i="36"/>
  <c r="C293" i="36"/>
  <c r="C294" i="36"/>
  <c r="C295" i="36"/>
  <c r="C296" i="36"/>
  <c r="C297" i="36"/>
  <c r="C298" i="36"/>
  <c r="C299" i="36"/>
  <c r="C300" i="36"/>
  <c r="C301" i="36"/>
  <c r="C302" i="36"/>
  <c r="C303" i="36"/>
  <c r="C304" i="36"/>
  <c r="C305" i="36"/>
  <c r="C306" i="36"/>
  <c r="C307" i="36"/>
  <c r="C308" i="36"/>
  <c r="C309" i="36"/>
  <c r="C310" i="36"/>
  <c r="C311" i="36"/>
  <c r="C312" i="36"/>
  <c r="C313" i="36"/>
  <c r="C314" i="36"/>
  <c r="C315" i="36"/>
  <c r="C316" i="36"/>
  <c r="C317" i="36"/>
  <c r="C318" i="36"/>
  <c r="C319" i="36"/>
  <c r="C320" i="36"/>
  <c r="C321" i="36"/>
  <c r="C322" i="36"/>
  <c r="C323" i="36"/>
  <c r="C324" i="36"/>
  <c r="C325" i="36"/>
  <c r="C8" i="36"/>
  <c r="A9" i="36"/>
  <c r="B9" i="36"/>
  <c r="A10" i="36"/>
  <c r="B10" i="36"/>
  <c r="A11" i="36"/>
  <c r="B11" i="36"/>
  <c r="A12" i="36"/>
  <c r="B12" i="36"/>
  <c r="A13" i="36"/>
  <c r="B13" i="36"/>
  <c r="A14" i="36"/>
  <c r="B14" i="36"/>
  <c r="A15" i="36"/>
  <c r="B15" i="36"/>
  <c r="A16" i="36"/>
  <c r="B16" i="36"/>
  <c r="A17" i="36"/>
  <c r="B17" i="36"/>
  <c r="A18" i="36"/>
  <c r="B18" i="36"/>
  <c r="A19" i="36"/>
  <c r="B19" i="36"/>
  <c r="A20" i="36"/>
  <c r="B20" i="36"/>
  <c r="A21" i="36"/>
  <c r="B21" i="36"/>
  <c r="A22" i="36"/>
  <c r="B22" i="36"/>
  <c r="A23" i="36"/>
  <c r="B23" i="36"/>
  <c r="A24" i="36"/>
  <c r="B24" i="36"/>
  <c r="A25" i="36"/>
  <c r="B25" i="36"/>
  <c r="A26" i="36"/>
  <c r="B26" i="36"/>
  <c r="A27" i="36"/>
  <c r="B27" i="36"/>
  <c r="A28" i="36"/>
  <c r="B28" i="36"/>
  <c r="A29" i="36"/>
  <c r="B29" i="36"/>
  <c r="A30" i="36"/>
  <c r="B30" i="36"/>
  <c r="A31" i="36"/>
  <c r="B31" i="36"/>
  <c r="A32" i="36"/>
  <c r="B32" i="36"/>
  <c r="A33" i="36"/>
  <c r="B33" i="36"/>
  <c r="A34" i="36"/>
  <c r="B34" i="36"/>
  <c r="A35" i="36"/>
  <c r="B35" i="36"/>
  <c r="A36" i="36"/>
  <c r="B36" i="36"/>
  <c r="A37" i="36"/>
  <c r="B37" i="36"/>
  <c r="A38" i="36"/>
  <c r="B38" i="36"/>
  <c r="A39" i="36"/>
  <c r="B39" i="36"/>
  <c r="A40" i="36"/>
  <c r="B40" i="36"/>
  <c r="A41" i="36"/>
  <c r="B41" i="36"/>
  <c r="A42" i="36"/>
  <c r="B42" i="36"/>
  <c r="A43" i="36"/>
  <c r="B43" i="36"/>
  <c r="A44" i="36"/>
  <c r="B44" i="36"/>
  <c r="A45" i="36"/>
  <c r="B45" i="36"/>
  <c r="A46" i="36"/>
  <c r="B46" i="36"/>
  <c r="A47" i="36"/>
  <c r="B47" i="36"/>
  <c r="A48" i="36"/>
  <c r="B48" i="36"/>
  <c r="A49" i="36"/>
  <c r="B49" i="36"/>
  <c r="A50" i="36"/>
  <c r="B50" i="36"/>
  <c r="A51" i="36"/>
  <c r="B51" i="36"/>
  <c r="A52" i="36"/>
  <c r="B52" i="36"/>
  <c r="A53" i="36"/>
  <c r="B53" i="36"/>
  <c r="A54" i="36"/>
  <c r="B54" i="36"/>
  <c r="A55" i="36"/>
  <c r="B55" i="36"/>
  <c r="A56" i="36"/>
  <c r="B56" i="36"/>
  <c r="A57" i="36"/>
  <c r="B57" i="36"/>
  <c r="A58" i="36"/>
  <c r="B58" i="36"/>
  <c r="A59" i="36"/>
  <c r="B59" i="36"/>
  <c r="A60" i="36"/>
  <c r="B60" i="36"/>
  <c r="A61" i="36"/>
  <c r="B61" i="36"/>
  <c r="A62" i="36"/>
  <c r="B62" i="36"/>
  <c r="A63" i="36"/>
  <c r="B63" i="36"/>
  <c r="A64" i="36"/>
  <c r="B64" i="36"/>
  <c r="A65" i="36"/>
  <c r="B65" i="36"/>
  <c r="A66" i="36"/>
  <c r="B66" i="36"/>
  <c r="A67" i="36"/>
  <c r="B67" i="36"/>
  <c r="A68" i="36"/>
  <c r="B68" i="36"/>
  <c r="A69" i="36"/>
  <c r="B69" i="36"/>
  <c r="A70" i="36"/>
  <c r="B70" i="36"/>
  <c r="A71" i="36"/>
  <c r="B71" i="36"/>
  <c r="A72" i="36"/>
  <c r="B72" i="36"/>
  <c r="A73" i="36"/>
  <c r="B73" i="36"/>
  <c r="A74" i="36"/>
  <c r="B74" i="36"/>
  <c r="A75" i="36"/>
  <c r="B75" i="36"/>
  <c r="A76" i="36"/>
  <c r="B76" i="36"/>
  <c r="A77" i="36"/>
  <c r="B77" i="36"/>
  <c r="A78" i="36"/>
  <c r="B78" i="36"/>
  <c r="A79" i="36"/>
  <c r="B79" i="36"/>
  <c r="A80" i="36"/>
  <c r="B80" i="36"/>
  <c r="A81" i="36"/>
  <c r="B81" i="36"/>
  <c r="A82" i="36"/>
  <c r="B82" i="36"/>
  <c r="A83" i="36"/>
  <c r="B83" i="36"/>
  <c r="A84" i="36"/>
  <c r="B84" i="36"/>
  <c r="A85" i="36"/>
  <c r="B85" i="36"/>
  <c r="A86" i="36"/>
  <c r="B86" i="36"/>
  <c r="A87" i="36"/>
  <c r="B87" i="36"/>
  <c r="A88" i="36"/>
  <c r="B88" i="36"/>
  <c r="A89" i="36"/>
  <c r="B89" i="36"/>
  <c r="A90" i="36"/>
  <c r="B90" i="36"/>
  <c r="A91" i="36"/>
  <c r="B91" i="36"/>
  <c r="A92" i="36"/>
  <c r="B92" i="36"/>
  <c r="A93" i="36"/>
  <c r="B93" i="36"/>
  <c r="A94" i="36"/>
  <c r="B94" i="36"/>
  <c r="A95" i="36"/>
  <c r="B95" i="36"/>
  <c r="A96" i="36"/>
  <c r="B96" i="36"/>
  <c r="A97" i="36"/>
  <c r="B97" i="36"/>
  <c r="A98" i="36"/>
  <c r="B98" i="36"/>
  <c r="A99" i="36"/>
  <c r="B99" i="36"/>
  <c r="A100" i="36"/>
  <c r="B100" i="36"/>
  <c r="A101" i="36"/>
  <c r="B101" i="36"/>
  <c r="A102" i="36"/>
  <c r="B102" i="36"/>
  <c r="A103" i="36"/>
  <c r="B103" i="36"/>
  <c r="A104" i="36"/>
  <c r="B104" i="36"/>
  <c r="A105" i="36"/>
  <c r="B105" i="36"/>
  <c r="A106" i="36"/>
  <c r="B106" i="36"/>
  <c r="A107" i="36"/>
  <c r="B107" i="36"/>
  <c r="A108" i="36"/>
  <c r="B108" i="36"/>
  <c r="A109" i="36"/>
  <c r="B109" i="36"/>
  <c r="A110" i="36"/>
  <c r="B110" i="36"/>
  <c r="A111" i="36"/>
  <c r="B111" i="36"/>
  <c r="A112" i="36"/>
  <c r="B112" i="36"/>
  <c r="A113" i="36"/>
  <c r="B113" i="36"/>
  <c r="A114" i="36"/>
  <c r="B114" i="36"/>
  <c r="A115" i="36"/>
  <c r="B115" i="36"/>
  <c r="A116" i="36"/>
  <c r="B116" i="36"/>
  <c r="A117" i="36"/>
  <c r="B117" i="36"/>
  <c r="A118" i="36"/>
  <c r="B118" i="36"/>
  <c r="A119" i="36"/>
  <c r="B119" i="36"/>
  <c r="A120" i="36"/>
  <c r="B120" i="36"/>
  <c r="A121" i="36"/>
  <c r="B121" i="36"/>
  <c r="A122" i="36"/>
  <c r="B122" i="36"/>
  <c r="A123" i="36"/>
  <c r="B123" i="36"/>
  <c r="A124" i="36"/>
  <c r="B124" i="36"/>
  <c r="A125" i="36"/>
  <c r="B125" i="36"/>
  <c r="A126" i="36"/>
  <c r="B126" i="36"/>
  <c r="A127" i="36"/>
  <c r="B127" i="36"/>
  <c r="A128" i="36"/>
  <c r="B128" i="36"/>
  <c r="A129" i="36"/>
  <c r="B129" i="36"/>
  <c r="A130" i="36"/>
  <c r="B130" i="36"/>
  <c r="A131" i="36"/>
  <c r="B131" i="36"/>
  <c r="A132" i="36"/>
  <c r="B132" i="36"/>
  <c r="A133" i="36"/>
  <c r="B133" i="36"/>
  <c r="A134" i="36"/>
  <c r="B134" i="36"/>
  <c r="A135" i="36"/>
  <c r="B135" i="36"/>
  <c r="A136" i="36"/>
  <c r="B136" i="36"/>
  <c r="A137" i="36"/>
  <c r="B137" i="36"/>
  <c r="A138" i="36"/>
  <c r="B138" i="36"/>
  <c r="A139" i="36"/>
  <c r="B139" i="36"/>
  <c r="A140" i="36"/>
  <c r="B140" i="36"/>
  <c r="A141" i="36"/>
  <c r="B141" i="36"/>
  <c r="A142" i="36"/>
  <c r="B142" i="36"/>
  <c r="A143" i="36"/>
  <c r="B143" i="36"/>
  <c r="A144" i="36"/>
  <c r="B144" i="36"/>
  <c r="A145" i="36"/>
  <c r="B145" i="36"/>
  <c r="A146" i="36"/>
  <c r="B146" i="36"/>
  <c r="A147" i="36"/>
  <c r="B147" i="36"/>
  <c r="A148" i="36"/>
  <c r="B148" i="36"/>
  <c r="A149" i="36"/>
  <c r="B149" i="36"/>
  <c r="A150" i="36"/>
  <c r="B150" i="36"/>
  <c r="A151" i="36"/>
  <c r="B151" i="36"/>
  <c r="A152" i="36"/>
  <c r="B152" i="36"/>
  <c r="A153" i="36"/>
  <c r="B153" i="36"/>
  <c r="A154" i="36"/>
  <c r="B154" i="36"/>
  <c r="A155" i="36"/>
  <c r="B155" i="36"/>
  <c r="A156" i="36"/>
  <c r="B156" i="36"/>
  <c r="A157" i="36"/>
  <c r="B157" i="36"/>
  <c r="A158" i="36"/>
  <c r="B158" i="36"/>
  <c r="A159" i="36"/>
  <c r="B159" i="36"/>
  <c r="A160" i="36"/>
  <c r="B160" i="36"/>
  <c r="A161" i="36"/>
  <c r="B161" i="36"/>
  <c r="A162" i="36"/>
  <c r="B162" i="36"/>
  <c r="A163" i="36"/>
  <c r="B163" i="36"/>
  <c r="A164" i="36"/>
  <c r="B164" i="36"/>
  <c r="A165" i="36"/>
  <c r="B165" i="36"/>
  <c r="A166" i="36"/>
  <c r="B166" i="36"/>
  <c r="A167" i="36"/>
  <c r="B167" i="36"/>
  <c r="A168" i="36"/>
  <c r="B168" i="36"/>
  <c r="A169" i="36"/>
  <c r="B169" i="36"/>
  <c r="A170" i="36"/>
  <c r="B170" i="36"/>
  <c r="A171" i="36"/>
  <c r="B171" i="36"/>
  <c r="A172" i="36"/>
  <c r="B172" i="36"/>
  <c r="A173" i="36"/>
  <c r="B173" i="36"/>
  <c r="A174" i="36"/>
  <c r="B174" i="36"/>
  <c r="A175" i="36"/>
  <c r="B175" i="36"/>
  <c r="A176" i="36"/>
  <c r="B176" i="36"/>
  <c r="A177" i="36"/>
  <c r="B177" i="36"/>
  <c r="A178" i="36"/>
  <c r="B178" i="36"/>
  <c r="A179" i="36"/>
  <c r="B179" i="36"/>
  <c r="A180" i="36"/>
  <c r="B180" i="36"/>
  <c r="A181" i="36"/>
  <c r="B181" i="36"/>
  <c r="A182" i="36"/>
  <c r="B182" i="36"/>
  <c r="A183" i="36"/>
  <c r="B183" i="36"/>
  <c r="A184" i="36"/>
  <c r="B184" i="36"/>
  <c r="A185" i="36"/>
  <c r="B185" i="36"/>
  <c r="A186" i="36"/>
  <c r="B186" i="36"/>
  <c r="A187" i="36"/>
  <c r="B187" i="36"/>
  <c r="A188" i="36"/>
  <c r="B188" i="36"/>
  <c r="A189" i="36"/>
  <c r="B189" i="36"/>
  <c r="A190" i="36"/>
  <c r="B190" i="36"/>
  <c r="A191" i="36"/>
  <c r="B191" i="36"/>
  <c r="A192" i="36"/>
  <c r="B192" i="36"/>
  <c r="A193" i="36"/>
  <c r="B193" i="36"/>
  <c r="A194" i="36"/>
  <c r="B194" i="36"/>
  <c r="A195" i="36"/>
  <c r="B195" i="36"/>
  <c r="A196" i="36"/>
  <c r="B196" i="36"/>
  <c r="A197" i="36"/>
  <c r="B197" i="36"/>
  <c r="A198" i="36"/>
  <c r="B198" i="36"/>
  <c r="A199" i="36"/>
  <c r="B199" i="36"/>
  <c r="A200" i="36"/>
  <c r="B200" i="36"/>
  <c r="A201" i="36"/>
  <c r="B201" i="36"/>
  <c r="A202" i="36"/>
  <c r="B202" i="36"/>
  <c r="A203" i="36"/>
  <c r="B203" i="36"/>
  <c r="A204" i="36"/>
  <c r="B204" i="36"/>
  <c r="A205" i="36"/>
  <c r="B205" i="36"/>
  <c r="A206" i="36"/>
  <c r="B206" i="36"/>
  <c r="A207" i="36"/>
  <c r="B207" i="36"/>
  <c r="A208" i="36"/>
  <c r="B208" i="36"/>
  <c r="A209" i="36"/>
  <c r="B209" i="36"/>
  <c r="A210" i="36"/>
  <c r="B210" i="36"/>
  <c r="A211" i="36"/>
  <c r="B211" i="36"/>
  <c r="A212" i="36"/>
  <c r="B212" i="36"/>
  <c r="A213" i="36"/>
  <c r="B213" i="36"/>
  <c r="A214" i="36"/>
  <c r="B214" i="36"/>
  <c r="A215" i="36"/>
  <c r="B215" i="36"/>
  <c r="A216" i="36"/>
  <c r="B216" i="36"/>
  <c r="A217" i="36"/>
  <c r="B217" i="36"/>
  <c r="A218" i="36"/>
  <c r="B218" i="36"/>
  <c r="A219" i="36"/>
  <c r="B219" i="36"/>
  <c r="A220" i="36"/>
  <c r="B220" i="36"/>
  <c r="A221" i="36"/>
  <c r="B221" i="36"/>
  <c r="A222" i="36"/>
  <c r="B222" i="36"/>
  <c r="A223" i="36"/>
  <c r="B223" i="36"/>
  <c r="A224" i="36"/>
  <c r="B224" i="36"/>
  <c r="A225" i="36"/>
  <c r="B225" i="36"/>
  <c r="A226" i="36"/>
  <c r="B226" i="36"/>
  <c r="A227" i="36"/>
  <c r="B227" i="36"/>
  <c r="A228" i="36"/>
  <c r="B228" i="36"/>
  <c r="A229" i="36"/>
  <c r="B229" i="36"/>
  <c r="A230" i="36"/>
  <c r="B230" i="36"/>
  <c r="A231" i="36"/>
  <c r="B231" i="36"/>
  <c r="A232" i="36"/>
  <c r="B232" i="36"/>
  <c r="A233" i="36"/>
  <c r="B233" i="36"/>
  <c r="A234" i="36"/>
  <c r="B234" i="36"/>
  <c r="A235" i="36"/>
  <c r="B235" i="36"/>
  <c r="A236" i="36"/>
  <c r="B236" i="36"/>
  <c r="A237" i="36"/>
  <c r="B237" i="36"/>
  <c r="A238" i="36"/>
  <c r="B238" i="36"/>
  <c r="A239" i="36"/>
  <c r="B239" i="36"/>
  <c r="A240" i="36"/>
  <c r="B240" i="36"/>
  <c r="A241" i="36"/>
  <c r="B241" i="36"/>
  <c r="A242" i="36"/>
  <c r="B242" i="36"/>
  <c r="A243" i="36"/>
  <c r="B243" i="36"/>
  <c r="A244" i="36"/>
  <c r="B244" i="36"/>
  <c r="A245" i="36"/>
  <c r="B245" i="36"/>
  <c r="A246" i="36"/>
  <c r="B246" i="36"/>
  <c r="A247" i="36"/>
  <c r="B247" i="36"/>
  <c r="A248" i="36"/>
  <c r="B248" i="36"/>
  <c r="A249" i="36"/>
  <c r="B249" i="36"/>
  <c r="A250" i="36"/>
  <c r="B250" i="36"/>
  <c r="A251" i="36"/>
  <c r="B251" i="36"/>
  <c r="A252" i="36"/>
  <c r="B252" i="36"/>
  <c r="A253" i="36"/>
  <c r="B253" i="36"/>
  <c r="A254" i="36"/>
  <c r="B254" i="36"/>
  <c r="A255" i="36"/>
  <c r="B255" i="36"/>
  <c r="A256" i="36"/>
  <c r="B256" i="36"/>
  <c r="A257" i="36"/>
  <c r="B257" i="36"/>
  <c r="A258" i="36"/>
  <c r="B258" i="36"/>
  <c r="A259" i="36"/>
  <c r="B259" i="36"/>
  <c r="A260" i="36"/>
  <c r="B260" i="36"/>
  <c r="A261" i="36"/>
  <c r="B261" i="36"/>
  <c r="A262" i="36"/>
  <c r="B262" i="36"/>
  <c r="A263" i="36"/>
  <c r="B263" i="36"/>
  <c r="A264" i="36"/>
  <c r="B264" i="36"/>
  <c r="A265" i="36"/>
  <c r="B265" i="36"/>
  <c r="A266" i="36"/>
  <c r="B266" i="36"/>
  <c r="A267" i="36"/>
  <c r="B267" i="36"/>
  <c r="A268" i="36"/>
  <c r="B268" i="36"/>
  <c r="A269" i="36"/>
  <c r="B269" i="36"/>
  <c r="A270" i="36"/>
  <c r="B270" i="36"/>
  <c r="A271" i="36"/>
  <c r="B271" i="36"/>
  <c r="A272" i="36"/>
  <c r="B272" i="36"/>
  <c r="A273" i="36"/>
  <c r="B273" i="36"/>
  <c r="A274" i="36"/>
  <c r="B274" i="36"/>
  <c r="A275" i="36"/>
  <c r="B275" i="36"/>
  <c r="A276" i="36"/>
  <c r="B276" i="36"/>
  <c r="A277" i="36"/>
  <c r="B277" i="36"/>
  <c r="A278" i="36"/>
  <c r="B278" i="36"/>
  <c r="A279" i="36"/>
  <c r="B279" i="36"/>
  <c r="A280" i="36"/>
  <c r="B280" i="36"/>
  <c r="A281" i="36"/>
  <c r="B281" i="36"/>
  <c r="A282" i="36"/>
  <c r="B282" i="36"/>
  <c r="A283" i="36"/>
  <c r="B283" i="36"/>
  <c r="A284" i="36"/>
  <c r="B284" i="36"/>
  <c r="A285" i="36"/>
  <c r="B285" i="36"/>
  <c r="A286" i="36"/>
  <c r="B286" i="36"/>
  <c r="A287" i="36"/>
  <c r="B287" i="36"/>
  <c r="A288" i="36"/>
  <c r="B288" i="36"/>
  <c r="A289" i="36"/>
  <c r="B289" i="36"/>
  <c r="A290" i="36"/>
  <c r="B290" i="36"/>
  <c r="A291" i="36"/>
  <c r="B291" i="36"/>
  <c r="A292" i="36"/>
  <c r="B292" i="36"/>
  <c r="A293" i="36"/>
  <c r="B293" i="36"/>
  <c r="A294" i="36"/>
  <c r="B294" i="36"/>
  <c r="A295" i="36"/>
  <c r="B295" i="36"/>
  <c r="A296" i="36"/>
  <c r="B296" i="36"/>
  <c r="A297" i="36"/>
  <c r="B297" i="36"/>
  <c r="A298" i="36"/>
  <c r="B298" i="36"/>
  <c r="A299" i="36"/>
  <c r="B299" i="36"/>
  <c r="A300" i="36"/>
  <c r="B300" i="36"/>
  <c r="A301" i="36"/>
  <c r="B301" i="36"/>
  <c r="A302" i="36"/>
  <c r="B302" i="36"/>
  <c r="A303" i="36"/>
  <c r="B303" i="36"/>
  <c r="A304" i="36"/>
  <c r="B304" i="36"/>
  <c r="A305" i="36"/>
  <c r="B305" i="36"/>
  <c r="A306" i="36"/>
  <c r="B306" i="36"/>
  <c r="A307" i="36"/>
  <c r="B307" i="36"/>
  <c r="A308" i="36"/>
  <c r="B308" i="36"/>
  <c r="A309" i="36"/>
  <c r="B309" i="36"/>
  <c r="A310" i="36"/>
  <c r="B310" i="36"/>
  <c r="A311" i="36"/>
  <c r="B311" i="36"/>
  <c r="A312" i="36"/>
  <c r="B312" i="36"/>
  <c r="A313" i="36"/>
  <c r="B313" i="36"/>
  <c r="A314" i="36"/>
  <c r="B314" i="36"/>
  <c r="A315" i="36"/>
  <c r="B315" i="36"/>
  <c r="A316" i="36"/>
  <c r="B316" i="36"/>
  <c r="A317" i="36"/>
  <c r="B317" i="36"/>
  <c r="A318" i="36"/>
  <c r="B318" i="36"/>
  <c r="A319" i="36"/>
  <c r="B319" i="36"/>
  <c r="A320" i="36"/>
  <c r="B320" i="36"/>
  <c r="A321" i="36"/>
  <c r="B321" i="36"/>
  <c r="A322" i="36"/>
  <c r="B322" i="36"/>
  <c r="A323" i="36"/>
  <c r="B323" i="36"/>
  <c r="A324" i="36"/>
  <c r="B324" i="36"/>
  <c r="A325" i="36"/>
  <c r="B325" i="36"/>
  <c r="B8" i="36"/>
  <c r="A8" i="36"/>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11" i="9"/>
  <c r="A12" i="9"/>
  <c r="B12" i="9"/>
  <c r="A13" i="9"/>
  <c r="B13" i="9"/>
  <c r="A14" i="9"/>
  <c r="B14" i="9"/>
  <c r="A15" i="9"/>
  <c r="B15" i="9"/>
  <c r="A16" i="9"/>
  <c r="B16" i="9"/>
  <c r="A17" i="9"/>
  <c r="B17" i="9"/>
  <c r="A18" i="9"/>
  <c r="B18" i="9"/>
  <c r="A19" i="9"/>
  <c r="B19" i="9"/>
  <c r="A20" i="9"/>
  <c r="B20" i="9"/>
  <c r="A21" i="9"/>
  <c r="B21" i="9"/>
  <c r="A22" i="9"/>
  <c r="B22" i="9"/>
  <c r="A23" i="9"/>
  <c r="B23" i="9"/>
  <c r="A24" i="9"/>
  <c r="B24" i="9"/>
  <c r="A25" i="9"/>
  <c r="B25" i="9"/>
  <c r="A26" i="9"/>
  <c r="B26" i="9"/>
  <c r="A27" i="9"/>
  <c r="B27" i="9"/>
  <c r="A28" i="9"/>
  <c r="B28" i="9"/>
  <c r="A29" i="9"/>
  <c r="B29" i="9"/>
  <c r="A30" i="9"/>
  <c r="B30" i="9"/>
  <c r="A31" i="9"/>
  <c r="B31" i="9"/>
  <c r="A32" i="9"/>
  <c r="B32" i="9"/>
  <c r="A33" i="9"/>
  <c r="B33" i="9"/>
  <c r="A34" i="9"/>
  <c r="B34" i="9"/>
  <c r="A35" i="9"/>
  <c r="B35" i="9"/>
  <c r="A36" i="9"/>
  <c r="B36" i="9"/>
  <c r="A37" i="9"/>
  <c r="B37" i="9"/>
  <c r="A38" i="9"/>
  <c r="B38" i="9"/>
  <c r="A39" i="9"/>
  <c r="B39" i="9"/>
  <c r="A40" i="9"/>
  <c r="B40" i="9"/>
  <c r="A41" i="9"/>
  <c r="B41" i="9"/>
  <c r="A42" i="9"/>
  <c r="B42" i="9"/>
  <c r="A43" i="9"/>
  <c r="B43" i="9"/>
  <c r="A44" i="9"/>
  <c r="B44" i="9"/>
  <c r="A45" i="9"/>
  <c r="B45" i="9"/>
  <c r="A46" i="9"/>
  <c r="B46" i="9"/>
  <c r="A47" i="9"/>
  <c r="B47" i="9"/>
  <c r="A48" i="9"/>
  <c r="B48" i="9"/>
  <c r="A49" i="9"/>
  <c r="B49" i="9"/>
  <c r="A50" i="9"/>
  <c r="B50" i="9"/>
  <c r="A51" i="9"/>
  <c r="B51" i="9"/>
  <c r="A52" i="9"/>
  <c r="B52" i="9"/>
  <c r="A53" i="9"/>
  <c r="B53" i="9"/>
  <c r="A54" i="9"/>
  <c r="B54" i="9"/>
  <c r="A55" i="9"/>
  <c r="B55" i="9"/>
  <c r="A56" i="9"/>
  <c r="B56" i="9"/>
  <c r="A57" i="9"/>
  <c r="B57" i="9"/>
  <c r="A58" i="9"/>
  <c r="B58" i="9"/>
  <c r="A59" i="9"/>
  <c r="B59" i="9"/>
  <c r="A60" i="9"/>
  <c r="B60" i="9"/>
  <c r="A61" i="9"/>
  <c r="B61" i="9"/>
  <c r="A62" i="9"/>
  <c r="B62" i="9"/>
  <c r="A63" i="9"/>
  <c r="B63" i="9"/>
  <c r="A64" i="9"/>
  <c r="B64" i="9"/>
  <c r="A65" i="9"/>
  <c r="B65" i="9"/>
  <c r="A66" i="9"/>
  <c r="B66" i="9"/>
  <c r="A67" i="9"/>
  <c r="B67" i="9"/>
  <c r="A68" i="9"/>
  <c r="B68" i="9"/>
  <c r="A69" i="9"/>
  <c r="B69" i="9"/>
  <c r="A70" i="9"/>
  <c r="B70" i="9"/>
  <c r="A71" i="9"/>
  <c r="B71" i="9"/>
  <c r="A72" i="9"/>
  <c r="B72" i="9"/>
  <c r="A73" i="9"/>
  <c r="B73" i="9"/>
  <c r="A74" i="9"/>
  <c r="B74" i="9"/>
  <c r="A75" i="9"/>
  <c r="B75" i="9"/>
  <c r="A76" i="9"/>
  <c r="B76" i="9"/>
  <c r="A77" i="9"/>
  <c r="B77" i="9"/>
  <c r="A78" i="9"/>
  <c r="B78" i="9"/>
  <c r="A79" i="9"/>
  <c r="B79" i="9"/>
  <c r="A80" i="9"/>
  <c r="B80" i="9"/>
  <c r="A81" i="9"/>
  <c r="B81" i="9"/>
  <c r="A82" i="9"/>
  <c r="B82" i="9"/>
  <c r="A83" i="9"/>
  <c r="B83" i="9"/>
  <c r="A84" i="9"/>
  <c r="B84" i="9"/>
  <c r="A85" i="9"/>
  <c r="B85" i="9"/>
  <c r="A86" i="9"/>
  <c r="B86" i="9"/>
  <c r="A87" i="9"/>
  <c r="B87" i="9"/>
  <c r="A88" i="9"/>
  <c r="B88" i="9"/>
  <c r="A89" i="9"/>
  <c r="B89" i="9"/>
  <c r="A90" i="9"/>
  <c r="B90" i="9"/>
  <c r="A91" i="9"/>
  <c r="B91" i="9"/>
  <c r="A92" i="9"/>
  <c r="B92" i="9"/>
  <c r="A93" i="9"/>
  <c r="B93" i="9"/>
  <c r="A94" i="9"/>
  <c r="B94" i="9"/>
  <c r="A95" i="9"/>
  <c r="B95" i="9"/>
  <c r="A96" i="9"/>
  <c r="B96" i="9"/>
  <c r="A97" i="9"/>
  <c r="B97" i="9"/>
  <c r="A98" i="9"/>
  <c r="B98" i="9"/>
  <c r="A99" i="9"/>
  <c r="B99" i="9"/>
  <c r="A100" i="9"/>
  <c r="B100" i="9"/>
  <c r="A101" i="9"/>
  <c r="B101" i="9"/>
  <c r="A102" i="9"/>
  <c r="B102" i="9"/>
  <c r="A103" i="9"/>
  <c r="B103" i="9"/>
  <c r="A104" i="9"/>
  <c r="B104" i="9"/>
  <c r="A105" i="9"/>
  <c r="B105" i="9"/>
  <c r="A106" i="9"/>
  <c r="B106" i="9"/>
  <c r="A107" i="9"/>
  <c r="B107" i="9"/>
  <c r="A108" i="9"/>
  <c r="B108" i="9"/>
  <c r="A109" i="9"/>
  <c r="B109" i="9"/>
  <c r="A110" i="9"/>
  <c r="B110" i="9"/>
  <c r="A111" i="9"/>
  <c r="B111" i="9"/>
  <c r="A112" i="9"/>
  <c r="B112" i="9"/>
  <c r="A113" i="9"/>
  <c r="B113" i="9"/>
  <c r="A114" i="9"/>
  <c r="B114" i="9"/>
  <c r="A115" i="9"/>
  <c r="B115" i="9"/>
  <c r="A116" i="9"/>
  <c r="B116" i="9"/>
  <c r="A117" i="9"/>
  <c r="B117" i="9"/>
  <c r="A118" i="9"/>
  <c r="B118" i="9"/>
  <c r="A119" i="9"/>
  <c r="B119" i="9"/>
  <c r="A120" i="9"/>
  <c r="B120" i="9"/>
  <c r="A121" i="9"/>
  <c r="B121" i="9"/>
  <c r="A122" i="9"/>
  <c r="B122" i="9"/>
  <c r="A123" i="9"/>
  <c r="B123" i="9"/>
  <c r="A124" i="9"/>
  <c r="B124" i="9"/>
  <c r="A125" i="9"/>
  <c r="B125" i="9"/>
  <c r="A126" i="9"/>
  <c r="B126" i="9"/>
  <c r="A127" i="9"/>
  <c r="B127" i="9"/>
  <c r="A128" i="9"/>
  <c r="B128" i="9"/>
  <c r="A129" i="9"/>
  <c r="B129" i="9"/>
  <c r="A130" i="9"/>
  <c r="B130" i="9"/>
  <c r="A131" i="9"/>
  <c r="B131" i="9"/>
  <c r="A132" i="9"/>
  <c r="B132" i="9"/>
  <c r="A133" i="9"/>
  <c r="B133" i="9"/>
  <c r="A134" i="9"/>
  <c r="B134" i="9"/>
  <c r="A135" i="9"/>
  <c r="B135" i="9"/>
  <c r="A136" i="9"/>
  <c r="B136" i="9"/>
  <c r="A137" i="9"/>
  <c r="B137" i="9"/>
  <c r="A138" i="9"/>
  <c r="B138" i="9"/>
  <c r="A139" i="9"/>
  <c r="B139" i="9"/>
  <c r="A140" i="9"/>
  <c r="B140" i="9"/>
  <c r="A141" i="9"/>
  <c r="B141" i="9"/>
  <c r="A142" i="9"/>
  <c r="B142" i="9"/>
  <c r="A143" i="9"/>
  <c r="B143" i="9"/>
  <c r="A144" i="9"/>
  <c r="B144" i="9"/>
  <c r="A145" i="9"/>
  <c r="B145" i="9"/>
  <c r="A146" i="9"/>
  <c r="B146" i="9"/>
  <c r="A147" i="9"/>
  <c r="B147" i="9"/>
  <c r="A148" i="9"/>
  <c r="B148" i="9"/>
  <c r="A149" i="9"/>
  <c r="B149" i="9"/>
  <c r="A150" i="9"/>
  <c r="B150" i="9"/>
  <c r="A151" i="9"/>
  <c r="B151" i="9"/>
  <c r="A152" i="9"/>
  <c r="B152" i="9"/>
  <c r="A153" i="9"/>
  <c r="B153" i="9"/>
  <c r="A154" i="9"/>
  <c r="B154" i="9"/>
  <c r="A155" i="9"/>
  <c r="B155" i="9"/>
  <c r="A156" i="9"/>
  <c r="B156" i="9"/>
  <c r="A157" i="9"/>
  <c r="B157" i="9"/>
  <c r="A158" i="9"/>
  <c r="B158" i="9"/>
  <c r="A159" i="9"/>
  <c r="B159" i="9"/>
  <c r="A160" i="9"/>
  <c r="B160" i="9"/>
  <c r="A161" i="9"/>
  <c r="B161" i="9"/>
  <c r="A162" i="9"/>
  <c r="B162" i="9"/>
  <c r="A163" i="9"/>
  <c r="B163" i="9"/>
  <c r="A164" i="9"/>
  <c r="B164" i="9"/>
  <c r="A165" i="9"/>
  <c r="B165" i="9"/>
  <c r="A166" i="9"/>
  <c r="B166" i="9"/>
  <c r="A167" i="9"/>
  <c r="B167" i="9"/>
  <c r="A168" i="9"/>
  <c r="B168" i="9"/>
  <c r="A169" i="9"/>
  <c r="B169" i="9"/>
  <c r="A170" i="9"/>
  <c r="B170" i="9"/>
  <c r="A171" i="9"/>
  <c r="B171" i="9"/>
  <c r="A172" i="9"/>
  <c r="B172" i="9"/>
  <c r="A173" i="9"/>
  <c r="B173" i="9"/>
  <c r="A174" i="9"/>
  <c r="B174" i="9"/>
  <c r="A175" i="9"/>
  <c r="B175" i="9"/>
  <c r="A176" i="9"/>
  <c r="B176" i="9"/>
  <c r="A177" i="9"/>
  <c r="B177" i="9"/>
  <c r="A178" i="9"/>
  <c r="B178" i="9"/>
  <c r="A179" i="9"/>
  <c r="B179" i="9"/>
  <c r="A180" i="9"/>
  <c r="B180" i="9"/>
  <c r="A181" i="9"/>
  <c r="B181" i="9"/>
  <c r="A182" i="9"/>
  <c r="B182" i="9"/>
  <c r="A183" i="9"/>
  <c r="B183" i="9"/>
  <c r="A184" i="9"/>
  <c r="B184" i="9"/>
  <c r="A185" i="9"/>
  <c r="B185" i="9"/>
  <c r="A186" i="9"/>
  <c r="B186" i="9"/>
  <c r="A187" i="9"/>
  <c r="B187" i="9"/>
  <c r="A188" i="9"/>
  <c r="B188" i="9"/>
  <c r="A189" i="9"/>
  <c r="B189" i="9"/>
  <c r="A190" i="9"/>
  <c r="B190" i="9"/>
  <c r="A191" i="9"/>
  <c r="B191" i="9"/>
  <c r="A192" i="9"/>
  <c r="B192" i="9"/>
  <c r="A193" i="9"/>
  <c r="B193" i="9"/>
  <c r="A194" i="9"/>
  <c r="B194" i="9"/>
  <c r="A195" i="9"/>
  <c r="B195" i="9"/>
  <c r="A196" i="9"/>
  <c r="B196" i="9"/>
  <c r="A197" i="9"/>
  <c r="B197" i="9"/>
  <c r="A198" i="9"/>
  <c r="B198" i="9"/>
  <c r="A199" i="9"/>
  <c r="B199" i="9"/>
  <c r="A200" i="9"/>
  <c r="B200" i="9"/>
  <c r="A201" i="9"/>
  <c r="B201" i="9"/>
  <c r="A202" i="9"/>
  <c r="B202" i="9"/>
  <c r="A203" i="9"/>
  <c r="B203" i="9"/>
  <c r="A204" i="9"/>
  <c r="B204" i="9"/>
  <c r="A205" i="9"/>
  <c r="B205" i="9"/>
  <c r="A206" i="9"/>
  <c r="B206" i="9"/>
  <c r="A207" i="9"/>
  <c r="B207" i="9"/>
  <c r="A208" i="9"/>
  <c r="B208" i="9"/>
  <c r="A209" i="9"/>
  <c r="B209" i="9"/>
  <c r="A210" i="9"/>
  <c r="B210" i="9"/>
  <c r="A211" i="9"/>
  <c r="B211" i="9"/>
  <c r="A212" i="9"/>
  <c r="B212" i="9"/>
  <c r="A213" i="9"/>
  <c r="B213" i="9"/>
  <c r="A214" i="9"/>
  <c r="B214" i="9"/>
  <c r="A215" i="9"/>
  <c r="B215" i="9"/>
  <c r="A216" i="9"/>
  <c r="B216" i="9"/>
  <c r="A217" i="9"/>
  <c r="B217" i="9"/>
  <c r="A218" i="9"/>
  <c r="B218" i="9"/>
  <c r="A219" i="9"/>
  <c r="B219" i="9"/>
  <c r="A220" i="9"/>
  <c r="B220" i="9"/>
  <c r="A221" i="9"/>
  <c r="B221" i="9"/>
  <c r="A222" i="9"/>
  <c r="B222" i="9"/>
  <c r="A223" i="9"/>
  <c r="B223" i="9"/>
  <c r="A224" i="9"/>
  <c r="B224" i="9"/>
  <c r="A225" i="9"/>
  <c r="B225" i="9"/>
  <c r="A226" i="9"/>
  <c r="B226" i="9"/>
  <c r="A227" i="9"/>
  <c r="B227" i="9"/>
  <c r="A228" i="9"/>
  <c r="B228" i="9"/>
  <c r="A229" i="9"/>
  <c r="B229" i="9"/>
  <c r="A230" i="9"/>
  <c r="B230" i="9"/>
  <c r="A231" i="9"/>
  <c r="B231" i="9"/>
  <c r="A232" i="9"/>
  <c r="B232" i="9"/>
  <c r="A233" i="9"/>
  <c r="B233" i="9"/>
  <c r="A234" i="9"/>
  <c r="B234" i="9"/>
  <c r="A235" i="9"/>
  <c r="B235" i="9"/>
  <c r="A236" i="9"/>
  <c r="B236" i="9"/>
  <c r="A237" i="9"/>
  <c r="B237" i="9"/>
  <c r="A238" i="9"/>
  <c r="B238" i="9"/>
  <c r="A239" i="9"/>
  <c r="B239" i="9"/>
  <c r="A240" i="9"/>
  <c r="B240" i="9"/>
  <c r="A241" i="9"/>
  <c r="B241" i="9"/>
  <c r="A242" i="9"/>
  <c r="B242" i="9"/>
  <c r="A243" i="9"/>
  <c r="B243" i="9"/>
  <c r="A244" i="9"/>
  <c r="B244" i="9"/>
  <c r="A245" i="9"/>
  <c r="B245" i="9"/>
  <c r="A246" i="9"/>
  <c r="B246" i="9"/>
  <c r="A247" i="9"/>
  <c r="B247" i="9"/>
  <c r="A248" i="9"/>
  <c r="B248" i="9"/>
  <c r="A249" i="9"/>
  <c r="B249" i="9"/>
  <c r="A250" i="9"/>
  <c r="B250" i="9"/>
  <c r="A251" i="9"/>
  <c r="B251" i="9"/>
  <c r="A252" i="9"/>
  <c r="B252" i="9"/>
  <c r="A253" i="9"/>
  <c r="B253" i="9"/>
  <c r="A254" i="9"/>
  <c r="B254" i="9"/>
  <c r="A255" i="9"/>
  <c r="B255" i="9"/>
  <c r="A256" i="9"/>
  <c r="B256" i="9"/>
  <c r="A257" i="9"/>
  <c r="B257" i="9"/>
  <c r="A258" i="9"/>
  <c r="B258" i="9"/>
  <c r="A259" i="9"/>
  <c r="B259" i="9"/>
  <c r="A260" i="9"/>
  <c r="B260" i="9"/>
  <c r="A261" i="9"/>
  <c r="B261" i="9"/>
  <c r="A262" i="9"/>
  <c r="B262" i="9"/>
  <c r="A263" i="9"/>
  <c r="B263" i="9"/>
  <c r="A264" i="9"/>
  <c r="B264" i="9"/>
  <c r="A265" i="9"/>
  <c r="B265" i="9"/>
  <c r="A266" i="9"/>
  <c r="B266" i="9"/>
  <c r="A267" i="9"/>
  <c r="B267" i="9"/>
  <c r="A268" i="9"/>
  <c r="B268" i="9"/>
  <c r="A269" i="9"/>
  <c r="B269" i="9"/>
  <c r="A270" i="9"/>
  <c r="B270" i="9"/>
  <c r="A271" i="9"/>
  <c r="B271" i="9"/>
  <c r="A272" i="9"/>
  <c r="B272" i="9"/>
  <c r="A273" i="9"/>
  <c r="B273" i="9"/>
  <c r="A274" i="9"/>
  <c r="B274" i="9"/>
  <c r="A275" i="9"/>
  <c r="B275" i="9"/>
  <c r="A276" i="9"/>
  <c r="B276" i="9"/>
  <c r="A277" i="9"/>
  <c r="B277" i="9"/>
  <c r="A278" i="9"/>
  <c r="B278" i="9"/>
  <c r="A279" i="9"/>
  <c r="B279" i="9"/>
  <c r="A280" i="9"/>
  <c r="B280" i="9"/>
  <c r="A281" i="9"/>
  <c r="B281" i="9"/>
  <c r="A282" i="9"/>
  <c r="B282" i="9"/>
  <c r="A283" i="9"/>
  <c r="B283" i="9"/>
  <c r="A284" i="9"/>
  <c r="B284" i="9"/>
  <c r="A285" i="9"/>
  <c r="B285" i="9"/>
  <c r="A286" i="9"/>
  <c r="B286" i="9"/>
  <c r="A287" i="9"/>
  <c r="B287" i="9"/>
  <c r="A288" i="9"/>
  <c r="B288" i="9"/>
  <c r="A289" i="9"/>
  <c r="B289" i="9"/>
  <c r="A290" i="9"/>
  <c r="B290" i="9"/>
  <c r="A291" i="9"/>
  <c r="B291" i="9"/>
  <c r="A292" i="9"/>
  <c r="B292" i="9"/>
  <c r="A293" i="9"/>
  <c r="B293" i="9"/>
  <c r="A294" i="9"/>
  <c r="B294" i="9"/>
  <c r="A295" i="9"/>
  <c r="B295" i="9"/>
  <c r="A296" i="9"/>
  <c r="B296" i="9"/>
  <c r="A297" i="9"/>
  <c r="B297" i="9"/>
  <c r="A298" i="9"/>
  <c r="B298" i="9"/>
  <c r="A299" i="9"/>
  <c r="B299" i="9"/>
  <c r="A300" i="9"/>
  <c r="B300" i="9"/>
  <c r="A301" i="9"/>
  <c r="B301" i="9"/>
  <c r="A302" i="9"/>
  <c r="B302" i="9"/>
  <c r="A303" i="9"/>
  <c r="B303" i="9"/>
  <c r="A304" i="9"/>
  <c r="B304" i="9"/>
  <c r="A305" i="9"/>
  <c r="B305" i="9"/>
  <c r="A306" i="9"/>
  <c r="B306" i="9"/>
  <c r="A307" i="9"/>
  <c r="B307" i="9"/>
  <c r="A308" i="9"/>
  <c r="B308" i="9"/>
  <c r="A309" i="9"/>
  <c r="B309" i="9"/>
  <c r="A310" i="9"/>
  <c r="B310" i="9"/>
  <c r="A311" i="9"/>
  <c r="B311" i="9"/>
  <c r="A312" i="9"/>
  <c r="B312" i="9"/>
  <c r="A313" i="9"/>
  <c r="B313" i="9"/>
  <c r="A314" i="9"/>
  <c r="B314" i="9"/>
  <c r="A315" i="9"/>
  <c r="B315" i="9"/>
  <c r="A316" i="9"/>
  <c r="B316" i="9"/>
  <c r="A317" i="9"/>
  <c r="B317" i="9"/>
  <c r="A318" i="9"/>
  <c r="B318" i="9"/>
  <c r="A319" i="9"/>
  <c r="B319" i="9"/>
  <c r="A320" i="9"/>
  <c r="B320" i="9"/>
  <c r="A321" i="9"/>
  <c r="B321" i="9"/>
  <c r="A322" i="9"/>
  <c r="B322" i="9"/>
  <c r="A323" i="9"/>
  <c r="B323" i="9"/>
  <c r="A324" i="9"/>
  <c r="B324" i="9"/>
  <c r="A325" i="9"/>
  <c r="B325" i="9"/>
  <c r="A326" i="9"/>
  <c r="B326" i="9"/>
  <c r="A327" i="9"/>
  <c r="B327" i="9"/>
  <c r="A328" i="9"/>
  <c r="B328" i="9"/>
  <c r="B11" i="9"/>
  <c r="A11" i="9"/>
  <c r="D334" i="34" l="1"/>
  <c r="B323" i="37"/>
  <c r="C323" i="37"/>
  <c r="C326" i="36"/>
  <c r="B326" i="36"/>
  <c r="B323" i="12"/>
  <c r="B323" i="39"/>
  <c r="B324" i="13"/>
  <c r="B334" i="34"/>
  <c r="C329" i="9"/>
  <c r="B329" i="9"/>
  <c r="H3" i="33" l="1"/>
  <c r="I3" i="33"/>
  <c r="J3" i="33"/>
  <c r="G3" i="33"/>
  <c r="J4" i="33"/>
  <c r="H4" i="33"/>
  <c r="I4" i="33"/>
  <c r="G4" i="33"/>
  <c r="C4" i="32" l="1"/>
  <c r="A6" i="33"/>
  <c r="B6" i="33"/>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306" i="33"/>
  <c r="B306" i="33"/>
  <c r="A307" i="33"/>
  <c r="B307" i="33"/>
  <c r="A308" i="33"/>
  <c r="B308" i="33"/>
  <c r="A309" i="33"/>
  <c r="B309" i="33"/>
  <c r="A310" i="33"/>
  <c r="B310" i="33"/>
  <c r="A311" i="33"/>
  <c r="B311" i="33"/>
  <c r="A312" i="33"/>
  <c r="B312" i="33"/>
  <c r="A313" i="33"/>
  <c r="B313" i="33"/>
  <c r="A314" i="33"/>
  <c r="B314" i="33"/>
  <c r="A315" i="33"/>
  <c r="B315" i="33"/>
  <c r="A316" i="33"/>
  <c r="B316" i="33"/>
  <c r="A317" i="33"/>
  <c r="B317" i="33"/>
  <c r="A318" i="33"/>
  <c r="B318" i="33"/>
  <c r="A319" i="33"/>
  <c r="B319" i="33"/>
  <c r="A320" i="33"/>
  <c r="B320" i="33"/>
  <c r="A321" i="33"/>
  <c r="B321" i="33"/>
  <c r="A322" i="33"/>
  <c r="B322" i="33"/>
  <c r="B5" i="33"/>
  <c r="A5" i="33"/>
  <c r="A6" i="32"/>
  <c r="B6" i="32"/>
  <c r="A7" i="32"/>
  <c r="B7" i="32"/>
  <c r="A8" i="32"/>
  <c r="B8" i="32"/>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0" i="32"/>
  <c r="B160" i="32"/>
  <c r="A161" i="32"/>
  <c r="B161" i="32"/>
  <c r="A162" i="32"/>
  <c r="B162" i="32"/>
  <c r="A163" i="32"/>
  <c r="B163" i="32"/>
  <c r="A164" i="32"/>
  <c r="B164" i="32"/>
  <c r="A165" i="32"/>
  <c r="B165" i="32"/>
  <c r="A166" i="32"/>
  <c r="B166" i="32"/>
  <c r="A167" i="32"/>
  <c r="B167" i="32"/>
  <c r="A168" i="32"/>
  <c r="B168" i="32"/>
  <c r="A169" i="32"/>
  <c r="B169" i="32"/>
  <c r="A170" i="32"/>
  <c r="B170" i="32"/>
  <c r="A171" i="32"/>
  <c r="B171" i="32"/>
  <c r="A172" i="32"/>
  <c r="B172" i="32"/>
  <c r="A173" i="32"/>
  <c r="B173" i="32"/>
  <c r="A174" i="32"/>
  <c r="B174" i="32"/>
  <c r="A175" i="32"/>
  <c r="B175" i="32"/>
  <c r="A176" i="32"/>
  <c r="B176" i="32"/>
  <c r="A177" i="32"/>
  <c r="B177" i="32"/>
  <c r="A178" i="32"/>
  <c r="B178" i="32"/>
  <c r="A179" i="32"/>
  <c r="B179" i="32"/>
  <c r="A180" i="32"/>
  <c r="B180" i="32"/>
  <c r="A181" i="32"/>
  <c r="B181" i="32"/>
  <c r="A182" i="32"/>
  <c r="B182" i="32"/>
  <c r="A183" i="32"/>
  <c r="B183" i="32"/>
  <c r="A184" i="32"/>
  <c r="B184" i="32"/>
  <c r="A185" i="32"/>
  <c r="B185" i="32"/>
  <c r="A186" i="32"/>
  <c r="B186" i="32"/>
  <c r="A187" i="32"/>
  <c r="B187" i="32"/>
  <c r="A188" i="32"/>
  <c r="B188" i="32"/>
  <c r="A189" i="32"/>
  <c r="B189" i="32"/>
  <c r="A190" i="32"/>
  <c r="B190" i="32"/>
  <c r="A191" i="32"/>
  <c r="B191" i="32"/>
  <c r="A192" i="32"/>
  <c r="B192" i="32"/>
  <c r="A193" i="32"/>
  <c r="B193" i="32"/>
  <c r="A194" i="32"/>
  <c r="B194" i="32"/>
  <c r="A195" i="32"/>
  <c r="B195" i="32"/>
  <c r="A196" i="32"/>
  <c r="B196" i="32"/>
  <c r="A197" i="32"/>
  <c r="B197" i="32"/>
  <c r="A198" i="32"/>
  <c r="B198" i="32"/>
  <c r="A199" i="32"/>
  <c r="B199" i="32"/>
  <c r="A200" i="32"/>
  <c r="B200" i="32"/>
  <c r="A201" i="32"/>
  <c r="B201" i="32"/>
  <c r="A202" i="32"/>
  <c r="B202" i="32"/>
  <c r="A203" i="32"/>
  <c r="B203" i="32"/>
  <c r="A204" i="32"/>
  <c r="B204" i="32"/>
  <c r="A205" i="32"/>
  <c r="B205" i="32"/>
  <c r="A206" i="32"/>
  <c r="B206" i="32"/>
  <c r="A207" i="32"/>
  <c r="B207" i="32"/>
  <c r="A208" i="32"/>
  <c r="B208" i="32"/>
  <c r="A209" i="32"/>
  <c r="B209" i="32"/>
  <c r="A210" i="32"/>
  <c r="B210" i="32"/>
  <c r="A211" i="32"/>
  <c r="B211" i="32"/>
  <c r="A212" i="32"/>
  <c r="B212" i="32"/>
  <c r="A213" i="32"/>
  <c r="B213" i="32"/>
  <c r="A214" i="32"/>
  <c r="B214" i="32"/>
  <c r="A215" i="32"/>
  <c r="B215" i="32"/>
  <c r="A216" i="32"/>
  <c r="B216" i="32"/>
  <c r="A217" i="32"/>
  <c r="B217" i="32"/>
  <c r="A218" i="32"/>
  <c r="B218" i="32"/>
  <c r="A219" i="32"/>
  <c r="B219" i="32"/>
  <c r="A220" i="32"/>
  <c r="B220" i="32"/>
  <c r="A221" i="32"/>
  <c r="B221" i="32"/>
  <c r="A222" i="32"/>
  <c r="B222" i="32"/>
  <c r="A223" i="32"/>
  <c r="B223" i="32"/>
  <c r="A224" i="32"/>
  <c r="B224" i="32"/>
  <c r="A225" i="32"/>
  <c r="B225" i="32"/>
  <c r="A226" i="32"/>
  <c r="B226" i="32"/>
  <c r="A227" i="32"/>
  <c r="B227" i="32"/>
  <c r="A228" i="32"/>
  <c r="B228" i="32"/>
  <c r="A229" i="32"/>
  <c r="B229" i="32"/>
  <c r="A230" i="32"/>
  <c r="B230" i="32"/>
  <c r="A231" i="32"/>
  <c r="B231" i="32"/>
  <c r="A232" i="32"/>
  <c r="B232" i="32"/>
  <c r="A233" i="32"/>
  <c r="B233" i="32"/>
  <c r="A234" i="32"/>
  <c r="B234" i="32"/>
  <c r="A235" i="32"/>
  <c r="B235" i="32"/>
  <c r="A236" i="32"/>
  <c r="B236" i="32"/>
  <c r="A237" i="32"/>
  <c r="B237" i="32"/>
  <c r="A238" i="32"/>
  <c r="B238" i="32"/>
  <c r="A239" i="32"/>
  <c r="B239" i="32"/>
  <c r="A240" i="32"/>
  <c r="B240" i="32"/>
  <c r="A241" i="32"/>
  <c r="B241" i="32"/>
  <c r="A242" i="32"/>
  <c r="B242" i="32"/>
  <c r="A243" i="32"/>
  <c r="B243" i="32"/>
  <c r="A244" i="32"/>
  <c r="B244" i="32"/>
  <c r="A245" i="32"/>
  <c r="B245" i="32"/>
  <c r="A246" i="32"/>
  <c r="B246" i="32"/>
  <c r="A247" i="32"/>
  <c r="B247" i="32"/>
  <c r="A248" i="32"/>
  <c r="B248" i="32"/>
  <c r="A249" i="32"/>
  <c r="B249" i="32"/>
  <c r="A250" i="32"/>
  <c r="B250" i="32"/>
  <c r="A251" i="32"/>
  <c r="B251" i="32"/>
  <c r="A252" i="32"/>
  <c r="B252" i="32"/>
  <c r="A253" i="32"/>
  <c r="B253" i="32"/>
  <c r="A254" i="32"/>
  <c r="B254" i="32"/>
  <c r="A255" i="32"/>
  <c r="B255" i="32"/>
  <c r="A256" i="32"/>
  <c r="B256" i="32"/>
  <c r="A257" i="32"/>
  <c r="B257" i="32"/>
  <c r="A258" i="32"/>
  <c r="B258" i="32"/>
  <c r="A259" i="32"/>
  <c r="B259" i="32"/>
  <c r="A260" i="32"/>
  <c r="B260" i="32"/>
  <c r="A261" i="32"/>
  <c r="B261" i="32"/>
  <c r="A262" i="32"/>
  <c r="B262" i="32"/>
  <c r="A263" i="32"/>
  <c r="B263" i="32"/>
  <c r="A264" i="32"/>
  <c r="B264" i="32"/>
  <c r="A265" i="32"/>
  <c r="B265" i="32"/>
  <c r="A266" i="32"/>
  <c r="B266" i="32"/>
  <c r="A267" i="32"/>
  <c r="B267" i="32"/>
  <c r="A268" i="32"/>
  <c r="B268" i="32"/>
  <c r="A269" i="32"/>
  <c r="B269" i="32"/>
  <c r="A270" i="32"/>
  <c r="B270" i="32"/>
  <c r="A271" i="32"/>
  <c r="B271" i="32"/>
  <c r="A272" i="32"/>
  <c r="B272" i="32"/>
  <c r="A273" i="32"/>
  <c r="B273" i="32"/>
  <c r="A274" i="32"/>
  <c r="B274" i="32"/>
  <c r="A275" i="32"/>
  <c r="B275" i="32"/>
  <c r="A276" i="32"/>
  <c r="B276" i="32"/>
  <c r="A277" i="32"/>
  <c r="B277" i="32"/>
  <c r="A278" i="32"/>
  <c r="B278" i="32"/>
  <c r="A279" i="32"/>
  <c r="B279" i="32"/>
  <c r="A280" i="32"/>
  <c r="B280" i="32"/>
  <c r="A281" i="32"/>
  <c r="B281" i="32"/>
  <c r="A282" i="32"/>
  <c r="B282" i="32"/>
  <c r="A283" i="32"/>
  <c r="B283" i="32"/>
  <c r="A284" i="32"/>
  <c r="B284" i="32"/>
  <c r="A285" i="32"/>
  <c r="B285" i="32"/>
  <c r="A286" i="32"/>
  <c r="B286" i="32"/>
  <c r="A287" i="32"/>
  <c r="B287" i="32"/>
  <c r="A288" i="32"/>
  <c r="B288" i="32"/>
  <c r="A289" i="32"/>
  <c r="B289" i="32"/>
  <c r="A290" i="32"/>
  <c r="B290" i="32"/>
  <c r="A291" i="32"/>
  <c r="B291" i="32"/>
  <c r="A292" i="32"/>
  <c r="B292" i="32"/>
  <c r="A293" i="32"/>
  <c r="B293" i="32"/>
  <c r="A294" i="32"/>
  <c r="B294" i="32"/>
  <c r="A295" i="32"/>
  <c r="B295" i="32"/>
  <c r="A296" i="32"/>
  <c r="B296" i="32"/>
  <c r="A297" i="32"/>
  <c r="B297" i="32"/>
  <c r="A298" i="32"/>
  <c r="B298" i="32"/>
  <c r="A299" i="32"/>
  <c r="B299" i="32"/>
  <c r="A300" i="32"/>
  <c r="B300" i="32"/>
  <c r="A301" i="32"/>
  <c r="B301" i="32"/>
  <c r="A302" i="32"/>
  <c r="B302" i="32"/>
  <c r="A303" i="32"/>
  <c r="B303" i="32"/>
  <c r="A304" i="32"/>
  <c r="B304" i="32"/>
  <c r="A305" i="32"/>
  <c r="B305" i="32"/>
  <c r="A306" i="32"/>
  <c r="B306" i="32"/>
  <c r="A307" i="32"/>
  <c r="B307" i="32"/>
  <c r="A308" i="32"/>
  <c r="B308" i="32"/>
  <c r="A309" i="32"/>
  <c r="B309" i="32"/>
  <c r="A310" i="32"/>
  <c r="B310" i="32"/>
  <c r="A311" i="32"/>
  <c r="B311" i="32"/>
  <c r="A312" i="32"/>
  <c r="B312" i="32"/>
  <c r="A313" i="32"/>
  <c r="B313" i="32"/>
  <c r="A314" i="32"/>
  <c r="B314" i="32"/>
  <c r="A315" i="32"/>
  <c r="B315" i="32"/>
  <c r="A316" i="32"/>
  <c r="B316" i="32"/>
  <c r="A317" i="32"/>
  <c r="B317" i="32"/>
  <c r="A318" i="32"/>
  <c r="B318" i="32"/>
  <c r="A319" i="32"/>
  <c r="B319" i="32"/>
  <c r="A320" i="32"/>
  <c r="B320" i="32"/>
  <c r="A321" i="32"/>
  <c r="B321" i="32"/>
  <c r="A322" i="32"/>
  <c r="B322" i="32"/>
  <c r="B5" i="32"/>
  <c r="A5" i="32"/>
  <c r="A8" i="19"/>
  <c r="B8" i="19"/>
  <c r="A9" i="19"/>
  <c r="B9" i="19"/>
  <c r="A10" i="19"/>
  <c r="B10" i="19"/>
  <c r="A11" i="19"/>
  <c r="B11" i="19"/>
  <c r="A12" i="19"/>
  <c r="B12" i="19"/>
  <c r="A13" i="19"/>
  <c r="B13" i="19"/>
  <c r="A14" i="19"/>
  <c r="B14" i="19"/>
  <c r="A15" i="19"/>
  <c r="B15" i="19"/>
  <c r="A16" i="19"/>
  <c r="B16" i="19"/>
  <c r="A17" i="19"/>
  <c r="B17" i="19"/>
  <c r="A18" i="19"/>
  <c r="B18" i="19"/>
  <c r="A19" i="19"/>
  <c r="B19" i="19"/>
  <c r="A20" i="19"/>
  <c r="B20" i="19"/>
  <c r="A21" i="19"/>
  <c r="B21" i="19"/>
  <c r="A22" i="19"/>
  <c r="B22" i="19"/>
  <c r="A23" i="19"/>
  <c r="B23" i="19"/>
  <c r="A24" i="19"/>
  <c r="B24" i="19"/>
  <c r="A25" i="19"/>
  <c r="B25" i="19"/>
  <c r="A26" i="19"/>
  <c r="B26" i="19"/>
  <c r="A27" i="19"/>
  <c r="B27" i="19"/>
  <c r="A28" i="19"/>
  <c r="B28" i="19"/>
  <c r="A29" i="19"/>
  <c r="B29" i="19"/>
  <c r="A30" i="19"/>
  <c r="B30" i="19"/>
  <c r="A31" i="19"/>
  <c r="B31" i="19"/>
  <c r="A32" i="19"/>
  <c r="B32" i="19"/>
  <c r="A33" i="19"/>
  <c r="B33" i="19"/>
  <c r="A34" i="19"/>
  <c r="B34" i="19"/>
  <c r="A35" i="19"/>
  <c r="B35" i="19"/>
  <c r="A36" i="19"/>
  <c r="B36" i="19"/>
  <c r="A37" i="19"/>
  <c r="B37" i="19"/>
  <c r="A38" i="19"/>
  <c r="B38" i="19"/>
  <c r="A39" i="19"/>
  <c r="B39" i="19"/>
  <c r="A40" i="19"/>
  <c r="B40" i="19"/>
  <c r="A41" i="19"/>
  <c r="B41" i="19"/>
  <c r="A42" i="19"/>
  <c r="B42" i="19"/>
  <c r="A43" i="19"/>
  <c r="B43" i="19"/>
  <c r="A44" i="19"/>
  <c r="B44" i="19"/>
  <c r="A45" i="19"/>
  <c r="B45" i="19"/>
  <c r="A46" i="19"/>
  <c r="B46" i="19"/>
  <c r="A47" i="19"/>
  <c r="B47" i="19"/>
  <c r="A48" i="19"/>
  <c r="B48" i="19"/>
  <c r="A49" i="19"/>
  <c r="B49" i="19"/>
  <c r="A50" i="19"/>
  <c r="B50" i="19"/>
  <c r="A51" i="19"/>
  <c r="B51" i="19"/>
  <c r="A52" i="19"/>
  <c r="B52" i="19"/>
  <c r="A53" i="19"/>
  <c r="B53" i="19"/>
  <c r="A54" i="19"/>
  <c r="B54" i="19"/>
  <c r="A55" i="19"/>
  <c r="B55" i="19"/>
  <c r="A56" i="19"/>
  <c r="B56" i="19"/>
  <c r="A57" i="19"/>
  <c r="B57" i="19"/>
  <c r="A58" i="19"/>
  <c r="B58" i="19"/>
  <c r="A59" i="19"/>
  <c r="B59" i="19"/>
  <c r="A60" i="19"/>
  <c r="B60" i="19"/>
  <c r="A61" i="19"/>
  <c r="B61" i="19"/>
  <c r="A62" i="19"/>
  <c r="B62" i="19"/>
  <c r="A63" i="19"/>
  <c r="B63" i="19"/>
  <c r="A64" i="19"/>
  <c r="B64" i="19"/>
  <c r="A65" i="19"/>
  <c r="B65" i="19"/>
  <c r="A66" i="19"/>
  <c r="B66" i="19"/>
  <c r="A67" i="19"/>
  <c r="B67" i="19"/>
  <c r="A68" i="19"/>
  <c r="B68" i="19"/>
  <c r="A69" i="19"/>
  <c r="B69" i="19"/>
  <c r="A70" i="19"/>
  <c r="B70" i="19"/>
  <c r="A71" i="19"/>
  <c r="B71" i="19"/>
  <c r="A72" i="19"/>
  <c r="B72" i="19"/>
  <c r="A73" i="19"/>
  <c r="B73" i="19"/>
  <c r="A74" i="19"/>
  <c r="B74" i="19"/>
  <c r="A75" i="19"/>
  <c r="B75" i="19"/>
  <c r="A76" i="19"/>
  <c r="B76" i="19"/>
  <c r="A77" i="19"/>
  <c r="B77" i="19"/>
  <c r="A78" i="19"/>
  <c r="B78" i="19"/>
  <c r="A79" i="19"/>
  <c r="B79" i="19"/>
  <c r="A80" i="19"/>
  <c r="B80" i="19"/>
  <c r="A81" i="19"/>
  <c r="B81" i="19"/>
  <c r="A82" i="19"/>
  <c r="B82" i="19"/>
  <c r="A83" i="19"/>
  <c r="B83" i="19"/>
  <c r="A84" i="19"/>
  <c r="B84" i="19"/>
  <c r="A85" i="19"/>
  <c r="B85" i="19"/>
  <c r="A86" i="19"/>
  <c r="B86" i="19"/>
  <c r="A87" i="19"/>
  <c r="B87" i="19"/>
  <c r="A88" i="19"/>
  <c r="B88" i="19"/>
  <c r="A89" i="19"/>
  <c r="B89" i="19"/>
  <c r="A90" i="19"/>
  <c r="B90" i="19"/>
  <c r="A91" i="19"/>
  <c r="B91" i="19"/>
  <c r="A92" i="19"/>
  <c r="B92" i="19"/>
  <c r="A93" i="19"/>
  <c r="B93" i="19"/>
  <c r="A94" i="19"/>
  <c r="B94" i="19"/>
  <c r="A95" i="19"/>
  <c r="B95" i="19"/>
  <c r="A96" i="19"/>
  <c r="B96" i="19"/>
  <c r="A97" i="19"/>
  <c r="B97" i="19"/>
  <c r="A98" i="19"/>
  <c r="B98" i="19"/>
  <c r="A99" i="19"/>
  <c r="B99" i="19"/>
  <c r="A100" i="19"/>
  <c r="B100" i="19"/>
  <c r="A101" i="19"/>
  <c r="B101" i="19"/>
  <c r="A102" i="19"/>
  <c r="B102" i="19"/>
  <c r="A103" i="19"/>
  <c r="B103" i="19"/>
  <c r="A104" i="19"/>
  <c r="B104" i="19"/>
  <c r="A105" i="19"/>
  <c r="B105" i="19"/>
  <c r="A106" i="19"/>
  <c r="B106" i="19"/>
  <c r="A107" i="19"/>
  <c r="B107" i="19"/>
  <c r="A108" i="19"/>
  <c r="B108" i="19"/>
  <c r="A109" i="19"/>
  <c r="B109" i="19"/>
  <c r="A110" i="19"/>
  <c r="B110" i="19"/>
  <c r="A111" i="19"/>
  <c r="B111" i="19"/>
  <c r="A112" i="19"/>
  <c r="B112" i="19"/>
  <c r="A113" i="19"/>
  <c r="B113" i="19"/>
  <c r="A114" i="19"/>
  <c r="B114" i="19"/>
  <c r="A115" i="19"/>
  <c r="B115" i="19"/>
  <c r="A116" i="19"/>
  <c r="B116" i="19"/>
  <c r="A117" i="19"/>
  <c r="B117" i="19"/>
  <c r="A118" i="19"/>
  <c r="B118" i="19"/>
  <c r="A119" i="19"/>
  <c r="B119" i="19"/>
  <c r="A120" i="19"/>
  <c r="B120" i="19"/>
  <c r="A121" i="19"/>
  <c r="B121" i="19"/>
  <c r="A122" i="19"/>
  <c r="B122" i="19"/>
  <c r="A123" i="19"/>
  <c r="B123" i="19"/>
  <c r="A124" i="19"/>
  <c r="B124" i="19"/>
  <c r="A125" i="19"/>
  <c r="B125" i="19"/>
  <c r="A126" i="19"/>
  <c r="B126" i="19"/>
  <c r="A127" i="19"/>
  <c r="B127" i="19"/>
  <c r="A128" i="19"/>
  <c r="B128" i="19"/>
  <c r="A129" i="19"/>
  <c r="B129" i="19"/>
  <c r="A130" i="19"/>
  <c r="B130" i="19"/>
  <c r="A131" i="19"/>
  <c r="B131" i="19"/>
  <c r="A132" i="19"/>
  <c r="B132" i="19"/>
  <c r="A133" i="19"/>
  <c r="B133" i="19"/>
  <c r="A134" i="19"/>
  <c r="B134" i="19"/>
  <c r="A135" i="19"/>
  <c r="B135" i="19"/>
  <c r="A136" i="19"/>
  <c r="B136" i="19"/>
  <c r="A137" i="19"/>
  <c r="B137" i="19"/>
  <c r="A138" i="19"/>
  <c r="B138" i="19"/>
  <c r="A139" i="19"/>
  <c r="B139" i="19"/>
  <c r="A140" i="19"/>
  <c r="B140" i="19"/>
  <c r="A141" i="19"/>
  <c r="B141" i="19"/>
  <c r="A142" i="19"/>
  <c r="B142" i="19"/>
  <c r="A143" i="19"/>
  <c r="B143" i="19"/>
  <c r="A144" i="19"/>
  <c r="B144" i="19"/>
  <c r="A145" i="19"/>
  <c r="B145" i="19"/>
  <c r="A146" i="19"/>
  <c r="B146" i="19"/>
  <c r="A147" i="19"/>
  <c r="B147" i="19"/>
  <c r="A148" i="19"/>
  <c r="B148" i="19"/>
  <c r="A149" i="19"/>
  <c r="B149" i="19"/>
  <c r="A150" i="19"/>
  <c r="B150" i="19"/>
  <c r="A151" i="19"/>
  <c r="B151" i="19"/>
  <c r="A152" i="19"/>
  <c r="B152" i="19"/>
  <c r="A153" i="19"/>
  <c r="B153" i="19"/>
  <c r="A154" i="19"/>
  <c r="B154" i="19"/>
  <c r="A155" i="19"/>
  <c r="B155" i="19"/>
  <c r="A156" i="19"/>
  <c r="B156" i="19"/>
  <c r="A157" i="19"/>
  <c r="B157" i="19"/>
  <c r="A158" i="19"/>
  <c r="B158" i="19"/>
  <c r="A159" i="19"/>
  <c r="B159" i="19"/>
  <c r="A160" i="19"/>
  <c r="B160" i="19"/>
  <c r="A161" i="19"/>
  <c r="B161" i="19"/>
  <c r="A162" i="19"/>
  <c r="B162" i="19"/>
  <c r="A163" i="19"/>
  <c r="B163" i="19"/>
  <c r="A164" i="19"/>
  <c r="B164" i="19"/>
  <c r="A165" i="19"/>
  <c r="B165" i="19"/>
  <c r="A166" i="19"/>
  <c r="B166" i="19"/>
  <c r="A167" i="19"/>
  <c r="B167" i="19"/>
  <c r="A168" i="19"/>
  <c r="B168" i="19"/>
  <c r="A169" i="19"/>
  <c r="B169" i="19"/>
  <c r="A170" i="19"/>
  <c r="B170" i="19"/>
  <c r="A171" i="19"/>
  <c r="B171" i="19"/>
  <c r="A172" i="19"/>
  <c r="B172" i="19"/>
  <c r="A173" i="19"/>
  <c r="B173" i="19"/>
  <c r="A174" i="19"/>
  <c r="B174" i="19"/>
  <c r="A175" i="19"/>
  <c r="B175" i="19"/>
  <c r="A176" i="19"/>
  <c r="B176" i="19"/>
  <c r="A177" i="19"/>
  <c r="B177" i="19"/>
  <c r="A178" i="19"/>
  <c r="B178" i="19"/>
  <c r="A179" i="19"/>
  <c r="B179" i="19"/>
  <c r="A180" i="19"/>
  <c r="B180" i="19"/>
  <c r="A181" i="19"/>
  <c r="B181" i="19"/>
  <c r="A182" i="19"/>
  <c r="B182" i="19"/>
  <c r="A183" i="19"/>
  <c r="B183" i="19"/>
  <c r="A184" i="19"/>
  <c r="B184" i="19"/>
  <c r="A185" i="19"/>
  <c r="B185" i="19"/>
  <c r="A186" i="19"/>
  <c r="B186" i="19"/>
  <c r="A187" i="19"/>
  <c r="B187" i="19"/>
  <c r="A188" i="19"/>
  <c r="B188" i="19"/>
  <c r="A189" i="19"/>
  <c r="B189" i="19"/>
  <c r="A190" i="19"/>
  <c r="B190" i="19"/>
  <c r="A191" i="19"/>
  <c r="B191" i="19"/>
  <c r="A192" i="19"/>
  <c r="B192" i="19"/>
  <c r="A193" i="19"/>
  <c r="B193" i="19"/>
  <c r="A194" i="19"/>
  <c r="B194" i="19"/>
  <c r="A195" i="19"/>
  <c r="B195" i="19"/>
  <c r="A196" i="19"/>
  <c r="B196" i="19"/>
  <c r="A197" i="19"/>
  <c r="B197" i="19"/>
  <c r="A198" i="19"/>
  <c r="B198" i="19"/>
  <c r="A199" i="19"/>
  <c r="B199" i="19"/>
  <c r="A200" i="19"/>
  <c r="B200" i="19"/>
  <c r="A201" i="19"/>
  <c r="B201" i="19"/>
  <c r="A202" i="19"/>
  <c r="B202" i="19"/>
  <c r="A203" i="19"/>
  <c r="B203" i="19"/>
  <c r="A204" i="19"/>
  <c r="B204" i="19"/>
  <c r="A205" i="19"/>
  <c r="B205" i="19"/>
  <c r="A206" i="19"/>
  <c r="B206" i="19"/>
  <c r="A207" i="19"/>
  <c r="B207" i="19"/>
  <c r="A208" i="19"/>
  <c r="B208" i="19"/>
  <c r="A209" i="19"/>
  <c r="B209" i="19"/>
  <c r="A210" i="19"/>
  <c r="B210" i="19"/>
  <c r="A211" i="19"/>
  <c r="B211" i="19"/>
  <c r="A212" i="19"/>
  <c r="B212" i="19"/>
  <c r="A213" i="19"/>
  <c r="B213" i="19"/>
  <c r="A214" i="19"/>
  <c r="B214" i="19"/>
  <c r="A215" i="19"/>
  <c r="B215" i="19"/>
  <c r="A216" i="19"/>
  <c r="B216" i="19"/>
  <c r="A217" i="19"/>
  <c r="B217" i="19"/>
  <c r="A218" i="19"/>
  <c r="B218" i="19"/>
  <c r="A219" i="19"/>
  <c r="B219" i="19"/>
  <c r="A220" i="19"/>
  <c r="B220" i="19"/>
  <c r="A221" i="19"/>
  <c r="B221" i="19"/>
  <c r="A222" i="19"/>
  <c r="B222" i="19"/>
  <c r="A223" i="19"/>
  <c r="B223" i="19"/>
  <c r="A224" i="19"/>
  <c r="B224" i="19"/>
  <c r="A225" i="19"/>
  <c r="B225" i="19"/>
  <c r="A226" i="19"/>
  <c r="B226" i="19"/>
  <c r="A227" i="19"/>
  <c r="B227" i="19"/>
  <c r="A228" i="19"/>
  <c r="B228" i="19"/>
  <c r="A229" i="19"/>
  <c r="B229" i="19"/>
  <c r="A230" i="19"/>
  <c r="B230" i="19"/>
  <c r="A231" i="19"/>
  <c r="B231" i="19"/>
  <c r="A232" i="19"/>
  <c r="B232" i="19"/>
  <c r="A233" i="19"/>
  <c r="B233" i="19"/>
  <c r="A234" i="19"/>
  <c r="B234" i="19"/>
  <c r="A235" i="19"/>
  <c r="B235" i="19"/>
  <c r="A236" i="19"/>
  <c r="B236" i="19"/>
  <c r="A237" i="19"/>
  <c r="B237" i="19"/>
  <c r="A238" i="19"/>
  <c r="B238" i="19"/>
  <c r="A239" i="19"/>
  <c r="B239" i="19"/>
  <c r="A240" i="19"/>
  <c r="B240" i="19"/>
  <c r="A241" i="19"/>
  <c r="B241" i="19"/>
  <c r="A242" i="19"/>
  <c r="B242" i="19"/>
  <c r="A243" i="19"/>
  <c r="B243" i="19"/>
  <c r="A244" i="19"/>
  <c r="B244" i="19"/>
  <c r="A245" i="19"/>
  <c r="B245" i="19"/>
  <c r="A246" i="19"/>
  <c r="B246" i="19"/>
  <c r="A247" i="19"/>
  <c r="B247" i="19"/>
  <c r="A248" i="19"/>
  <c r="B248" i="19"/>
  <c r="A249" i="19"/>
  <c r="B249" i="19"/>
  <c r="A250" i="19"/>
  <c r="B250" i="19"/>
  <c r="A251" i="19"/>
  <c r="B251" i="19"/>
  <c r="A252" i="19"/>
  <c r="B252" i="19"/>
  <c r="A253" i="19"/>
  <c r="B253" i="19"/>
  <c r="A254" i="19"/>
  <c r="B254" i="19"/>
  <c r="A255" i="19"/>
  <c r="B255" i="19"/>
  <c r="A256" i="19"/>
  <c r="B256" i="19"/>
  <c r="A257" i="19"/>
  <c r="B257" i="19"/>
  <c r="A258" i="19"/>
  <c r="B258" i="19"/>
  <c r="A259" i="19"/>
  <c r="B259" i="19"/>
  <c r="A260" i="19"/>
  <c r="B260" i="19"/>
  <c r="A261" i="19"/>
  <c r="B261" i="19"/>
  <c r="A262" i="19"/>
  <c r="B262" i="19"/>
  <c r="A263" i="19"/>
  <c r="B263" i="19"/>
  <c r="A264" i="19"/>
  <c r="B264" i="19"/>
  <c r="A265" i="19"/>
  <c r="B265" i="19"/>
  <c r="A266" i="19"/>
  <c r="B266" i="19"/>
  <c r="A267" i="19"/>
  <c r="B267" i="19"/>
  <c r="A268" i="19"/>
  <c r="B268" i="19"/>
  <c r="A269" i="19"/>
  <c r="B269" i="19"/>
  <c r="A270" i="19"/>
  <c r="B270" i="19"/>
  <c r="A271" i="19"/>
  <c r="B271" i="19"/>
  <c r="A272" i="19"/>
  <c r="B272" i="19"/>
  <c r="A273" i="19"/>
  <c r="B273" i="19"/>
  <c r="A274" i="19"/>
  <c r="B274" i="19"/>
  <c r="A275" i="19"/>
  <c r="B275" i="19"/>
  <c r="A276" i="19"/>
  <c r="B276" i="19"/>
  <c r="A277" i="19"/>
  <c r="B277" i="19"/>
  <c r="A278" i="19"/>
  <c r="B278" i="19"/>
  <c r="A279" i="19"/>
  <c r="B279" i="19"/>
  <c r="A280" i="19"/>
  <c r="B280" i="19"/>
  <c r="A281" i="19"/>
  <c r="B281" i="19"/>
  <c r="A282" i="19"/>
  <c r="B282" i="19"/>
  <c r="A283" i="19"/>
  <c r="B283" i="19"/>
  <c r="A284" i="19"/>
  <c r="B284" i="19"/>
  <c r="A285" i="19"/>
  <c r="B285" i="19"/>
  <c r="A286" i="19"/>
  <c r="B286" i="19"/>
  <c r="A287" i="19"/>
  <c r="B287" i="19"/>
  <c r="A288" i="19"/>
  <c r="B288" i="19"/>
  <c r="A289" i="19"/>
  <c r="B289" i="19"/>
  <c r="A290" i="19"/>
  <c r="B290" i="19"/>
  <c r="A291" i="19"/>
  <c r="B291" i="19"/>
  <c r="A292" i="19"/>
  <c r="B292" i="19"/>
  <c r="A293" i="19"/>
  <c r="B293" i="19"/>
  <c r="A294" i="19"/>
  <c r="B294" i="19"/>
  <c r="A295" i="19"/>
  <c r="B295" i="19"/>
  <c r="A296" i="19"/>
  <c r="B296" i="19"/>
  <c r="A297" i="19"/>
  <c r="B297" i="19"/>
  <c r="A298" i="19"/>
  <c r="B298" i="19"/>
  <c r="A299" i="19"/>
  <c r="B299" i="19"/>
  <c r="A300" i="19"/>
  <c r="B300" i="19"/>
  <c r="A301" i="19"/>
  <c r="B301" i="19"/>
  <c r="A302" i="19"/>
  <c r="B302" i="19"/>
  <c r="A303" i="19"/>
  <c r="B303" i="19"/>
  <c r="A304" i="19"/>
  <c r="B304" i="19"/>
  <c r="A305" i="19"/>
  <c r="B305" i="19"/>
  <c r="A306" i="19"/>
  <c r="B306" i="19"/>
  <c r="A307" i="19"/>
  <c r="B307" i="19"/>
  <c r="A308" i="19"/>
  <c r="B308" i="19"/>
  <c r="A309" i="19"/>
  <c r="B309" i="19"/>
  <c r="A310" i="19"/>
  <c r="B310" i="19"/>
  <c r="A311" i="19"/>
  <c r="B311" i="19"/>
  <c r="A312" i="19"/>
  <c r="B312" i="19"/>
  <c r="A313" i="19"/>
  <c r="B313" i="19"/>
  <c r="A314" i="19"/>
  <c r="B314" i="19"/>
  <c r="A315" i="19"/>
  <c r="B315" i="19"/>
  <c r="A316" i="19"/>
  <c r="B316" i="19"/>
  <c r="A317" i="19"/>
  <c r="B317" i="19"/>
  <c r="A318" i="19"/>
  <c r="B318" i="19"/>
  <c r="A319" i="19"/>
  <c r="B319" i="19"/>
  <c r="A320" i="19"/>
  <c r="B320" i="19"/>
  <c r="A321" i="19"/>
  <c r="B321" i="19"/>
  <c r="A322" i="19"/>
  <c r="B322" i="19"/>
  <c r="A323" i="19"/>
  <c r="B323" i="19"/>
  <c r="A324" i="19"/>
  <c r="B324" i="19"/>
  <c r="B7" i="19"/>
  <c r="A7" i="19"/>
  <c r="A2" i="19"/>
  <c r="A2" i="42"/>
  <c r="P7" i="19"/>
  <c r="O7" i="19" s="1"/>
  <c r="N7" i="19"/>
  <c r="H7" i="19"/>
  <c r="AK325" i="42"/>
  <c r="AJ325" i="42"/>
  <c r="AI325" i="42"/>
  <c r="AH325" i="42"/>
  <c r="AG325" i="42"/>
  <c r="AF325" i="42"/>
  <c r="AE325" i="42"/>
  <c r="AD325" i="42"/>
  <c r="AC325" i="42"/>
  <c r="AB325" i="42"/>
  <c r="AA325" i="42"/>
  <c r="Z325" i="42"/>
  <c r="Y325" i="42"/>
  <c r="W325" i="42"/>
  <c r="V325" i="42"/>
  <c r="U325" i="42"/>
  <c r="T325" i="42"/>
  <c r="S325" i="42"/>
  <c r="R325" i="42"/>
  <c r="Q325" i="42"/>
  <c r="P325" i="42"/>
  <c r="O325" i="42"/>
  <c r="N325" i="42"/>
  <c r="AO325" i="42"/>
  <c r="AP325" i="42"/>
  <c r="AQ325" i="42"/>
  <c r="J325" i="42"/>
  <c r="K325" i="42"/>
  <c r="L325" i="42"/>
  <c r="I325" i="42"/>
  <c r="F325" i="42"/>
  <c r="G325" i="42"/>
  <c r="H325" i="42"/>
  <c r="E325" i="42"/>
  <c r="D325" i="42"/>
  <c r="B325" i="42"/>
  <c r="B323" i="32" l="1"/>
  <c r="B325" i="19"/>
  <c r="B323" i="33"/>
  <c r="E4" i="37" l="1"/>
  <c r="E7" i="36"/>
  <c r="D25" i="40"/>
  <c r="F7" i="36" s="1"/>
  <c r="E25" i="40"/>
  <c r="G7" i="36" s="1"/>
  <c r="F25" i="40"/>
  <c r="H7" i="36" s="1"/>
  <c r="G25" i="40"/>
  <c r="I7" i="36" s="1"/>
  <c r="H25" i="40"/>
  <c r="J7" i="36" s="1"/>
  <c r="D7" i="36"/>
  <c r="C4" i="9" l="1"/>
  <c r="N325" i="19"/>
  <c r="C165" i="32"/>
  <c r="E165" i="32" s="1"/>
  <c r="C86" i="32"/>
  <c r="E86" i="32" s="1"/>
  <c r="V7" i="19"/>
  <c r="C84" i="32"/>
  <c r="E84" i="32" s="1"/>
  <c r="C151" i="32"/>
  <c r="E151" i="32" s="1"/>
  <c r="C169" i="32"/>
  <c r="E169" i="32" s="1"/>
  <c r="C176" i="32"/>
  <c r="E176" i="32" s="1"/>
  <c r="C224" i="32"/>
  <c r="E224" i="32" s="1"/>
  <c r="C301" i="32"/>
  <c r="E301" i="32" s="1"/>
  <c r="AL292" i="42"/>
  <c r="AL217" i="42"/>
  <c r="AL27" i="42"/>
  <c r="AL32" i="42"/>
  <c r="AL46" i="42"/>
  <c r="AL103" i="42"/>
  <c r="AL104" i="42"/>
  <c r="AL179" i="42"/>
  <c r="AL189" i="42"/>
  <c r="AL221" i="42"/>
  <c r="AL226" i="42"/>
  <c r="AL232" i="42"/>
  <c r="AL303" i="42"/>
  <c r="AL9" i="42"/>
  <c r="AL10" i="42"/>
  <c r="AL11" i="42"/>
  <c r="AL12" i="42"/>
  <c r="AL13" i="42"/>
  <c r="AL14" i="42"/>
  <c r="AL15" i="42"/>
  <c r="AL16" i="42"/>
  <c r="AL17" i="42"/>
  <c r="AL18" i="42"/>
  <c r="AL19" i="42"/>
  <c r="AL20" i="42"/>
  <c r="AL21" i="42"/>
  <c r="AL22" i="42"/>
  <c r="AL23" i="42"/>
  <c r="AL24" i="42"/>
  <c r="AL25" i="42"/>
  <c r="AL26" i="42"/>
  <c r="AL28" i="42"/>
  <c r="AL29" i="42"/>
  <c r="AL30" i="42"/>
  <c r="AL31" i="42"/>
  <c r="AL33" i="42"/>
  <c r="AL34" i="42"/>
  <c r="AL35" i="42"/>
  <c r="AL36" i="42"/>
  <c r="AL37" i="42"/>
  <c r="AL38" i="42"/>
  <c r="AL39" i="42"/>
  <c r="AL40" i="42"/>
  <c r="AL41" i="42"/>
  <c r="AL42" i="42"/>
  <c r="AL43" i="42"/>
  <c r="AL44" i="42"/>
  <c r="AL45" i="42"/>
  <c r="AL47" i="42"/>
  <c r="AL48" i="42"/>
  <c r="AL49" i="42"/>
  <c r="AL50" i="42"/>
  <c r="AL51" i="42"/>
  <c r="AL52" i="42"/>
  <c r="AL53" i="42"/>
  <c r="AL54" i="42"/>
  <c r="AL55" i="42"/>
  <c r="AL56" i="42"/>
  <c r="AL57" i="42"/>
  <c r="AL58" i="42"/>
  <c r="AL59" i="42"/>
  <c r="AL60" i="42"/>
  <c r="AL61" i="42"/>
  <c r="AL62" i="42"/>
  <c r="AL63" i="42"/>
  <c r="AL64" i="42"/>
  <c r="AL65" i="42"/>
  <c r="AL66" i="42"/>
  <c r="AL67" i="42"/>
  <c r="AL68" i="42"/>
  <c r="AL69" i="42"/>
  <c r="AL70" i="42"/>
  <c r="AL71" i="42"/>
  <c r="AL72" i="42"/>
  <c r="AL73" i="42"/>
  <c r="AL74" i="42"/>
  <c r="AL75" i="42"/>
  <c r="AL76" i="42"/>
  <c r="AL77" i="42"/>
  <c r="AL78" i="42"/>
  <c r="AL79" i="42"/>
  <c r="AL80" i="42"/>
  <c r="AL81" i="42"/>
  <c r="AL82" i="42"/>
  <c r="AL83" i="42"/>
  <c r="AL84" i="42"/>
  <c r="AL85" i="42"/>
  <c r="AL86" i="42"/>
  <c r="AL87" i="42"/>
  <c r="AL88" i="42"/>
  <c r="AL89" i="42"/>
  <c r="AL90" i="42"/>
  <c r="AL91" i="42"/>
  <c r="AL92" i="42"/>
  <c r="AL93" i="42"/>
  <c r="AL94" i="42"/>
  <c r="AL95" i="42"/>
  <c r="AL96" i="42"/>
  <c r="AL97" i="42"/>
  <c r="AL98" i="42"/>
  <c r="AL99" i="42"/>
  <c r="AL100" i="42"/>
  <c r="AL101" i="42"/>
  <c r="AL102" i="42"/>
  <c r="AL105" i="42"/>
  <c r="AL106" i="42"/>
  <c r="AL107" i="42"/>
  <c r="AL108" i="42"/>
  <c r="AL109" i="42"/>
  <c r="AL110" i="42"/>
  <c r="AL111" i="42"/>
  <c r="AL112" i="42"/>
  <c r="AL113" i="42"/>
  <c r="AL114" i="42"/>
  <c r="AL115" i="42"/>
  <c r="AL116" i="42"/>
  <c r="AL117" i="42"/>
  <c r="AL118" i="42"/>
  <c r="AL119" i="42"/>
  <c r="AL120" i="42"/>
  <c r="AL121" i="42"/>
  <c r="AL122" i="42"/>
  <c r="AL123" i="42"/>
  <c r="AL124" i="42"/>
  <c r="AL125" i="42"/>
  <c r="AL126" i="42"/>
  <c r="AL127" i="42"/>
  <c r="AL128" i="42"/>
  <c r="AL129" i="42"/>
  <c r="AL130" i="42"/>
  <c r="AL131" i="42"/>
  <c r="AL132" i="42"/>
  <c r="AL133" i="42"/>
  <c r="AL134" i="42"/>
  <c r="AL135" i="42"/>
  <c r="AL136" i="42"/>
  <c r="AL137" i="42"/>
  <c r="AL138" i="42"/>
  <c r="AL139" i="42"/>
  <c r="AL140" i="42"/>
  <c r="AL141" i="42"/>
  <c r="AL142" i="42"/>
  <c r="AL143" i="42"/>
  <c r="AL144" i="42"/>
  <c r="AL145" i="42"/>
  <c r="AL146" i="42"/>
  <c r="AL147" i="42"/>
  <c r="AL148" i="42"/>
  <c r="AL149" i="42"/>
  <c r="AL150" i="42"/>
  <c r="AL151" i="42"/>
  <c r="AL152" i="42"/>
  <c r="AL153" i="42"/>
  <c r="AL154" i="42"/>
  <c r="AL155" i="42"/>
  <c r="AL156" i="42"/>
  <c r="AL157" i="42"/>
  <c r="AL158" i="42"/>
  <c r="AL159" i="42"/>
  <c r="AL160" i="42"/>
  <c r="AL161" i="42"/>
  <c r="AL162" i="42"/>
  <c r="AL163" i="42"/>
  <c r="AL164" i="42"/>
  <c r="AL165" i="42"/>
  <c r="AL166" i="42"/>
  <c r="AL167" i="42"/>
  <c r="AL168" i="42"/>
  <c r="AL169" i="42"/>
  <c r="AL170" i="42"/>
  <c r="AL171" i="42"/>
  <c r="AL172" i="42"/>
  <c r="AL173" i="42"/>
  <c r="AL174" i="42"/>
  <c r="AL175" i="42"/>
  <c r="AL176" i="42"/>
  <c r="AL177" i="42"/>
  <c r="AL178" i="42"/>
  <c r="AL180" i="42"/>
  <c r="AL181" i="42"/>
  <c r="AL182" i="42"/>
  <c r="AL183" i="42"/>
  <c r="AL184" i="42"/>
  <c r="AL185" i="42"/>
  <c r="AL186" i="42"/>
  <c r="AL187" i="42"/>
  <c r="AL188" i="42"/>
  <c r="AL190" i="42"/>
  <c r="AL191" i="42"/>
  <c r="AL192" i="42"/>
  <c r="AL193" i="42"/>
  <c r="AL194" i="42"/>
  <c r="AL195" i="42"/>
  <c r="AL196" i="42"/>
  <c r="AL197" i="42"/>
  <c r="AL198" i="42"/>
  <c r="AL199" i="42"/>
  <c r="AL200" i="42"/>
  <c r="AL201" i="42"/>
  <c r="AL202" i="42"/>
  <c r="AL203" i="42"/>
  <c r="AL204" i="42"/>
  <c r="AL205" i="42"/>
  <c r="AL206" i="42"/>
  <c r="AL208" i="42"/>
  <c r="AL209" i="42"/>
  <c r="AL210" i="42"/>
  <c r="AL211" i="42"/>
  <c r="AL212" i="42"/>
  <c r="AL213" i="42"/>
  <c r="AL214" i="42"/>
  <c r="AL215" i="42"/>
  <c r="AL216" i="42"/>
  <c r="AL218" i="42"/>
  <c r="AL219" i="42"/>
  <c r="AL220" i="42"/>
  <c r="AL222" i="42"/>
  <c r="AL223" i="42"/>
  <c r="AL224" i="42"/>
  <c r="AL225" i="42"/>
  <c r="AL227" i="42"/>
  <c r="AL228" i="42"/>
  <c r="AL229" i="42"/>
  <c r="AL230" i="42"/>
  <c r="AL231" i="42"/>
  <c r="AL233" i="42"/>
  <c r="AL234" i="42"/>
  <c r="AL235" i="42"/>
  <c r="AL236" i="42"/>
  <c r="AL237" i="42"/>
  <c r="AL238" i="42"/>
  <c r="AL239" i="42"/>
  <c r="AL240" i="42"/>
  <c r="AL241" i="42"/>
  <c r="AL242" i="42"/>
  <c r="AL243" i="42"/>
  <c r="AL244" i="42"/>
  <c r="AL245" i="42"/>
  <c r="AL246" i="42"/>
  <c r="AL247" i="42"/>
  <c r="AL248" i="42"/>
  <c r="AL249" i="42"/>
  <c r="AL250" i="42"/>
  <c r="AL251" i="42"/>
  <c r="AL252" i="42"/>
  <c r="AL253" i="42"/>
  <c r="AL254" i="42"/>
  <c r="AL255" i="42"/>
  <c r="AL256" i="42"/>
  <c r="AL257" i="42"/>
  <c r="AL258" i="42"/>
  <c r="AL259" i="42"/>
  <c r="AL260" i="42"/>
  <c r="AL261" i="42"/>
  <c r="AL262" i="42"/>
  <c r="AL263" i="42"/>
  <c r="AL264" i="42"/>
  <c r="AL265" i="42"/>
  <c r="AL266" i="42"/>
  <c r="AL267" i="42"/>
  <c r="AL268" i="42"/>
  <c r="AL269" i="42"/>
  <c r="AL270" i="42"/>
  <c r="AL271" i="42"/>
  <c r="AL272" i="42"/>
  <c r="AL273" i="42"/>
  <c r="AL274" i="42"/>
  <c r="AL275" i="42"/>
  <c r="AL276" i="42"/>
  <c r="AL277" i="42"/>
  <c r="AL278" i="42"/>
  <c r="AL279" i="42"/>
  <c r="AL280" i="42"/>
  <c r="AL281" i="42"/>
  <c r="AL282" i="42"/>
  <c r="AL283" i="42"/>
  <c r="AL284" i="42"/>
  <c r="AL285" i="42"/>
  <c r="AL286" i="42"/>
  <c r="AL287" i="42"/>
  <c r="AL288" i="42"/>
  <c r="AL289" i="42"/>
  <c r="AL290" i="42"/>
  <c r="AL291" i="42"/>
  <c r="AL293" i="42"/>
  <c r="AL294" i="42"/>
  <c r="AL295" i="42"/>
  <c r="AL296" i="42"/>
  <c r="AL297" i="42"/>
  <c r="AL298" i="42"/>
  <c r="AL299" i="42"/>
  <c r="AL300" i="42"/>
  <c r="AL301" i="42"/>
  <c r="AL302" i="42"/>
  <c r="AL304" i="42"/>
  <c r="AL305" i="42"/>
  <c r="AL306" i="42"/>
  <c r="AL307" i="42"/>
  <c r="AL308" i="42"/>
  <c r="AL309" i="42"/>
  <c r="AL310" i="42"/>
  <c r="AL311" i="42"/>
  <c r="AL312" i="42"/>
  <c r="AL313" i="42"/>
  <c r="AL314" i="42"/>
  <c r="AL315" i="42"/>
  <c r="AL316" i="42"/>
  <c r="AL317" i="42"/>
  <c r="AL318" i="42"/>
  <c r="AL319" i="42"/>
  <c r="AL320" i="42"/>
  <c r="AL321" i="42"/>
  <c r="AL322" i="42"/>
  <c r="AL324" i="42"/>
  <c r="C7" i="19"/>
  <c r="D7" i="19"/>
  <c r="E7" i="19"/>
  <c r="F7" i="19"/>
  <c r="I7" i="19"/>
  <c r="J7" i="19"/>
  <c r="K7" i="19"/>
  <c r="L7" i="19"/>
  <c r="M7" i="19"/>
  <c r="S7" i="19"/>
  <c r="E11" i="49"/>
  <c r="E15" i="49"/>
  <c r="E19" i="49"/>
  <c r="E23" i="49"/>
  <c r="E24" i="49"/>
  <c r="E27" i="49"/>
  <c r="E28" i="49"/>
  <c r="E31" i="49"/>
  <c r="E35" i="49"/>
  <c r="E39" i="49"/>
  <c r="E43" i="49"/>
  <c r="E55" i="49"/>
  <c r="E63" i="49"/>
  <c r="E67" i="49"/>
  <c r="E71" i="49"/>
  <c r="E75" i="49"/>
  <c r="E79" i="49"/>
  <c r="E83" i="49"/>
  <c r="E86" i="49"/>
  <c r="E87" i="49"/>
  <c r="E91" i="49"/>
  <c r="E95" i="49"/>
  <c r="E96" i="49"/>
  <c r="E99" i="49"/>
  <c r="E103" i="49"/>
  <c r="E107" i="49"/>
  <c r="E111" i="49"/>
  <c r="E115" i="49"/>
  <c r="E118" i="49"/>
  <c r="E119" i="49"/>
  <c r="E120" i="49"/>
  <c r="E121" i="49"/>
  <c r="E123" i="49"/>
  <c r="E127" i="49"/>
  <c r="E128" i="49"/>
  <c r="E131" i="49"/>
  <c r="E132" i="49"/>
  <c r="E134" i="49"/>
  <c r="E136" i="49"/>
  <c r="E139" i="49"/>
  <c r="E142" i="49"/>
  <c r="E143" i="49"/>
  <c r="E146" i="49"/>
  <c r="E149" i="49"/>
  <c r="E152" i="49"/>
  <c r="E164" i="49"/>
  <c r="E167" i="49"/>
  <c r="E168" i="49"/>
  <c r="E171" i="49"/>
  <c r="E172" i="49"/>
  <c r="E174" i="49"/>
  <c r="E175" i="49"/>
  <c r="E177" i="49"/>
  <c r="E185" i="49"/>
  <c r="E188" i="49"/>
  <c r="E200" i="49"/>
  <c r="E201" i="49"/>
  <c r="E202" i="49"/>
  <c r="E204" i="49"/>
  <c r="E220" i="49"/>
  <c r="E224" i="49"/>
  <c r="E225" i="49"/>
  <c r="E227" i="49"/>
  <c r="E228" i="49"/>
  <c r="E233" i="49"/>
  <c r="E235" i="49"/>
  <c r="E240" i="49"/>
  <c r="E244" i="49"/>
  <c r="E248" i="49"/>
  <c r="E251" i="49"/>
  <c r="E252" i="49"/>
  <c r="E253" i="49"/>
  <c r="E254" i="49"/>
  <c r="E264" i="49"/>
  <c r="E265" i="49"/>
  <c r="E269" i="49"/>
  <c r="E277" i="49"/>
  <c r="E278" i="49"/>
  <c r="E284" i="49"/>
  <c r="E296" i="49"/>
  <c r="E297" i="49"/>
  <c r="E301" i="49"/>
  <c r="E304" i="49"/>
  <c r="E306" i="49"/>
  <c r="E310" i="49"/>
  <c r="E313" i="49"/>
  <c r="E321" i="49"/>
  <c r="E322" i="49"/>
  <c r="W7" i="19"/>
  <c r="X7" i="19"/>
  <c r="Z7" i="19"/>
  <c r="D4" i="32"/>
  <c r="AR7" i="19"/>
  <c r="D6" i="49" s="1"/>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0"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8" i="49"/>
  <c r="D219"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3" i="49"/>
  <c r="D244"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D314" i="49"/>
  <c r="D315" i="49"/>
  <c r="D316" i="49"/>
  <c r="D317" i="49"/>
  <c r="D318" i="49"/>
  <c r="D319" i="49"/>
  <c r="D320" i="49"/>
  <c r="D321" i="49"/>
  <c r="D322" i="49"/>
  <c r="D323" i="49"/>
  <c r="H14" i="13"/>
  <c r="K14" i="13" s="1"/>
  <c r="H88" i="13"/>
  <c r="K88" i="13" s="1"/>
  <c r="H168" i="13"/>
  <c r="K168" i="13" s="1"/>
  <c r="E4" i="36"/>
  <c r="G4" i="36"/>
  <c r="G256" i="36" s="1"/>
  <c r="I4" i="36"/>
  <c r="I145" i="36" s="1"/>
  <c r="H4" i="36"/>
  <c r="H172" i="36" s="1"/>
  <c r="G5" i="36"/>
  <c r="C6" i="34"/>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G314" i="11"/>
  <c r="G315" i="11"/>
  <c r="G316" i="11"/>
  <c r="G317" i="11"/>
  <c r="G318" i="11"/>
  <c r="G319" i="11"/>
  <c r="G320" i="11"/>
  <c r="G321" i="11"/>
  <c r="G322" i="11"/>
  <c r="D4" i="36"/>
  <c r="D225" i="36" s="1"/>
  <c r="D5" i="36"/>
  <c r="E5" i="36"/>
  <c r="E185" i="36" s="1"/>
  <c r="F4" i="36"/>
  <c r="F5" i="36"/>
  <c r="H5" i="36"/>
  <c r="J4" i="36"/>
  <c r="I5" i="36"/>
  <c r="I4" i="39"/>
  <c r="H7" i="13"/>
  <c r="K7" i="13" s="1"/>
  <c r="K8" i="13"/>
  <c r="H9" i="13"/>
  <c r="K9" i="13" s="1"/>
  <c r="H10" i="13"/>
  <c r="K10" i="13" s="1"/>
  <c r="H11" i="13"/>
  <c r="K11" i="13" s="1"/>
  <c r="H12" i="13"/>
  <c r="K12" i="13" s="1"/>
  <c r="H13" i="13"/>
  <c r="K13" i="13" s="1"/>
  <c r="H15" i="13"/>
  <c r="K15" i="13" s="1"/>
  <c r="H16" i="13"/>
  <c r="K16" i="13" s="1"/>
  <c r="H17" i="13"/>
  <c r="K17" i="13" s="1"/>
  <c r="H18" i="13"/>
  <c r="K18" i="13" s="1"/>
  <c r="H19" i="13"/>
  <c r="K19" i="13" s="1"/>
  <c r="H20" i="13"/>
  <c r="K20" i="13" s="1"/>
  <c r="H21" i="13"/>
  <c r="K21" i="13" s="1"/>
  <c r="H22" i="13"/>
  <c r="K22" i="13" s="1"/>
  <c r="H23" i="13"/>
  <c r="K23" i="13" s="1"/>
  <c r="H24" i="13"/>
  <c r="K24" i="13" s="1"/>
  <c r="H25" i="13"/>
  <c r="K25" i="13" s="1"/>
  <c r="H26" i="13"/>
  <c r="K26" i="13" s="1"/>
  <c r="H27" i="13"/>
  <c r="K27" i="13" s="1"/>
  <c r="H28" i="13"/>
  <c r="K28" i="13" s="1"/>
  <c r="H29" i="13"/>
  <c r="K29" i="13" s="1"/>
  <c r="H30" i="13"/>
  <c r="K30" i="13" s="1"/>
  <c r="H31" i="13"/>
  <c r="K31" i="13" s="1"/>
  <c r="H32" i="13"/>
  <c r="K32" i="13" s="1"/>
  <c r="H33" i="13"/>
  <c r="K33" i="13" s="1"/>
  <c r="H34" i="13"/>
  <c r="K34" i="13" s="1"/>
  <c r="H35" i="13"/>
  <c r="K35" i="13" s="1"/>
  <c r="H36" i="13"/>
  <c r="K36" i="13" s="1"/>
  <c r="H37" i="13"/>
  <c r="K37" i="13" s="1"/>
  <c r="H38" i="13"/>
  <c r="K38" i="13" s="1"/>
  <c r="H39" i="13"/>
  <c r="K39" i="13" s="1"/>
  <c r="H40" i="13"/>
  <c r="K40" i="13" s="1"/>
  <c r="H41" i="13"/>
  <c r="K41" i="13" s="1"/>
  <c r="H42" i="13"/>
  <c r="K42" i="13" s="1"/>
  <c r="H43" i="13"/>
  <c r="K43" i="13" s="1"/>
  <c r="H44" i="13"/>
  <c r="K44" i="13" s="1"/>
  <c r="H45" i="13"/>
  <c r="K45" i="13" s="1"/>
  <c r="H46" i="13"/>
  <c r="K46" i="13" s="1"/>
  <c r="H47" i="13"/>
  <c r="K47" i="13" s="1"/>
  <c r="H48" i="13"/>
  <c r="K48" i="13" s="1"/>
  <c r="H49" i="13"/>
  <c r="K49" i="13" s="1"/>
  <c r="H50" i="13"/>
  <c r="K50" i="13" s="1"/>
  <c r="H51" i="13"/>
  <c r="K51" i="13" s="1"/>
  <c r="H52" i="13"/>
  <c r="K52" i="13" s="1"/>
  <c r="H53" i="13"/>
  <c r="K53" i="13" s="1"/>
  <c r="H54" i="13"/>
  <c r="K54" i="13" s="1"/>
  <c r="H55" i="13"/>
  <c r="K55" i="13" s="1"/>
  <c r="H56" i="13"/>
  <c r="K56" i="13" s="1"/>
  <c r="H57" i="13"/>
  <c r="K57" i="13" s="1"/>
  <c r="H58" i="13"/>
  <c r="K58" i="13" s="1"/>
  <c r="H59" i="13"/>
  <c r="K59" i="13" s="1"/>
  <c r="H60" i="13"/>
  <c r="K60" i="13" s="1"/>
  <c r="H61" i="13"/>
  <c r="K61" i="13" s="1"/>
  <c r="H62" i="13"/>
  <c r="K62" i="13" s="1"/>
  <c r="H63" i="13"/>
  <c r="K63" i="13" s="1"/>
  <c r="H64" i="13"/>
  <c r="K64" i="13" s="1"/>
  <c r="H65" i="13"/>
  <c r="K65" i="13" s="1"/>
  <c r="H66" i="13"/>
  <c r="K66" i="13" s="1"/>
  <c r="H67" i="13"/>
  <c r="K67" i="13"/>
  <c r="H68" i="13"/>
  <c r="K68" i="13" s="1"/>
  <c r="H69" i="13"/>
  <c r="K69" i="13" s="1"/>
  <c r="H70" i="13"/>
  <c r="K70" i="13" s="1"/>
  <c r="H71" i="13"/>
  <c r="K71" i="13" s="1"/>
  <c r="H72" i="13"/>
  <c r="K72" i="13" s="1"/>
  <c r="H73" i="13"/>
  <c r="K73" i="13" s="1"/>
  <c r="H74" i="13"/>
  <c r="K74" i="13" s="1"/>
  <c r="H75" i="13"/>
  <c r="K75" i="13" s="1"/>
  <c r="H76" i="13"/>
  <c r="K76" i="13" s="1"/>
  <c r="H77" i="13"/>
  <c r="K77" i="13" s="1"/>
  <c r="H78" i="13"/>
  <c r="K78" i="13" s="1"/>
  <c r="H79" i="13"/>
  <c r="K79" i="13" s="1"/>
  <c r="H80" i="13"/>
  <c r="K80" i="13" s="1"/>
  <c r="H81" i="13"/>
  <c r="K81" i="13" s="1"/>
  <c r="H82" i="13"/>
  <c r="K82" i="13" s="1"/>
  <c r="H83" i="13"/>
  <c r="K83" i="13" s="1"/>
  <c r="H84" i="13"/>
  <c r="K84" i="13" s="1"/>
  <c r="H85" i="13"/>
  <c r="K85" i="13" s="1"/>
  <c r="H86" i="13"/>
  <c r="K86" i="13"/>
  <c r="H87" i="13"/>
  <c r="K87" i="13" s="1"/>
  <c r="H89" i="13"/>
  <c r="K89" i="13" s="1"/>
  <c r="H90" i="13"/>
  <c r="K90" i="13"/>
  <c r="H91" i="13"/>
  <c r="K91" i="13" s="1"/>
  <c r="H92" i="13"/>
  <c r="K92" i="13" s="1"/>
  <c r="H93" i="13"/>
  <c r="K93" i="13" s="1"/>
  <c r="H94" i="13"/>
  <c r="K94" i="13" s="1"/>
  <c r="H95" i="13"/>
  <c r="K95" i="13" s="1"/>
  <c r="H96" i="13"/>
  <c r="K96" i="13" s="1"/>
  <c r="H97" i="13"/>
  <c r="K97" i="13"/>
  <c r="H98" i="13"/>
  <c r="K98" i="13" s="1"/>
  <c r="H99" i="13"/>
  <c r="K99" i="13" s="1"/>
  <c r="H100" i="13"/>
  <c r="K100" i="13" s="1"/>
  <c r="H101" i="13"/>
  <c r="K101" i="13" s="1"/>
  <c r="H102" i="13"/>
  <c r="K102" i="13" s="1"/>
  <c r="H103" i="13"/>
  <c r="K103" i="13" s="1"/>
  <c r="H104" i="13"/>
  <c r="K104" i="13" s="1"/>
  <c r="H105" i="13"/>
  <c r="K105" i="13" s="1"/>
  <c r="H106" i="13"/>
  <c r="K106" i="13" s="1"/>
  <c r="H107" i="13"/>
  <c r="K107" i="13" s="1"/>
  <c r="H108" i="13"/>
  <c r="K108" i="13" s="1"/>
  <c r="H109" i="13"/>
  <c r="K109" i="13" s="1"/>
  <c r="H110" i="13"/>
  <c r="K110" i="13" s="1"/>
  <c r="H111" i="13"/>
  <c r="K111" i="13" s="1"/>
  <c r="H112" i="13"/>
  <c r="K112" i="13" s="1"/>
  <c r="H113" i="13"/>
  <c r="K113" i="13" s="1"/>
  <c r="H114" i="13"/>
  <c r="K114" i="13" s="1"/>
  <c r="H115" i="13"/>
  <c r="K115" i="13" s="1"/>
  <c r="H116" i="13"/>
  <c r="K116" i="13" s="1"/>
  <c r="H117" i="13"/>
  <c r="K117" i="13" s="1"/>
  <c r="H118" i="13"/>
  <c r="K118" i="13" s="1"/>
  <c r="H119" i="13"/>
  <c r="K119" i="13" s="1"/>
  <c r="H120" i="13"/>
  <c r="K120" i="13" s="1"/>
  <c r="H121" i="13"/>
  <c r="K121" i="13" s="1"/>
  <c r="H122" i="13"/>
  <c r="K122" i="13" s="1"/>
  <c r="H123" i="13"/>
  <c r="K123" i="13" s="1"/>
  <c r="H124" i="13"/>
  <c r="K124" i="13" s="1"/>
  <c r="H125" i="13"/>
  <c r="K125" i="13" s="1"/>
  <c r="H126" i="13"/>
  <c r="K126" i="13" s="1"/>
  <c r="H127" i="13"/>
  <c r="K127" i="13" s="1"/>
  <c r="H128" i="13"/>
  <c r="K128" i="13" s="1"/>
  <c r="H129" i="13"/>
  <c r="K129" i="13" s="1"/>
  <c r="H130" i="13"/>
  <c r="K130" i="13" s="1"/>
  <c r="H131" i="13"/>
  <c r="K131" i="13" s="1"/>
  <c r="H132" i="13"/>
  <c r="K132" i="13" s="1"/>
  <c r="H133" i="13"/>
  <c r="K133" i="13" s="1"/>
  <c r="H134" i="13"/>
  <c r="K134" i="13" s="1"/>
  <c r="H135" i="13"/>
  <c r="K135" i="13" s="1"/>
  <c r="H136" i="13"/>
  <c r="K136" i="13" s="1"/>
  <c r="H137" i="13"/>
  <c r="K137" i="13" s="1"/>
  <c r="H138" i="13"/>
  <c r="K138" i="13" s="1"/>
  <c r="H139" i="13"/>
  <c r="K139" i="13" s="1"/>
  <c r="H140" i="13"/>
  <c r="K140" i="13" s="1"/>
  <c r="H141" i="13"/>
  <c r="K141" i="13" s="1"/>
  <c r="H142" i="13"/>
  <c r="K142" i="13" s="1"/>
  <c r="H143" i="13"/>
  <c r="K143" i="13" s="1"/>
  <c r="H144" i="13"/>
  <c r="K144" i="13" s="1"/>
  <c r="H145" i="13"/>
  <c r="K145" i="13" s="1"/>
  <c r="H146" i="13"/>
  <c r="K146" i="13" s="1"/>
  <c r="H147" i="13"/>
  <c r="K147" i="13" s="1"/>
  <c r="H148" i="13"/>
  <c r="K148" i="13" s="1"/>
  <c r="H149" i="13"/>
  <c r="K149" i="13" s="1"/>
  <c r="H150" i="13"/>
  <c r="K150" i="13" s="1"/>
  <c r="H151" i="13"/>
  <c r="K151" i="13" s="1"/>
  <c r="H152" i="13"/>
  <c r="K152" i="13" s="1"/>
  <c r="H153" i="13"/>
  <c r="K153" i="13" s="1"/>
  <c r="H154" i="13"/>
  <c r="K154" i="13" s="1"/>
  <c r="H155" i="13"/>
  <c r="K155" i="13" s="1"/>
  <c r="H156" i="13"/>
  <c r="K156" i="13" s="1"/>
  <c r="H157" i="13"/>
  <c r="K157" i="13" s="1"/>
  <c r="H158" i="13"/>
  <c r="K158" i="13" s="1"/>
  <c r="H159" i="13"/>
  <c r="K159" i="13" s="1"/>
  <c r="H160" i="13"/>
  <c r="K160" i="13" s="1"/>
  <c r="H161" i="13"/>
  <c r="K161" i="13" s="1"/>
  <c r="H162" i="13"/>
  <c r="K162" i="13" s="1"/>
  <c r="H163" i="13"/>
  <c r="K163" i="13" s="1"/>
  <c r="H164" i="13"/>
  <c r="K164" i="13" s="1"/>
  <c r="H165" i="13"/>
  <c r="K165" i="13" s="1"/>
  <c r="H166" i="13"/>
  <c r="K166" i="13" s="1"/>
  <c r="H167" i="13"/>
  <c r="K167" i="13" s="1"/>
  <c r="H169" i="13"/>
  <c r="K169" i="13" s="1"/>
  <c r="H170" i="13"/>
  <c r="K170" i="13" s="1"/>
  <c r="H171" i="13"/>
  <c r="K171" i="13" s="1"/>
  <c r="H172" i="13"/>
  <c r="K172" i="13" s="1"/>
  <c r="H173" i="13"/>
  <c r="K173" i="13" s="1"/>
  <c r="H174" i="13"/>
  <c r="K174" i="13" s="1"/>
  <c r="H175" i="13"/>
  <c r="K175" i="13" s="1"/>
  <c r="H176" i="13"/>
  <c r="K176" i="13" s="1"/>
  <c r="H177" i="13"/>
  <c r="K177" i="13" s="1"/>
  <c r="H178" i="13"/>
  <c r="K178" i="13" s="1"/>
  <c r="H179" i="13"/>
  <c r="K179" i="13" s="1"/>
  <c r="H180" i="13"/>
  <c r="K180" i="13" s="1"/>
  <c r="H181" i="13"/>
  <c r="K181" i="13" s="1"/>
  <c r="H182" i="13"/>
  <c r="K182" i="13" s="1"/>
  <c r="H183" i="13"/>
  <c r="K183" i="13" s="1"/>
  <c r="H184" i="13"/>
  <c r="K184" i="13" s="1"/>
  <c r="H185" i="13"/>
  <c r="K185" i="13" s="1"/>
  <c r="H186" i="13"/>
  <c r="K186" i="13" s="1"/>
  <c r="H187" i="13"/>
  <c r="K187" i="13" s="1"/>
  <c r="H188" i="13"/>
  <c r="K188" i="13" s="1"/>
  <c r="H189" i="13"/>
  <c r="K189" i="13" s="1"/>
  <c r="H190" i="13"/>
  <c r="K190" i="13" s="1"/>
  <c r="H191" i="13"/>
  <c r="K191" i="13" s="1"/>
  <c r="H192" i="13"/>
  <c r="K192" i="13" s="1"/>
  <c r="H193" i="13"/>
  <c r="K193" i="13" s="1"/>
  <c r="H194" i="13"/>
  <c r="K194" i="13" s="1"/>
  <c r="H195" i="13"/>
  <c r="K195" i="13" s="1"/>
  <c r="H196" i="13"/>
  <c r="K196" i="13" s="1"/>
  <c r="H197" i="13"/>
  <c r="K197" i="13" s="1"/>
  <c r="H198" i="13"/>
  <c r="K198" i="13" s="1"/>
  <c r="H199" i="13"/>
  <c r="K199" i="13" s="1"/>
  <c r="H200" i="13"/>
  <c r="K200" i="13" s="1"/>
  <c r="H201" i="13"/>
  <c r="K201" i="13" s="1"/>
  <c r="H202" i="13"/>
  <c r="K202" i="13" s="1"/>
  <c r="H203" i="13"/>
  <c r="K203" i="13" s="1"/>
  <c r="H204" i="13"/>
  <c r="K204" i="13" s="1"/>
  <c r="H205" i="13"/>
  <c r="K205" i="13" s="1"/>
  <c r="H206" i="13"/>
  <c r="K206" i="13" s="1"/>
  <c r="H207" i="13"/>
  <c r="K207" i="13" s="1"/>
  <c r="H208" i="13"/>
  <c r="K208" i="13" s="1"/>
  <c r="H209" i="13"/>
  <c r="K209" i="13" s="1"/>
  <c r="H210" i="13"/>
  <c r="K210" i="13" s="1"/>
  <c r="H211" i="13"/>
  <c r="K211" i="13" s="1"/>
  <c r="H212" i="13"/>
  <c r="K212" i="13" s="1"/>
  <c r="H213" i="13"/>
  <c r="K213" i="13" s="1"/>
  <c r="H214" i="13"/>
  <c r="K214" i="13" s="1"/>
  <c r="H215" i="13"/>
  <c r="K215" i="13" s="1"/>
  <c r="H216" i="13"/>
  <c r="K216" i="13" s="1"/>
  <c r="H217" i="13"/>
  <c r="K217" i="13" s="1"/>
  <c r="H218" i="13"/>
  <c r="K218" i="13" s="1"/>
  <c r="H219" i="13"/>
  <c r="K219" i="13" s="1"/>
  <c r="H220" i="13"/>
  <c r="K220" i="13" s="1"/>
  <c r="H221" i="13"/>
  <c r="K221" i="13" s="1"/>
  <c r="H222" i="13"/>
  <c r="K222" i="13" s="1"/>
  <c r="H223" i="13"/>
  <c r="K223" i="13" s="1"/>
  <c r="H224" i="13"/>
  <c r="K224" i="13" s="1"/>
  <c r="H225" i="13"/>
  <c r="K225" i="13" s="1"/>
  <c r="H226" i="13"/>
  <c r="K226" i="13" s="1"/>
  <c r="H227" i="13"/>
  <c r="K227" i="13" s="1"/>
  <c r="H228" i="13"/>
  <c r="K228" i="13" s="1"/>
  <c r="H229" i="13"/>
  <c r="K229" i="13" s="1"/>
  <c r="H230" i="13"/>
  <c r="K230" i="13" s="1"/>
  <c r="H231" i="13"/>
  <c r="K231" i="13" s="1"/>
  <c r="H232" i="13"/>
  <c r="K232" i="13" s="1"/>
  <c r="H233" i="13"/>
  <c r="K233" i="13" s="1"/>
  <c r="H234" i="13"/>
  <c r="K234" i="13" s="1"/>
  <c r="H235" i="13"/>
  <c r="K235" i="13" s="1"/>
  <c r="H236" i="13"/>
  <c r="K236" i="13" s="1"/>
  <c r="H237" i="13"/>
  <c r="K237" i="13" s="1"/>
  <c r="H238" i="13"/>
  <c r="K238" i="13" s="1"/>
  <c r="H239" i="13"/>
  <c r="K239" i="13" s="1"/>
  <c r="H240" i="13"/>
  <c r="K240" i="13" s="1"/>
  <c r="H241" i="13"/>
  <c r="K241" i="13" s="1"/>
  <c r="H242" i="13"/>
  <c r="K242" i="13" s="1"/>
  <c r="H243" i="13"/>
  <c r="K243" i="13" s="1"/>
  <c r="H244" i="13"/>
  <c r="K244" i="13" s="1"/>
  <c r="H245" i="13"/>
  <c r="K245" i="13" s="1"/>
  <c r="H246" i="13"/>
  <c r="K246" i="13" s="1"/>
  <c r="H247" i="13"/>
  <c r="K247" i="13" s="1"/>
  <c r="H248" i="13"/>
  <c r="K248" i="13" s="1"/>
  <c r="H249" i="13"/>
  <c r="K249" i="13" s="1"/>
  <c r="H250" i="13"/>
  <c r="K250" i="13" s="1"/>
  <c r="H251" i="13"/>
  <c r="K251" i="13" s="1"/>
  <c r="H252" i="13"/>
  <c r="K252" i="13" s="1"/>
  <c r="H253" i="13"/>
  <c r="K253" i="13" s="1"/>
  <c r="H254" i="13"/>
  <c r="K254" i="13" s="1"/>
  <c r="H255" i="13"/>
  <c r="K255" i="13" s="1"/>
  <c r="H256" i="13"/>
  <c r="K256" i="13" s="1"/>
  <c r="H257" i="13"/>
  <c r="K257" i="13" s="1"/>
  <c r="H258" i="13"/>
  <c r="K258" i="13" s="1"/>
  <c r="H259" i="13"/>
  <c r="K259" i="13" s="1"/>
  <c r="H260" i="13"/>
  <c r="K260" i="13" s="1"/>
  <c r="H261" i="13"/>
  <c r="K261" i="13" s="1"/>
  <c r="H262" i="13"/>
  <c r="K262" i="13" s="1"/>
  <c r="H263" i="13"/>
  <c r="K263" i="13" s="1"/>
  <c r="H264" i="13"/>
  <c r="K264" i="13" s="1"/>
  <c r="H265" i="13"/>
  <c r="K265" i="13" s="1"/>
  <c r="H266" i="13"/>
  <c r="K266" i="13" s="1"/>
  <c r="H267" i="13"/>
  <c r="K267" i="13" s="1"/>
  <c r="H268" i="13"/>
  <c r="K268" i="13" s="1"/>
  <c r="H269" i="13"/>
  <c r="K269" i="13" s="1"/>
  <c r="H270" i="13"/>
  <c r="K270" i="13" s="1"/>
  <c r="H271" i="13"/>
  <c r="K271" i="13" s="1"/>
  <c r="H272" i="13"/>
  <c r="K272" i="13" s="1"/>
  <c r="H273" i="13"/>
  <c r="K273" i="13" s="1"/>
  <c r="H274" i="13"/>
  <c r="K274" i="13" s="1"/>
  <c r="H275" i="13"/>
  <c r="K275" i="13" s="1"/>
  <c r="H276" i="13"/>
  <c r="K276" i="13" s="1"/>
  <c r="H277" i="13"/>
  <c r="K277" i="13" s="1"/>
  <c r="H278" i="13"/>
  <c r="K278" i="13" s="1"/>
  <c r="H279" i="13"/>
  <c r="K279" i="13" s="1"/>
  <c r="H280" i="13"/>
  <c r="K280" i="13" s="1"/>
  <c r="H281" i="13"/>
  <c r="K281" i="13" s="1"/>
  <c r="H282" i="13"/>
  <c r="K282" i="13" s="1"/>
  <c r="H283" i="13"/>
  <c r="K283" i="13" s="1"/>
  <c r="H284" i="13"/>
  <c r="K284" i="13" s="1"/>
  <c r="H285" i="13"/>
  <c r="K285" i="13" s="1"/>
  <c r="H286" i="13"/>
  <c r="K286" i="13" s="1"/>
  <c r="H287" i="13"/>
  <c r="K287" i="13" s="1"/>
  <c r="H288" i="13"/>
  <c r="K288" i="13" s="1"/>
  <c r="H289" i="13"/>
  <c r="K289" i="13" s="1"/>
  <c r="H290" i="13"/>
  <c r="K290" i="13" s="1"/>
  <c r="H291" i="13"/>
  <c r="K291" i="13" s="1"/>
  <c r="H292" i="13"/>
  <c r="K292" i="13" s="1"/>
  <c r="H293" i="13"/>
  <c r="K293" i="13" s="1"/>
  <c r="H294" i="13"/>
  <c r="K294" i="13" s="1"/>
  <c r="H295" i="13"/>
  <c r="K295" i="13" s="1"/>
  <c r="H296" i="13"/>
  <c r="K296" i="13" s="1"/>
  <c r="H297" i="13"/>
  <c r="K297" i="13" s="1"/>
  <c r="H298" i="13"/>
  <c r="K298" i="13" s="1"/>
  <c r="H299" i="13"/>
  <c r="K299" i="13" s="1"/>
  <c r="H300" i="13"/>
  <c r="K300" i="13" s="1"/>
  <c r="K301" i="13"/>
  <c r="H302" i="13"/>
  <c r="K302" i="13" s="1"/>
  <c r="H303" i="13"/>
  <c r="K303" i="13" s="1"/>
  <c r="H304" i="13"/>
  <c r="K304" i="13" s="1"/>
  <c r="H305" i="13"/>
  <c r="K305" i="13" s="1"/>
  <c r="K306" i="13"/>
  <c r="H307" i="13"/>
  <c r="K307" i="13" s="1"/>
  <c r="H308" i="13"/>
  <c r="K308" i="13" s="1"/>
  <c r="H309" i="13"/>
  <c r="K309" i="13" s="1"/>
  <c r="H310" i="13"/>
  <c r="K310" i="13" s="1"/>
  <c r="H311" i="13"/>
  <c r="K311" i="13" s="1"/>
  <c r="H312" i="13"/>
  <c r="K312" i="13" s="1"/>
  <c r="H313" i="13"/>
  <c r="K313" i="13" s="1"/>
  <c r="H314" i="13"/>
  <c r="K314" i="13" s="1"/>
  <c r="H315" i="13"/>
  <c r="K315" i="13" s="1"/>
  <c r="H316" i="13"/>
  <c r="K316" i="13" s="1"/>
  <c r="H317" i="13"/>
  <c r="K317" i="13" s="1"/>
  <c r="H318" i="13"/>
  <c r="K318" i="13" s="1"/>
  <c r="H319" i="13"/>
  <c r="K319" i="13" s="1"/>
  <c r="H320" i="13"/>
  <c r="K320" i="13" s="1"/>
  <c r="H321" i="13"/>
  <c r="K321" i="13" s="1"/>
  <c r="H322" i="13"/>
  <c r="K322" i="13" s="1"/>
  <c r="H323" i="13"/>
  <c r="K323" i="13" s="1"/>
  <c r="A183" i="25"/>
  <c r="B183" i="25"/>
  <c r="A184" i="25"/>
  <c r="B184" i="25"/>
  <c r="B182" i="11"/>
  <c r="A182" i="11"/>
  <c r="B252" i="25"/>
  <c r="A252" i="25"/>
  <c r="B251" i="11"/>
  <c r="A251" i="11"/>
  <c r="B263" i="25"/>
  <c r="A263" i="25"/>
  <c r="B262" i="11"/>
  <c r="B263" i="11"/>
  <c r="A262" i="11"/>
  <c r="A263" i="11"/>
  <c r="B251" i="25"/>
  <c r="A251" i="25"/>
  <c r="B250" i="11"/>
  <c r="A250" i="11"/>
  <c r="B93" i="25"/>
  <c r="B94" i="25"/>
  <c r="A93" i="25"/>
  <c r="A94" i="25"/>
  <c r="B92" i="11"/>
  <c r="B93" i="11"/>
  <c r="A92" i="11"/>
  <c r="B94" i="11"/>
  <c r="A93" i="11"/>
  <c r="A94"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2" i="11"/>
  <c r="B253" i="11"/>
  <c r="B254" i="11"/>
  <c r="B255" i="11"/>
  <c r="B256" i="11"/>
  <c r="B257" i="11"/>
  <c r="B258" i="11"/>
  <c r="B259" i="11"/>
  <c r="B260" i="11"/>
  <c r="B261"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2" i="11"/>
  <c r="A253" i="11"/>
  <c r="A254" i="11"/>
  <c r="A255" i="11"/>
  <c r="A256" i="11"/>
  <c r="A257" i="11"/>
  <c r="A258" i="11"/>
  <c r="A259" i="11"/>
  <c r="A260" i="11"/>
  <c r="A261"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5" i="11"/>
  <c r="AA7" i="19"/>
  <c r="AB7" i="19"/>
  <c r="AC7" i="19"/>
  <c r="AD7" i="19"/>
  <c r="AE7" i="19"/>
  <c r="AF7" i="19"/>
  <c r="AG7" i="19"/>
  <c r="AH7" i="19"/>
  <c r="AI7" i="19"/>
  <c r="AJ7" i="19"/>
  <c r="AK7" i="19"/>
  <c r="AL7" i="19"/>
  <c r="AM7" i="19"/>
  <c r="AN7" i="19"/>
  <c r="AO7" i="19"/>
  <c r="AP7" i="19"/>
  <c r="AQ7" i="19"/>
  <c r="A6" i="25"/>
  <c r="B6" i="25"/>
  <c r="A7" i="25"/>
  <c r="B7" i="25"/>
  <c r="A8" i="25"/>
  <c r="B8" i="25"/>
  <c r="A9" i="25"/>
  <c r="B9" i="25"/>
  <c r="A10" i="25"/>
  <c r="B10" i="25"/>
  <c r="A11" i="25"/>
  <c r="B11" i="25"/>
  <c r="A12" i="25"/>
  <c r="B12" i="25"/>
  <c r="A13" i="25"/>
  <c r="B13" i="25"/>
  <c r="A14" i="25"/>
  <c r="B14" i="25"/>
  <c r="A15" i="25"/>
  <c r="B15" i="25"/>
  <c r="A16" i="25"/>
  <c r="B16" i="25"/>
  <c r="A17" i="25"/>
  <c r="B17" i="25"/>
  <c r="A18" i="25"/>
  <c r="B18" i="25"/>
  <c r="A19" i="25"/>
  <c r="B19" i="25"/>
  <c r="A20" i="25"/>
  <c r="B20" i="25"/>
  <c r="A21" i="25"/>
  <c r="B21" i="25"/>
  <c r="A22" i="25"/>
  <c r="B22" i="25"/>
  <c r="A23" i="25"/>
  <c r="B23" i="25"/>
  <c r="A24" i="25"/>
  <c r="B24" i="25"/>
  <c r="A25" i="25"/>
  <c r="B25" i="25"/>
  <c r="A26" i="25"/>
  <c r="B26" i="25"/>
  <c r="A27" i="25"/>
  <c r="B27" i="25"/>
  <c r="A28" i="25"/>
  <c r="B28" i="25"/>
  <c r="A29" i="25"/>
  <c r="B29" i="25"/>
  <c r="A30" i="25"/>
  <c r="B30" i="25"/>
  <c r="A31" i="25"/>
  <c r="B31" i="25"/>
  <c r="A32" i="25"/>
  <c r="B32" i="25"/>
  <c r="A33" i="25"/>
  <c r="B33" i="25"/>
  <c r="A34" i="25"/>
  <c r="B34" i="25"/>
  <c r="A35" i="25"/>
  <c r="B35" i="25"/>
  <c r="A36" i="25"/>
  <c r="B36" i="25"/>
  <c r="A37" i="25"/>
  <c r="B37" i="25"/>
  <c r="A38" i="25"/>
  <c r="B38" i="25"/>
  <c r="A39" i="25"/>
  <c r="B39" i="25"/>
  <c r="A40" i="25"/>
  <c r="B40" i="25"/>
  <c r="A41" i="25"/>
  <c r="B41" i="25"/>
  <c r="A42" i="25"/>
  <c r="B42" i="25"/>
  <c r="A43" i="25"/>
  <c r="B43" i="25"/>
  <c r="A44" i="25"/>
  <c r="B44" i="25"/>
  <c r="A45" i="25"/>
  <c r="B45" i="25"/>
  <c r="A46" i="25"/>
  <c r="B46" i="25"/>
  <c r="A47" i="25"/>
  <c r="B47" i="25"/>
  <c r="A48" i="25"/>
  <c r="B48" i="25"/>
  <c r="A49" i="25"/>
  <c r="B49" i="25"/>
  <c r="A50" i="25"/>
  <c r="B50" i="25"/>
  <c r="A51" i="25"/>
  <c r="B51" i="25"/>
  <c r="A52" i="25"/>
  <c r="B52" i="25"/>
  <c r="A53" i="25"/>
  <c r="B53" i="25"/>
  <c r="A54" i="25"/>
  <c r="B54" i="25"/>
  <c r="A55" i="25"/>
  <c r="B55" i="25"/>
  <c r="A56" i="25"/>
  <c r="B56" i="25"/>
  <c r="A57" i="25"/>
  <c r="B57" i="25"/>
  <c r="A58" i="25"/>
  <c r="B58" i="25"/>
  <c r="A59" i="25"/>
  <c r="B59" i="25"/>
  <c r="A60" i="25"/>
  <c r="B60" i="25"/>
  <c r="A61" i="25"/>
  <c r="B61" i="25"/>
  <c r="A62" i="25"/>
  <c r="B62" i="25"/>
  <c r="A63" i="25"/>
  <c r="B63" i="25"/>
  <c r="A64" i="25"/>
  <c r="B64" i="25"/>
  <c r="A65" i="25"/>
  <c r="B65" i="25"/>
  <c r="A66" i="25"/>
  <c r="B66" i="25"/>
  <c r="A67" i="25"/>
  <c r="B67" i="25"/>
  <c r="A68" i="25"/>
  <c r="B68" i="25"/>
  <c r="A69" i="25"/>
  <c r="B69" i="25"/>
  <c r="A70" i="25"/>
  <c r="B70" i="25"/>
  <c r="A71" i="25"/>
  <c r="B71" i="25"/>
  <c r="A72" i="25"/>
  <c r="B72" i="25"/>
  <c r="A73" i="25"/>
  <c r="B73" i="25"/>
  <c r="A74" i="25"/>
  <c r="B74" i="25"/>
  <c r="A75" i="25"/>
  <c r="B75" i="25"/>
  <c r="A76" i="25"/>
  <c r="B76" i="25"/>
  <c r="A77" i="25"/>
  <c r="B77" i="25"/>
  <c r="A78" i="25"/>
  <c r="B78" i="25"/>
  <c r="A79" i="25"/>
  <c r="B79" i="25"/>
  <c r="A80" i="25"/>
  <c r="B80" i="25"/>
  <c r="A81" i="25"/>
  <c r="B81" i="25"/>
  <c r="A82" i="25"/>
  <c r="B82" i="25"/>
  <c r="A83" i="25"/>
  <c r="B83" i="25"/>
  <c r="A84" i="25"/>
  <c r="B84" i="25"/>
  <c r="A85" i="25"/>
  <c r="B85" i="25"/>
  <c r="A86" i="25"/>
  <c r="B86" i="25"/>
  <c r="A87" i="25"/>
  <c r="B87" i="25"/>
  <c r="A88" i="25"/>
  <c r="B88" i="25"/>
  <c r="A89" i="25"/>
  <c r="B89" i="25"/>
  <c r="A90" i="25"/>
  <c r="B90" i="25"/>
  <c r="A91" i="25"/>
  <c r="B91" i="25"/>
  <c r="A92" i="25"/>
  <c r="B92" i="25"/>
  <c r="A95" i="25"/>
  <c r="B95" i="25"/>
  <c r="A96" i="25"/>
  <c r="B96" i="25"/>
  <c r="A97" i="25"/>
  <c r="B97" i="25"/>
  <c r="A98" i="25"/>
  <c r="B98" i="25"/>
  <c r="A99" i="25"/>
  <c r="B99" i="25"/>
  <c r="A100" i="25"/>
  <c r="B100" i="25"/>
  <c r="A101" i="25"/>
  <c r="B101" i="25"/>
  <c r="A102" i="25"/>
  <c r="B102" i="25"/>
  <c r="A103" i="25"/>
  <c r="B103" i="25"/>
  <c r="A104" i="25"/>
  <c r="B104" i="25"/>
  <c r="A105" i="25"/>
  <c r="B105" i="25"/>
  <c r="A106" i="25"/>
  <c r="B106" i="25"/>
  <c r="A107" i="25"/>
  <c r="B107" i="25"/>
  <c r="A108" i="25"/>
  <c r="B108" i="25"/>
  <c r="A109" i="25"/>
  <c r="B109" i="25"/>
  <c r="A110" i="25"/>
  <c r="B110" i="25"/>
  <c r="A111" i="25"/>
  <c r="B111" i="25"/>
  <c r="A112" i="25"/>
  <c r="B112" i="25"/>
  <c r="A113" i="25"/>
  <c r="B113" i="25"/>
  <c r="A114" i="25"/>
  <c r="B114" i="25"/>
  <c r="A115" i="25"/>
  <c r="B115" i="25"/>
  <c r="A116" i="25"/>
  <c r="B116" i="25"/>
  <c r="A117" i="25"/>
  <c r="B117" i="25"/>
  <c r="A118" i="25"/>
  <c r="B118" i="25"/>
  <c r="A119" i="25"/>
  <c r="B119" i="25"/>
  <c r="A120" i="25"/>
  <c r="B120" i="25"/>
  <c r="A121" i="25"/>
  <c r="B121" i="25"/>
  <c r="A122" i="25"/>
  <c r="B122" i="25"/>
  <c r="A123" i="25"/>
  <c r="B123" i="25"/>
  <c r="A124" i="25"/>
  <c r="B124" i="25"/>
  <c r="A125" i="25"/>
  <c r="B125" i="25"/>
  <c r="A126" i="25"/>
  <c r="B126" i="25"/>
  <c r="A127" i="25"/>
  <c r="B127" i="25"/>
  <c r="A128" i="25"/>
  <c r="B128" i="25"/>
  <c r="A129" i="25"/>
  <c r="B129" i="25"/>
  <c r="A130" i="25"/>
  <c r="B130" i="25"/>
  <c r="A131" i="25"/>
  <c r="B131" i="25"/>
  <c r="A132" i="25"/>
  <c r="B132" i="25"/>
  <c r="A133" i="25"/>
  <c r="B133" i="25"/>
  <c r="A134" i="25"/>
  <c r="B134" i="25"/>
  <c r="A135" i="25"/>
  <c r="B135" i="25"/>
  <c r="A136" i="25"/>
  <c r="B136" i="25"/>
  <c r="A137" i="25"/>
  <c r="B137" i="25"/>
  <c r="A138" i="25"/>
  <c r="B138" i="25"/>
  <c r="A139" i="25"/>
  <c r="B139" i="25"/>
  <c r="A140" i="25"/>
  <c r="B140" i="25"/>
  <c r="A141" i="25"/>
  <c r="B141" i="25"/>
  <c r="A142" i="25"/>
  <c r="B142" i="25"/>
  <c r="A143" i="25"/>
  <c r="B143" i="25"/>
  <c r="A144" i="25"/>
  <c r="B144" i="25"/>
  <c r="A145" i="25"/>
  <c r="B145" i="25"/>
  <c r="A146" i="25"/>
  <c r="B146" i="25"/>
  <c r="A147" i="25"/>
  <c r="B147" i="25"/>
  <c r="A148" i="25"/>
  <c r="B148" i="25"/>
  <c r="A149" i="25"/>
  <c r="B149" i="25"/>
  <c r="A150" i="25"/>
  <c r="B150" i="25"/>
  <c r="A151" i="25"/>
  <c r="B151" i="25"/>
  <c r="A152" i="25"/>
  <c r="B152" i="25"/>
  <c r="A153" i="25"/>
  <c r="B153" i="25"/>
  <c r="A154" i="25"/>
  <c r="B154" i="25"/>
  <c r="A155" i="25"/>
  <c r="B155" i="25"/>
  <c r="A156" i="25"/>
  <c r="B156" i="25"/>
  <c r="A157" i="25"/>
  <c r="B157" i="25"/>
  <c r="A158" i="25"/>
  <c r="B158" i="25"/>
  <c r="A159" i="25"/>
  <c r="B159" i="25"/>
  <c r="A160" i="25"/>
  <c r="B160" i="25"/>
  <c r="A161" i="25"/>
  <c r="B161" i="25"/>
  <c r="A162" i="25"/>
  <c r="B162" i="25"/>
  <c r="A163" i="25"/>
  <c r="B163" i="25"/>
  <c r="A164" i="25"/>
  <c r="B164" i="25"/>
  <c r="A165" i="25"/>
  <c r="B165" i="25"/>
  <c r="A166" i="25"/>
  <c r="B166" i="25"/>
  <c r="A167" i="25"/>
  <c r="B167" i="25"/>
  <c r="A168" i="25"/>
  <c r="B168" i="25"/>
  <c r="A169" i="25"/>
  <c r="B169" i="25"/>
  <c r="A170" i="25"/>
  <c r="B170" i="25"/>
  <c r="A171" i="25"/>
  <c r="B171" i="25"/>
  <c r="A172" i="25"/>
  <c r="B172" i="25"/>
  <c r="A173" i="25"/>
  <c r="B173" i="25"/>
  <c r="A174" i="25"/>
  <c r="B174" i="25"/>
  <c r="A175" i="25"/>
  <c r="B175" i="25"/>
  <c r="A176" i="25"/>
  <c r="B176" i="25"/>
  <c r="A177" i="25"/>
  <c r="B177" i="25"/>
  <c r="A178" i="25"/>
  <c r="B178" i="25"/>
  <c r="A179" i="25"/>
  <c r="B179" i="25"/>
  <c r="A180" i="25"/>
  <c r="B180" i="25"/>
  <c r="A181" i="25"/>
  <c r="B181" i="25"/>
  <c r="A182" i="25"/>
  <c r="B182" i="25"/>
  <c r="A185" i="25"/>
  <c r="B185" i="25"/>
  <c r="A186" i="25"/>
  <c r="B186" i="25"/>
  <c r="A187" i="25"/>
  <c r="B187" i="25"/>
  <c r="A188" i="25"/>
  <c r="B188" i="25"/>
  <c r="A189" i="25"/>
  <c r="B189" i="25"/>
  <c r="A190" i="25"/>
  <c r="B190" i="25"/>
  <c r="A191" i="25"/>
  <c r="B191" i="25"/>
  <c r="A192" i="25"/>
  <c r="B192" i="25"/>
  <c r="A193" i="25"/>
  <c r="B193" i="25"/>
  <c r="A194" i="25"/>
  <c r="B194" i="25"/>
  <c r="A195" i="25"/>
  <c r="B195" i="25"/>
  <c r="A196" i="25"/>
  <c r="B196" i="25"/>
  <c r="A197" i="25"/>
  <c r="B197" i="25"/>
  <c r="A198" i="25"/>
  <c r="B198" i="25"/>
  <c r="A199" i="25"/>
  <c r="B199" i="25"/>
  <c r="A200" i="25"/>
  <c r="B200" i="25"/>
  <c r="A201" i="25"/>
  <c r="B201" i="25"/>
  <c r="A202" i="25"/>
  <c r="B202" i="25"/>
  <c r="A203" i="25"/>
  <c r="B203" i="25"/>
  <c r="A204" i="25"/>
  <c r="B204" i="25"/>
  <c r="A205" i="25"/>
  <c r="B205" i="25"/>
  <c r="A206" i="25"/>
  <c r="B206" i="25"/>
  <c r="A207" i="25"/>
  <c r="B207" i="25"/>
  <c r="A208" i="25"/>
  <c r="B208" i="25"/>
  <c r="A209" i="25"/>
  <c r="B209" i="25"/>
  <c r="A210" i="25"/>
  <c r="B210" i="25"/>
  <c r="A211" i="25"/>
  <c r="B211" i="25"/>
  <c r="A212" i="25"/>
  <c r="B212" i="25"/>
  <c r="A213" i="25"/>
  <c r="B213" i="25"/>
  <c r="A214" i="25"/>
  <c r="B214" i="25"/>
  <c r="A215" i="25"/>
  <c r="B215" i="25"/>
  <c r="A216" i="25"/>
  <c r="B216" i="25"/>
  <c r="A217" i="25"/>
  <c r="B217" i="25"/>
  <c r="A218" i="25"/>
  <c r="B218" i="25"/>
  <c r="A219" i="25"/>
  <c r="B219" i="25"/>
  <c r="A220" i="25"/>
  <c r="B220" i="25"/>
  <c r="A221" i="25"/>
  <c r="B221" i="25"/>
  <c r="A222" i="25"/>
  <c r="B222" i="25"/>
  <c r="A223" i="25"/>
  <c r="B223" i="25"/>
  <c r="A224" i="25"/>
  <c r="B224" i="25"/>
  <c r="A225" i="25"/>
  <c r="B225" i="25"/>
  <c r="A226" i="25"/>
  <c r="B226" i="25"/>
  <c r="A227" i="25"/>
  <c r="B227" i="25"/>
  <c r="A228" i="25"/>
  <c r="B228" i="25"/>
  <c r="A229" i="25"/>
  <c r="B229" i="25"/>
  <c r="A230" i="25"/>
  <c r="B230" i="25"/>
  <c r="A231" i="25"/>
  <c r="B231" i="25"/>
  <c r="A232" i="25"/>
  <c r="B232" i="25"/>
  <c r="A233" i="25"/>
  <c r="B233" i="25"/>
  <c r="A234" i="25"/>
  <c r="B234" i="25"/>
  <c r="A235" i="25"/>
  <c r="B235" i="25"/>
  <c r="A236" i="25"/>
  <c r="B236" i="25"/>
  <c r="A237" i="25"/>
  <c r="B237" i="25"/>
  <c r="A238" i="25"/>
  <c r="B238" i="25"/>
  <c r="A239" i="25"/>
  <c r="B239" i="25"/>
  <c r="A240" i="25"/>
  <c r="B240" i="25"/>
  <c r="A241" i="25"/>
  <c r="B241" i="25"/>
  <c r="A242" i="25"/>
  <c r="B242" i="25"/>
  <c r="A243" i="25"/>
  <c r="B243" i="25"/>
  <c r="A244" i="25"/>
  <c r="B244" i="25"/>
  <c r="A245" i="25"/>
  <c r="B245" i="25"/>
  <c r="A246" i="25"/>
  <c r="B246" i="25"/>
  <c r="A247" i="25"/>
  <c r="B247" i="25"/>
  <c r="A248" i="25"/>
  <c r="B248" i="25"/>
  <c r="A249" i="25"/>
  <c r="B249" i="25"/>
  <c r="A250" i="25"/>
  <c r="B250" i="25"/>
  <c r="A253" i="25"/>
  <c r="B253" i="25"/>
  <c r="A254" i="25"/>
  <c r="B254" i="25"/>
  <c r="A255" i="25"/>
  <c r="B255" i="25"/>
  <c r="A256" i="25"/>
  <c r="B256" i="25"/>
  <c r="A257" i="25"/>
  <c r="B257" i="25"/>
  <c r="A258" i="25"/>
  <c r="B258" i="25"/>
  <c r="A259" i="25"/>
  <c r="B259" i="25"/>
  <c r="A260" i="25"/>
  <c r="B260" i="25"/>
  <c r="A261" i="25"/>
  <c r="B261" i="25"/>
  <c r="A262" i="25"/>
  <c r="B262" i="25"/>
  <c r="A264" i="25"/>
  <c r="B264" i="25"/>
  <c r="A265" i="25"/>
  <c r="B265" i="25"/>
  <c r="A266" i="25"/>
  <c r="B266" i="25"/>
  <c r="A267" i="25"/>
  <c r="B267" i="25"/>
  <c r="A268" i="25"/>
  <c r="B268" i="25"/>
  <c r="A269" i="25"/>
  <c r="B269" i="25"/>
  <c r="A270" i="25"/>
  <c r="B270" i="25"/>
  <c r="A271" i="25"/>
  <c r="B271" i="25"/>
  <c r="A272" i="25"/>
  <c r="B272" i="25"/>
  <c r="A273" i="25"/>
  <c r="B273" i="25"/>
  <c r="A274" i="25"/>
  <c r="B274" i="25"/>
  <c r="A275" i="25"/>
  <c r="B275" i="25"/>
  <c r="A276" i="25"/>
  <c r="B276" i="25"/>
  <c r="A277" i="25"/>
  <c r="B277" i="25"/>
  <c r="A278" i="25"/>
  <c r="B278" i="25"/>
  <c r="A279" i="25"/>
  <c r="B279" i="25"/>
  <c r="A280" i="25"/>
  <c r="B280" i="25"/>
  <c r="A281" i="25"/>
  <c r="B281" i="25"/>
  <c r="A282" i="25"/>
  <c r="B282" i="25"/>
  <c r="A283" i="25"/>
  <c r="B283" i="25"/>
  <c r="A284" i="25"/>
  <c r="B284" i="25"/>
  <c r="A285" i="25"/>
  <c r="B285" i="25"/>
  <c r="A286" i="25"/>
  <c r="B286" i="25"/>
  <c r="A287" i="25"/>
  <c r="B287" i="25"/>
  <c r="A288" i="25"/>
  <c r="B288" i="25"/>
  <c r="A289" i="25"/>
  <c r="B289" i="25"/>
  <c r="A290" i="25"/>
  <c r="B290" i="25"/>
  <c r="A291" i="25"/>
  <c r="B291" i="25"/>
  <c r="A292" i="25"/>
  <c r="B292" i="25"/>
  <c r="A293" i="25"/>
  <c r="B293" i="25"/>
  <c r="A294" i="25"/>
  <c r="B294" i="25"/>
  <c r="A295" i="25"/>
  <c r="B295" i="25"/>
  <c r="A296" i="25"/>
  <c r="B296" i="25"/>
  <c r="A297" i="25"/>
  <c r="B297" i="25"/>
  <c r="A298" i="25"/>
  <c r="B298" i="25"/>
  <c r="A299" i="25"/>
  <c r="B299" i="25"/>
  <c r="A300" i="25"/>
  <c r="B300" i="25"/>
  <c r="A301" i="25"/>
  <c r="B301" i="25"/>
  <c r="A302" i="25"/>
  <c r="B302" i="25"/>
  <c r="A303" i="25"/>
  <c r="B303" i="25"/>
  <c r="A304" i="25"/>
  <c r="B304" i="25"/>
  <c r="A305" i="25"/>
  <c r="B305" i="25"/>
  <c r="A306" i="25"/>
  <c r="B306" i="25"/>
  <c r="A307" i="25"/>
  <c r="B307" i="25"/>
  <c r="A308" i="25"/>
  <c r="B308" i="25"/>
  <c r="A309" i="25"/>
  <c r="B309" i="25"/>
  <c r="A310" i="25"/>
  <c r="B310" i="25"/>
  <c r="A311" i="25"/>
  <c r="B311" i="25"/>
  <c r="A312" i="25"/>
  <c r="B312" i="25"/>
  <c r="A313" i="25"/>
  <c r="B313" i="25"/>
  <c r="A314" i="25"/>
  <c r="B314" i="25"/>
  <c r="A315" i="25"/>
  <c r="B315" i="25"/>
  <c r="A316" i="25"/>
  <c r="B316" i="25"/>
  <c r="A317" i="25"/>
  <c r="B317" i="25"/>
  <c r="A318" i="25"/>
  <c r="B318" i="25"/>
  <c r="A319" i="25"/>
  <c r="B319" i="25"/>
  <c r="A320" i="25"/>
  <c r="B320" i="25"/>
  <c r="A321" i="25"/>
  <c r="B321" i="25"/>
  <c r="A322" i="25"/>
  <c r="B322" i="25"/>
  <c r="A323" i="25"/>
  <c r="B323" i="25"/>
  <c r="G32" i="36" l="1"/>
  <c r="F54" i="48"/>
  <c r="G76" i="36"/>
  <c r="G323" i="11"/>
  <c r="C323" i="25"/>
  <c r="E323" i="49"/>
  <c r="C316" i="25"/>
  <c r="E316" i="49"/>
  <c r="C312" i="25"/>
  <c r="E312" i="49"/>
  <c r="C300" i="25"/>
  <c r="E300" i="49"/>
  <c r="C292" i="25"/>
  <c r="E292" i="49"/>
  <c r="C276" i="25"/>
  <c r="E276" i="49"/>
  <c r="C268" i="25"/>
  <c r="E268" i="49"/>
  <c r="C260" i="25"/>
  <c r="E260" i="49"/>
  <c r="C236" i="25"/>
  <c r="E236" i="49"/>
  <c r="C232" i="25"/>
  <c r="E232" i="49"/>
  <c r="C212" i="25"/>
  <c r="E212" i="49"/>
  <c r="C192" i="25"/>
  <c r="E192" i="49"/>
  <c r="C184" i="25"/>
  <c r="E184" i="49"/>
  <c r="C160" i="25"/>
  <c r="E160" i="49"/>
  <c r="C156" i="25"/>
  <c r="E156" i="49"/>
  <c r="C148" i="25"/>
  <c r="E148" i="49"/>
  <c r="C140" i="25"/>
  <c r="E140" i="49"/>
  <c r="C124" i="25"/>
  <c r="E124" i="49"/>
  <c r="C116" i="25"/>
  <c r="E116" i="49"/>
  <c r="C112" i="25"/>
  <c r="E112" i="49"/>
  <c r="C104" i="25"/>
  <c r="E104" i="49"/>
  <c r="C100" i="25"/>
  <c r="E100" i="49"/>
  <c r="C92" i="25"/>
  <c r="E92" i="49"/>
  <c r="C84" i="25"/>
  <c r="E84" i="49"/>
  <c r="C76" i="25"/>
  <c r="E76" i="49"/>
  <c r="C68" i="25"/>
  <c r="E68" i="49"/>
  <c r="C60" i="25"/>
  <c r="E60" i="49"/>
  <c r="C52" i="25"/>
  <c r="E52" i="49"/>
  <c r="C44" i="25"/>
  <c r="E44" i="49"/>
  <c r="C36" i="25"/>
  <c r="E36" i="49"/>
  <c r="C20" i="25"/>
  <c r="E20" i="49"/>
  <c r="C16" i="25"/>
  <c r="E16" i="49"/>
  <c r="C8" i="25"/>
  <c r="E8" i="49"/>
  <c r="C315" i="25"/>
  <c r="E315" i="49"/>
  <c r="C299" i="25"/>
  <c r="E299" i="49"/>
  <c r="C291" i="25"/>
  <c r="E291" i="49"/>
  <c r="C287" i="25"/>
  <c r="E287" i="49"/>
  <c r="C279" i="25"/>
  <c r="E279" i="49"/>
  <c r="C271" i="25"/>
  <c r="E271" i="49"/>
  <c r="C263" i="25"/>
  <c r="E263" i="49"/>
  <c r="C259" i="25"/>
  <c r="E259" i="49"/>
  <c r="C243" i="25"/>
  <c r="E243" i="49"/>
  <c r="C239" i="25"/>
  <c r="E239" i="49"/>
  <c r="C219" i="25"/>
  <c r="E219" i="49"/>
  <c r="C211" i="25"/>
  <c r="E211" i="49"/>
  <c r="C203" i="25"/>
  <c r="E203" i="49"/>
  <c r="C191" i="25"/>
  <c r="E191" i="49"/>
  <c r="C183" i="25"/>
  <c r="E183" i="49"/>
  <c r="C159" i="25"/>
  <c r="E159" i="49"/>
  <c r="C151" i="25"/>
  <c r="E151" i="49"/>
  <c r="C59" i="25"/>
  <c r="E59" i="49"/>
  <c r="C51" i="25"/>
  <c r="E51" i="49"/>
  <c r="C7" i="25"/>
  <c r="E7" i="49"/>
  <c r="C318" i="25"/>
  <c r="E318" i="49"/>
  <c r="C314" i="25"/>
  <c r="E314" i="49"/>
  <c r="C302" i="25"/>
  <c r="E302" i="49"/>
  <c r="C298" i="25"/>
  <c r="E298" i="49"/>
  <c r="C294" i="25"/>
  <c r="E294" i="49"/>
  <c r="C290" i="25"/>
  <c r="E290" i="49"/>
  <c r="C286" i="25"/>
  <c r="E286" i="49"/>
  <c r="C282" i="25"/>
  <c r="E282" i="49"/>
  <c r="C274" i="25"/>
  <c r="E274" i="49"/>
  <c r="C270" i="25"/>
  <c r="E270" i="49"/>
  <c r="C266" i="25"/>
  <c r="E266" i="49"/>
  <c r="C262" i="25"/>
  <c r="E262" i="49"/>
  <c r="C258" i="25"/>
  <c r="E258" i="49"/>
  <c r="C250" i="25"/>
  <c r="E250" i="49"/>
  <c r="C246" i="25"/>
  <c r="E246" i="49"/>
  <c r="C242" i="25"/>
  <c r="E242" i="49"/>
  <c r="C238" i="25"/>
  <c r="E238" i="49"/>
  <c r="C234" i="25"/>
  <c r="E234" i="49"/>
  <c r="C230" i="25"/>
  <c r="E230" i="49"/>
  <c r="C226" i="25"/>
  <c r="E226" i="49"/>
  <c r="C222" i="25"/>
  <c r="E222" i="49"/>
  <c r="C218" i="25"/>
  <c r="E218" i="49"/>
  <c r="C214" i="25"/>
  <c r="E214" i="49"/>
  <c r="C210" i="25"/>
  <c r="E210" i="49"/>
  <c r="C206" i="25"/>
  <c r="E206" i="49"/>
  <c r="C198" i="25"/>
  <c r="E198" i="49"/>
  <c r="C194" i="25"/>
  <c r="E194" i="49"/>
  <c r="C190" i="25"/>
  <c r="E190" i="49"/>
  <c r="C186" i="25"/>
  <c r="E186" i="49"/>
  <c r="C182" i="25"/>
  <c r="E182" i="49"/>
  <c r="C178" i="25"/>
  <c r="E178" i="49"/>
  <c r="C170" i="25"/>
  <c r="E170" i="49"/>
  <c r="C166" i="25"/>
  <c r="E166" i="49"/>
  <c r="C162" i="25"/>
  <c r="E162" i="49"/>
  <c r="C158" i="25"/>
  <c r="E158" i="49"/>
  <c r="C154" i="25"/>
  <c r="E154" i="49"/>
  <c r="C150" i="25"/>
  <c r="E150" i="49"/>
  <c r="C138" i="25"/>
  <c r="E138" i="49"/>
  <c r="C130" i="25"/>
  <c r="E130" i="49"/>
  <c r="C126" i="25"/>
  <c r="E126" i="49"/>
  <c r="C122" i="25"/>
  <c r="E122" i="49"/>
  <c r="C114" i="25"/>
  <c r="E114" i="49"/>
  <c r="C110" i="25"/>
  <c r="E110" i="49"/>
  <c r="C106" i="25"/>
  <c r="E106" i="49"/>
  <c r="C102" i="25"/>
  <c r="E102" i="49"/>
  <c r="C98" i="25"/>
  <c r="E98" i="49"/>
  <c r="C94" i="25"/>
  <c r="E94" i="49"/>
  <c r="C90" i="25"/>
  <c r="E90" i="49"/>
  <c r="C82" i="25"/>
  <c r="E82" i="49"/>
  <c r="C78" i="25"/>
  <c r="E78" i="49"/>
  <c r="C74" i="25"/>
  <c r="E74" i="49"/>
  <c r="C70" i="25"/>
  <c r="E70" i="49"/>
  <c r="C66" i="25"/>
  <c r="E66" i="49"/>
  <c r="C62" i="25"/>
  <c r="E62" i="49"/>
  <c r="C58" i="25"/>
  <c r="E58" i="49"/>
  <c r="C54" i="25"/>
  <c r="E54" i="49"/>
  <c r="C50" i="25"/>
  <c r="E50" i="49"/>
  <c r="C46" i="25"/>
  <c r="E46" i="49"/>
  <c r="C42" i="25"/>
  <c r="E42" i="49"/>
  <c r="C38" i="25"/>
  <c r="E38" i="49"/>
  <c r="C34" i="25"/>
  <c r="E34" i="49"/>
  <c r="C30" i="25"/>
  <c r="E30" i="49"/>
  <c r="C26" i="25"/>
  <c r="E26" i="49"/>
  <c r="C22" i="25"/>
  <c r="E22" i="49"/>
  <c r="C18" i="25"/>
  <c r="E18" i="49"/>
  <c r="C14" i="25"/>
  <c r="E14" i="49"/>
  <c r="C10" i="25"/>
  <c r="E10" i="49"/>
  <c r="C6" i="25"/>
  <c r="E6" i="49"/>
  <c r="C320" i="25"/>
  <c r="E320" i="49"/>
  <c r="C308" i="25"/>
  <c r="E308" i="49"/>
  <c r="C288" i="25"/>
  <c r="E288" i="49"/>
  <c r="C280" i="25"/>
  <c r="E280" i="49"/>
  <c r="C272" i="25"/>
  <c r="E272" i="49"/>
  <c r="C256" i="25"/>
  <c r="E256" i="49"/>
  <c r="C216" i="25"/>
  <c r="E216" i="49"/>
  <c r="C208" i="25"/>
  <c r="E208" i="49"/>
  <c r="C196" i="25"/>
  <c r="E196" i="49"/>
  <c r="C180" i="25"/>
  <c r="E180" i="49"/>
  <c r="C176" i="25"/>
  <c r="E176" i="49"/>
  <c r="C144" i="25"/>
  <c r="E144" i="49"/>
  <c r="C108" i="25"/>
  <c r="E108" i="49"/>
  <c r="C88" i="25"/>
  <c r="E88" i="49"/>
  <c r="C80" i="25"/>
  <c r="E80" i="49"/>
  <c r="C72" i="25"/>
  <c r="E72" i="49"/>
  <c r="C64" i="25"/>
  <c r="E64" i="49"/>
  <c r="C56" i="25"/>
  <c r="E56" i="49"/>
  <c r="C48" i="25"/>
  <c r="E48" i="49"/>
  <c r="C40" i="25"/>
  <c r="E40" i="49"/>
  <c r="C32" i="25"/>
  <c r="E32" i="49"/>
  <c r="C12" i="25"/>
  <c r="E12" i="49"/>
  <c r="C319" i="25"/>
  <c r="E319" i="49"/>
  <c r="C311" i="25"/>
  <c r="E311" i="49"/>
  <c r="C307" i="25"/>
  <c r="E307" i="49"/>
  <c r="C303" i="25"/>
  <c r="E303" i="49"/>
  <c r="C295" i="25"/>
  <c r="E295" i="49"/>
  <c r="C283" i="25"/>
  <c r="E283" i="49"/>
  <c r="C275" i="25"/>
  <c r="E275" i="49"/>
  <c r="C267" i="25"/>
  <c r="E267" i="49"/>
  <c r="C255" i="25"/>
  <c r="E255" i="49"/>
  <c r="C247" i="25"/>
  <c r="E247" i="49"/>
  <c r="C231" i="25"/>
  <c r="E231" i="49"/>
  <c r="C223" i="25"/>
  <c r="E223" i="49"/>
  <c r="C215" i="25"/>
  <c r="E215" i="49"/>
  <c r="C207" i="25"/>
  <c r="E207" i="49"/>
  <c r="C199" i="25"/>
  <c r="E199" i="49"/>
  <c r="C195" i="25"/>
  <c r="E195" i="49"/>
  <c r="C187" i="25"/>
  <c r="E187" i="49"/>
  <c r="C179" i="25"/>
  <c r="E179" i="49"/>
  <c r="C163" i="25"/>
  <c r="E163" i="49"/>
  <c r="C155" i="25"/>
  <c r="E155" i="49"/>
  <c r="C147" i="25"/>
  <c r="E147" i="49"/>
  <c r="C135" i="25"/>
  <c r="E135" i="49"/>
  <c r="C47" i="25"/>
  <c r="E47" i="49"/>
  <c r="D324" i="49"/>
  <c r="C317" i="25"/>
  <c r="E317" i="49"/>
  <c r="C309" i="25"/>
  <c r="E309" i="49"/>
  <c r="C305" i="25"/>
  <c r="E305" i="49"/>
  <c r="C293" i="25"/>
  <c r="E293" i="49"/>
  <c r="C289" i="25"/>
  <c r="E289" i="49"/>
  <c r="C285" i="25"/>
  <c r="E285" i="49"/>
  <c r="C281" i="25"/>
  <c r="E281" i="49"/>
  <c r="C273" i="25"/>
  <c r="E273" i="49"/>
  <c r="C261" i="25"/>
  <c r="E261" i="49"/>
  <c r="C257" i="25"/>
  <c r="E257" i="49"/>
  <c r="C249" i="25"/>
  <c r="E249" i="49"/>
  <c r="C245" i="25"/>
  <c r="E245" i="49"/>
  <c r="C241" i="25"/>
  <c r="E241" i="49"/>
  <c r="C237" i="25"/>
  <c r="E237" i="49"/>
  <c r="C229" i="25"/>
  <c r="E229" i="49"/>
  <c r="C221" i="25"/>
  <c r="E221" i="49"/>
  <c r="C217" i="25"/>
  <c r="E217" i="49"/>
  <c r="C213" i="25"/>
  <c r="E213" i="49"/>
  <c r="C209" i="25"/>
  <c r="E209" i="49"/>
  <c r="C205" i="25"/>
  <c r="E205" i="49"/>
  <c r="C197" i="25"/>
  <c r="E197" i="49"/>
  <c r="C193" i="25"/>
  <c r="E193" i="49"/>
  <c r="C189" i="25"/>
  <c r="E189" i="49"/>
  <c r="C181" i="25"/>
  <c r="E181" i="49"/>
  <c r="C173" i="25"/>
  <c r="E173" i="49"/>
  <c r="C169" i="25"/>
  <c r="E169" i="49"/>
  <c r="C165" i="25"/>
  <c r="E165" i="49"/>
  <c r="C161" i="25"/>
  <c r="E161" i="49"/>
  <c r="C157" i="25"/>
  <c r="E157" i="49"/>
  <c r="C153" i="25"/>
  <c r="E153" i="49"/>
  <c r="C145" i="25"/>
  <c r="E145" i="49"/>
  <c r="C141" i="25"/>
  <c r="E141" i="49"/>
  <c r="C137" i="25"/>
  <c r="E137" i="49"/>
  <c r="C133" i="25"/>
  <c r="E133" i="49"/>
  <c r="C129" i="25"/>
  <c r="E129" i="49"/>
  <c r="C125" i="25"/>
  <c r="E125" i="49"/>
  <c r="C117" i="25"/>
  <c r="E117" i="49"/>
  <c r="C113" i="25"/>
  <c r="E113" i="49"/>
  <c r="C109" i="25"/>
  <c r="E109" i="49"/>
  <c r="C105" i="25"/>
  <c r="E105" i="49"/>
  <c r="C101" i="25"/>
  <c r="E101" i="49"/>
  <c r="C97" i="25"/>
  <c r="E97" i="49"/>
  <c r="C93" i="25"/>
  <c r="E93" i="49"/>
  <c r="C89" i="25"/>
  <c r="E89" i="49"/>
  <c r="C85" i="25"/>
  <c r="E85" i="49"/>
  <c r="C81" i="25"/>
  <c r="E81" i="49"/>
  <c r="C77" i="25"/>
  <c r="E77" i="49"/>
  <c r="C73" i="25"/>
  <c r="E73" i="49"/>
  <c r="C69" i="25"/>
  <c r="E69" i="49"/>
  <c r="C65" i="25"/>
  <c r="E65" i="49"/>
  <c r="C61" i="25"/>
  <c r="E61" i="49"/>
  <c r="C57" i="25"/>
  <c r="E57" i="49"/>
  <c r="C53" i="25"/>
  <c r="E53" i="49"/>
  <c r="C49" i="25"/>
  <c r="E49" i="49"/>
  <c r="C45" i="25"/>
  <c r="E45" i="49"/>
  <c r="C41" i="25"/>
  <c r="E41" i="49"/>
  <c r="C37" i="25"/>
  <c r="E37" i="49"/>
  <c r="C33" i="25"/>
  <c r="E33" i="49"/>
  <c r="C29" i="25"/>
  <c r="E29" i="49"/>
  <c r="C25" i="25"/>
  <c r="E25" i="49"/>
  <c r="C21" i="25"/>
  <c r="E21" i="49"/>
  <c r="C17" i="25"/>
  <c r="E17" i="49"/>
  <c r="C13" i="25"/>
  <c r="E13" i="49"/>
  <c r="C9" i="25"/>
  <c r="E9" i="49"/>
  <c r="C261" i="32"/>
  <c r="C190" i="32"/>
  <c r="C164" i="32"/>
  <c r="C162" i="32"/>
  <c r="C319" i="32"/>
  <c r="E319" i="32" s="1"/>
  <c r="C317" i="32"/>
  <c r="E317" i="32" s="1"/>
  <c r="C202" i="32"/>
  <c r="C168" i="32"/>
  <c r="C163" i="32"/>
  <c r="E163" i="32" s="1"/>
  <c r="C158" i="32"/>
  <c r="G262" i="36"/>
  <c r="G58" i="36"/>
  <c r="G298" i="36"/>
  <c r="G134" i="36"/>
  <c r="G207" i="36"/>
  <c r="G259" i="36"/>
  <c r="G211" i="36"/>
  <c r="G306" i="36"/>
  <c r="G160" i="36"/>
  <c r="G196" i="36"/>
  <c r="G190" i="36"/>
  <c r="G154" i="36"/>
  <c r="G276" i="36"/>
  <c r="G271" i="36"/>
  <c r="G294" i="36"/>
  <c r="G31" i="36"/>
  <c r="H204" i="36"/>
  <c r="H233" i="36"/>
  <c r="H139" i="36"/>
  <c r="H97" i="36"/>
  <c r="H207" i="36"/>
  <c r="H273" i="36"/>
  <c r="H271" i="36"/>
  <c r="H315" i="36"/>
  <c r="H214" i="36"/>
  <c r="H318" i="36"/>
  <c r="H181" i="36"/>
  <c r="H310" i="36"/>
  <c r="H34" i="36"/>
  <c r="H12" i="36"/>
  <c r="H222" i="36"/>
  <c r="H133" i="36"/>
  <c r="H38" i="36"/>
  <c r="H163" i="36"/>
  <c r="H188" i="36"/>
  <c r="H291" i="36"/>
  <c r="H264" i="36"/>
  <c r="G38" i="36"/>
  <c r="G272" i="36"/>
  <c r="G77" i="36"/>
  <c r="G19" i="36"/>
  <c r="G49" i="36"/>
  <c r="G105" i="36"/>
  <c r="G118" i="36"/>
  <c r="G307" i="36"/>
  <c r="G219" i="36"/>
  <c r="G157" i="36"/>
  <c r="G200" i="36"/>
  <c r="G313" i="36"/>
  <c r="G198" i="36"/>
  <c r="G147" i="36"/>
  <c r="G83" i="36"/>
  <c r="G14" i="36"/>
  <c r="G223" i="36"/>
  <c r="G143" i="36"/>
  <c r="G39" i="36"/>
  <c r="G23" i="36"/>
  <c r="G135" i="36"/>
  <c r="G220" i="36"/>
  <c r="G20" i="36"/>
  <c r="G60" i="36"/>
  <c r="G82" i="36"/>
  <c r="G248" i="36"/>
  <c r="G283" i="36"/>
  <c r="G87" i="36"/>
  <c r="G234" i="36"/>
  <c r="G42" i="36"/>
  <c r="G178" i="36"/>
  <c r="G148" i="36"/>
  <c r="G103" i="36"/>
  <c r="G164" i="36"/>
  <c r="G100" i="36"/>
  <c r="G112" i="36"/>
  <c r="G66" i="36"/>
  <c r="G71" i="36"/>
  <c r="G228" i="36"/>
  <c r="G275" i="36"/>
  <c r="G191" i="36"/>
  <c r="G210" i="36"/>
  <c r="G126" i="36"/>
  <c r="D322" i="25"/>
  <c r="D321" i="33"/>
  <c r="D318" i="25"/>
  <c r="D317" i="33"/>
  <c r="D314" i="25"/>
  <c r="D313" i="33"/>
  <c r="D310" i="25"/>
  <c r="D309" i="33"/>
  <c r="D306" i="25"/>
  <c r="D305" i="33"/>
  <c r="D302" i="25"/>
  <c r="D301" i="33"/>
  <c r="D298" i="25"/>
  <c r="D297" i="33"/>
  <c r="D294" i="25"/>
  <c r="D293" i="33"/>
  <c r="D290" i="25"/>
  <c r="D289" i="33"/>
  <c r="D286" i="25"/>
  <c r="D285" i="33"/>
  <c r="D282" i="25"/>
  <c r="D281" i="33"/>
  <c r="D278" i="25"/>
  <c r="D277" i="33"/>
  <c r="D274" i="25"/>
  <c r="D273" i="33"/>
  <c r="D270" i="25"/>
  <c r="D269" i="33"/>
  <c r="D266" i="25"/>
  <c r="D265" i="33"/>
  <c r="D262" i="25"/>
  <c r="D261" i="33"/>
  <c r="D258" i="25"/>
  <c r="D257" i="33"/>
  <c r="D254" i="25"/>
  <c r="D253" i="33"/>
  <c r="D250" i="25"/>
  <c r="D249" i="33"/>
  <c r="D246" i="25"/>
  <c r="D245" i="33"/>
  <c r="D242" i="25"/>
  <c r="D241" i="33"/>
  <c r="D238" i="25"/>
  <c r="D237" i="33"/>
  <c r="D234" i="25"/>
  <c r="D233" i="33"/>
  <c r="D230" i="25"/>
  <c r="D229" i="33"/>
  <c r="D226" i="25"/>
  <c r="D225" i="33"/>
  <c r="D222" i="25"/>
  <c r="D221" i="33"/>
  <c r="D218" i="25"/>
  <c r="D217" i="33"/>
  <c r="D214" i="25"/>
  <c r="D213" i="33"/>
  <c r="D210" i="25"/>
  <c r="D209" i="33"/>
  <c r="D206" i="25"/>
  <c r="D205" i="33"/>
  <c r="D202" i="25"/>
  <c r="D201" i="33"/>
  <c r="D198" i="25"/>
  <c r="D197" i="33"/>
  <c r="D194" i="25"/>
  <c r="D193" i="33"/>
  <c r="D190" i="25"/>
  <c r="D189" i="33"/>
  <c r="D186" i="25"/>
  <c r="D185" i="33"/>
  <c r="D182" i="25"/>
  <c r="D181" i="33"/>
  <c r="D178" i="25"/>
  <c r="D177" i="33"/>
  <c r="D174" i="25"/>
  <c r="D173" i="33"/>
  <c r="D170" i="25"/>
  <c r="D169" i="33"/>
  <c r="D166" i="25"/>
  <c r="D165" i="33"/>
  <c r="D162" i="25"/>
  <c r="D161" i="33"/>
  <c r="D158" i="25"/>
  <c r="D157" i="33"/>
  <c r="D154" i="25"/>
  <c r="D153" i="33"/>
  <c r="D150" i="25"/>
  <c r="D149" i="33"/>
  <c r="D146" i="25"/>
  <c r="D145" i="33"/>
  <c r="D142" i="25"/>
  <c r="D141" i="33"/>
  <c r="D138" i="25"/>
  <c r="D137" i="33"/>
  <c r="D134" i="25"/>
  <c r="D133" i="33"/>
  <c r="D130" i="25"/>
  <c r="D129" i="33"/>
  <c r="D126" i="25"/>
  <c r="D125" i="33"/>
  <c r="D122" i="25"/>
  <c r="D121" i="33"/>
  <c r="D118" i="25"/>
  <c r="D117" i="33"/>
  <c r="D114" i="25"/>
  <c r="D113" i="33"/>
  <c r="D110" i="25"/>
  <c r="D109" i="33"/>
  <c r="D106" i="25"/>
  <c r="D105" i="33"/>
  <c r="D102" i="25"/>
  <c r="D101" i="33"/>
  <c r="D98" i="25"/>
  <c r="D97" i="33"/>
  <c r="D94" i="25"/>
  <c r="D93" i="33"/>
  <c r="D90" i="25"/>
  <c r="D89" i="33"/>
  <c r="D86" i="25"/>
  <c r="D85" i="33"/>
  <c r="D82" i="25"/>
  <c r="D81" i="33"/>
  <c r="D78" i="25"/>
  <c r="D77" i="33"/>
  <c r="D74" i="25"/>
  <c r="D73" i="33"/>
  <c r="D70" i="25"/>
  <c r="D69" i="33"/>
  <c r="D66" i="25"/>
  <c r="D65" i="33"/>
  <c r="D62" i="25"/>
  <c r="D61" i="33"/>
  <c r="D58" i="25"/>
  <c r="D57" i="33"/>
  <c r="D54" i="25"/>
  <c r="D53" i="33"/>
  <c r="D50" i="25"/>
  <c r="D49" i="33"/>
  <c r="D46" i="25"/>
  <c r="D45" i="33"/>
  <c r="D42" i="25"/>
  <c r="D41" i="33"/>
  <c r="D38" i="25"/>
  <c r="D37" i="33"/>
  <c r="D34" i="25"/>
  <c r="D33" i="33"/>
  <c r="D30" i="25"/>
  <c r="D29" i="33"/>
  <c r="D26" i="25"/>
  <c r="D25" i="33"/>
  <c r="D22" i="25"/>
  <c r="D21" i="33"/>
  <c r="D18" i="25"/>
  <c r="D17" i="33"/>
  <c r="D14" i="25"/>
  <c r="D13" i="33"/>
  <c r="D10" i="25"/>
  <c r="D9" i="33"/>
  <c r="D6" i="25"/>
  <c r="D5" i="33"/>
  <c r="C321" i="25"/>
  <c r="C313" i="25"/>
  <c r="C301" i="25"/>
  <c r="L297" i="13"/>
  <c r="M297" i="13" s="1"/>
  <c r="C297" i="25"/>
  <c r="C277" i="25"/>
  <c r="C269" i="25"/>
  <c r="L265" i="13"/>
  <c r="M265" i="13" s="1"/>
  <c r="C265" i="25"/>
  <c r="L253" i="13"/>
  <c r="M253" i="13" s="1"/>
  <c r="C253" i="25"/>
  <c r="C233" i="25"/>
  <c r="C225" i="25"/>
  <c r="L201" i="13"/>
  <c r="M201" i="13" s="1"/>
  <c r="C201" i="25"/>
  <c r="L185" i="13"/>
  <c r="M185" i="13" s="1"/>
  <c r="C185" i="25"/>
  <c r="C177" i="25"/>
  <c r="L149" i="13"/>
  <c r="M149" i="13" s="1"/>
  <c r="C149" i="25"/>
  <c r="L121" i="13"/>
  <c r="M121" i="13" s="1"/>
  <c r="C121" i="25"/>
  <c r="D321" i="25"/>
  <c r="D320" i="33"/>
  <c r="D317" i="25"/>
  <c r="D316" i="33"/>
  <c r="D313" i="25"/>
  <c r="D312" i="33"/>
  <c r="D309" i="25"/>
  <c r="D308" i="33"/>
  <c r="D305" i="25"/>
  <c r="D304" i="33"/>
  <c r="D301" i="25"/>
  <c r="D300" i="33"/>
  <c r="D297" i="25"/>
  <c r="D296" i="33"/>
  <c r="D293" i="25"/>
  <c r="D292" i="33"/>
  <c r="D289" i="25"/>
  <c r="D288" i="33"/>
  <c r="D285" i="25"/>
  <c r="D284" i="33"/>
  <c r="D281" i="25"/>
  <c r="D280" i="33"/>
  <c r="D277" i="25"/>
  <c r="D276" i="33"/>
  <c r="D273" i="25"/>
  <c r="D272" i="33"/>
  <c r="D269" i="25"/>
  <c r="D268" i="33"/>
  <c r="D265" i="25"/>
  <c r="D264" i="33"/>
  <c r="D261" i="25"/>
  <c r="D260" i="33"/>
  <c r="D257" i="25"/>
  <c r="D256" i="33"/>
  <c r="D253" i="25"/>
  <c r="D252" i="33"/>
  <c r="D249" i="25"/>
  <c r="D248" i="33"/>
  <c r="D245" i="25"/>
  <c r="D244" i="33"/>
  <c r="D241" i="25"/>
  <c r="D240" i="33"/>
  <c r="D237" i="25"/>
  <c r="D236" i="33"/>
  <c r="D233" i="25"/>
  <c r="D232" i="33"/>
  <c r="D229" i="25"/>
  <c r="D228" i="33"/>
  <c r="D225" i="25"/>
  <c r="D224" i="33"/>
  <c r="D221" i="25"/>
  <c r="D220" i="33"/>
  <c r="D217" i="25"/>
  <c r="D216" i="33"/>
  <c r="D213" i="25"/>
  <c r="D212" i="33"/>
  <c r="D209" i="25"/>
  <c r="D208" i="33"/>
  <c r="D205" i="25"/>
  <c r="D204" i="33"/>
  <c r="D201" i="25"/>
  <c r="D200" i="33"/>
  <c r="D197" i="25"/>
  <c r="D196" i="33"/>
  <c r="D193" i="25"/>
  <c r="D192" i="33"/>
  <c r="D189" i="25"/>
  <c r="D188" i="33"/>
  <c r="D185" i="25"/>
  <c r="D184" i="33"/>
  <c r="D181" i="25"/>
  <c r="D180" i="33"/>
  <c r="D177" i="25"/>
  <c r="D176" i="33"/>
  <c r="D173" i="25"/>
  <c r="D172" i="33"/>
  <c r="D169" i="25"/>
  <c r="D168" i="33"/>
  <c r="D165" i="25"/>
  <c r="D164" i="33"/>
  <c r="D161" i="25"/>
  <c r="D160" i="33"/>
  <c r="D157" i="25"/>
  <c r="D156" i="33"/>
  <c r="D153" i="25"/>
  <c r="D152" i="33"/>
  <c r="D149" i="25"/>
  <c r="D148" i="33"/>
  <c r="D145" i="25"/>
  <c r="D144" i="33"/>
  <c r="D141" i="25"/>
  <c r="D140" i="33"/>
  <c r="D137" i="25"/>
  <c r="D136" i="33"/>
  <c r="D133" i="25"/>
  <c r="D132" i="33"/>
  <c r="D129" i="25"/>
  <c r="D128" i="33"/>
  <c r="D125" i="25"/>
  <c r="D124" i="33"/>
  <c r="D121" i="25"/>
  <c r="D120" i="33"/>
  <c r="D117" i="25"/>
  <c r="D116" i="33"/>
  <c r="D113" i="25"/>
  <c r="D112" i="33"/>
  <c r="D109" i="25"/>
  <c r="D108" i="33"/>
  <c r="D105" i="25"/>
  <c r="D104" i="33"/>
  <c r="D101" i="25"/>
  <c r="D100" i="33"/>
  <c r="D97" i="25"/>
  <c r="D96" i="33"/>
  <c r="D93" i="25"/>
  <c r="D92" i="33"/>
  <c r="D89" i="25"/>
  <c r="D88" i="33"/>
  <c r="D85" i="25"/>
  <c r="D84" i="33"/>
  <c r="D81" i="25"/>
  <c r="D80" i="33"/>
  <c r="D77" i="25"/>
  <c r="D76" i="33"/>
  <c r="D73" i="25"/>
  <c r="D72" i="33"/>
  <c r="D69" i="25"/>
  <c r="D68" i="33"/>
  <c r="D65" i="25"/>
  <c r="D64" i="33"/>
  <c r="D61" i="25"/>
  <c r="D60" i="33"/>
  <c r="D57" i="25"/>
  <c r="D56" i="33"/>
  <c r="D53" i="25"/>
  <c r="D52" i="33"/>
  <c r="D49" i="25"/>
  <c r="D48" i="33"/>
  <c r="D45" i="25"/>
  <c r="D44" i="33"/>
  <c r="D41" i="25"/>
  <c r="D40" i="33"/>
  <c r="D37" i="25"/>
  <c r="D36" i="33"/>
  <c r="D33" i="25"/>
  <c r="D32" i="33"/>
  <c r="D29" i="25"/>
  <c r="D28" i="33"/>
  <c r="D25" i="25"/>
  <c r="D24" i="33"/>
  <c r="D21" i="25"/>
  <c r="D20" i="33"/>
  <c r="D17" i="25"/>
  <c r="D16" i="33"/>
  <c r="D13" i="25"/>
  <c r="D12" i="33"/>
  <c r="D9" i="25"/>
  <c r="D8" i="33"/>
  <c r="L304" i="13"/>
  <c r="M304" i="13" s="1"/>
  <c r="C304" i="25"/>
  <c r="C296" i="25"/>
  <c r="L284" i="13"/>
  <c r="M284" i="13" s="1"/>
  <c r="C284" i="25"/>
  <c r="L264" i="13"/>
  <c r="M264" i="13" s="1"/>
  <c r="C264" i="25"/>
  <c r="L252" i="13"/>
  <c r="M252" i="13" s="1"/>
  <c r="C252" i="25"/>
  <c r="C248" i="25"/>
  <c r="L244" i="13"/>
  <c r="M244" i="13" s="1"/>
  <c r="C244" i="25"/>
  <c r="L240" i="13"/>
  <c r="M240" i="13" s="1"/>
  <c r="C240" i="25"/>
  <c r="L228" i="13"/>
  <c r="M228" i="13" s="1"/>
  <c r="C228" i="25"/>
  <c r="L224" i="13"/>
  <c r="M224" i="13" s="1"/>
  <c r="C224" i="25"/>
  <c r="L220" i="13"/>
  <c r="M220" i="13" s="1"/>
  <c r="C220" i="25"/>
  <c r="L204" i="13"/>
  <c r="M204" i="13" s="1"/>
  <c r="C204" i="25"/>
  <c r="C200" i="25"/>
  <c r="C188" i="25"/>
  <c r="L172" i="13"/>
  <c r="M172" i="13" s="1"/>
  <c r="C172" i="25"/>
  <c r="L168" i="13"/>
  <c r="M168" i="13" s="1"/>
  <c r="C168" i="25"/>
  <c r="C164" i="25"/>
  <c r="L152" i="13"/>
  <c r="M152" i="13" s="1"/>
  <c r="C152" i="25"/>
  <c r="C136" i="25"/>
  <c r="L132" i="13"/>
  <c r="M132" i="13" s="1"/>
  <c r="C132" i="25"/>
  <c r="L128" i="13"/>
  <c r="M128" i="13" s="1"/>
  <c r="C128" i="25"/>
  <c r="L120" i="13"/>
  <c r="M120" i="13" s="1"/>
  <c r="C120" i="25"/>
  <c r="L96" i="13"/>
  <c r="C96" i="25"/>
  <c r="C28" i="25"/>
  <c r="C24" i="25"/>
  <c r="D319" i="33"/>
  <c r="D320" i="25"/>
  <c r="D316" i="25"/>
  <c r="D315" i="33"/>
  <c r="D311" i="33"/>
  <c r="D312" i="25"/>
  <c r="D308" i="25"/>
  <c r="D307" i="33"/>
  <c r="D303" i="33"/>
  <c r="D304" i="25"/>
  <c r="D300" i="25"/>
  <c r="D299" i="33"/>
  <c r="D295" i="33"/>
  <c r="D296" i="25"/>
  <c r="D292" i="25"/>
  <c r="D291" i="33"/>
  <c r="D287" i="33"/>
  <c r="D288" i="25"/>
  <c r="D284" i="25"/>
  <c r="D283" i="33"/>
  <c r="D279" i="33"/>
  <c r="D280" i="25"/>
  <c r="D276" i="25"/>
  <c r="D275" i="33"/>
  <c r="D271" i="33"/>
  <c r="D272" i="25"/>
  <c r="D268" i="25"/>
  <c r="D267" i="33"/>
  <c r="D263" i="33"/>
  <c r="D264" i="25"/>
  <c r="D260" i="25"/>
  <c r="D259" i="33"/>
  <c r="D255" i="33"/>
  <c r="D256" i="25"/>
  <c r="D252" i="25"/>
  <c r="D251" i="33"/>
  <c r="D247" i="33"/>
  <c r="D248" i="25"/>
  <c r="D244" i="25"/>
  <c r="D243" i="33"/>
  <c r="D239" i="33"/>
  <c r="D240" i="25"/>
  <c r="D236" i="25"/>
  <c r="D235" i="33"/>
  <c r="D231" i="33"/>
  <c r="D232" i="25"/>
  <c r="D228" i="25"/>
  <c r="D227" i="33"/>
  <c r="D223" i="33"/>
  <c r="D224" i="25"/>
  <c r="D220" i="25"/>
  <c r="D219" i="33"/>
  <c r="D215" i="33"/>
  <c r="D216" i="25"/>
  <c r="D212" i="25"/>
  <c r="D211" i="33"/>
  <c r="D207" i="33"/>
  <c r="D208" i="25"/>
  <c r="D204" i="25"/>
  <c r="D203" i="33"/>
  <c r="D199" i="33"/>
  <c r="D200" i="25"/>
  <c r="D196" i="25"/>
  <c r="D195" i="33"/>
  <c r="D191" i="33"/>
  <c r="D192" i="25"/>
  <c r="D188" i="25"/>
  <c r="D187" i="33"/>
  <c r="D183" i="33"/>
  <c r="D184" i="25"/>
  <c r="D180" i="25"/>
  <c r="D179" i="33"/>
  <c r="D175" i="33"/>
  <c r="D176" i="25"/>
  <c r="D172" i="25"/>
  <c r="D171" i="33"/>
  <c r="D167" i="33"/>
  <c r="D168" i="25"/>
  <c r="D164" i="25"/>
  <c r="D163" i="33"/>
  <c r="D159" i="33"/>
  <c r="D160" i="25"/>
  <c r="D156" i="25"/>
  <c r="D155" i="33"/>
  <c r="D151" i="33"/>
  <c r="D152" i="25"/>
  <c r="D148" i="25"/>
  <c r="D147" i="33"/>
  <c r="D143" i="33"/>
  <c r="D144" i="25"/>
  <c r="D140" i="25"/>
  <c r="D139" i="33"/>
  <c r="D135" i="33"/>
  <c r="D136" i="25"/>
  <c r="D132" i="25"/>
  <c r="D131" i="33"/>
  <c r="D127" i="33"/>
  <c r="D128" i="25"/>
  <c r="D124" i="25"/>
  <c r="D123" i="33"/>
  <c r="D119" i="33"/>
  <c r="D120" i="25"/>
  <c r="D116" i="25"/>
  <c r="D115" i="33"/>
  <c r="D111" i="33"/>
  <c r="D112" i="25"/>
  <c r="D108" i="25"/>
  <c r="D107" i="33"/>
  <c r="D103" i="33"/>
  <c r="D104" i="25"/>
  <c r="D100" i="25"/>
  <c r="D99" i="33"/>
  <c r="D95" i="33"/>
  <c r="D96" i="25"/>
  <c r="D92" i="25"/>
  <c r="D91" i="33"/>
  <c r="D87" i="33"/>
  <c r="D88" i="25"/>
  <c r="D84" i="25"/>
  <c r="D83" i="33"/>
  <c r="D79" i="33"/>
  <c r="D80" i="25"/>
  <c r="D76" i="25"/>
  <c r="D75" i="33"/>
  <c r="D71" i="33"/>
  <c r="D72" i="25"/>
  <c r="D68" i="25"/>
  <c r="D67" i="33"/>
  <c r="D63" i="33"/>
  <c r="D64" i="25"/>
  <c r="D60" i="25"/>
  <c r="D59" i="33"/>
  <c r="D55" i="33"/>
  <c r="D56" i="25"/>
  <c r="D52" i="25"/>
  <c r="D51" i="33"/>
  <c r="D47" i="33"/>
  <c r="D48" i="25"/>
  <c r="D44" i="25"/>
  <c r="D43" i="33"/>
  <c r="D39" i="33"/>
  <c r="D40" i="25"/>
  <c r="D36" i="25"/>
  <c r="D35" i="33"/>
  <c r="D31" i="33"/>
  <c r="D32" i="25"/>
  <c r="D28" i="25"/>
  <c r="D27" i="33"/>
  <c r="D23" i="33"/>
  <c r="D24" i="25"/>
  <c r="D20" i="25"/>
  <c r="D19" i="33"/>
  <c r="D15" i="33"/>
  <c r="D16" i="25"/>
  <c r="D12" i="25"/>
  <c r="D11" i="33"/>
  <c r="D8" i="25"/>
  <c r="D7" i="33"/>
  <c r="L251" i="13"/>
  <c r="M251" i="13" s="1"/>
  <c r="C251" i="25"/>
  <c r="L235" i="13"/>
  <c r="M235" i="13" s="1"/>
  <c r="C235" i="25"/>
  <c r="L227" i="13"/>
  <c r="M227" i="13" s="1"/>
  <c r="C227" i="25"/>
  <c r="L175" i="13"/>
  <c r="M175" i="13" s="1"/>
  <c r="C175" i="25"/>
  <c r="L171" i="13"/>
  <c r="M171" i="13" s="1"/>
  <c r="C171" i="25"/>
  <c r="L167" i="13"/>
  <c r="M167" i="13" s="1"/>
  <c r="C167" i="25"/>
  <c r="C143" i="25"/>
  <c r="L139" i="13"/>
  <c r="M139" i="13" s="1"/>
  <c r="C139" i="25"/>
  <c r="C131" i="25"/>
  <c r="L127" i="13"/>
  <c r="M127" i="13" s="1"/>
  <c r="C127" i="25"/>
  <c r="C123" i="25"/>
  <c r="L119" i="13"/>
  <c r="M119" i="13" s="1"/>
  <c r="C119" i="25"/>
  <c r="C115" i="25"/>
  <c r="L111" i="13"/>
  <c r="M111" i="13" s="1"/>
  <c r="C111" i="25"/>
  <c r="C107" i="25"/>
  <c r="L103" i="13"/>
  <c r="M103" i="13" s="1"/>
  <c r="C103" i="25"/>
  <c r="C99" i="25"/>
  <c r="L95" i="13"/>
  <c r="M95" i="13" s="1"/>
  <c r="C95" i="25"/>
  <c r="C91" i="25"/>
  <c r="L87" i="13"/>
  <c r="M87" i="13" s="1"/>
  <c r="C87" i="25"/>
  <c r="L83" i="13"/>
  <c r="M83" i="13" s="1"/>
  <c r="C83" i="25"/>
  <c r="C79" i="25"/>
  <c r="L75" i="13"/>
  <c r="M75" i="13" s="1"/>
  <c r="C75" i="25"/>
  <c r="C71" i="25"/>
  <c r="L67" i="13"/>
  <c r="M67" i="13" s="1"/>
  <c r="C67" i="25"/>
  <c r="L63" i="13"/>
  <c r="M63" i="13" s="1"/>
  <c r="C63" i="25"/>
  <c r="L55" i="13"/>
  <c r="M55" i="13" s="1"/>
  <c r="C55" i="25"/>
  <c r="C43" i="25"/>
  <c r="L39" i="13"/>
  <c r="M39" i="13" s="1"/>
  <c r="C39" i="25"/>
  <c r="C35" i="25"/>
  <c r="L31" i="13"/>
  <c r="M31" i="13" s="1"/>
  <c r="C31" i="25"/>
  <c r="L27" i="13"/>
  <c r="M27" i="13" s="1"/>
  <c r="C27" i="25"/>
  <c r="L23" i="13"/>
  <c r="M23" i="13" s="1"/>
  <c r="C23" i="25"/>
  <c r="L19" i="13"/>
  <c r="M19" i="13" s="1"/>
  <c r="C19" i="25"/>
  <c r="C15" i="25"/>
  <c r="C11" i="25"/>
  <c r="D323" i="25"/>
  <c r="D322" i="33"/>
  <c r="D319" i="25"/>
  <c r="D318" i="33"/>
  <c r="D315" i="25"/>
  <c r="D314" i="33"/>
  <c r="D311" i="25"/>
  <c r="D310" i="33"/>
  <c r="D307" i="25"/>
  <c r="D306" i="33"/>
  <c r="D303" i="25"/>
  <c r="D302" i="33"/>
  <c r="D299" i="25"/>
  <c r="D298" i="33"/>
  <c r="D295" i="25"/>
  <c r="D294" i="33"/>
  <c r="D291" i="25"/>
  <c r="D290" i="33"/>
  <c r="D287" i="25"/>
  <c r="D286" i="33"/>
  <c r="D283" i="25"/>
  <c r="D282" i="33"/>
  <c r="D279" i="25"/>
  <c r="D278" i="33"/>
  <c r="D275" i="25"/>
  <c r="D274" i="33"/>
  <c r="D271" i="25"/>
  <c r="D270" i="33"/>
  <c r="D267" i="25"/>
  <c r="D266" i="33"/>
  <c r="D263" i="25"/>
  <c r="D262" i="33"/>
  <c r="D259" i="25"/>
  <c r="D258" i="33"/>
  <c r="D255" i="25"/>
  <c r="D254" i="33"/>
  <c r="D251" i="25"/>
  <c r="D250" i="33"/>
  <c r="D247" i="25"/>
  <c r="D246" i="33"/>
  <c r="D243" i="25"/>
  <c r="D242" i="33"/>
  <c r="D239" i="25"/>
  <c r="D238" i="33"/>
  <c r="D235" i="25"/>
  <c r="D234" i="33"/>
  <c r="D231" i="25"/>
  <c r="D230" i="33"/>
  <c r="D227" i="25"/>
  <c r="D226" i="33"/>
  <c r="D223" i="25"/>
  <c r="D222" i="33"/>
  <c r="D219" i="25"/>
  <c r="D218" i="33"/>
  <c r="D215" i="25"/>
  <c r="D214" i="33"/>
  <c r="D211" i="25"/>
  <c r="D210" i="33"/>
  <c r="D207" i="25"/>
  <c r="D206" i="33"/>
  <c r="D203" i="25"/>
  <c r="D202" i="33"/>
  <c r="D199" i="25"/>
  <c r="D198" i="33"/>
  <c r="D195" i="25"/>
  <c r="D194" i="33"/>
  <c r="D191" i="25"/>
  <c r="D190" i="33"/>
  <c r="D187" i="25"/>
  <c r="D186" i="33"/>
  <c r="D183" i="25"/>
  <c r="D182" i="33"/>
  <c r="D179" i="25"/>
  <c r="D178" i="33"/>
  <c r="D175" i="25"/>
  <c r="D174" i="33"/>
  <c r="D171" i="25"/>
  <c r="D170" i="33"/>
  <c r="D167" i="25"/>
  <c r="D166" i="33"/>
  <c r="D163" i="25"/>
  <c r="D162" i="33"/>
  <c r="D159" i="25"/>
  <c r="D158" i="33"/>
  <c r="D155" i="25"/>
  <c r="D154" i="33"/>
  <c r="D151" i="25"/>
  <c r="D150" i="33"/>
  <c r="D147" i="25"/>
  <c r="D146" i="33"/>
  <c r="D143" i="25"/>
  <c r="D142" i="33"/>
  <c r="D139" i="25"/>
  <c r="D138" i="33"/>
  <c r="D135" i="25"/>
  <c r="D134" i="33"/>
  <c r="D131" i="25"/>
  <c r="D130" i="33"/>
  <c r="D127" i="25"/>
  <c r="D126" i="33"/>
  <c r="D123" i="25"/>
  <c r="D122" i="33"/>
  <c r="D119" i="25"/>
  <c r="D118" i="33"/>
  <c r="D115" i="25"/>
  <c r="D114" i="33"/>
  <c r="D111" i="25"/>
  <c r="D110" i="33"/>
  <c r="D107" i="25"/>
  <c r="D106" i="33"/>
  <c r="D103" i="25"/>
  <c r="D102" i="33"/>
  <c r="D99" i="25"/>
  <c r="D98" i="33"/>
  <c r="D95" i="25"/>
  <c r="D94" i="33"/>
  <c r="D91" i="25"/>
  <c r="D90" i="33"/>
  <c r="D87" i="25"/>
  <c r="D86" i="33"/>
  <c r="D83" i="25"/>
  <c r="D82" i="33"/>
  <c r="D79" i="25"/>
  <c r="D78" i="33"/>
  <c r="D75" i="25"/>
  <c r="D74" i="33"/>
  <c r="D71" i="25"/>
  <c r="D70" i="33"/>
  <c r="D67" i="25"/>
  <c r="D66" i="33"/>
  <c r="D63" i="25"/>
  <c r="D62" i="33"/>
  <c r="D59" i="25"/>
  <c r="D58" i="33"/>
  <c r="D55" i="25"/>
  <c r="D54" i="33"/>
  <c r="D51" i="25"/>
  <c r="D50" i="33"/>
  <c r="D47" i="25"/>
  <c r="D46" i="33"/>
  <c r="D43" i="25"/>
  <c r="D42" i="33"/>
  <c r="D39" i="25"/>
  <c r="D38" i="33"/>
  <c r="D35" i="25"/>
  <c r="D34" i="33"/>
  <c r="D31" i="25"/>
  <c r="D30" i="33"/>
  <c r="D27" i="25"/>
  <c r="D26" i="33"/>
  <c r="D23" i="25"/>
  <c r="D22" i="33"/>
  <c r="D19" i="25"/>
  <c r="D18" i="33"/>
  <c r="D15" i="25"/>
  <c r="D14" i="33"/>
  <c r="D11" i="25"/>
  <c r="D10" i="33"/>
  <c r="D7" i="25"/>
  <c r="D6" i="33"/>
  <c r="C322" i="25"/>
  <c r="C310" i="25"/>
  <c r="C306" i="25"/>
  <c r="C278" i="25"/>
  <c r="C254" i="25"/>
  <c r="C202" i="25"/>
  <c r="L174" i="13"/>
  <c r="M174" i="13" s="1"/>
  <c r="C174" i="25"/>
  <c r="C146" i="25"/>
  <c r="C142" i="25"/>
  <c r="C134" i="25"/>
  <c r="L118" i="13"/>
  <c r="M118" i="13" s="1"/>
  <c r="C118" i="25"/>
  <c r="L86" i="13"/>
  <c r="M86" i="13" s="1"/>
  <c r="C86" i="25"/>
  <c r="AL325" i="42"/>
  <c r="C132" i="32"/>
  <c r="E132" i="32" s="1"/>
  <c r="B323" i="11"/>
  <c r="L135" i="13"/>
  <c r="M135" i="13" s="1"/>
  <c r="L59" i="13"/>
  <c r="M59" i="13" s="1"/>
  <c r="L51" i="13"/>
  <c r="M51" i="13" s="1"/>
  <c r="C214" i="32"/>
  <c r="L8" i="13"/>
  <c r="M8"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5" i="13"/>
  <c r="M15" i="13" s="1"/>
  <c r="L11" i="13"/>
  <c r="M11" i="13" s="1"/>
  <c r="C298" i="32"/>
  <c r="C294" i="32"/>
  <c r="E294" i="32" s="1"/>
  <c r="C270" i="32"/>
  <c r="C253" i="32"/>
  <c r="E253" i="32" s="1"/>
  <c r="C235" i="32"/>
  <c r="E235" i="32" s="1"/>
  <c r="C210" i="32"/>
  <c r="E210" i="32" s="1"/>
  <c r="C206" i="32"/>
  <c r="E206" i="32" s="1"/>
  <c r="C154" i="32"/>
  <c r="E154" i="32" s="1"/>
  <c r="C125" i="32"/>
  <c r="E125" i="32" s="1"/>
  <c r="C100" i="32"/>
  <c r="E100" i="32" s="1"/>
  <c r="C67" i="32"/>
  <c r="E67" i="32" s="1"/>
  <c r="C57" i="32"/>
  <c r="E57" i="32" s="1"/>
  <c r="C316" i="32"/>
  <c r="E316" i="32" s="1"/>
  <c r="C312" i="32"/>
  <c r="C293" i="32"/>
  <c r="E293" i="32" s="1"/>
  <c r="C277" i="32"/>
  <c r="E277" i="32" s="1"/>
  <c r="C256" i="32"/>
  <c r="E256" i="32" s="1"/>
  <c r="C252" i="32"/>
  <c r="E252" i="32" s="1"/>
  <c r="C239" i="32"/>
  <c r="C221" i="32"/>
  <c r="E221" i="32" s="1"/>
  <c r="C213" i="32"/>
  <c r="C189" i="32"/>
  <c r="E189" i="32" s="1"/>
  <c r="C181" i="32"/>
  <c r="C175" i="32"/>
  <c r="E175" i="32" s="1"/>
  <c r="C170" i="32"/>
  <c r="E170" i="32" s="1"/>
  <c r="C157" i="32"/>
  <c r="E157" i="32" s="1"/>
  <c r="C131" i="32"/>
  <c r="C124" i="32"/>
  <c r="E124" i="32" s="1"/>
  <c r="C88" i="32"/>
  <c r="E88" i="32" s="1"/>
  <c r="C34" i="32"/>
  <c r="E34" i="32" s="1"/>
  <c r="C22" i="32"/>
  <c r="E22" i="32" s="1"/>
  <c r="C314" i="32"/>
  <c r="E314" i="32" s="1"/>
  <c r="C299" i="32"/>
  <c r="E299" i="32" s="1"/>
  <c r="C295" i="32"/>
  <c r="E295" i="32" s="1"/>
  <c r="C290" i="32"/>
  <c r="E290" i="32" s="1"/>
  <c r="C286" i="32"/>
  <c r="E286" i="32" s="1"/>
  <c r="C282" i="32"/>
  <c r="E282" i="32" s="1"/>
  <c r="C267" i="32"/>
  <c r="E267" i="32" s="1"/>
  <c r="C254" i="32"/>
  <c r="E254" i="32" s="1"/>
  <c r="C249" i="32"/>
  <c r="C237" i="32"/>
  <c r="E237" i="32" s="1"/>
  <c r="C232" i="32"/>
  <c r="E232" i="32" s="1"/>
  <c r="C218" i="32"/>
  <c r="E218" i="32" s="1"/>
  <c r="C211" i="32"/>
  <c r="E211" i="32" s="1"/>
  <c r="C207" i="32"/>
  <c r="E207" i="32" s="1"/>
  <c r="C203" i="32"/>
  <c r="E203" i="32" s="1"/>
  <c r="C198" i="32"/>
  <c r="C194" i="32"/>
  <c r="C186" i="32"/>
  <c r="E186" i="32" s="1"/>
  <c r="C155" i="32"/>
  <c r="C149" i="32"/>
  <c r="E149" i="32" s="1"/>
  <c r="C145" i="32"/>
  <c r="E145" i="32" s="1"/>
  <c r="C141" i="32"/>
  <c r="E141" i="32" s="1"/>
  <c r="C136" i="32"/>
  <c r="C126" i="32"/>
  <c r="C121" i="32"/>
  <c r="E121" i="32" s="1"/>
  <c r="C101" i="32"/>
  <c r="C89" i="32"/>
  <c r="E89" i="32" s="1"/>
  <c r="C80" i="32"/>
  <c r="C68" i="32"/>
  <c r="C48" i="32"/>
  <c r="E48" i="32" s="1"/>
  <c r="C41" i="32"/>
  <c r="E41" i="32" s="1"/>
  <c r="C30" i="32"/>
  <c r="E30" i="32" s="1"/>
  <c r="C13" i="32"/>
  <c r="C272" i="32"/>
  <c r="E272" i="32" s="1"/>
  <c r="C263" i="32"/>
  <c r="E263" i="32" s="1"/>
  <c r="C226" i="32"/>
  <c r="E226" i="32" s="1"/>
  <c r="C179" i="32"/>
  <c r="E179" i="32" s="1"/>
  <c r="C112" i="32"/>
  <c r="E112" i="32" s="1"/>
  <c r="C74" i="32"/>
  <c r="E74" i="32" s="1"/>
  <c r="C64" i="32"/>
  <c r="E64" i="32" s="1"/>
  <c r="C54" i="32"/>
  <c r="E54" i="32" s="1"/>
  <c r="C21" i="32"/>
  <c r="E21" i="32" s="1"/>
  <c r="C17" i="32"/>
  <c r="E17" i="32" s="1"/>
  <c r="C9" i="32"/>
  <c r="E9" i="32" s="1"/>
  <c r="C300" i="32"/>
  <c r="E300" i="32" s="1"/>
  <c r="C255" i="32"/>
  <c r="E255" i="32" s="1"/>
  <c r="C225" i="32"/>
  <c r="E225" i="32" s="1"/>
  <c r="C180" i="32"/>
  <c r="E180" i="32" s="1"/>
  <c r="C152" i="32"/>
  <c r="E152" i="32" s="1"/>
  <c r="C83" i="32"/>
  <c r="C69" i="32"/>
  <c r="E69" i="32" s="1"/>
  <c r="C50" i="32"/>
  <c r="E50" i="32" s="1"/>
  <c r="C311" i="32"/>
  <c r="C289" i="32"/>
  <c r="E289" i="32" s="1"/>
  <c r="C281" i="32"/>
  <c r="E281" i="32" s="1"/>
  <c r="C262" i="32"/>
  <c r="E262" i="32" s="1"/>
  <c r="C248" i="32"/>
  <c r="E248" i="32" s="1"/>
  <c r="C223" i="32"/>
  <c r="C201" i="32"/>
  <c r="E201" i="32" s="1"/>
  <c r="C193" i="32"/>
  <c r="E193" i="32" s="1"/>
  <c r="C185" i="32"/>
  <c r="E185" i="32" s="1"/>
  <c r="C172" i="32"/>
  <c r="E172" i="32" s="1"/>
  <c r="C160" i="32"/>
  <c r="E160" i="32" s="1"/>
  <c r="C148" i="32"/>
  <c r="E148" i="32" s="1"/>
  <c r="C140" i="32"/>
  <c r="E140" i="32" s="1"/>
  <c r="C129" i="32"/>
  <c r="E129" i="32" s="1"/>
  <c r="C120" i="32"/>
  <c r="E120" i="32" s="1"/>
  <c r="C111" i="32"/>
  <c r="E111" i="32" s="1"/>
  <c r="C92" i="32"/>
  <c r="E92" i="32" s="1"/>
  <c r="C78" i="32"/>
  <c r="E78" i="32" s="1"/>
  <c r="C63" i="32"/>
  <c r="E63" i="32" s="1"/>
  <c r="C53" i="32"/>
  <c r="C39" i="32"/>
  <c r="C29" i="32"/>
  <c r="E29" i="32" s="1"/>
  <c r="C20" i="32"/>
  <c r="C12" i="32"/>
  <c r="E12" i="32" s="1"/>
  <c r="C313" i="32"/>
  <c r="E313" i="32" s="1"/>
  <c r="C309" i="32"/>
  <c r="E309" i="32" s="1"/>
  <c r="C303" i="32"/>
  <c r="E303" i="32" s="1"/>
  <c r="C278" i="32"/>
  <c r="C257" i="32"/>
  <c r="E257" i="32" s="1"/>
  <c r="C240" i="32"/>
  <c r="E240" i="32" s="1"/>
  <c r="C236" i="32"/>
  <c r="E236" i="32" s="1"/>
  <c r="C231" i="32"/>
  <c r="C227" i="32"/>
  <c r="C222" i="32"/>
  <c r="C102" i="32"/>
  <c r="C79" i="32"/>
  <c r="C52" i="32"/>
  <c r="C321" i="32"/>
  <c r="E321" i="32" s="1"/>
  <c r="C308" i="32"/>
  <c r="E308" i="32" s="1"/>
  <c r="C302" i="32"/>
  <c r="E302" i="32" s="1"/>
  <c r="C296" i="32"/>
  <c r="E296" i="32" s="1"/>
  <c r="C291" i="32"/>
  <c r="C287" i="32"/>
  <c r="C283" i="32"/>
  <c r="C279" i="32"/>
  <c r="C273" i="32"/>
  <c r="C268" i="32"/>
  <c r="E268" i="32" s="1"/>
  <c r="C264" i="32"/>
  <c r="E264" i="32" s="1"/>
  <c r="C258" i="32"/>
  <c r="C250" i="32"/>
  <c r="E250" i="32" s="1"/>
  <c r="C245" i="32"/>
  <c r="C238" i="32"/>
  <c r="E238" i="32" s="1"/>
  <c r="C233" i="32"/>
  <c r="E233" i="32" s="1"/>
  <c r="C228" i="32"/>
  <c r="E228" i="32" s="1"/>
  <c r="C219" i="32"/>
  <c r="E219" i="32" s="1"/>
  <c r="C212" i="32"/>
  <c r="E212" i="32" s="1"/>
  <c r="C208" i="32"/>
  <c r="E208" i="32" s="1"/>
  <c r="C204" i="32"/>
  <c r="E204" i="32" s="1"/>
  <c r="C199" i="32"/>
  <c r="C195" i="32"/>
  <c r="E195" i="32" s="1"/>
  <c r="C188" i="32"/>
  <c r="E188" i="32" s="1"/>
  <c r="C182" i="32"/>
  <c r="E182" i="32" s="1"/>
  <c r="C174" i="32"/>
  <c r="C166" i="32"/>
  <c r="E166" i="32" s="1"/>
  <c r="C156" i="32"/>
  <c r="E156" i="32" s="1"/>
  <c r="C150" i="32"/>
  <c r="E150" i="32" s="1"/>
  <c r="C146" i="32"/>
  <c r="E146" i="32" s="1"/>
  <c r="C142" i="32"/>
  <c r="E142" i="32" s="1"/>
  <c r="C138" i="32"/>
  <c r="E138" i="32" s="1"/>
  <c r="C133" i="32"/>
  <c r="E133" i="32" s="1"/>
  <c r="C127" i="32"/>
  <c r="E127" i="32" s="1"/>
  <c r="C122" i="32"/>
  <c r="E122" i="32" s="1"/>
  <c r="C117" i="32"/>
  <c r="E117" i="32" s="1"/>
  <c r="C113" i="32"/>
  <c r="E113" i="32" s="1"/>
  <c r="C109" i="32"/>
  <c r="E109" i="32" s="1"/>
  <c r="C103" i="32"/>
  <c r="E103" i="32" s="1"/>
  <c r="C98" i="32"/>
  <c r="E98" i="32" s="1"/>
  <c r="C94" i="32"/>
  <c r="E94" i="32" s="1"/>
  <c r="C90" i="32"/>
  <c r="E90" i="32" s="1"/>
  <c r="C81" i="32"/>
  <c r="E81" i="32" s="1"/>
  <c r="C75" i="32"/>
  <c r="E75" i="32" s="1"/>
  <c r="C70" i="32"/>
  <c r="E70" i="32" s="1"/>
  <c r="C65" i="32"/>
  <c r="E65" i="32" s="1"/>
  <c r="C61" i="32"/>
  <c r="E61" i="32" s="1"/>
  <c r="C55" i="32"/>
  <c r="C49" i="32"/>
  <c r="E49" i="32" s="1"/>
  <c r="C44" i="32"/>
  <c r="E44" i="32" s="1"/>
  <c r="C37" i="32"/>
  <c r="E37" i="32" s="1"/>
  <c r="C32" i="32"/>
  <c r="E32" i="32" s="1"/>
  <c r="C27" i="32"/>
  <c r="E27" i="32" s="1"/>
  <c r="C23" i="32"/>
  <c r="E23" i="32" s="1"/>
  <c r="C18" i="32"/>
  <c r="C14" i="32"/>
  <c r="E14" i="32" s="1"/>
  <c r="C10" i="32"/>
  <c r="E10" i="32" s="1"/>
  <c r="C6" i="32"/>
  <c r="E6" i="32" s="1"/>
  <c r="C307" i="32"/>
  <c r="E307" i="32" s="1"/>
  <c r="C276" i="32"/>
  <c r="E276" i="32" s="1"/>
  <c r="C244" i="32"/>
  <c r="E244" i="32" s="1"/>
  <c r="C173" i="32"/>
  <c r="E173" i="32" s="1"/>
  <c r="C161" i="32"/>
  <c r="E161" i="32" s="1"/>
  <c r="C130" i="32"/>
  <c r="E130" i="32" s="1"/>
  <c r="C116" i="32"/>
  <c r="E116" i="32" s="1"/>
  <c r="C108" i="32"/>
  <c r="E108" i="32" s="1"/>
  <c r="C97" i="32"/>
  <c r="E97" i="32" s="1"/>
  <c r="C93" i="32"/>
  <c r="E93" i="32" s="1"/>
  <c r="C59" i="32"/>
  <c r="E59" i="32" s="1"/>
  <c r="C36" i="32"/>
  <c r="E36" i="32" s="1"/>
  <c r="C26" i="32"/>
  <c r="C315" i="32"/>
  <c r="C259" i="32"/>
  <c r="E259" i="32" s="1"/>
  <c r="C243" i="32"/>
  <c r="E243" i="32" s="1"/>
  <c r="C87" i="32"/>
  <c r="E87" i="32" s="1"/>
  <c r="C60" i="32"/>
  <c r="E60" i="32" s="1"/>
  <c r="C305" i="32"/>
  <c r="E305" i="32" s="1"/>
  <c r="C285" i="32"/>
  <c r="E285" i="32" s="1"/>
  <c r="C275" i="32"/>
  <c r="E275" i="32" s="1"/>
  <c r="C266" i="32"/>
  <c r="E266" i="32" s="1"/>
  <c r="C242" i="32"/>
  <c r="C230" i="32"/>
  <c r="E230" i="32" s="1"/>
  <c r="C217" i="32"/>
  <c r="E217" i="32" s="1"/>
  <c r="C197" i="32"/>
  <c r="E197" i="32" s="1"/>
  <c r="C178" i="32"/>
  <c r="E178" i="32" s="1"/>
  <c r="C144" i="32"/>
  <c r="E144" i="32" s="1"/>
  <c r="C135" i="32"/>
  <c r="E135" i="32" s="1"/>
  <c r="C115" i="32"/>
  <c r="E115" i="32" s="1"/>
  <c r="C107" i="32"/>
  <c r="E107" i="32" s="1"/>
  <c r="C96" i="32"/>
  <c r="C85" i="32"/>
  <c r="E85" i="32" s="1"/>
  <c r="C73" i="32"/>
  <c r="E73" i="32" s="1"/>
  <c r="C46" i="32"/>
  <c r="E46" i="32" s="1"/>
  <c r="C35" i="32"/>
  <c r="E35" i="32" s="1"/>
  <c r="C25" i="32"/>
  <c r="E25" i="32" s="1"/>
  <c r="C16" i="32"/>
  <c r="E16" i="32" s="1"/>
  <c r="C8" i="32"/>
  <c r="E8" i="32" s="1"/>
  <c r="C320" i="32"/>
  <c r="C271" i="32"/>
  <c r="E271" i="32" s="1"/>
  <c r="C246" i="32"/>
  <c r="E246" i="32" s="1"/>
  <c r="C215" i="32"/>
  <c r="E215" i="32" s="1"/>
  <c r="C191" i="32"/>
  <c r="E191" i="32" s="1"/>
  <c r="C187" i="32"/>
  <c r="E187" i="32" s="1"/>
  <c r="C183" i="32"/>
  <c r="E183" i="32" s="1"/>
  <c r="C137" i="32"/>
  <c r="E137" i="32" s="1"/>
  <c r="C118" i="32"/>
  <c r="E118" i="32" s="1"/>
  <c r="C106" i="32"/>
  <c r="E106" i="32" s="1"/>
  <c r="C104" i="32"/>
  <c r="C76" i="32"/>
  <c r="E76" i="32" s="1"/>
  <c r="C72" i="32"/>
  <c r="C58" i="32"/>
  <c r="C47" i="32"/>
  <c r="E47" i="32" s="1"/>
  <c r="C43" i="32"/>
  <c r="C42" i="32"/>
  <c r="E42" i="32" s="1"/>
  <c r="C40" i="32"/>
  <c r="C31" i="32"/>
  <c r="E31" i="32" s="1"/>
  <c r="C322" i="32"/>
  <c r="E322" i="32" s="1"/>
  <c r="C310" i="32"/>
  <c r="E310" i="32" s="1"/>
  <c r="C304" i="32"/>
  <c r="C297" i="32"/>
  <c r="E297" i="32" s="1"/>
  <c r="C292" i="32"/>
  <c r="E292" i="32" s="1"/>
  <c r="C288" i="32"/>
  <c r="E288" i="32" s="1"/>
  <c r="C284" i="32"/>
  <c r="E284" i="32" s="1"/>
  <c r="C280" i="32"/>
  <c r="E280" i="32" s="1"/>
  <c r="C274" i="32"/>
  <c r="E274" i="32" s="1"/>
  <c r="C269" i="32"/>
  <c r="E269" i="32" s="1"/>
  <c r="C265" i="32"/>
  <c r="C260" i="32"/>
  <c r="E260" i="32" s="1"/>
  <c r="C251" i="32"/>
  <c r="E251" i="32" s="1"/>
  <c r="C247" i="32"/>
  <c r="E247" i="32" s="1"/>
  <c r="C241" i="32"/>
  <c r="C234" i="32"/>
  <c r="E234" i="32" s="1"/>
  <c r="C229" i="32"/>
  <c r="E229" i="32" s="1"/>
  <c r="C220" i="32"/>
  <c r="E220" i="32" s="1"/>
  <c r="C216" i="32"/>
  <c r="E216" i="32" s="1"/>
  <c r="C209" i="32"/>
  <c r="E209" i="32" s="1"/>
  <c r="C205" i="32"/>
  <c r="E205" i="32" s="1"/>
  <c r="C200" i="32"/>
  <c r="E200" i="32" s="1"/>
  <c r="C196" i="32"/>
  <c r="E196" i="32" s="1"/>
  <c r="C192" i="32"/>
  <c r="E192" i="32" s="1"/>
  <c r="C184" i="32"/>
  <c r="E184" i="32" s="1"/>
  <c r="C177" i="32"/>
  <c r="E177" i="32" s="1"/>
  <c r="C171" i="32"/>
  <c r="E171" i="32" s="1"/>
  <c r="C159" i="32"/>
  <c r="C153" i="32"/>
  <c r="E153" i="32" s="1"/>
  <c r="C147" i="32"/>
  <c r="E147" i="32" s="1"/>
  <c r="C143" i="32"/>
  <c r="E143" i="32" s="1"/>
  <c r="C139" i="32"/>
  <c r="E139" i="32" s="1"/>
  <c r="C134" i="32"/>
  <c r="E134" i="32" s="1"/>
  <c r="C128" i="32"/>
  <c r="E128" i="32" s="1"/>
  <c r="C123" i="32"/>
  <c r="E123" i="32" s="1"/>
  <c r="C119" i="32"/>
  <c r="E119" i="32" s="1"/>
  <c r="C114" i="32"/>
  <c r="E114" i="32" s="1"/>
  <c r="C110" i="32"/>
  <c r="C105" i="32"/>
  <c r="E105" i="32" s="1"/>
  <c r="C99" i="32"/>
  <c r="E99" i="32" s="1"/>
  <c r="C95" i="32"/>
  <c r="C91" i="32"/>
  <c r="E91" i="32" s="1"/>
  <c r="C82" i="32"/>
  <c r="E82" i="32" s="1"/>
  <c r="C77" i="32"/>
  <c r="E77" i="32" s="1"/>
  <c r="C71" i="32"/>
  <c r="C66" i="32"/>
  <c r="E66" i="32" s="1"/>
  <c r="C62" i="32"/>
  <c r="E62" i="32" s="1"/>
  <c r="C56" i="32"/>
  <c r="E56" i="32" s="1"/>
  <c r="C51" i="32"/>
  <c r="E51" i="32" s="1"/>
  <c r="C45" i="32"/>
  <c r="E45" i="32" s="1"/>
  <c r="C38" i="32"/>
  <c r="E38" i="32" s="1"/>
  <c r="C33" i="32"/>
  <c r="E33" i="32" s="1"/>
  <c r="C28" i="32"/>
  <c r="E28" i="32" s="1"/>
  <c r="C24" i="32"/>
  <c r="C19" i="32"/>
  <c r="C15" i="32"/>
  <c r="E15" i="32" s="1"/>
  <c r="C11" i="32"/>
  <c r="E11" i="32" s="1"/>
  <c r="C7" i="32"/>
  <c r="E7" i="32" s="1"/>
  <c r="L180" i="13"/>
  <c r="M180" i="13" s="1"/>
  <c r="L280" i="13"/>
  <c r="M280" i="13" s="1"/>
  <c r="L308" i="13"/>
  <c r="M308" i="13" s="1"/>
  <c r="L196" i="13"/>
  <c r="M196" i="13" s="1"/>
  <c r="L68" i="13"/>
  <c r="M68" i="13" s="1"/>
  <c r="L36" i="13"/>
  <c r="M36" i="13" s="1"/>
  <c r="L285" i="13"/>
  <c r="M285" i="13" s="1"/>
  <c r="L257" i="13"/>
  <c r="M257" i="13" s="1"/>
  <c r="L249" i="13"/>
  <c r="M249" i="13" s="1"/>
  <c r="L323" i="13"/>
  <c r="M323" i="13" s="1"/>
  <c r="L316" i="13"/>
  <c r="M316" i="13" s="1"/>
  <c r="L312" i="13"/>
  <c r="M312" i="13" s="1"/>
  <c r="L292" i="13"/>
  <c r="M292" i="13" s="1"/>
  <c r="L268" i="13"/>
  <c r="M268" i="13" s="1"/>
  <c r="L260" i="13"/>
  <c r="M260" i="13" s="1"/>
  <c r="L248" i="13"/>
  <c r="M248" i="13" s="1"/>
  <c r="L232" i="13"/>
  <c r="M232" i="13" s="1"/>
  <c r="L212" i="13"/>
  <c r="M212" i="13" s="1"/>
  <c r="L188" i="13"/>
  <c r="M188" i="13" s="1"/>
  <c r="L176" i="13"/>
  <c r="M176" i="13" s="1"/>
  <c r="L60" i="13"/>
  <c r="M60" i="13" s="1"/>
  <c r="L56" i="13"/>
  <c r="M56" i="13" s="1"/>
  <c r="L48" i="13"/>
  <c r="M48" i="13" s="1"/>
  <c r="L28" i="13"/>
  <c r="M28" i="13" s="1"/>
  <c r="L16" i="13"/>
  <c r="M16" i="13" s="1"/>
  <c r="L256" i="13"/>
  <c r="M256" i="13" s="1"/>
  <c r="L236" i="13"/>
  <c r="M236" i="13" s="1"/>
  <c r="L272" i="13"/>
  <c r="M272" i="13" s="1"/>
  <c r="L320" i="13"/>
  <c r="M320" i="13" s="1"/>
  <c r="L300" i="13"/>
  <c r="M300" i="13" s="1"/>
  <c r="L296" i="13"/>
  <c r="M296" i="13" s="1"/>
  <c r="L288" i="13"/>
  <c r="M288" i="13" s="1"/>
  <c r="L276" i="13"/>
  <c r="M276" i="13" s="1"/>
  <c r="L216" i="13"/>
  <c r="M216" i="13" s="1"/>
  <c r="L208" i="13"/>
  <c r="M208" i="13" s="1"/>
  <c r="L200" i="13"/>
  <c r="M200" i="13" s="1"/>
  <c r="L192" i="13"/>
  <c r="M192" i="13" s="1"/>
  <c r="L44" i="13"/>
  <c r="M44" i="13" s="1"/>
  <c r="L24" i="13"/>
  <c r="M24" i="13" s="1"/>
  <c r="L184" i="13"/>
  <c r="M184"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13" i="13"/>
  <c r="M313" i="13" s="1"/>
  <c r="L158" i="13"/>
  <c r="M158" i="13" s="1"/>
  <c r="L150" i="13"/>
  <c r="M150" i="13" s="1"/>
  <c r="L142" i="13"/>
  <c r="M142" i="13" s="1"/>
  <c r="L134" i="13"/>
  <c r="M134" i="13" s="1"/>
  <c r="L102" i="13"/>
  <c r="M102" i="13" s="1"/>
  <c r="L94" i="13"/>
  <c r="M94" i="13" s="1"/>
  <c r="L78" i="13"/>
  <c r="M78" i="13" s="1"/>
  <c r="L110" i="13"/>
  <c r="M110" i="13" s="1"/>
  <c r="L321" i="13"/>
  <c r="M321" i="13" s="1"/>
  <c r="L317" i="13"/>
  <c r="M317" i="13" s="1"/>
  <c r="L309" i="13"/>
  <c r="M309" i="13" s="1"/>
  <c r="L126" i="13"/>
  <c r="M126" i="13" s="1"/>
  <c r="L293" i="13"/>
  <c r="M293" i="13" s="1"/>
  <c r="L277" i="13"/>
  <c r="M277" i="13" s="1"/>
  <c r="L269" i="13"/>
  <c r="M269" i="13" s="1"/>
  <c r="L261" i="13"/>
  <c r="M261" i="13" s="1"/>
  <c r="L221" i="13"/>
  <c r="M221" i="13" s="1"/>
  <c r="L213" i="13"/>
  <c r="M213" i="13" s="1"/>
  <c r="L197" i="13"/>
  <c r="M197" i="13" s="1"/>
  <c r="L177" i="13"/>
  <c r="M177" i="13" s="1"/>
  <c r="L173" i="13"/>
  <c r="M173" i="13" s="1"/>
  <c r="L165" i="13"/>
  <c r="M165" i="13" s="1"/>
  <c r="L161" i="13"/>
  <c r="M161" i="13" s="1"/>
  <c r="L305" i="13"/>
  <c r="M305" i="13" s="1"/>
  <c r="L181" i="13"/>
  <c r="M181" i="13" s="1"/>
  <c r="L301" i="13"/>
  <c r="M301" i="13" s="1"/>
  <c r="L289" i="13"/>
  <c r="M289" i="13" s="1"/>
  <c r="L281" i="13"/>
  <c r="M281" i="13" s="1"/>
  <c r="L273" i="13"/>
  <c r="M273" i="13" s="1"/>
  <c r="L245" i="13"/>
  <c r="M245" i="13" s="1"/>
  <c r="L233" i="13"/>
  <c r="M233" i="13" s="1"/>
  <c r="L225" i="13"/>
  <c r="M225" i="13" s="1"/>
  <c r="L217" i="13"/>
  <c r="M217" i="13" s="1"/>
  <c r="L209" i="13"/>
  <c r="M209" i="13" s="1"/>
  <c r="L193" i="13"/>
  <c r="M193" i="13" s="1"/>
  <c r="L169" i="13"/>
  <c r="M169" i="13" s="1"/>
  <c r="L157" i="13"/>
  <c r="M157" i="13" s="1"/>
  <c r="L205" i="13"/>
  <c r="M205" i="13" s="1"/>
  <c r="L237" i="13"/>
  <c r="M237" i="13" s="1"/>
  <c r="L241" i="13"/>
  <c r="M241" i="13" s="1"/>
  <c r="L229" i="13"/>
  <c r="M229" i="13" s="1"/>
  <c r="L189" i="13"/>
  <c r="M189" i="13" s="1"/>
  <c r="L153" i="13"/>
  <c r="M153" i="13" s="1"/>
  <c r="AB325" i="19"/>
  <c r="L13" i="13"/>
  <c r="M13" i="13" s="1"/>
  <c r="L20" i="13"/>
  <c r="M20" i="13" s="1"/>
  <c r="L72" i="13"/>
  <c r="M72" i="13" s="1"/>
  <c r="L64" i="13"/>
  <c r="M64" i="13" s="1"/>
  <c r="L52" i="13"/>
  <c r="M52" i="13" s="1"/>
  <c r="K325" i="19"/>
  <c r="E325" i="19"/>
  <c r="H200" i="49"/>
  <c r="I200" i="49" s="1"/>
  <c r="L12" i="13"/>
  <c r="M12" i="13" s="1"/>
  <c r="L40" i="13"/>
  <c r="M40" i="13" s="1"/>
  <c r="L32" i="13"/>
  <c r="M32" i="13" s="1"/>
  <c r="H166" i="49"/>
  <c r="H165" i="49"/>
  <c r="I165" i="49" s="1"/>
  <c r="AI325" i="19"/>
  <c r="L38" i="13"/>
  <c r="M38" i="13" s="1"/>
  <c r="F325" i="19"/>
  <c r="AA325" i="19"/>
  <c r="M325" i="19"/>
  <c r="P325" i="19"/>
  <c r="V325" i="19"/>
  <c r="L179" i="13"/>
  <c r="M179" i="13" s="1"/>
  <c r="C325" i="19"/>
  <c r="L278" i="13"/>
  <c r="M278" i="13" s="1"/>
  <c r="J325" i="19"/>
  <c r="AH325" i="19"/>
  <c r="AK325" i="19"/>
  <c r="AP325" i="19"/>
  <c r="AQ325" i="19"/>
  <c r="AO325" i="19"/>
  <c r="AJ325" i="19"/>
  <c r="D5" i="32"/>
  <c r="Z325" i="19"/>
  <c r="L319" i="13"/>
  <c r="M319" i="13" s="1"/>
  <c r="L311" i="13"/>
  <c r="M311" i="13" s="1"/>
  <c r="L307" i="13"/>
  <c r="M307" i="13" s="1"/>
  <c r="L299" i="13"/>
  <c r="M299" i="13" s="1"/>
  <c r="L295" i="13"/>
  <c r="M295" i="13" s="1"/>
  <c r="L291" i="13"/>
  <c r="M291" i="13" s="1"/>
  <c r="L283" i="13"/>
  <c r="M283" i="13" s="1"/>
  <c r="L279" i="13"/>
  <c r="M279" i="13" s="1"/>
  <c r="L275" i="13"/>
  <c r="M275" i="13" s="1"/>
  <c r="L271" i="13"/>
  <c r="M271" i="13" s="1"/>
  <c r="L263" i="13"/>
  <c r="M263" i="13" s="1"/>
  <c r="L255" i="13"/>
  <c r="M255" i="13" s="1"/>
  <c r="L247" i="13"/>
  <c r="M247" i="13" s="1"/>
  <c r="L239" i="13"/>
  <c r="M239" i="13" s="1"/>
  <c r="L231" i="13"/>
  <c r="M231" i="13" s="1"/>
  <c r="L223" i="13"/>
  <c r="M223" i="13" s="1"/>
  <c r="L207" i="13"/>
  <c r="M207" i="13" s="1"/>
  <c r="L203" i="13"/>
  <c r="M203" i="13" s="1"/>
  <c r="L199" i="13"/>
  <c r="M199" i="13" s="1"/>
  <c r="L191" i="13"/>
  <c r="M191" i="13" s="1"/>
  <c r="L187" i="13"/>
  <c r="M187" i="13" s="1"/>
  <c r="L183" i="13"/>
  <c r="M183" i="13" s="1"/>
  <c r="L164" i="13"/>
  <c r="M164"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0" i="13"/>
  <c r="M30" i="13" s="1"/>
  <c r="L26" i="13"/>
  <c r="M26" i="13" s="1"/>
  <c r="L22" i="13"/>
  <c r="M22" i="13" s="1"/>
  <c r="L18" i="13"/>
  <c r="M18" i="13" s="1"/>
  <c r="L10" i="13"/>
  <c r="M10" i="13" s="1"/>
  <c r="L7" i="13"/>
  <c r="M7" i="13" s="1"/>
  <c r="H325" i="19"/>
  <c r="I325" i="19"/>
  <c r="AE325" i="19"/>
  <c r="L211" i="13"/>
  <c r="M211" i="13" s="1"/>
  <c r="L85" i="13"/>
  <c r="M85" i="13" s="1"/>
  <c r="AR325" i="19"/>
  <c r="L318" i="13"/>
  <c r="M318" i="13" s="1"/>
  <c r="L310" i="13"/>
  <c r="M310" i="13" s="1"/>
  <c r="L302" i="13"/>
  <c r="M302" i="13" s="1"/>
  <c r="L294" i="13"/>
  <c r="M294" i="13" s="1"/>
  <c r="L286" i="13"/>
  <c r="M286" i="13" s="1"/>
  <c r="L282" i="13"/>
  <c r="M282" i="13" s="1"/>
  <c r="L274" i="13"/>
  <c r="M274" i="13" s="1"/>
  <c r="L266" i="13"/>
  <c r="M266" i="13" s="1"/>
  <c r="L258" i="13"/>
  <c r="M258" i="13" s="1"/>
  <c r="L250" i="13"/>
  <c r="M250" i="13" s="1"/>
  <c r="L242" i="13"/>
  <c r="M242" i="13" s="1"/>
  <c r="L234" i="13"/>
  <c r="M234" i="13" s="1"/>
  <c r="L226" i="13"/>
  <c r="M226" i="13" s="1"/>
  <c r="L214" i="13"/>
  <c r="M214" i="13" s="1"/>
  <c r="L202" i="13"/>
  <c r="M202" i="13" s="1"/>
  <c r="L194" i="13"/>
  <c r="M194" i="13" s="1"/>
  <c r="L186" i="13"/>
  <c r="M186" i="13" s="1"/>
  <c r="L182" i="13"/>
  <c r="M182" i="13" s="1"/>
  <c r="L166" i="13"/>
  <c r="M166"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29" i="13"/>
  <c r="M29" i="13" s="1"/>
  <c r="L21" i="13"/>
  <c r="M21" i="13" s="1"/>
  <c r="L9" i="13"/>
  <c r="M9" i="13" s="1"/>
  <c r="D325" i="19"/>
  <c r="H150" i="49"/>
  <c r="H19" i="49"/>
  <c r="I19" i="49" s="1"/>
  <c r="L325" i="19"/>
  <c r="AC325" i="19"/>
  <c r="L206" i="13"/>
  <c r="M206" i="13" s="1"/>
  <c r="L218" i="13"/>
  <c r="M218" i="13" s="1"/>
  <c r="L93" i="13"/>
  <c r="M93" i="13" s="1"/>
  <c r="L141" i="13"/>
  <c r="M141" i="13" s="1"/>
  <c r="L77" i="13"/>
  <c r="M77" i="13" s="1"/>
  <c r="L74" i="13"/>
  <c r="M74" i="13" s="1"/>
  <c r="L14" i="13"/>
  <c r="M14" i="13" s="1"/>
  <c r="AL325" i="19"/>
  <c r="AM325" i="19"/>
  <c r="AG325" i="19"/>
  <c r="AN325" i="19"/>
  <c r="AF325" i="19"/>
  <c r="L315" i="13"/>
  <c r="M315" i="13" s="1"/>
  <c r="L303" i="13"/>
  <c r="M303" i="13" s="1"/>
  <c r="L287" i="13"/>
  <c r="M287" i="13" s="1"/>
  <c r="L259" i="13"/>
  <c r="M259" i="13" s="1"/>
  <c r="L243" i="13"/>
  <c r="M243" i="13" s="1"/>
  <c r="L219" i="13"/>
  <c r="M219" i="13" s="1"/>
  <c r="L215" i="13"/>
  <c r="M215" i="13" s="1"/>
  <c r="L195" i="13"/>
  <c r="M195" i="13" s="1"/>
  <c r="L117" i="13"/>
  <c r="M117" i="13" s="1"/>
  <c r="AD325" i="19"/>
  <c r="W325" i="19"/>
  <c r="X325" i="19"/>
  <c r="L322" i="13"/>
  <c r="M322" i="13" s="1"/>
  <c r="L314" i="13"/>
  <c r="M314" i="13" s="1"/>
  <c r="L306" i="13"/>
  <c r="M306" i="13" s="1"/>
  <c r="L298" i="13"/>
  <c r="M298" i="13" s="1"/>
  <c r="L290" i="13"/>
  <c r="M290" i="13" s="1"/>
  <c r="L270" i="13"/>
  <c r="M270" i="13" s="1"/>
  <c r="L262" i="13"/>
  <c r="M262" i="13" s="1"/>
  <c r="L254" i="13"/>
  <c r="M254" i="13" s="1"/>
  <c r="L246" i="13"/>
  <c r="M246" i="13" s="1"/>
  <c r="L238" i="13"/>
  <c r="M238" i="13" s="1"/>
  <c r="L230" i="13"/>
  <c r="M230" i="13" s="1"/>
  <c r="L222" i="13"/>
  <c r="M222" i="13" s="1"/>
  <c r="L210" i="13"/>
  <c r="M210" i="13" s="1"/>
  <c r="L198" i="13"/>
  <c r="M198" i="13" s="1"/>
  <c r="L190" i="13"/>
  <c r="M190"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5" i="13"/>
  <c r="M25" i="13" s="1"/>
  <c r="L267" i="13"/>
  <c r="M267" i="13" s="1"/>
  <c r="L170" i="13"/>
  <c r="M170" i="13" s="1"/>
  <c r="L80" i="13"/>
  <c r="M80" i="13" s="1"/>
  <c r="L17" i="13"/>
  <c r="M17" i="13" s="1"/>
  <c r="L140" i="13"/>
  <c r="M140" i="13" s="1"/>
  <c r="L159" i="13"/>
  <c r="M159" i="13" s="1"/>
  <c r="L178" i="13"/>
  <c r="M178" i="13" s="1"/>
  <c r="L147" i="13"/>
  <c r="M147" i="13" s="1"/>
  <c r="G7" i="19"/>
  <c r="R7" i="19" s="1"/>
  <c r="H107" i="49"/>
  <c r="I107" i="49" s="1"/>
  <c r="H55" i="49"/>
  <c r="I55" i="49" s="1"/>
  <c r="H8" i="49"/>
  <c r="I8" i="49" s="1"/>
  <c r="H106" i="49"/>
  <c r="H244" i="49"/>
  <c r="I244" i="49" s="1"/>
  <c r="H130" i="49"/>
  <c r="I130" i="49" s="1"/>
  <c r="H176" i="49"/>
  <c r="H39" i="49"/>
  <c r="I39" i="49" s="1"/>
  <c r="H296" i="49"/>
  <c r="I296" i="49" s="1"/>
  <c r="H212" i="49"/>
  <c r="H196" i="49"/>
  <c r="H143" i="49"/>
  <c r="I143" i="49" s="1"/>
  <c r="H59" i="49"/>
  <c r="H47" i="49"/>
  <c r="I47" i="49" s="1"/>
  <c r="H304" i="49"/>
  <c r="I304" i="49" s="1"/>
  <c r="H237" i="49"/>
  <c r="H236" i="49"/>
  <c r="H232" i="49"/>
  <c r="I232" i="49" s="1"/>
  <c r="H211" i="49"/>
  <c r="I211" i="49" s="1"/>
  <c r="H163" i="49"/>
  <c r="H126" i="49"/>
  <c r="H114" i="49"/>
  <c r="H90" i="49"/>
  <c r="I90" i="49" s="1"/>
  <c r="H87" i="49"/>
  <c r="I87" i="49" s="1"/>
  <c r="H80" i="49"/>
  <c r="I80" i="49" s="1"/>
  <c r="H72" i="49"/>
  <c r="H68" i="49"/>
  <c r="H63" i="49"/>
  <c r="I63" i="49" s="1"/>
  <c r="H36" i="49"/>
  <c r="I36" i="49" s="1"/>
  <c r="H28" i="49"/>
  <c r="I28" i="49" s="1"/>
  <c r="H13" i="49"/>
  <c r="H11" i="49"/>
  <c r="I11" i="49" s="1"/>
  <c r="H67" i="49"/>
  <c r="I67" i="49" s="1"/>
  <c r="H274" i="49"/>
  <c r="I274" i="49" s="1"/>
  <c r="H249" i="49"/>
  <c r="H181" i="49"/>
  <c r="H180" i="49"/>
  <c r="H125" i="49"/>
  <c r="I125" i="49" s="1"/>
  <c r="H95" i="49"/>
  <c r="I95" i="49" s="1"/>
  <c r="H85" i="49"/>
  <c r="I85" i="49" s="1"/>
  <c r="H84" i="49"/>
  <c r="I84" i="49" s="1"/>
  <c r="H83" i="49"/>
  <c r="I83" i="49" s="1"/>
  <c r="H79" i="49"/>
  <c r="I79" i="49" s="1"/>
  <c r="H75" i="49"/>
  <c r="I75" i="49" s="1"/>
  <c r="H71" i="49"/>
  <c r="I71" i="49" s="1"/>
  <c r="H56" i="49"/>
  <c r="H52" i="49"/>
  <c r="H51" i="49"/>
  <c r="H31" i="49"/>
  <c r="I31" i="49" s="1"/>
  <c r="H14" i="49"/>
  <c r="H312" i="49"/>
  <c r="I312" i="49" s="1"/>
  <c r="K312" i="49" s="1"/>
  <c r="H308" i="49"/>
  <c r="H297" i="49"/>
  <c r="I297" i="49" s="1"/>
  <c r="H281" i="49"/>
  <c r="H273" i="49"/>
  <c r="H256" i="49"/>
  <c r="H248" i="49"/>
  <c r="I248" i="49" s="1"/>
  <c r="H225" i="49"/>
  <c r="I225" i="49" s="1"/>
  <c r="H201" i="49"/>
  <c r="I201" i="49" s="1"/>
  <c r="H157" i="49"/>
  <c r="I157" i="49" s="1"/>
  <c r="H139" i="49"/>
  <c r="I139" i="49" s="1"/>
  <c r="H135" i="49"/>
  <c r="H60" i="49"/>
  <c r="I60" i="49" s="1"/>
  <c r="H48" i="49"/>
  <c r="H32" i="49"/>
  <c r="I32" i="49" s="1"/>
  <c r="H15" i="49"/>
  <c r="I15" i="49" s="1"/>
  <c r="H288" i="49"/>
  <c r="H284" i="49"/>
  <c r="I284" i="49" s="1"/>
  <c r="H267" i="49"/>
  <c r="H242" i="49"/>
  <c r="H229" i="49"/>
  <c r="H188" i="49"/>
  <c r="I188" i="49" s="1"/>
  <c r="H127" i="49"/>
  <c r="I127" i="49" s="1"/>
  <c r="H123" i="49"/>
  <c r="I123" i="49" s="1"/>
  <c r="H119" i="49"/>
  <c r="I119" i="49" s="1"/>
  <c r="H115" i="49"/>
  <c r="I115" i="49" s="1"/>
  <c r="H103" i="49"/>
  <c r="I103" i="49" s="1"/>
  <c r="H91" i="49"/>
  <c r="I91" i="49" s="1"/>
  <c r="H77" i="49"/>
  <c r="H35" i="49"/>
  <c r="I35" i="49" s="1"/>
  <c r="H16" i="49"/>
  <c r="I16" i="49" s="1"/>
  <c r="B324" i="25"/>
  <c r="L6" i="13"/>
  <c r="M6" i="13" s="1"/>
  <c r="I93" i="36"/>
  <c r="I62" i="36"/>
  <c r="I320" i="36"/>
  <c r="I219" i="36"/>
  <c r="I277" i="36"/>
  <c r="H53" i="36"/>
  <c r="D8" i="36"/>
  <c r="H300" i="36"/>
  <c r="H29" i="36"/>
  <c r="I61" i="36"/>
  <c r="I120" i="36"/>
  <c r="I29" i="36"/>
  <c r="I203" i="36"/>
  <c r="I109" i="36"/>
  <c r="I267" i="36"/>
  <c r="I273" i="36"/>
  <c r="I195" i="36"/>
  <c r="I122" i="36"/>
  <c r="I156" i="36"/>
  <c r="I38" i="36"/>
  <c r="I302" i="36"/>
  <c r="I52" i="36"/>
  <c r="I15" i="36"/>
  <c r="I75" i="36"/>
  <c r="J170" i="36"/>
  <c r="J174" i="36"/>
  <c r="J178" i="36"/>
  <c r="J182" i="36"/>
  <c r="J186" i="36"/>
  <c r="J190" i="36"/>
  <c r="J194" i="36"/>
  <c r="J198" i="36"/>
  <c r="J202" i="36"/>
  <c r="J206" i="36"/>
  <c r="J210" i="36"/>
  <c r="J214" i="36"/>
  <c r="J218" i="36"/>
  <c r="J222" i="36"/>
  <c r="J226" i="36"/>
  <c r="J230" i="36"/>
  <c r="J234" i="36"/>
  <c r="J238" i="36"/>
  <c r="J242" i="36"/>
  <c r="J246" i="36"/>
  <c r="J250" i="36"/>
  <c r="J254" i="36"/>
  <c r="J258" i="36"/>
  <c r="J262" i="36"/>
  <c r="J266" i="36"/>
  <c r="J270" i="36"/>
  <c r="J171" i="36"/>
  <c r="J175" i="36"/>
  <c r="J179" i="36"/>
  <c r="J183" i="36"/>
  <c r="J187" i="36"/>
  <c r="J191" i="36"/>
  <c r="J195" i="36"/>
  <c r="J199" i="36"/>
  <c r="J203" i="36"/>
  <c r="J207" i="36"/>
  <c r="J211" i="36"/>
  <c r="J215" i="36"/>
  <c r="J219" i="36"/>
  <c r="J223" i="36"/>
  <c r="J227" i="36"/>
  <c r="J231" i="36"/>
  <c r="J235" i="36"/>
  <c r="J239" i="36"/>
  <c r="J243" i="36"/>
  <c r="J247" i="36"/>
  <c r="J251" i="36"/>
  <c r="J255" i="36"/>
  <c r="J259" i="36"/>
  <c r="J263" i="36"/>
  <c r="J267" i="36"/>
  <c r="J271" i="36"/>
  <c r="J172" i="36"/>
  <c r="J176" i="36"/>
  <c r="J180" i="36"/>
  <c r="J184" i="36"/>
  <c r="J188" i="36"/>
  <c r="J192" i="36"/>
  <c r="J196" i="36"/>
  <c r="J200" i="36"/>
  <c r="J204" i="36"/>
  <c r="J208" i="36"/>
  <c r="J212" i="36"/>
  <c r="J216" i="36"/>
  <c r="J220" i="36"/>
  <c r="J224" i="36"/>
  <c r="J228" i="36"/>
  <c r="J232" i="36"/>
  <c r="J236" i="36"/>
  <c r="J240" i="36"/>
  <c r="J244" i="36"/>
  <c r="J248" i="36"/>
  <c r="J252" i="36"/>
  <c r="J256" i="36"/>
  <c r="J260" i="36"/>
  <c r="J264" i="36"/>
  <c r="J268" i="36"/>
  <c r="J169" i="36"/>
  <c r="J173" i="36"/>
  <c r="J177" i="36"/>
  <c r="J181" i="36"/>
  <c r="J185" i="36"/>
  <c r="J189" i="36"/>
  <c r="J193" i="36"/>
  <c r="J197" i="36"/>
  <c r="J201" i="36"/>
  <c r="J205" i="36"/>
  <c r="J209" i="36"/>
  <c r="J213" i="36"/>
  <c r="J217" i="36"/>
  <c r="J221" i="36"/>
  <c r="J225" i="36"/>
  <c r="J229" i="36"/>
  <c r="J233" i="36"/>
  <c r="J237" i="36"/>
  <c r="J241" i="36"/>
  <c r="J245" i="36"/>
  <c r="J249" i="36"/>
  <c r="J253" i="36"/>
  <c r="J257" i="36"/>
  <c r="J261" i="36"/>
  <c r="J265" i="36"/>
  <c r="J274" i="36"/>
  <c r="J278" i="36"/>
  <c r="J282" i="36"/>
  <c r="J286" i="36"/>
  <c r="J290" i="36"/>
  <c r="J294" i="36"/>
  <c r="J298" i="36"/>
  <c r="J302" i="36"/>
  <c r="J306" i="36"/>
  <c r="J310" i="36"/>
  <c r="J314" i="36"/>
  <c r="J318" i="36"/>
  <c r="J322" i="36"/>
  <c r="J125" i="36"/>
  <c r="J129" i="36"/>
  <c r="J133" i="36"/>
  <c r="J137" i="36"/>
  <c r="J141" i="36"/>
  <c r="J145" i="36"/>
  <c r="J149" i="36"/>
  <c r="J153" i="36"/>
  <c r="J157" i="36"/>
  <c r="J161" i="36"/>
  <c r="J165" i="36"/>
  <c r="J124" i="36"/>
  <c r="J123" i="36"/>
  <c r="J12" i="36"/>
  <c r="J16" i="36"/>
  <c r="J20" i="36"/>
  <c r="J24" i="36"/>
  <c r="J28" i="36"/>
  <c r="J32" i="36"/>
  <c r="J36" i="36"/>
  <c r="J40" i="36"/>
  <c r="J44" i="36"/>
  <c r="J48" i="36"/>
  <c r="J52" i="36"/>
  <c r="J56" i="36"/>
  <c r="J60" i="36"/>
  <c r="J64" i="36"/>
  <c r="J68" i="36"/>
  <c r="J72" i="36"/>
  <c r="J76" i="36"/>
  <c r="J80" i="36"/>
  <c r="J84" i="36"/>
  <c r="J88" i="36"/>
  <c r="J92" i="36"/>
  <c r="J96" i="36"/>
  <c r="J100" i="36"/>
  <c r="J104" i="36"/>
  <c r="J108" i="36"/>
  <c r="J112" i="36"/>
  <c r="J116" i="36"/>
  <c r="J8" i="36"/>
  <c r="J269" i="36"/>
  <c r="J275" i="36"/>
  <c r="J279" i="36"/>
  <c r="J283" i="36"/>
  <c r="J287" i="36"/>
  <c r="J291" i="36"/>
  <c r="J295" i="36"/>
  <c r="J299" i="36"/>
  <c r="J303" i="36"/>
  <c r="J307" i="36"/>
  <c r="J311" i="36"/>
  <c r="J315" i="36"/>
  <c r="J319" i="36"/>
  <c r="J323" i="36"/>
  <c r="J126" i="36"/>
  <c r="J130" i="36"/>
  <c r="J134" i="36"/>
  <c r="J138" i="36"/>
  <c r="J142" i="36"/>
  <c r="J146" i="36"/>
  <c r="J150" i="36"/>
  <c r="J154" i="36"/>
  <c r="J158" i="36"/>
  <c r="J162" i="36"/>
  <c r="J166" i="36"/>
  <c r="J120" i="36"/>
  <c r="J9" i="36"/>
  <c r="J13" i="36"/>
  <c r="J17" i="36"/>
  <c r="J21" i="36"/>
  <c r="J25" i="36"/>
  <c r="J29" i="36"/>
  <c r="J33" i="36"/>
  <c r="J37" i="36"/>
  <c r="J41" i="36"/>
  <c r="J45" i="36"/>
  <c r="J49" i="36"/>
  <c r="J53" i="36"/>
  <c r="J57" i="36"/>
  <c r="J61" i="36"/>
  <c r="J65" i="36"/>
  <c r="J69" i="36"/>
  <c r="J73" i="36"/>
  <c r="J77" i="36"/>
  <c r="J81" i="36"/>
  <c r="J85" i="36"/>
  <c r="J89" i="36"/>
  <c r="J93" i="36"/>
  <c r="J97" i="36"/>
  <c r="J101" i="36"/>
  <c r="J105" i="36"/>
  <c r="J109" i="36"/>
  <c r="J113" i="36"/>
  <c r="J117" i="36"/>
  <c r="J272" i="36"/>
  <c r="J276" i="36"/>
  <c r="J280" i="36"/>
  <c r="J284" i="36"/>
  <c r="J288" i="36"/>
  <c r="J292" i="36"/>
  <c r="J296" i="36"/>
  <c r="J300" i="36"/>
  <c r="J304" i="36"/>
  <c r="J308" i="36"/>
  <c r="J312" i="36"/>
  <c r="J316" i="36"/>
  <c r="J320" i="36"/>
  <c r="J324" i="36"/>
  <c r="J127" i="36"/>
  <c r="J131" i="36"/>
  <c r="J135" i="36"/>
  <c r="J139" i="36"/>
  <c r="J143" i="36"/>
  <c r="J147" i="36"/>
  <c r="J151" i="36"/>
  <c r="J155" i="36"/>
  <c r="J159" i="36"/>
  <c r="J163" i="36"/>
  <c r="J167" i="36"/>
  <c r="J121" i="36"/>
  <c r="J10" i="36"/>
  <c r="J14" i="36"/>
  <c r="J18" i="36"/>
  <c r="J22" i="36"/>
  <c r="J26" i="36"/>
  <c r="J30" i="36"/>
  <c r="J34" i="36"/>
  <c r="J38" i="36"/>
  <c r="J42" i="36"/>
  <c r="J46" i="36"/>
  <c r="J50" i="36"/>
  <c r="J54" i="36"/>
  <c r="J58" i="36"/>
  <c r="J62" i="36"/>
  <c r="J66" i="36"/>
  <c r="J70" i="36"/>
  <c r="J74" i="36"/>
  <c r="J78" i="36"/>
  <c r="J82" i="36"/>
  <c r="J86" i="36"/>
  <c r="J90" i="36"/>
  <c r="J94" i="36"/>
  <c r="J98" i="36"/>
  <c r="J102" i="36"/>
  <c r="J106" i="36"/>
  <c r="J110" i="36"/>
  <c r="J114" i="36"/>
  <c r="J118" i="36"/>
  <c r="J273" i="36"/>
  <c r="J277" i="36"/>
  <c r="J281" i="36"/>
  <c r="J285" i="36"/>
  <c r="J289" i="36"/>
  <c r="J293" i="36"/>
  <c r="J297" i="36"/>
  <c r="J301" i="36"/>
  <c r="J305" i="36"/>
  <c r="J309" i="36"/>
  <c r="J313" i="36"/>
  <c r="J317" i="36"/>
  <c r="J321" i="36"/>
  <c r="J325" i="36"/>
  <c r="J128" i="36"/>
  <c r="J132" i="36"/>
  <c r="J136" i="36"/>
  <c r="J140" i="36"/>
  <c r="J144" i="36"/>
  <c r="J148" i="36"/>
  <c r="J152" i="36"/>
  <c r="J156" i="36"/>
  <c r="J160" i="36"/>
  <c r="J164" i="36"/>
  <c r="J168" i="36"/>
  <c r="J122" i="36"/>
  <c r="J11" i="36"/>
  <c r="J15" i="36"/>
  <c r="J19" i="36"/>
  <c r="J23" i="36"/>
  <c r="J27" i="36"/>
  <c r="J31" i="36"/>
  <c r="J35" i="36"/>
  <c r="J39" i="36"/>
  <c r="J43" i="36"/>
  <c r="J47" i="36"/>
  <c r="J51" i="36"/>
  <c r="J55" i="36"/>
  <c r="J59" i="36"/>
  <c r="J63" i="36"/>
  <c r="J67" i="36"/>
  <c r="J71" i="36"/>
  <c r="J75" i="36"/>
  <c r="J79" i="36"/>
  <c r="J83" i="36"/>
  <c r="J87" i="36"/>
  <c r="J91" i="36"/>
  <c r="J95" i="36"/>
  <c r="J99" i="36"/>
  <c r="J103" i="36"/>
  <c r="J107" i="36"/>
  <c r="J111" i="36"/>
  <c r="J115" i="36"/>
  <c r="J119" i="36"/>
  <c r="M96" i="13"/>
  <c r="M325" i="42"/>
  <c r="G314" i="36"/>
  <c r="H314" i="36"/>
  <c r="G286" i="36"/>
  <c r="G255" i="36"/>
  <c r="H20" i="36"/>
  <c r="E306" i="36"/>
  <c r="F247" i="36"/>
  <c r="G315" i="36"/>
  <c r="G295" i="36"/>
  <c r="G174" i="36"/>
  <c r="G132" i="36"/>
  <c r="G104" i="36"/>
  <c r="G181" i="36"/>
  <c r="G182" i="36"/>
  <c r="G214" i="36"/>
  <c r="G98" i="36"/>
  <c r="G224" i="36"/>
  <c r="G110" i="36"/>
  <c r="G319" i="36"/>
  <c r="G75" i="36"/>
  <c r="G322" i="36"/>
  <c r="G37" i="36"/>
  <c r="G180" i="36"/>
  <c r="G227" i="36"/>
  <c r="G231" i="36"/>
  <c r="G51" i="36"/>
  <c r="G197" i="36"/>
  <c r="G109" i="36"/>
  <c r="G47" i="36"/>
  <c r="G270" i="36"/>
  <c r="G297" i="36"/>
  <c r="G18" i="36"/>
  <c r="G155" i="36"/>
  <c r="G204" i="36"/>
  <c r="G175" i="36"/>
  <c r="G268" i="36"/>
  <c r="G225" i="36"/>
  <c r="G93" i="36"/>
  <c r="G61" i="36"/>
  <c r="G130" i="36"/>
  <c r="G41" i="36"/>
  <c r="G70" i="36"/>
  <c r="G114" i="36"/>
  <c r="G30" i="36"/>
  <c r="G192" i="36"/>
  <c r="G280" i="36"/>
  <c r="G203" i="36"/>
  <c r="G186" i="36"/>
  <c r="G202" i="36"/>
  <c r="G230" i="36"/>
  <c r="G289" i="36"/>
  <c r="G149" i="36"/>
  <c r="G303" i="36"/>
  <c r="G257" i="36"/>
  <c r="G162" i="36"/>
  <c r="G269" i="36"/>
  <c r="G113" i="36"/>
  <c r="G287" i="36"/>
  <c r="F207" i="36"/>
  <c r="G158" i="36"/>
  <c r="G236" i="36"/>
  <c r="G167" i="36"/>
  <c r="G179" i="36"/>
  <c r="G163" i="36"/>
  <c r="G325" i="36"/>
  <c r="G94" i="36"/>
  <c r="G299" i="36"/>
  <c r="G161" i="36"/>
  <c r="G277" i="36"/>
  <c r="G62" i="36"/>
  <c r="G107" i="36"/>
  <c r="G15" i="36"/>
  <c r="G176" i="36"/>
  <c r="G266" i="36"/>
  <c r="G212" i="36"/>
  <c r="G252" i="36"/>
  <c r="G242" i="36"/>
  <c r="G27" i="36"/>
  <c r="G264" i="36"/>
  <c r="F283" i="36"/>
  <c r="F49" i="36"/>
  <c r="F98" i="36"/>
  <c r="F134" i="36"/>
  <c r="F23" i="36"/>
  <c r="F189" i="36"/>
  <c r="F206" i="36"/>
  <c r="F251" i="36"/>
  <c r="F213" i="36"/>
  <c r="F127" i="36"/>
  <c r="F295" i="36"/>
  <c r="F201" i="36"/>
  <c r="F269" i="36"/>
  <c r="F133" i="36"/>
  <c r="D193" i="36"/>
  <c r="G311" i="36"/>
  <c r="I311" i="36"/>
  <c r="H10" i="36"/>
  <c r="I10" i="36"/>
  <c r="G10" i="36"/>
  <c r="I318" i="36"/>
  <c r="G318" i="36"/>
  <c r="H11" i="36"/>
  <c r="I11" i="36"/>
  <c r="H251" i="36"/>
  <c r="I251" i="36"/>
  <c r="H229" i="36"/>
  <c r="I229" i="36"/>
  <c r="G249" i="36"/>
  <c r="H249" i="36"/>
  <c r="G305" i="36"/>
  <c r="I305" i="36"/>
  <c r="I257" i="36"/>
  <c r="I233" i="36"/>
  <c r="I107" i="36"/>
  <c r="I67" i="36"/>
  <c r="I105" i="36"/>
  <c r="I126" i="36"/>
  <c r="I255" i="36"/>
  <c r="I175" i="36"/>
  <c r="I18" i="36"/>
  <c r="I19" i="36"/>
  <c r="I218" i="36"/>
  <c r="I58" i="36"/>
  <c r="I163" i="36"/>
  <c r="I200" i="36"/>
  <c r="I78" i="36"/>
  <c r="I187" i="36"/>
  <c r="I225" i="36"/>
  <c r="I100" i="36"/>
  <c r="I112" i="36"/>
  <c r="I135" i="36"/>
  <c r="I147" i="36"/>
  <c r="I103" i="36"/>
  <c r="I322" i="36"/>
  <c r="I23" i="36"/>
  <c r="I265" i="36"/>
  <c r="I275" i="36"/>
  <c r="I191" i="36"/>
  <c r="I207" i="36"/>
  <c r="I98" i="36"/>
  <c r="I51" i="36"/>
  <c r="I87" i="36"/>
  <c r="I183" i="36"/>
  <c r="I248" i="36"/>
  <c r="I220" i="36"/>
  <c r="I192" i="36"/>
  <c r="I308" i="36"/>
  <c r="I162" i="36"/>
  <c r="I315" i="36"/>
  <c r="I319" i="36"/>
  <c r="I129" i="36"/>
  <c r="I59" i="36"/>
  <c r="I314" i="36"/>
  <c r="I179" i="36"/>
  <c r="I180" i="36"/>
  <c r="I82" i="36"/>
  <c r="I21" i="36"/>
  <c r="I134" i="36"/>
  <c r="I159" i="36"/>
  <c r="I306" i="36"/>
  <c r="I212" i="36"/>
  <c r="I125" i="36"/>
  <c r="I228" i="36"/>
  <c r="I307" i="36"/>
  <c r="I72" i="36"/>
  <c r="I184" i="36"/>
  <c r="I149" i="36"/>
  <c r="I174" i="36"/>
  <c r="G229" i="36"/>
  <c r="H127" i="36"/>
  <c r="I310" i="36"/>
  <c r="E238" i="36"/>
  <c r="I69" i="36"/>
  <c r="I34" i="36"/>
  <c r="H84" i="36"/>
  <c r="I224" i="36"/>
  <c r="H25" i="36"/>
  <c r="H39" i="36"/>
  <c r="H134" i="36"/>
  <c r="H164" i="36"/>
  <c r="H58" i="36"/>
  <c r="I136" i="36"/>
  <c r="H178" i="36"/>
  <c r="F288" i="36"/>
  <c r="F176" i="36"/>
  <c r="F143" i="36"/>
  <c r="F212" i="36"/>
  <c r="F36" i="36"/>
  <c r="F87" i="36"/>
  <c r="F257" i="36"/>
  <c r="F157" i="36"/>
  <c r="E320" i="36"/>
  <c r="H44" i="36"/>
  <c r="F211" i="36"/>
  <c r="E165" i="36"/>
  <c r="I26" i="36"/>
  <c r="I140" i="36"/>
  <c r="H83" i="36"/>
  <c r="F255" i="36"/>
  <c r="E199" i="36"/>
  <c r="H71" i="36"/>
  <c r="I14" i="36"/>
  <c r="I282" i="36"/>
  <c r="H223" i="36"/>
  <c r="I104" i="36"/>
  <c r="G273" i="36"/>
  <c r="F307" i="36"/>
  <c r="H228" i="36"/>
  <c r="H113" i="36"/>
  <c r="H167" i="36"/>
  <c r="H305" i="36"/>
  <c r="I287" i="36"/>
  <c r="I84" i="36"/>
  <c r="H143" i="36"/>
  <c r="H224" i="36"/>
  <c r="H32" i="36"/>
  <c r="H191" i="36"/>
  <c r="I259" i="36"/>
  <c r="I39" i="36"/>
  <c r="H159" i="36"/>
  <c r="H196" i="36"/>
  <c r="H301" i="36"/>
  <c r="F321" i="36"/>
  <c r="H176" i="36"/>
  <c r="H106" i="36"/>
  <c r="I148" i="36"/>
  <c r="H37" i="36"/>
  <c r="I272" i="36"/>
  <c r="I231" i="36"/>
  <c r="I288" i="36"/>
  <c r="I60" i="36"/>
  <c r="H230" i="36"/>
  <c r="H311" i="36"/>
  <c r="I16" i="36"/>
  <c r="I249" i="36"/>
  <c r="G52" i="36"/>
  <c r="E52" i="36"/>
  <c r="H52" i="36"/>
  <c r="G115" i="36"/>
  <c r="I115" i="36"/>
  <c r="H115" i="36"/>
  <c r="I264" i="36"/>
  <c r="H102" i="36"/>
  <c r="I102" i="36"/>
  <c r="G102" i="36"/>
  <c r="H274" i="36"/>
  <c r="H302" i="36"/>
  <c r="I321" i="36"/>
  <c r="I110" i="36"/>
  <c r="H144" i="36"/>
  <c r="I144" i="36"/>
  <c r="I173" i="36"/>
  <c r="G166" i="36"/>
  <c r="I166" i="36"/>
  <c r="G201" i="36"/>
  <c r="H201" i="36"/>
  <c r="I201" i="36"/>
  <c r="H137" i="36"/>
  <c r="I137" i="36"/>
  <c r="I169" i="36"/>
  <c r="H35" i="36"/>
  <c r="I150" i="36"/>
  <c r="D188" i="36"/>
  <c r="G188" i="36"/>
  <c r="G80" i="36"/>
  <c r="I80" i="36"/>
  <c r="I268" i="36"/>
  <c r="H268" i="36"/>
  <c r="G296" i="36"/>
  <c r="I296" i="36"/>
  <c r="G232" i="36"/>
  <c r="H232" i="36"/>
  <c r="G141" i="36"/>
  <c r="H141" i="36"/>
  <c r="I141" i="36"/>
  <c r="G222" i="36"/>
  <c r="I222" i="36"/>
  <c r="F222" i="36"/>
  <c r="I127" i="36"/>
  <c r="G127" i="36"/>
  <c r="I295" i="36"/>
  <c r="H295" i="36"/>
  <c r="H145" i="36"/>
  <c r="G145" i="36"/>
  <c r="G97" i="36"/>
  <c r="I97" i="36"/>
  <c r="F97" i="36"/>
  <c r="G57" i="36"/>
  <c r="H57" i="36"/>
  <c r="H33" i="36"/>
  <c r="I33" i="36"/>
  <c r="G33" i="36"/>
  <c r="H192" i="36"/>
  <c r="H107" i="36"/>
  <c r="H200" i="36"/>
  <c r="H162" i="36"/>
  <c r="H255" i="36"/>
  <c r="H47" i="36"/>
  <c r="H156" i="36"/>
  <c r="H104" i="36"/>
  <c r="H297" i="36"/>
  <c r="H220" i="36"/>
  <c r="H266" i="36"/>
  <c r="H248" i="36"/>
  <c r="H98" i="36"/>
  <c r="H61" i="36"/>
  <c r="H14" i="36"/>
  <c r="H100" i="36"/>
  <c r="H183" i="36"/>
  <c r="H126" i="36"/>
  <c r="H306" i="36"/>
  <c r="H225" i="36"/>
  <c r="H270" i="36"/>
  <c r="H56" i="36"/>
  <c r="H175" i="36"/>
  <c r="H189" i="36"/>
  <c r="H55" i="36"/>
  <c r="H237" i="36"/>
  <c r="H21" i="36"/>
  <c r="H79" i="36"/>
  <c r="H118" i="36"/>
  <c r="H319" i="36"/>
  <c r="H276" i="36"/>
  <c r="H158" i="36"/>
  <c r="H287" i="36"/>
  <c r="H147" i="36"/>
  <c r="H9" i="36"/>
  <c r="H269" i="36"/>
  <c r="H238" i="36"/>
  <c r="H17" i="36"/>
  <c r="H18" i="36"/>
  <c r="H205" i="36"/>
  <c r="H182" i="36"/>
  <c r="H212" i="36"/>
  <c r="H313" i="36"/>
  <c r="H112" i="36"/>
  <c r="H23" i="36"/>
  <c r="H275" i="36"/>
  <c r="H22" i="36"/>
  <c r="H109" i="36"/>
  <c r="H203" i="36"/>
  <c r="H36" i="36"/>
  <c r="H303" i="36"/>
  <c r="E272" i="36"/>
  <c r="E51" i="36"/>
  <c r="E143" i="36"/>
  <c r="E100" i="36"/>
  <c r="E176" i="36"/>
  <c r="E319" i="36"/>
  <c r="E276" i="36"/>
  <c r="E47" i="36"/>
  <c r="I178" i="36"/>
  <c r="I83" i="36"/>
  <c r="H219" i="36"/>
  <c r="I269" i="36"/>
  <c r="E203" i="36"/>
  <c r="I181" i="36"/>
  <c r="D243" i="36"/>
  <c r="H62" i="36"/>
  <c r="I32" i="36"/>
  <c r="I158" i="36"/>
  <c r="I196" i="36"/>
  <c r="I90" i="36"/>
  <c r="H148" i="36"/>
  <c r="H236" i="36"/>
  <c r="H231" i="36"/>
  <c r="H135" i="36"/>
  <c r="H51" i="36"/>
  <c r="H94" i="36"/>
  <c r="I210" i="36"/>
  <c r="I50" i="36"/>
  <c r="H195" i="36"/>
  <c r="I216" i="36"/>
  <c r="H320" i="36"/>
  <c r="F168" i="36"/>
  <c r="G168" i="36"/>
  <c r="I168" i="36"/>
  <c r="H168" i="36"/>
  <c r="I89" i="36"/>
  <c r="H89" i="36"/>
  <c r="G89" i="36"/>
  <c r="G53" i="36"/>
  <c r="I53" i="36"/>
  <c r="G29" i="36"/>
  <c r="I128" i="36"/>
  <c r="H128" i="36"/>
  <c r="I88" i="36"/>
  <c r="H142" i="36"/>
  <c r="H120" i="36"/>
  <c r="I139" i="36"/>
  <c r="H169" i="36"/>
  <c r="H296" i="36"/>
  <c r="F11" i="36"/>
  <c r="G34" i="36"/>
  <c r="H283" i="36"/>
  <c r="I71" i="36"/>
  <c r="I57" i="36"/>
  <c r="H68" i="36"/>
  <c r="H280" i="36"/>
  <c r="H72" i="36"/>
  <c r="G251" i="36"/>
  <c r="I223" i="36"/>
  <c r="H307" i="36"/>
  <c r="I113" i="36"/>
  <c r="E305" i="36"/>
  <c r="H244" i="36"/>
  <c r="H286" i="36"/>
  <c r="I214" i="36"/>
  <c r="D247" i="36"/>
  <c r="F314" i="36"/>
  <c r="I143" i="36"/>
  <c r="F318" i="36"/>
  <c r="I25" i="36"/>
  <c r="H259" i="36"/>
  <c r="I276" i="36"/>
  <c r="I176" i="36"/>
  <c r="E254" i="36"/>
  <c r="H82" i="36"/>
  <c r="I304" i="36"/>
  <c r="H180" i="36"/>
  <c r="H179" i="36"/>
  <c r="I76" i="36"/>
  <c r="I99" i="36"/>
  <c r="I20" i="36"/>
  <c r="H325" i="36"/>
  <c r="G11" i="36"/>
  <c r="H19" i="36"/>
  <c r="I266" i="36"/>
  <c r="G195" i="36"/>
  <c r="E116" i="36"/>
  <c r="F116" i="36"/>
  <c r="H15" i="36"/>
  <c r="H76" i="36"/>
  <c r="F76" i="36"/>
  <c r="H272" i="36"/>
  <c r="G84" i="36"/>
  <c r="H105" i="36"/>
  <c r="I73" i="36"/>
  <c r="F298" i="36"/>
  <c r="H298" i="36"/>
  <c r="F25" i="36"/>
  <c r="G25" i="36"/>
  <c r="H75" i="36"/>
  <c r="I199" i="36"/>
  <c r="G199" i="36"/>
  <c r="H199" i="36"/>
  <c r="G312" i="36"/>
  <c r="I312" i="36"/>
  <c r="H312" i="36"/>
  <c r="H285" i="36"/>
  <c r="I285" i="36"/>
  <c r="I170" i="36"/>
  <c r="G170" i="36"/>
  <c r="H258" i="36"/>
  <c r="G258" i="36"/>
  <c r="H108" i="36"/>
  <c r="H26" i="36"/>
  <c r="H247" i="36"/>
  <c r="H43" i="36"/>
  <c r="D120" i="36"/>
  <c r="I215" i="36"/>
  <c r="H243" i="36"/>
  <c r="I291" i="36"/>
  <c r="E291" i="36"/>
  <c r="F301" i="36"/>
  <c r="H90" i="36"/>
  <c r="I142" i="36"/>
  <c r="I31" i="36"/>
  <c r="H31" i="36"/>
  <c r="H46" i="36"/>
  <c r="F174" i="36"/>
  <c r="E92" i="36"/>
  <c r="H95" i="36"/>
  <c r="I167" i="36"/>
  <c r="I240" i="36"/>
  <c r="H253" i="36"/>
  <c r="G187" i="36"/>
  <c r="H187" i="36"/>
  <c r="H60" i="36"/>
  <c r="I45" i="36"/>
  <c r="H81" i="36"/>
  <c r="H136" i="36"/>
  <c r="G136" i="36"/>
  <c r="I278" i="36"/>
  <c r="H278" i="36"/>
  <c r="G278" i="36"/>
  <c r="I325" i="36"/>
  <c r="H59" i="36"/>
  <c r="G59" i="36"/>
  <c r="G205" i="36"/>
  <c r="I205" i="36"/>
  <c r="I55" i="36"/>
  <c r="G55" i="36"/>
  <c r="G78" i="36"/>
  <c r="H78" i="36"/>
  <c r="H129" i="36"/>
  <c r="H63" i="36"/>
  <c r="I236" i="36"/>
  <c r="I299" i="36"/>
  <c r="H299" i="36"/>
  <c r="H322" i="36"/>
  <c r="H239" i="36"/>
  <c r="G239" i="36"/>
  <c r="H161" i="36"/>
  <c r="I161" i="36"/>
  <c r="F132" i="36"/>
  <c r="I206" i="36"/>
  <c r="I238" i="36"/>
  <c r="I160" i="36"/>
  <c r="H99" i="36"/>
  <c r="I227" i="36"/>
  <c r="I64" i="36"/>
  <c r="G64" i="36"/>
  <c r="H64" i="36"/>
  <c r="I94" i="36"/>
  <c r="I9" i="36"/>
  <c r="I121" i="36"/>
  <c r="I48" i="36"/>
  <c r="H138" i="36"/>
  <c r="G138" i="36"/>
  <c r="F316" i="36"/>
  <c r="I96" i="36"/>
  <c r="H103" i="36"/>
  <c r="I204" i="36"/>
  <c r="I37" i="36"/>
  <c r="I286" i="36"/>
  <c r="I313" i="36"/>
  <c r="I133" i="36"/>
  <c r="F125" i="36"/>
  <c r="I244" i="36"/>
  <c r="I303" i="36"/>
  <c r="H87" i="36"/>
  <c r="H277" i="36"/>
  <c r="I297" i="36"/>
  <c r="H309" i="36"/>
  <c r="I280" i="36"/>
  <c r="H257" i="36"/>
  <c r="I290" i="36"/>
  <c r="G81" i="36"/>
  <c r="H24" i="36"/>
  <c r="I164" i="36"/>
  <c r="H77" i="36"/>
  <c r="F146" i="36"/>
  <c r="I237" i="36"/>
  <c r="I56" i="36"/>
  <c r="I270" i="36"/>
  <c r="I8" i="36"/>
  <c r="H16" i="36"/>
  <c r="F152" i="36"/>
  <c r="I182" i="36"/>
  <c r="F218" i="36"/>
  <c r="H254" i="36"/>
  <c r="I54" i="36"/>
  <c r="F183" i="36"/>
  <c r="I22" i="36"/>
  <c r="I42" i="36"/>
  <c r="I111" i="36"/>
  <c r="H279" i="36"/>
  <c r="I323" i="36"/>
  <c r="F131" i="36"/>
  <c r="E12" i="36"/>
  <c r="H265" i="36"/>
  <c r="H245" i="36"/>
  <c r="H65" i="36"/>
  <c r="H293" i="36"/>
  <c r="D11" i="36"/>
  <c r="G91" i="36"/>
  <c r="I91" i="36"/>
  <c r="D226" i="36"/>
  <c r="I226" i="36"/>
  <c r="G226" i="36"/>
  <c r="G246" i="36"/>
  <c r="H246" i="36"/>
  <c r="I246" i="36"/>
  <c r="G308" i="36"/>
  <c r="H308" i="36"/>
  <c r="I101" i="36"/>
  <c r="G101" i="36"/>
  <c r="I40" i="36"/>
  <c r="G40" i="36"/>
  <c r="F165" i="36"/>
  <c r="D60" i="36"/>
  <c r="G68" i="36"/>
  <c r="I68" i="36"/>
  <c r="H282" i="36"/>
  <c r="D46" i="36"/>
  <c r="F242" i="36"/>
  <c r="H42" i="36"/>
  <c r="G65" i="36"/>
  <c r="H92" i="36"/>
  <c r="I77" i="36"/>
  <c r="H190" i="36"/>
  <c r="G237" i="36"/>
  <c r="H111" i="36"/>
  <c r="H304" i="36"/>
  <c r="G304" i="36"/>
  <c r="G121" i="36"/>
  <c r="H121" i="36"/>
  <c r="I261" i="36"/>
  <c r="H261" i="36"/>
  <c r="H323" i="36"/>
  <c r="G183" i="36"/>
  <c r="E190" i="36"/>
  <c r="D230" i="36"/>
  <c r="H174" i="36"/>
  <c r="E282" i="36"/>
  <c r="I46" i="36"/>
  <c r="G46" i="36"/>
  <c r="D36" i="36"/>
  <c r="H289" i="36"/>
  <c r="G72" i="36"/>
  <c r="E54" i="36"/>
  <c r="E170" i="36"/>
  <c r="I271" i="36"/>
  <c r="I298" i="36"/>
  <c r="E95" i="36"/>
  <c r="F96" i="36"/>
  <c r="I138" i="36"/>
  <c r="I243" i="36"/>
  <c r="I258" i="36"/>
  <c r="I188" i="36"/>
  <c r="G73" i="36"/>
  <c r="H240" i="36"/>
  <c r="G316" i="36"/>
  <c r="I108" i="36"/>
  <c r="G22" i="36"/>
  <c r="H110" i="36"/>
  <c r="I65" i="36"/>
  <c r="I254" i="36"/>
  <c r="H234" i="36"/>
  <c r="G92" i="36"/>
  <c r="H96" i="36"/>
  <c r="H160" i="36"/>
  <c r="G99" i="36"/>
  <c r="H130" i="36"/>
  <c r="I130" i="36"/>
  <c r="G310" i="36"/>
  <c r="I114" i="36"/>
  <c r="I190" i="36"/>
  <c r="H218" i="36"/>
  <c r="H210" i="36"/>
  <c r="G48" i="36"/>
  <c r="I27" i="36"/>
  <c r="I43" i="36"/>
  <c r="G169" i="36"/>
  <c r="I239" i="36"/>
  <c r="I242" i="36"/>
  <c r="G111" i="36"/>
  <c r="H27" i="36"/>
  <c r="G26" i="36"/>
  <c r="H149" i="36"/>
  <c r="G63" i="36"/>
  <c r="I63" i="36"/>
  <c r="H154" i="36"/>
  <c r="I154" i="36"/>
  <c r="D26" i="36"/>
  <c r="G282" i="36"/>
  <c r="H40" i="36"/>
  <c r="G165" i="36"/>
  <c r="H54" i="36"/>
  <c r="I95" i="36"/>
  <c r="H198" i="36"/>
  <c r="G265" i="36"/>
  <c r="I234" i="36"/>
  <c r="G56" i="36"/>
  <c r="H226" i="36"/>
  <c r="I198" i="36"/>
  <c r="H242" i="36"/>
  <c r="G54" i="36"/>
  <c r="H101" i="36"/>
  <c r="G321" i="36"/>
  <c r="H321" i="36"/>
  <c r="H173" i="36"/>
  <c r="G173" i="36"/>
  <c r="G292" i="36"/>
  <c r="G12" i="36"/>
  <c r="G323" i="36"/>
  <c r="I211" i="36"/>
  <c r="I44" i="36"/>
  <c r="F170" i="36"/>
  <c r="E70" i="36"/>
  <c r="G95" i="36"/>
  <c r="G96" i="36"/>
  <c r="G243" i="36"/>
  <c r="G240" i="36"/>
  <c r="F191" i="36"/>
  <c r="E292" i="36"/>
  <c r="D234" i="36"/>
  <c r="I92" i="36"/>
  <c r="H227" i="36"/>
  <c r="F167" i="36"/>
  <c r="H91" i="36"/>
  <c r="H114" i="36"/>
  <c r="H166" i="36"/>
  <c r="H170" i="36"/>
  <c r="H48" i="36"/>
  <c r="G43" i="36"/>
  <c r="G144" i="36"/>
  <c r="G218" i="36"/>
  <c r="D221" i="36"/>
  <c r="D213" i="36"/>
  <c r="G244" i="36"/>
  <c r="I230" i="36"/>
  <c r="H125" i="36"/>
  <c r="G142" i="36"/>
  <c r="H80" i="36"/>
  <c r="F299" i="36"/>
  <c r="G320" i="36"/>
  <c r="G208" i="36"/>
  <c r="H208" i="36"/>
  <c r="G284" i="36"/>
  <c r="H284" i="36"/>
  <c r="H260" i="36"/>
  <c r="E260" i="36"/>
  <c r="I260" i="36"/>
  <c r="F194" i="36"/>
  <c r="G194" i="36"/>
  <c r="H85" i="36"/>
  <c r="I85" i="36"/>
  <c r="G74" i="36"/>
  <c r="E74" i="36"/>
  <c r="E198" i="36"/>
  <c r="E136" i="36"/>
  <c r="E169" i="36"/>
  <c r="E321" i="36"/>
  <c r="E77" i="36"/>
  <c r="E163" i="36"/>
  <c r="E63" i="36"/>
  <c r="E109" i="36"/>
  <c r="E98" i="36"/>
  <c r="E150" i="36"/>
  <c r="E55" i="36"/>
  <c r="E114" i="36"/>
  <c r="E23" i="36"/>
  <c r="E148" i="36"/>
  <c r="E110" i="36"/>
  <c r="E39" i="36"/>
  <c r="E275" i="36"/>
  <c r="E318" i="36"/>
  <c r="E14" i="36"/>
  <c r="E220" i="36"/>
  <c r="E35" i="36"/>
  <c r="E20" i="36"/>
  <c r="E112" i="36"/>
  <c r="E224" i="36"/>
  <c r="E37" i="36"/>
  <c r="E322" i="36"/>
  <c r="E42" i="36"/>
  <c r="E295" i="36"/>
  <c r="E207" i="36"/>
  <c r="E127" i="36"/>
  <c r="E38" i="36"/>
  <c r="E68" i="36"/>
  <c r="I36" i="36"/>
  <c r="G238" i="36"/>
  <c r="I132" i="36"/>
  <c r="H194" i="36"/>
  <c r="E32" i="36"/>
  <c r="I208" i="36"/>
  <c r="E134" i="36"/>
  <c r="I24" i="36"/>
  <c r="E124" i="36"/>
  <c r="F294" i="36"/>
  <c r="H294" i="36"/>
  <c r="I151" i="36"/>
  <c r="G151" i="36"/>
  <c r="H151" i="36"/>
  <c r="F151" i="36"/>
  <c r="G177" i="36"/>
  <c r="I177" i="36"/>
  <c r="F159" i="36"/>
  <c r="G159" i="36"/>
  <c r="F263" i="36"/>
  <c r="I263" i="36"/>
  <c r="G263" i="36"/>
  <c r="H263" i="36"/>
  <c r="G217" i="36"/>
  <c r="H217" i="36"/>
  <c r="F13" i="36"/>
  <c r="I13" i="36"/>
  <c r="G13" i="36"/>
  <c r="H13" i="36"/>
  <c r="E13" i="36"/>
  <c r="G281" i="36"/>
  <c r="H281" i="36"/>
  <c r="I171" i="36"/>
  <c r="H171" i="36"/>
  <c r="G171" i="36"/>
  <c r="H235" i="36"/>
  <c r="E235" i="36"/>
  <c r="I235" i="36"/>
  <c r="G235" i="36"/>
  <c r="H131" i="36"/>
  <c r="G131" i="36"/>
  <c r="I131" i="36"/>
  <c r="H157" i="36"/>
  <c r="I157" i="36"/>
  <c r="H69" i="36"/>
  <c r="G69" i="36"/>
  <c r="D265" i="36"/>
  <c r="D314" i="36"/>
  <c r="D98" i="36"/>
  <c r="D147" i="36"/>
  <c r="D321" i="36"/>
  <c r="D196" i="36"/>
  <c r="D275" i="36"/>
  <c r="D207" i="36"/>
  <c r="D256" i="36"/>
  <c r="H256" i="36"/>
  <c r="I256" i="36"/>
  <c r="D211" i="36"/>
  <c r="E178" i="36"/>
  <c r="F229" i="36"/>
  <c r="I165" i="36"/>
  <c r="D183" i="36"/>
  <c r="D139" i="36"/>
  <c r="E186" i="36"/>
  <c r="F267" i="36"/>
  <c r="E133" i="36"/>
  <c r="F91" i="36"/>
  <c r="E233" i="36"/>
  <c r="H209" i="36"/>
  <c r="E255" i="36"/>
  <c r="E34" i="36"/>
  <c r="D38" i="36"/>
  <c r="E293" i="36"/>
  <c r="D310" i="36"/>
  <c r="I283" i="36"/>
  <c r="H41" i="36"/>
  <c r="E122" i="36"/>
  <c r="F68" i="36"/>
  <c r="D206" i="36"/>
  <c r="E36" i="36"/>
  <c r="F238" i="36"/>
  <c r="F46" i="36"/>
  <c r="E132" i="36"/>
  <c r="I309" i="36"/>
  <c r="D172" i="36"/>
  <c r="I289" i="36"/>
  <c r="H74" i="36"/>
  <c r="E257" i="36"/>
  <c r="D282" i="36"/>
  <c r="H165" i="36"/>
  <c r="F10" i="36"/>
  <c r="F154" i="36"/>
  <c r="G125" i="36"/>
  <c r="E274" i="36"/>
  <c r="F70" i="36"/>
  <c r="I12" i="36"/>
  <c r="F138" i="36"/>
  <c r="F305" i="36"/>
  <c r="F249" i="36"/>
  <c r="F250" i="36"/>
  <c r="D214" i="36"/>
  <c r="E180" i="36"/>
  <c r="F215" i="36"/>
  <c r="F79" i="36"/>
  <c r="E106" i="36"/>
  <c r="E131" i="36"/>
  <c r="E65" i="36"/>
  <c r="E265" i="36"/>
  <c r="E234" i="36"/>
  <c r="E222" i="36"/>
  <c r="E236" i="36"/>
  <c r="E82" i="36"/>
  <c r="F302" i="36"/>
  <c r="E147" i="36"/>
  <c r="G24" i="36"/>
  <c r="D288" i="36"/>
  <c r="F164" i="36"/>
  <c r="H119" i="36"/>
  <c r="H146" i="36"/>
  <c r="E177" i="36"/>
  <c r="E86" i="36"/>
  <c r="F290" i="36"/>
  <c r="E202" i="36"/>
  <c r="E59" i="36"/>
  <c r="I281" i="36"/>
  <c r="E101" i="36"/>
  <c r="F86" i="36"/>
  <c r="G86" i="36"/>
  <c r="I86" i="36"/>
  <c r="H86" i="36"/>
  <c r="H177" i="36"/>
  <c r="G309" i="36"/>
  <c r="I74" i="36"/>
  <c r="I194" i="36"/>
  <c r="I66" i="36"/>
  <c r="H66" i="36"/>
  <c r="E146" i="36"/>
  <c r="F237" i="36"/>
  <c r="G88" i="36"/>
  <c r="G85" i="36"/>
  <c r="H45" i="36"/>
  <c r="G45" i="36"/>
  <c r="F81" i="36"/>
  <c r="I81" i="36"/>
  <c r="G124" i="36"/>
  <c r="I124" i="36"/>
  <c r="F124" i="36"/>
  <c r="I274" i="36"/>
  <c r="G274" i="36"/>
  <c r="F274" i="36"/>
  <c r="D302" i="36"/>
  <c r="G302" i="36"/>
  <c r="E302" i="36"/>
  <c r="F47" i="36"/>
  <c r="I47" i="36"/>
  <c r="H193" i="36"/>
  <c r="I193" i="36"/>
  <c r="G193" i="36"/>
  <c r="H67" i="36"/>
  <c r="E67" i="36"/>
  <c r="G67" i="36"/>
  <c r="F118" i="36"/>
  <c r="E118" i="36"/>
  <c r="I118" i="36"/>
  <c r="I155" i="36"/>
  <c r="H155" i="36"/>
  <c r="G189" i="36"/>
  <c r="I189" i="36"/>
  <c r="E189" i="36"/>
  <c r="I197" i="36"/>
  <c r="H197" i="36"/>
  <c r="G184" i="36"/>
  <c r="H184" i="36"/>
  <c r="F228" i="36"/>
  <c r="F248" i="36"/>
  <c r="E248" i="36"/>
  <c r="H267" i="36"/>
  <c r="G267" i="36"/>
  <c r="E307" i="36"/>
  <c r="G260" i="36"/>
  <c r="F221" i="36"/>
  <c r="G221" i="36"/>
  <c r="I221" i="36"/>
  <c r="H221" i="36"/>
  <c r="G140" i="36"/>
  <c r="H140" i="36"/>
  <c r="E140" i="36"/>
  <c r="I250" i="36"/>
  <c r="G250" i="36"/>
  <c r="H250" i="36"/>
  <c r="D258" i="36"/>
  <c r="F258" i="36"/>
  <c r="G108" i="36"/>
  <c r="E108" i="36"/>
  <c r="I262" i="36"/>
  <c r="H262" i="36"/>
  <c r="G50" i="36"/>
  <c r="H50" i="36"/>
  <c r="H123" i="36"/>
  <c r="I123" i="36"/>
  <c r="G247" i="36"/>
  <c r="I247" i="36"/>
  <c r="G215" i="36"/>
  <c r="H215" i="36"/>
  <c r="E215" i="36"/>
  <c r="F209" i="36"/>
  <c r="I301" i="36"/>
  <c r="E301" i="36"/>
  <c r="G301" i="36"/>
  <c r="G90" i="36"/>
  <c r="E90" i="36"/>
  <c r="F90" i="36"/>
  <c r="E79" i="36"/>
  <c r="G79" i="36"/>
  <c r="I79" i="36"/>
  <c r="F292" i="36"/>
  <c r="I292" i="36"/>
  <c r="I316" i="36"/>
  <c r="H316" i="36"/>
  <c r="D316" i="36"/>
  <c r="E316" i="36"/>
  <c r="E296" i="36"/>
  <c r="E230" i="36"/>
  <c r="E310" i="36"/>
  <c r="E206" i="36"/>
  <c r="H132" i="36"/>
  <c r="E289" i="36"/>
  <c r="E87" i="36"/>
  <c r="E167" i="36"/>
  <c r="E249" i="36"/>
  <c r="E243" i="36"/>
  <c r="E188" i="36"/>
  <c r="E191" i="36"/>
  <c r="E158" i="36"/>
  <c r="E75" i="36"/>
  <c r="E99" i="36"/>
  <c r="E159" i="36"/>
  <c r="I116" i="36"/>
  <c r="H116" i="36"/>
  <c r="G28" i="36"/>
  <c r="I28" i="36"/>
  <c r="F117" i="36"/>
  <c r="E117" i="36"/>
  <c r="I117" i="36"/>
  <c r="G317" i="36"/>
  <c r="H317" i="36"/>
  <c r="I317" i="36"/>
  <c r="H185" i="36"/>
  <c r="G185" i="36"/>
  <c r="I185" i="36"/>
  <c r="H213" i="36"/>
  <c r="G213" i="36"/>
  <c r="E9" i="36"/>
  <c r="E279" i="36"/>
  <c r="I279" i="36"/>
  <c r="I241" i="36"/>
  <c r="H241" i="36"/>
  <c r="I49" i="36"/>
  <c r="H49" i="36"/>
  <c r="F320" i="36"/>
  <c r="F142" i="36"/>
  <c r="F55" i="36"/>
  <c r="F286" i="36"/>
  <c r="F78" i="36"/>
  <c r="F57" i="36"/>
  <c r="F137" i="36"/>
  <c r="F181" i="36"/>
  <c r="F158" i="36"/>
  <c r="F56" i="36"/>
  <c r="F94" i="36"/>
  <c r="F114" i="36"/>
  <c r="F186" i="36"/>
  <c r="F8" i="36"/>
  <c r="F163" i="36"/>
  <c r="F52" i="36"/>
  <c r="F240" i="36"/>
  <c r="F135" i="36"/>
  <c r="F236" i="36"/>
  <c r="F322" i="36"/>
  <c r="F234" i="36"/>
  <c r="F75" i="36"/>
  <c r="F65" i="36"/>
  <c r="F196" i="36"/>
  <c r="F39" i="36"/>
  <c r="F275" i="36"/>
  <c r="F32" i="36"/>
  <c r="F51" i="36"/>
  <c r="F277" i="36"/>
  <c r="F244" i="36"/>
  <c r="F150" i="36"/>
  <c r="F58" i="36"/>
  <c r="F100" i="36"/>
  <c r="F231" i="36"/>
  <c r="F82" i="36"/>
  <c r="F254" i="36"/>
  <c r="F148" i="36"/>
  <c r="F21" i="36"/>
  <c r="F265" i="36"/>
  <c r="F319" i="36"/>
  <c r="F276" i="36"/>
  <c r="F259" i="36"/>
  <c r="F180" i="36"/>
  <c r="F109" i="36"/>
  <c r="G44" i="36"/>
  <c r="F44" i="36"/>
  <c r="F12" i="36"/>
  <c r="H211" i="36"/>
  <c r="F178" i="36"/>
  <c r="E142" i="36"/>
  <c r="E229" i="36"/>
  <c r="F120" i="36"/>
  <c r="F19" i="36"/>
  <c r="D140" i="36"/>
  <c r="E267" i="36"/>
  <c r="F113" i="36"/>
  <c r="F296" i="36"/>
  <c r="F233" i="36"/>
  <c r="E209" i="36"/>
  <c r="E219" i="36"/>
  <c r="F219" i="36"/>
  <c r="E242" i="36"/>
  <c r="E283" i="36"/>
  <c r="F253" i="36"/>
  <c r="H206" i="36"/>
  <c r="G36" i="36"/>
  <c r="E174" i="36"/>
  <c r="F282" i="36"/>
  <c r="E46" i="36"/>
  <c r="I284" i="36"/>
  <c r="G241" i="36"/>
  <c r="F111" i="36"/>
  <c r="F289" i="36"/>
  <c r="H88" i="36"/>
  <c r="E72" i="36"/>
  <c r="E269" i="36"/>
  <c r="E251" i="36"/>
  <c r="E223" i="36"/>
  <c r="F104" i="36"/>
  <c r="D242" i="36"/>
  <c r="F285" i="36"/>
  <c r="F273" i="36"/>
  <c r="D154" i="36"/>
  <c r="I70" i="36"/>
  <c r="D182" i="36"/>
  <c r="I213" i="36"/>
  <c r="E62" i="36"/>
  <c r="E76" i="36"/>
  <c r="E214" i="36"/>
  <c r="F279" i="36"/>
  <c r="F185" i="36"/>
  <c r="E314" i="36"/>
  <c r="F224" i="36"/>
  <c r="D159" i="36"/>
  <c r="H124" i="36"/>
  <c r="E196" i="36"/>
  <c r="D301" i="36"/>
  <c r="D319" i="36"/>
  <c r="H292" i="36"/>
  <c r="D65" i="36"/>
  <c r="D75" i="36"/>
  <c r="E21" i="36"/>
  <c r="G254" i="36"/>
  <c r="E221" i="36"/>
  <c r="F37" i="36"/>
  <c r="F115" i="36"/>
  <c r="E115" i="36"/>
  <c r="F103" i="36"/>
  <c r="H28" i="36"/>
  <c r="F160" i="36"/>
  <c r="H117" i="36"/>
  <c r="H70" i="36"/>
  <c r="I41" i="36"/>
  <c r="D13" i="36"/>
  <c r="F140" i="36"/>
  <c r="F310" i="36"/>
  <c r="I294" i="36"/>
  <c r="E287" i="36"/>
  <c r="F54" i="36"/>
  <c r="I217" i="36"/>
  <c r="E181" i="36"/>
  <c r="G288" i="36"/>
  <c r="H288" i="36"/>
  <c r="F106" i="36"/>
  <c r="I106" i="36"/>
  <c r="G106" i="36"/>
  <c r="I253" i="36"/>
  <c r="E253" i="36"/>
  <c r="G253" i="36"/>
  <c r="H73" i="36"/>
  <c r="E73" i="36"/>
  <c r="I153" i="36"/>
  <c r="H153" i="36"/>
  <c r="E298" i="36"/>
  <c r="I30" i="36"/>
  <c r="H30" i="36"/>
  <c r="I35" i="36"/>
  <c r="G35" i="36"/>
  <c r="G150" i="36"/>
  <c r="H150" i="36"/>
  <c r="F216" i="36"/>
  <c r="G216" i="36"/>
  <c r="H216" i="36"/>
  <c r="I232" i="36"/>
  <c r="F232" i="36"/>
  <c r="I252" i="36"/>
  <c r="H252" i="36"/>
  <c r="F252" i="36"/>
  <c r="I186" i="36"/>
  <c r="H186" i="36"/>
  <c r="H202" i="36"/>
  <c r="I202" i="36"/>
  <c r="G245" i="36"/>
  <c r="I245" i="36"/>
  <c r="D61" i="36"/>
  <c r="D137" i="36"/>
  <c r="E119" i="36"/>
  <c r="F17" i="36"/>
  <c r="I17" i="36"/>
  <c r="G17" i="36"/>
  <c r="H93" i="36"/>
  <c r="I300" i="36"/>
  <c r="G300" i="36"/>
  <c r="E264" i="36"/>
  <c r="G172" i="36"/>
  <c r="I172" i="36"/>
  <c r="E218" i="36"/>
  <c r="G122" i="36"/>
  <c r="D19" i="36"/>
  <c r="G233" i="36"/>
  <c r="D219" i="36"/>
  <c r="D295" i="36"/>
  <c r="G156" i="36"/>
  <c r="D303" i="36"/>
  <c r="G206" i="36"/>
  <c r="D238" i="36"/>
  <c r="D174" i="36"/>
  <c r="D320" i="36"/>
  <c r="D201" i="36"/>
  <c r="D157" i="36"/>
  <c r="D289" i="36"/>
  <c r="D223" i="36"/>
  <c r="D70" i="36"/>
  <c r="D95" i="36"/>
  <c r="D12" i="36"/>
  <c r="D250" i="36"/>
  <c r="D62" i="36"/>
  <c r="D84" i="36"/>
  <c r="D21" i="36"/>
  <c r="D254" i="36"/>
  <c r="D236" i="36"/>
  <c r="D261" i="36"/>
  <c r="D93" i="36"/>
  <c r="D228" i="36"/>
  <c r="D216" i="36"/>
  <c r="D257" i="36"/>
  <c r="D194" i="36"/>
  <c r="D166" i="36"/>
  <c r="D44" i="36"/>
  <c r="D50" i="36"/>
  <c r="D104" i="36"/>
  <c r="D34" i="36"/>
  <c r="D146" i="36"/>
  <c r="D102" i="36"/>
  <c r="D124" i="36"/>
  <c r="D293" i="36"/>
  <c r="D144" i="36"/>
  <c r="D88" i="36"/>
  <c r="D209" i="36"/>
  <c r="D57" i="36"/>
  <c r="D40" i="36"/>
  <c r="D122" i="36"/>
  <c r="D308" i="36"/>
  <c r="D138" i="36"/>
  <c r="D33" i="36"/>
  <c r="D71" i="36"/>
  <c r="D298" i="36"/>
  <c r="D121" i="36"/>
  <c r="D233" i="36"/>
  <c r="D80" i="36"/>
  <c r="D294" i="36"/>
  <c r="D30" i="36"/>
  <c r="D312" i="36"/>
  <c r="D94" i="36"/>
  <c r="D281" i="36"/>
  <c r="D123" i="36"/>
  <c r="D126" i="36"/>
  <c r="D323" i="36"/>
  <c r="D195" i="36"/>
  <c r="D218" i="36"/>
  <c r="D87" i="36"/>
  <c r="D141" i="36"/>
  <c r="D59" i="36"/>
  <c r="D205" i="36"/>
  <c r="D291" i="36"/>
  <c r="D290" i="36"/>
  <c r="D114" i="36"/>
  <c r="D266" i="36"/>
  <c r="D161" i="36"/>
  <c r="D48" i="36"/>
  <c r="D222" i="36"/>
  <c r="D186" i="36"/>
  <c r="D200" i="36"/>
  <c r="D105" i="36"/>
  <c r="D25" i="36"/>
  <c r="D235" i="36"/>
  <c r="D251" i="36"/>
  <c r="D16" i="36"/>
  <c r="D9" i="36"/>
  <c r="D317" i="36"/>
  <c r="D311" i="36"/>
  <c r="D63" i="36"/>
  <c r="D191" i="36"/>
  <c r="D41" i="36"/>
  <c r="D189" i="36"/>
  <c r="D277" i="36"/>
  <c r="D246" i="36"/>
  <c r="D299" i="36"/>
  <c r="D45" i="36"/>
  <c r="D232" i="36"/>
  <c r="D150" i="36"/>
  <c r="D78" i="36"/>
  <c r="D300" i="36"/>
  <c r="D239" i="36"/>
  <c r="D171" i="36"/>
  <c r="D204" i="36"/>
  <c r="D255" i="36"/>
  <c r="D169" i="36"/>
  <c r="D297" i="36"/>
  <c r="D55" i="36"/>
  <c r="D252" i="36"/>
  <c r="D109" i="36"/>
  <c r="D274" i="36"/>
  <c r="D151" i="36"/>
  <c r="D136" i="36"/>
  <c r="D64" i="36"/>
  <c r="D163" i="36"/>
  <c r="D20" i="36"/>
  <c r="D99" i="36"/>
  <c r="D135" i="36"/>
  <c r="D116" i="36"/>
  <c r="D115" i="36"/>
  <c r="D176" i="36"/>
  <c r="D305" i="36"/>
  <c r="D133" i="36"/>
  <c r="D270" i="36"/>
  <c r="D271" i="36"/>
  <c r="D119" i="36"/>
  <c r="D86" i="36"/>
  <c r="D212" i="36"/>
  <c r="D67" i="36"/>
  <c r="D177" i="36"/>
  <c r="D77" i="36"/>
  <c r="D253" i="36"/>
  <c r="D237" i="36"/>
  <c r="D51" i="36"/>
  <c r="D52" i="36"/>
  <c r="D100" i="36"/>
  <c r="D231" i="36"/>
  <c r="D272" i="36"/>
  <c r="D263" i="36"/>
  <c r="D56" i="36"/>
  <c r="D155" i="36"/>
  <c r="D130" i="36"/>
  <c r="D153" i="36"/>
  <c r="D160" i="36"/>
  <c r="D167" i="36"/>
  <c r="D27" i="36"/>
  <c r="D111" i="36"/>
  <c r="D241" i="36"/>
  <c r="D10" i="36"/>
  <c r="D203" i="36"/>
  <c r="D187" i="36"/>
  <c r="D307" i="36"/>
  <c r="D129" i="36"/>
  <c r="D181" i="36"/>
  <c r="D220" i="36"/>
  <c r="D66" i="36"/>
  <c r="D24" i="36"/>
  <c r="D179" i="36"/>
  <c r="D28" i="36"/>
  <c r="D103" i="36"/>
  <c r="D227" i="36"/>
  <c r="D278" i="36"/>
  <c r="D313" i="36"/>
  <c r="D91" i="36"/>
  <c r="D73" i="36"/>
  <c r="D37" i="36"/>
  <c r="D23" i="36"/>
  <c r="D131" i="36"/>
  <c r="D79" i="36"/>
  <c r="D118" i="36"/>
  <c r="D215" i="36"/>
  <c r="D276" i="36"/>
  <c r="D110" i="36"/>
  <c r="D39" i="36"/>
  <c r="D158" i="36"/>
  <c r="D259" i="36"/>
  <c r="D22" i="36"/>
  <c r="D42" i="36"/>
  <c r="D127" i="36"/>
  <c r="D76" i="36"/>
  <c r="D240" i="36"/>
  <c r="D286" i="36"/>
  <c r="D190" i="36"/>
  <c r="D249" i="36"/>
  <c r="D152" i="36"/>
  <c r="D273" i="36"/>
  <c r="D170" i="36"/>
  <c r="D14" i="36"/>
  <c r="D107" i="36"/>
  <c r="D47" i="36"/>
  <c r="D143" i="36"/>
  <c r="D244" i="36"/>
  <c r="D117" i="36"/>
  <c r="D58" i="36"/>
  <c r="D112" i="36"/>
  <c r="D32" i="36"/>
  <c r="D92" i="36"/>
  <c r="D304" i="36"/>
  <c r="D148" i="36"/>
  <c r="D134" i="36"/>
  <c r="D106" i="36"/>
  <c r="D180" i="36"/>
  <c r="D224" i="36"/>
  <c r="D185" i="36"/>
  <c r="D306" i="36"/>
  <c r="D108" i="36"/>
  <c r="D279" i="36"/>
  <c r="D287" i="36"/>
  <c r="D96" i="36"/>
  <c r="D113" i="36"/>
  <c r="D285" i="36"/>
  <c r="G16" i="36"/>
  <c r="G123" i="36"/>
  <c r="G139" i="36"/>
  <c r="G146" i="36"/>
  <c r="G293" i="36"/>
  <c r="G119" i="36"/>
  <c r="G290" i="36"/>
  <c r="G117" i="36"/>
  <c r="G261" i="36"/>
  <c r="G9" i="36"/>
  <c r="G116" i="36"/>
  <c r="G133" i="36"/>
  <c r="G291" i="36"/>
  <c r="G153" i="36"/>
  <c r="G285" i="36"/>
  <c r="G21" i="36"/>
  <c r="D142" i="36"/>
  <c r="D315" i="36"/>
  <c r="D217" i="36"/>
  <c r="D83" i="36"/>
  <c r="D156" i="36"/>
  <c r="D199" i="36"/>
  <c r="D17" i="36"/>
  <c r="D248" i="36"/>
  <c r="D325" i="36"/>
  <c r="D68" i="36"/>
  <c r="D132" i="36"/>
  <c r="D269" i="36"/>
  <c r="D165" i="36"/>
  <c r="D54" i="36"/>
  <c r="D125" i="36"/>
  <c r="D198" i="36"/>
  <c r="G279" i="36"/>
  <c r="D318" i="36"/>
  <c r="D90" i="36"/>
  <c r="D208" i="36"/>
  <c r="D292" i="36"/>
  <c r="D322" i="36"/>
  <c r="D82" i="36"/>
  <c r="D164" i="36"/>
  <c r="D197" i="36"/>
  <c r="D268" i="36"/>
  <c r="I146" i="36"/>
  <c r="I152" i="36"/>
  <c r="I293" i="36"/>
  <c r="I119" i="36"/>
  <c r="H122" i="36"/>
  <c r="H324" i="36"/>
  <c r="H290" i="36"/>
  <c r="H8" i="36"/>
  <c r="H152" i="36"/>
  <c r="F177" i="36"/>
  <c r="F69" i="36"/>
  <c r="F29" i="36"/>
  <c r="F89" i="36"/>
  <c r="F235" i="36"/>
  <c r="F225" i="36"/>
  <c r="F195" i="36"/>
  <c r="F241" i="36"/>
  <c r="F239" i="36"/>
  <c r="F122" i="36"/>
  <c r="F18" i="36"/>
  <c r="F26" i="36"/>
  <c r="F284" i="36"/>
  <c r="F260" i="36"/>
  <c r="F323" i="36"/>
  <c r="F145" i="36"/>
  <c r="F139" i="36"/>
  <c r="F199" i="36"/>
  <c r="F281" i="36"/>
  <c r="F315" i="36"/>
  <c r="F262" i="36"/>
  <c r="F107" i="36"/>
  <c r="F308" i="36"/>
  <c r="F197" i="36"/>
  <c r="F83" i="36"/>
  <c r="F41" i="36"/>
  <c r="F223" i="36"/>
  <c r="F243" i="36"/>
  <c r="F293" i="36"/>
  <c r="F43" i="36"/>
  <c r="F22" i="36"/>
  <c r="F34" i="36"/>
  <c r="F246" i="36"/>
  <c r="F35" i="36"/>
  <c r="F287" i="36"/>
  <c r="F45" i="36"/>
  <c r="F210" i="36"/>
  <c r="F182" i="36"/>
  <c r="F16" i="36"/>
  <c r="F230" i="36"/>
  <c r="F190" i="36"/>
  <c r="F149" i="36"/>
  <c r="F162" i="36"/>
  <c r="F126" i="36"/>
  <c r="F141" i="36"/>
  <c r="F38" i="36"/>
  <c r="F156" i="36"/>
  <c r="F42" i="36"/>
  <c r="F297" i="36"/>
  <c r="F312" i="36"/>
  <c r="F202" i="36"/>
  <c r="F220" i="36"/>
  <c r="F80" i="36"/>
  <c r="F9" i="36"/>
  <c r="F50" i="36"/>
  <c r="F161" i="36"/>
  <c r="F261" i="36"/>
  <c r="F198" i="36"/>
  <c r="F306" i="36"/>
  <c r="F205" i="36"/>
  <c r="F173" i="36"/>
  <c r="F266" i="36"/>
  <c r="F188" i="36"/>
  <c r="F317" i="36"/>
  <c r="F217" i="36"/>
  <c r="F67" i="36"/>
  <c r="F166" i="36"/>
  <c r="F77" i="36"/>
  <c r="F59" i="36"/>
  <c r="F155" i="36"/>
  <c r="F14" i="36"/>
  <c r="F110" i="36"/>
  <c r="F136" i="36"/>
  <c r="F278" i="36"/>
  <c r="F102" i="36"/>
  <c r="F61" i="36"/>
  <c r="F313" i="36"/>
  <c r="F60" i="36"/>
  <c r="F84" i="36"/>
  <c r="F119" i="36"/>
  <c r="F130" i="36"/>
  <c r="F204" i="36"/>
  <c r="F20" i="36"/>
  <c r="F28" i="36"/>
  <c r="F92" i="36"/>
  <c r="F304" i="36"/>
  <c r="F256" i="36"/>
  <c r="F74" i="36"/>
  <c r="F203" i="36"/>
  <c r="F193" i="36"/>
  <c r="F171" i="36"/>
  <c r="F63" i="36"/>
  <c r="F48" i="36"/>
  <c r="F93" i="36"/>
  <c r="F226" i="36"/>
  <c r="F30" i="36"/>
  <c r="F169" i="36"/>
  <c r="F62" i="36"/>
  <c r="F153" i="36"/>
  <c r="F270" i="36"/>
  <c r="F184" i="36"/>
  <c r="F144" i="36"/>
  <c r="F66" i="36"/>
  <c r="F64" i="36"/>
  <c r="F99" i="36"/>
  <c r="F24" i="36"/>
  <c r="F112" i="36"/>
  <c r="F179" i="36"/>
  <c r="F147" i="36"/>
  <c r="F95" i="36"/>
  <c r="F208" i="36"/>
  <c r="F227" i="36"/>
  <c r="F272" i="36"/>
  <c r="E44" i="36"/>
  <c r="E256" i="36"/>
  <c r="E245" i="36"/>
  <c r="E56" i="36"/>
  <c r="E88" i="36"/>
  <c r="E105" i="36"/>
  <c r="E324" i="36"/>
  <c r="E149" i="36"/>
  <c r="E308" i="36"/>
  <c r="E162" i="36"/>
  <c r="E128" i="36"/>
  <c r="E192" i="36"/>
  <c r="E303" i="36"/>
  <c r="E78" i="36"/>
  <c r="E156" i="36"/>
  <c r="E137" i="36"/>
  <c r="E212" i="36"/>
  <c r="E16" i="36"/>
  <c r="E247" i="36"/>
  <c r="E281" i="36"/>
  <c r="E141" i="36"/>
  <c r="E182" i="36"/>
  <c r="E53" i="36"/>
  <c r="E40" i="36"/>
  <c r="E145" i="36"/>
  <c r="E270" i="36"/>
  <c r="E300" i="36"/>
  <c r="E80" i="36"/>
  <c r="E15" i="36"/>
  <c r="E175" i="36"/>
  <c r="E228" i="36"/>
  <c r="E138" i="36"/>
  <c r="E94" i="36"/>
  <c r="E126" i="36"/>
  <c r="E262" i="36"/>
  <c r="E10" i="36"/>
  <c r="E123" i="36"/>
  <c r="E171" i="36"/>
  <c r="E226" i="36"/>
  <c r="E311" i="36"/>
  <c r="E11" i="36"/>
  <c r="E297" i="36"/>
  <c r="E246" i="36"/>
  <c r="E161" i="36"/>
  <c r="E313" i="36"/>
  <c r="E97" i="36"/>
  <c r="E69" i="36"/>
  <c r="E111" i="36"/>
  <c r="E49" i="36"/>
  <c r="E268" i="36"/>
  <c r="E225" i="36"/>
  <c r="E31" i="36"/>
  <c r="E152" i="36"/>
  <c r="E107" i="36"/>
  <c r="E144" i="36"/>
  <c r="E205" i="36"/>
  <c r="E8" i="36"/>
  <c r="E139" i="36"/>
  <c r="E290" i="36"/>
  <c r="E50" i="36"/>
  <c r="E250" i="36"/>
  <c r="E266" i="36"/>
  <c r="E244" i="36"/>
  <c r="E19" i="36"/>
  <c r="E27" i="36"/>
  <c r="E154" i="36"/>
  <c r="E263" i="36"/>
  <c r="E271" i="36"/>
  <c r="E48" i="36"/>
  <c r="E93" i="36"/>
  <c r="E210" i="36"/>
  <c r="E277" i="36"/>
  <c r="E129" i="36"/>
  <c r="E26" i="36"/>
  <c r="E43" i="36"/>
  <c r="E66" i="36"/>
  <c r="E187" i="36"/>
  <c r="E261" i="36"/>
  <c r="E204" i="36"/>
  <c r="E113" i="36"/>
  <c r="E30" i="36"/>
  <c r="E25" i="36"/>
  <c r="E71" i="36"/>
  <c r="E325" i="36"/>
  <c r="E81" i="36"/>
  <c r="E102" i="36"/>
  <c r="E317" i="36"/>
  <c r="E193" i="36"/>
  <c r="E125" i="36"/>
  <c r="E91" i="36"/>
  <c r="E153" i="36"/>
  <c r="E164" i="36"/>
  <c r="E240" i="36"/>
  <c r="E160" i="36"/>
  <c r="E28" i="36"/>
  <c r="E231" i="36"/>
  <c r="E208" i="36"/>
  <c r="E304" i="36"/>
  <c r="E33" i="36"/>
  <c r="E280" i="36"/>
  <c r="E323" i="36"/>
  <c r="E22" i="36"/>
  <c r="E195" i="36"/>
  <c r="E241" i="36"/>
  <c r="E239" i="36"/>
  <c r="E155" i="36"/>
  <c r="E213" i="36"/>
  <c r="E60" i="36"/>
  <c r="E312" i="36"/>
  <c r="E252" i="36"/>
  <c r="E217" i="36"/>
  <c r="E259" i="36"/>
  <c r="E17" i="36"/>
  <c r="E216" i="36"/>
  <c r="E232" i="36"/>
  <c r="E299" i="36"/>
  <c r="E197" i="36"/>
  <c r="E41" i="36"/>
  <c r="E173" i="36"/>
  <c r="E64" i="36"/>
  <c r="E278" i="36"/>
  <c r="E45" i="36"/>
  <c r="E84" i="36"/>
  <c r="E237" i="36"/>
  <c r="E61" i="36"/>
  <c r="E130" i="36"/>
  <c r="E58" i="36"/>
  <c r="E288" i="36"/>
  <c r="E24" i="36"/>
  <c r="E135" i="36"/>
  <c r="E179" i="36"/>
  <c r="E103" i="36"/>
  <c r="E227" i="36"/>
  <c r="E96" i="36"/>
  <c r="E151" i="36"/>
  <c r="F311" i="36"/>
  <c r="D81" i="36"/>
  <c r="E286" i="36"/>
  <c r="D210" i="36"/>
  <c r="F73" i="36"/>
  <c r="D262" i="36"/>
  <c r="F291" i="36"/>
  <c r="F268" i="36"/>
  <c r="F324" i="36"/>
  <c r="I324" i="36"/>
  <c r="I209" i="36"/>
  <c r="F300" i="36"/>
  <c r="F214" i="36"/>
  <c r="F172" i="36"/>
  <c r="F88" i="36"/>
  <c r="F40" i="36"/>
  <c r="F31" i="36"/>
  <c r="F108" i="36"/>
  <c r="F187" i="36"/>
  <c r="F105" i="36"/>
  <c r="F245" i="36"/>
  <c r="F72" i="36"/>
  <c r="F200" i="36"/>
  <c r="F303" i="36"/>
  <c r="F280" i="36"/>
  <c r="F192" i="36"/>
  <c r="F128" i="36"/>
  <c r="F264" i="36"/>
  <c r="F123" i="36"/>
  <c r="F85" i="36"/>
  <c r="F101" i="36"/>
  <c r="F53" i="36"/>
  <c r="F271" i="36"/>
  <c r="F33" i="36"/>
  <c r="F121" i="36"/>
  <c r="F309" i="36"/>
  <c r="F15" i="36"/>
  <c r="F71" i="36"/>
  <c r="F325" i="36"/>
  <c r="F175" i="36"/>
  <c r="D97" i="36"/>
  <c r="D128" i="36"/>
  <c r="D35" i="36"/>
  <c r="D245" i="36"/>
  <c r="D229" i="36"/>
  <c r="D49" i="36"/>
  <c r="D18" i="36"/>
  <c r="D145" i="36"/>
  <c r="D264" i="36"/>
  <c r="D184" i="36"/>
  <c r="D149" i="36"/>
  <c r="D29" i="36"/>
  <c r="D43" i="36"/>
  <c r="D31" i="36"/>
  <c r="D15" i="36"/>
  <c r="D162" i="36"/>
  <c r="D192" i="36"/>
  <c r="D173" i="36"/>
  <c r="D89" i="36"/>
  <c r="D168" i="36"/>
  <c r="D309" i="36"/>
  <c r="D280" i="36"/>
  <c r="D324" i="36"/>
  <c r="D284" i="36"/>
  <c r="D260" i="36"/>
  <c r="D69" i="36"/>
  <c r="D175" i="36"/>
  <c r="D85" i="36"/>
  <c r="D101" i="36"/>
  <c r="D74" i="36"/>
  <c r="D72" i="36"/>
  <c r="D296" i="36"/>
  <c r="D178" i="36"/>
  <c r="D267" i="36"/>
  <c r="D283" i="36"/>
  <c r="G152" i="36"/>
  <c r="G8" i="36"/>
  <c r="G209" i="36"/>
  <c r="G137" i="36"/>
  <c r="G128" i="36"/>
  <c r="G324" i="36"/>
  <c r="G120" i="36"/>
  <c r="E89" i="36"/>
  <c r="E168" i="36"/>
  <c r="E309" i="36"/>
  <c r="E194" i="36"/>
  <c r="E284" i="36"/>
  <c r="E157" i="36"/>
  <c r="E184" i="36"/>
  <c r="E83" i="36"/>
  <c r="E183" i="36"/>
  <c r="E121" i="36"/>
  <c r="E200" i="36"/>
  <c r="E120" i="36"/>
  <c r="E29" i="36"/>
  <c r="E104" i="36"/>
  <c r="E18" i="36"/>
  <c r="E258" i="36"/>
  <c r="E285" i="36"/>
  <c r="E273" i="36"/>
  <c r="E172" i="36"/>
  <c r="E57" i="36"/>
  <c r="E211" i="36"/>
  <c r="E85" i="36"/>
  <c r="E315" i="36"/>
  <c r="E294" i="36"/>
  <c r="F129" i="36"/>
  <c r="E166" i="36"/>
  <c r="D202" i="36"/>
  <c r="E201" i="36"/>
  <c r="F27" i="36"/>
  <c r="D53" i="36"/>
  <c r="H151" i="32"/>
  <c r="D157" i="9" s="1"/>
  <c r="H167" i="32"/>
  <c r="D173" i="9" s="1"/>
  <c r="H306" i="32"/>
  <c r="D312" i="9" s="1"/>
  <c r="H84" i="32"/>
  <c r="D90" i="9" s="1"/>
  <c r="H132" i="32"/>
  <c r="D138" i="9" s="1"/>
  <c r="H318" i="32"/>
  <c r="D324" i="9" s="1"/>
  <c r="H224" i="32"/>
  <c r="D230" i="9" s="1"/>
  <c r="H86" i="32"/>
  <c r="D92" i="9" s="1"/>
  <c r="H176" i="32"/>
  <c r="D182" i="9" s="1"/>
  <c r="H301" i="32"/>
  <c r="D307" i="9" s="1"/>
  <c r="H169" i="32"/>
  <c r="D175" i="9" s="1"/>
  <c r="H165" i="32"/>
  <c r="D171" i="9" s="1"/>
  <c r="G129" i="36"/>
  <c r="I48" i="49" l="1"/>
  <c r="I51" i="49"/>
  <c r="I163" i="49"/>
  <c r="I150" i="49"/>
  <c r="I288" i="49"/>
  <c r="I273" i="49"/>
  <c r="I52" i="49"/>
  <c r="I68" i="49"/>
  <c r="I196" i="49"/>
  <c r="I176" i="49"/>
  <c r="I166" i="49"/>
  <c r="I256" i="49"/>
  <c r="I308" i="49"/>
  <c r="I181" i="49"/>
  <c r="I237" i="49"/>
  <c r="I106" i="49"/>
  <c r="I249" i="49"/>
  <c r="I242" i="49"/>
  <c r="I135" i="49"/>
  <c r="I281" i="49"/>
  <c r="I14" i="49"/>
  <c r="I56" i="49"/>
  <c r="I72" i="49"/>
  <c r="I114" i="49"/>
  <c r="I212" i="49"/>
  <c r="I77" i="49"/>
  <c r="I229" i="49"/>
  <c r="I13" i="49"/>
  <c r="I267" i="49"/>
  <c r="I180" i="49"/>
  <c r="I126" i="49"/>
  <c r="I236" i="49"/>
  <c r="I59" i="49"/>
  <c r="H19" i="32"/>
  <c r="D25" i="9" s="1"/>
  <c r="E19" i="32"/>
  <c r="H241" i="32"/>
  <c r="D247" i="9" s="1"/>
  <c r="E241" i="32"/>
  <c r="H40" i="32"/>
  <c r="D46" i="9" s="1"/>
  <c r="E40" i="32"/>
  <c r="H258" i="32"/>
  <c r="D264" i="9" s="1"/>
  <c r="E258" i="32"/>
  <c r="H227" i="32"/>
  <c r="D233" i="9" s="1"/>
  <c r="E227" i="32"/>
  <c r="H13" i="32"/>
  <c r="D19" i="9" s="1"/>
  <c r="E13" i="32"/>
  <c r="H194" i="32"/>
  <c r="D200" i="9" s="1"/>
  <c r="E194" i="32"/>
  <c r="H249" i="32"/>
  <c r="D255" i="9" s="1"/>
  <c r="E249" i="32"/>
  <c r="H158" i="32"/>
  <c r="D164" i="9" s="1"/>
  <c r="E158" i="32"/>
  <c r="H190" i="32"/>
  <c r="D196" i="9" s="1"/>
  <c r="E190" i="32"/>
  <c r="H110" i="32"/>
  <c r="D116" i="9" s="1"/>
  <c r="E110" i="32"/>
  <c r="H18" i="32"/>
  <c r="D24" i="9" s="1"/>
  <c r="E18" i="32"/>
  <c r="H283" i="32"/>
  <c r="D289" i="9" s="1"/>
  <c r="E283" i="32"/>
  <c r="H231" i="32"/>
  <c r="D237" i="9" s="1"/>
  <c r="E231" i="32"/>
  <c r="H53" i="32"/>
  <c r="D59" i="9" s="1"/>
  <c r="E53" i="32"/>
  <c r="H198" i="32"/>
  <c r="D204" i="9" s="1"/>
  <c r="E198" i="32"/>
  <c r="H239" i="32"/>
  <c r="D245" i="9" s="1"/>
  <c r="E239" i="32"/>
  <c r="H270" i="32"/>
  <c r="D276" i="9" s="1"/>
  <c r="E270" i="32"/>
  <c r="H261" i="32"/>
  <c r="D267" i="9" s="1"/>
  <c r="E261" i="32"/>
  <c r="H71" i="32"/>
  <c r="D77" i="9" s="1"/>
  <c r="E71" i="32"/>
  <c r="H95" i="32"/>
  <c r="D101" i="9" s="1"/>
  <c r="E95" i="32"/>
  <c r="H43" i="32"/>
  <c r="D49" i="9" s="1"/>
  <c r="E43" i="32"/>
  <c r="H242" i="32"/>
  <c r="D248" i="9" s="1"/>
  <c r="E242" i="32"/>
  <c r="H174" i="32"/>
  <c r="D180" i="9" s="1"/>
  <c r="E174" i="32"/>
  <c r="H199" i="32"/>
  <c r="D205" i="9" s="1"/>
  <c r="E199" i="32"/>
  <c r="H245" i="32"/>
  <c r="D251" i="9" s="1"/>
  <c r="E245" i="32"/>
  <c r="H287" i="32"/>
  <c r="D293" i="9" s="1"/>
  <c r="E287" i="32"/>
  <c r="H102" i="32"/>
  <c r="D108" i="9" s="1"/>
  <c r="E102" i="32"/>
  <c r="H20" i="32"/>
  <c r="D26" i="9" s="1"/>
  <c r="E20" i="32"/>
  <c r="H136" i="32"/>
  <c r="D142" i="9" s="1"/>
  <c r="E136" i="32"/>
  <c r="H155" i="32"/>
  <c r="D161" i="9" s="1"/>
  <c r="E155" i="32"/>
  <c r="H312" i="32"/>
  <c r="D318" i="9" s="1"/>
  <c r="E312" i="32"/>
  <c r="H168" i="32"/>
  <c r="D174" i="9" s="1"/>
  <c r="E168" i="32"/>
  <c r="H162" i="32"/>
  <c r="D168" i="9" s="1"/>
  <c r="E162" i="32"/>
  <c r="H265" i="32"/>
  <c r="D271" i="9" s="1"/>
  <c r="E265" i="32"/>
  <c r="H304" i="32"/>
  <c r="D310" i="9" s="1"/>
  <c r="E304" i="32"/>
  <c r="H58" i="32"/>
  <c r="D64" i="9" s="1"/>
  <c r="E58" i="32"/>
  <c r="H55" i="32"/>
  <c r="D61" i="9" s="1"/>
  <c r="E55" i="32"/>
  <c r="H279" i="32"/>
  <c r="D285" i="9" s="1"/>
  <c r="E279" i="32"/>
  <c r="H52" i="32"/>
  <c r="D58" i="9" s="1"/>
  <c r="E52" i="32"/>
  <c r="H39" i="32"/>
  <c r="D45" i="9" s="1"/>
  <c r="E39" i="32"/>
  <c r="H311" i="32"/>
  <c r="D317" i="9" s="1"/>
  <c r="E311" i="32"/>
  <c r="H68" i="32"/>
  <c r="D74" i="9" s="1"/>
  <c r="E68" i="32"/>
  <c r="H24" i="32"/>
  <c r="D30" i="9" s="1"/>
  <c r="E24" i="32"/>
  <c r="H72" i="32"/>
  <c r="D78" i="9" s="1"/>
  <c r="E72" i="32"/>
  <c r="H320" i="32"/>
  <c r="D326" i="9" s="1"/>
  <c r="E320" i="32"/>
  <c r="H96" i="32"/>
  <c r="D102" i="9" s="1"/>
  <c r="E96" i="32"/>
  <c r="H26" i="32"/>
  <c r="D32" i="9" s="1"/>
  <c r="E26" i="32"/>
  <c r="H79" i="32"/>
  <c r="D85" i="9" s="1"/>
  <c r="E79" i="32"/>
  <c r="H278" i="32"/>
  <c r="D284" i="9" s="1"/>
  <c r="E278" i="32"/>
  <c r="H80" i="32"/>
  <c r="D86" i="9" s="1"/>
  <c r="E80" i="32"/>
  <c r="H126" i="32"/>
  <c r="D132" i="9" s="1"/>
  <c r="E126" i="32"/>
  <c r="H131" i="32"/>
  <c r="D137" i="9" s="1"/>
  <c r="E131" i="32"/>
  <c r="H181" i="32"/>
  <c r="D187" i="9" s="1"/>
  <c r="E181" i="32"/>
  <c r="H159" i="32"/>
  <c r="D165" i="9" s="1"/>
  <c r="E159" i="32"/>
  <c r="H104" i="32"/>
  <c r="D110" i="9" s="1"/>
  <c r="E104" i="32"/>
  <c r="H315" i="32"/>
  <c r="D321" i="9" s="1"/>
  <c r="E315" i="32"/>
  <c r="H273" i="32"/>
  <c r="D279" i="9" s="1"/>
  <c r="E273" i="32"/>
  <c r="H291" i="32"/>
  <c r="D297" i="9" s="1"/>
  <c r="E291" i="32"/>
  <c r="H222" i="32"/>
  <c r="D228" i="9" s="1"/>
  <c r="E222" i="32"/>
  <c r="H223" i="32"/>
  <c r="D229" i="9" s="1"/>
  <c r="E223" i="32"/>
  <c r="H83" i="32"/>
  <c r="D89" i="9" s="1"/>
  <c r="E83" i="32"/>
  <c r="H101" i="32"/>
  <c r="D107" i="9" s="1"/>
  <c r="E101" i="32"/>
  <c r="H213" i="32"/>
  <c r="D219" i="9" s="1"/>
  <c r="E213" i="32"/>
  <c r="H298" i="32"/>
  <c r="D304" i="9" s="1"/>
  <c r="E298" i="32"/>
  <c r="H214" i="32"/>
  <c r="D220" i="9" s="1"/>
  <c r="E214" i="32"/>
  <c r="H202" i="32"/>
  <c r="D208" i="9" s="1"/>
  <c r="E202" i="32"/>
  <c r="H164" i="32"/>
  <c r="D170" i="9" s="1"/>
  <c r="E164" i="32"/>
  <c r="H319" i="32"/>
  <c r="D325" i="9" s="1"/>
  <c r="H313" i="32"/>
  <c r="D319" i="9" s="1"/>
  <c r="H310" i="32"/>
  <c r="D316" i="9" s="1"/>
  <c r="X325" i="42"/>
  <c r="H294" i="32"/>
  <c r="D300" i="9" s="1"/>
  <c r="H21" i="49"/>
  <c r="I21" i="49" s="1"/>
  <c r="H170" i="32"/>
  <c r="D176" i="9" s="1"/>
  <c r="H257" i="32"/>
  <c r="D263" i="9" s="1"/>
  <c r="H125" i="32"/>
  <c r="D131" i="9" s="1"/>
  <c r="E15" i="48"/>
  <c r="K192" i="36"/>
  <c r="F200" i="34" s="1"/>
  <c r="K229" i="36"/>
  <c r="F237" i="34" s="1"/>
  <c r="K23" i="36"/>
  <c r="F31" i="34" s="1"/>
  <c r="K202" i="36"/>
  <c r="F210" i="34" s="1"/>
  <c r="K283" i="36"/>
  <c r="F291" i="34" s="1"/>
  <c r="H259" i="32"/>
  <c r="D265" i="9" s="1"/>
  <c r="H149" i="32"/>
  <c r="D155" i="9" s="1"/>
  <c r="H67" i="32"/>
  <c r="D73" i="9" s="1"/>
  <c r="H137" i="32"/>
  <c r="D143" i="9" s="1"/>
  <c r="H141" i="32"/>
  <c r="D147" i="9" s="1"/>
  <c r="H12" i="49"/>
  <c r="I12" i="49" s="1"/>
  <c r="H54" i="49"/>
  <c r="I54" i="49" s="1"/>
  <c r="H111" i="49"/>
  <c r="I111" i="49" s="1"/>
  <c r="H233" i="49"/>
  <c r="I233" i="49" s="1"/>
  <c r="H292" i="49"/>
  <c r="I292" i="49" s="1"/>
  <c r="H98" i="49"/>
  <c r="I98" i="49" s="1"/>
  <c r="H128" i="49"/>
  <c r="I128" i="49" s="1"/>
  <c r="H148" i="49"/>
  <c r="I148" i="49" s="1"/>
  <c r="H174" i="49"/>
  <c r="I174" i="49" s="1"/>
  <c r="H197" i="49"/>
  <c r="I197" i="49" s="1"/>
  <c r="H213" i="49"/>
  <c r="I213" i="49" s="1"/>
  <c r="H226" i="49"/>
  <c r="I226" i="49" s="1"/>
  <c r="H260" i="49"/>
  <c r="I260" i="49" s="1"/>
  <c r="H289" i="49"/>
  <c r="I289" i="49" s="1"/>
  <c r="H306" i="49"/>
  <c r="I306" i="49" s="1"/>
  <c r="H30" i="49"/>
  <c r="I30" i="49" s="1"/>
  <c r="H62" i="49"/>
  <c r="I62" i="49" s="1"/>
  <c r="H86" i="49"/>
  <c r="I86" i="49" s="1"/>
  <c r="H109" i="49"/>
  <c r="I109" i="49" s="1"/>
  <c r="H136" i="49"/>
  <c r="I136" i="49" s="1"/>
  <c r="H154" i="49"/>
  <c r="I154" i="49" s="1"/>
  <c r="H175" i="49"/>
  <c r="I175" i="49" s="1"/>
  <c r="H190" i="49"/>
  <c r="I190" i="49" s="1"/>
  <c r="H210" i="49"/>
  <c r="I210" i="49" s="1"/>
  <c r="H231" i="49"/>
  <c r="I231" i="49" s="1"/>
  <c r="H265" i="49"/>
  <c r="I265" i="49" s="1"/>
  <c r="H282" i="49"/>
  <c r="I282" i="49" s="1"/>
  <c r="H302" i="49"/>
  <c r="I302" i="49" s="1"/>
  <c r="H317" i="49"/>
  <c r="I317" i="49" s="1"/>
  <c r="H102" i="49"/>
  <c r="I102" i="49" s="1"/>
  <c r="H122" i="49"/>
  <c r="I122" i="49" s="1"/>
  <c r="H137" i="49"/>
  <c r="I137" i="49" s="1"/>
  <c r="H191" i="49"/>
  <c r="I191" i="49" s="1"/>
  <c r="H207" i="49"/>
  <c r="I207" i="49" s="1"/>
  <c r="H223" i="49"/>
  <c r="I223" i="49" s="1"/>
  <c r="H254" i="49"/>
  <c r="I254" i="49" s="1"/>
  <c r="H279" i="49"/>
  <c r="I279" i="49" s="1"/>
  <c r="H295" i="49"/>
  <c r="I295" i="49" s="1"/>
  <c r="H314" i="49"/>
  <c r="I314" i="49" s="1"/>
  <c r="H104" i="49"/>
  <c r="I104" i="49" s="1"/>
  <c r="H151" i="49"/>
  <c r="I151" i="49" s="1"/>
  <c r="H33" i="49"/>
  <c r="I33" i="49" s="1"/>
  <c r="H129" i="49"/>
  <c r="I129" i="49" s="1"/>
  <c r="H7" i="49"/>
  <c r="I7" i="49" s="1"/>
  <c r="H182" i="49"/>
  <c r="I182" i="49" s="1"/>
  <c r="H303" i="49"/>
  <c r="I303" i="49" s="1"/>
  <c r="H204" i="49"/>
  <c r="I204" i="49" s="1"/>
  <c r="H41" i="49"/>
  <c r="I41" i="49" s="1"/>
  <c r="H252" i="49"/>
  <c r="I252" i="49" s="1"/>
  <c r="H88" i="49"/>
  <c r="I88" i="49" s="1"/>
  <c r="H259" i="49"/>
  <c r="I259" i="49" s="1"/>
  <c r="H43" i="49"/>
  <c r="I43" i="49" s="1"/>
  <c r="H50" i="49"/>
  <c r="I50" i="49" s="1"/>
  <c r="H82" i="49"/>
  <c r="I82" i="49" s="1"/>
  <c r="H239" i="49"/>
  <c r="I239" i="49" s="1"/>
  <c r="H26" i="49"/>
  <c r="I26" i="49" s="1"/>
  <c r="H73" i="49"/>
  <c r="I73" i="49" s="1"/>
  <c r="H92" i="49"/>
  <c r="I92" i="49" s="1"/>
  <c r="H134" i="49"/>
  <c r="I134" i="49" s="1"/>
  <c r="H220" i="49"/>
  <c r="I220" i="49" s="1"/>
  <c r="H238" i="49"/>
  <c r="I238" i="49" s="1"/>
  <c r="H272" i="49"/>
  <c r="I272" i="49" s="1"/>
  <c r="H323" i="49"/>
  <c r="I323" i="49" s="1"/>
  <c r="H105" i="49"/>
  <c r="I105" i="49" s="1"/>
  <c r="H152" i="49"/>
  <c r="I152" i="49" s="1"/>
  <c r="H185" i="49"/>
  <c r="I185" i="49" s="1"/>
  <c r="H217" i="49"/>
  <c r="I217" i="49" s="1"/>
  <c r="H230" i="49"/>
  <c r="I230" i="49" s="1"/>
  <c r="H264" i="49"/>
  <c r="I264" i="49" s="1"/>
  <c r="H277" i="49"/>
  <c r="I277" i="49" s="1"/>
  <c r="H293" i="49"/>
  <c r="I293" i="49" s="1"/>
  <c r="H66" i="49"/>
  <c r="I66" i="49" s="1"/>
  <c r="H89" i="49"/>
  <c r="I89" i="49" s="1"/>
  <c r="H113" i="49"/>
  <c r="I113" i="49" s="1"/>
  <c r="H140" i="49"/>
  <c r="I140" i="49" s="1"/>
  <c r="H158" i="49"/>
  <c r="I158" i="49" s="1"/>
  <c r="H178" i="49"/>
  <c r="I178" i="49" s="1"/>
  <c r="H198" i="49"/>
  <c r="I198" i="49" s="1"/>
  <c r="H214" i="49"/>
  <c r="I214" i="49" s="1"/>
  <c r="H235" i="49"/>
  <c r="I235" i="49" s="1"/>
  <c r="H253" i="49"/>
  <c r="I253" i="49" s="1"/>
  <c r="H270" i="49"/>
  <c r="I270" i="49" s="1"/>
  <c r="H290" i="49"/>
  <c r="I290" i="49" s="1"/>
  <c r="H307" i="49"/>
  <c r="I307" i="49" s="1"/>
  <c r="H17" i="49"/>
  <c r="I17" i="49" s="1"/>
  <c r="H53" i="49"/>
  <c r="I53" i="49" s="1"/>
  <c r="H110" i="49"/>
  <c r="I110" i="49" s="1"/>
  <c r="H142" i="49"/>
  <c r="I142" i="49" s="1"/>
  <c r="H171" i="49"/>
  <c r="I171" i="49" s="1"/>
  <c r="H195" i="49"/>
  <c r="I195" i="49" s="1"/>
  <c r="H228" i="49"/>
  <c r="I228" i="49" s="1"/>
  <c r="H241" i="49"/>
  <c r="I241" i="49" s="1"/>
  <c r="H258" i="49"/>
  <c r="I258" i="49" s="1"/>
  <c r="H283" i="49"/>
  <c r="I283" i="49" s="1"/>
  <c r="H299" i="49"/>
  <c r="I299" i="49" s="1"/>
  <c r="H318" i="49"/>
  <c r="I318" i="49" s="1"/>
  <c r="H64" i="49"/>
  <c r="I64" i="49" s="1"/>
  <c r="H138" i="49"/>
  <c r="I138" i="49" s="1"/>
  <c r="H160" i="49"/>
  <c r="I160" i="49" s="1"/>
  <c r="H208" i="49"/>
  <c r="I208" i="49" s="1"/>
  <c r="H305" i="49"/>
  <c r="I305" i="49" s="1"/>
  <c r="H34" i="49"/>
  <c r="I34" i="49" s="1"/>
  <c r="H153" i="49"/>
  <c r="I153" i="49" s="1"/>
  <c r="H117" i="49"/>
  <c r="I117" i="49" s="1"/>
  <c r="H186" i="49"/>
  <c r="I186" i="49" s="1"/>
  <c r="H18" i="49"/>
  <c r="I18" i="49" s="1"/>
  <c r="H177" i="49"/>
  <c r="I177" i="49" s="1"/>
  <c r="H243" i="49"/>
  <c r="I243" i="49" s="1"/>
  <c r="H216" i="49"/>
  <c r="I216" i="49" s="1"/>
  <c r="H112" i="49"/>
  <c r="I112" i="49" s="1"/>
  <c r="H255" i="49"/>
  <c r="I255" i="49" s="1"/>
  <c r="H315" i="49"/>
  <c r="I315" i="49" s="1"/>
  <c r="H44" i="49"/>
  <c r="I44" i="49" s="1"/>
  <c r="H93" i="49"/>
  <c r="I93" i="49" s="1"/>
  <c r="H99" i="49"/>
  <c r="I99" i="49" s="1"/>
  <c r="H275" i="49"/>
  <c r="I275" i="49" s="1"/>
  <c r="H23" i="49"/>
  <c r="I23" i="49" s="1"/>
  <c r="H27" i="49"/>
  <c r="I27" i="49" s="1"/>
  <c r="H155" i="49"/>
  <c r="I155" i="49" s="1"/>
  <c r="H169" i="49"/>
  <c r="I169" i="49" s="1"/>
  <c r="H247" i="49"/>
  <c r="I247" i="49" s="1"/>
  <c r="H97" i="49"/>
  <c r="I97" i="49" s="1"/>
  <c r="H156" i="49"/>
  <c r="I156" i="49" s="1"/>
  <c r="H224" i="49"/>
  <c r="I224" i="49" s="1"/>
  <c r="H65" i="49"/>
  <c r="I65" i="49" s="1"/>
  <c r="H116" i="49"/>
  <c r="I116" i="49" s="1"/>
  <c r="H189" i="49"/>
  <c r="I189" i="49" s="1"/>
  <c r="H205" i="49"/>
  <c r="I205" i="49" s="1"/>
  <c r="H221" i="49"/>
  <c r="I221" i="49" s="1"/>
  <c r="H268" i="49"/>
  <c r="I268" i="49" s="1"/>
  <c r="H37" i="49"/>
  <c r="I37" i="49" s="1"/>
  <c r="H94" i="49"/>
  <c r="I94" i="49" s="1"/>
  <c r="H121" i="49"/>
  <c r="I121" i="49" s="1"/>
  <c r="H145" i="49"/>
  <c r="I145" i="49" s="1"/>
  <c r="H162" i="49"/>
  <c r="I162" i="49" s="1"/>
  <c r="H202" i="49"/>
  <c r="I202" i="49" s="1"/>
  <c r="H218" i="49"/>
  <c r="I218" i="49" s="1"/>
  <c r="H240" i="49"/>
  <c r="I240" i="49" s="1"/>
  <c r="H257" i="49"/>
  <c r="I257" i="49" s="1"/>
  <c r="H294" i="49"/>
  <c r="I294" i="49" s="1"/>
  <c r="H309" i="49"/>
  <c r="I309" i="49" s="1"/>
  <c r="H9" i="49"/>
  <c r="I9" i="49" s="1"/>
  <c r="H22" i="49"/>
  <c r="I22" i="49" s="1"/>
  <c r="H57" i="49"/>
  <c r="I57" i="49" s="1"/>
  <c r="H132" i="49"/>
  <c r="I132" i="49" s="1"/>
  <c r="H146" i="49"/>
  <c r="I146" i="49" s="1"/>
  <c r="H183" i="49"/>
  <c r="I183" i="49" s="1"/>
  <c r="H199" i="49"/>
  <c r="I199" i="49" s="1"/>
  <c r="H215" i="49"/>
  <c r="I215" i="49" s="1"/>
  <c r="H246" i="49"/>
  <c r="I246" i="49" s="1"/>
  <c r="H262" i="49"/>
  <c r="I262" i="49" s="1"/>
  <c r="H287" i="49"/>
  <c r="I287" i="49" s="1"/>
  <c r="H320" i="49"/>
  <c r="I320" i="49" s="1"/>
  <c r="H69" i="49"/>
  <c r="I69" i="49" s="1"/>
  <c r="H184" i="49"/>
  <c r="I184" i="49" s="1"/>
  <c r="H311" i="49"/>
  <c r="I311" i="49" s="1"/>
  <c r="H234" i="49"/>
  <c r="I234" i="49" s="1"/>
  <c r="H131" i="49"/>
  <c r="I131" i="49" s="1"/>
  <c r="H227" i="49"/>
  <c r="I227" i="49" s="1"/>
  <c r="H96" i="49"/>
  <c r="I96" i="49" s="1"/>
  <c r="H179" i="49"/>
  <c r="I179" i="49" s="1"/>
  <c r="H316" i="49"/>
  <c r="I316" i="49" s="1"/>
  <c r="H300" i="49"/>
  <c r="I300" i="49" s="1"/>
  <c r="H124" i="49"/>
  <c r="I124" i="49" s="1"/>
  <c r="H280" i="49"/>
  <c r="I280" i="49" s="1"/>
  <c r="H29" i="49"/>
  <c r="I29" i="49" s="1"/>
  <c r="H45" i="49"/>
  <c r="I45" i="49" s="1"/>
  <c r="H74" i="49"/>
  <c r="I74" i="49" s="1"/>
  <c r="H194" i="49"/>
  <c r="I194" i="49" s="1"/>
  <c r="H24" i="49"/>
  <c r="I24" i="49" s="1"/>
  <c r="H164" i="49"/>
  <c r="I164" i="49" s="1"/>
  <c r="H46" i="49"/>
  <c r="I46" i="49" s="1"/>
  <c r="H81" i="49"/>
  <c r="I81" i="49" s="1"/>
  <c r="H170" i="49"/>
  <c r="I170" i="49" s="1"/>
  <c r="H251" i="49"/>
  <c r="I251" i="49" s="1"/>
  <c r="H70" i="49"/>
  <c r="I70" i="49" s="1"/>
  <c r="H120" i="49"/>
  <c r="I120" i="49" s="1"/>
  <c r="H144" i="49"/>
  <c r="I144" i="49" s="1"/>
  <c r="H161" i="49"/>
  <c r="I161" i="49" s="1"/>
  <c r="H193" i="49"/>
  <c r="I193" i="49" s="1"/>
  <c r="H209" i="49"/>
  <c r="I209" i="49" s="1"/>
  <c r="H269" i="49"/>
  <c r="I269" i="49" s="1"/>
  <c r="H285" i="49"/>
  <c r="I285" i="49" s="1"/>
  <c r="H301" i="49"/>
  <c r="I301" i="49" s="1"/>
  <c r="H38" i="49"/>
  <c r="I38" i="49" s="1"/>
  <c r="H61" i="49"/>
  <c r="I61" i="49" s="1"/>
  <c r="H149" i="49"/>
  <c r="I149" i="49" s="1"/>
  <c r="H167" i="49"/>
  <c r="I167" i="49" s="1"/>
  <c r="H206" i="49"/>
  <c r="I206" i="49" s="1"/>
  <c r="H222" i="49"/>
  <c r="I222" i="49" s="1"/>
  <c r="H245" i="49"/>
  <c r="I245" i="49" s="1"/>
  <c r="H261" i="49"/>
  <c r="I261" i="49" s="1"/>
  <c r="H278" i="49"/>
  <c r="I278" i="49" s="1"/>
  <c r="H298" i="49"/>
  <c r="I298" i="49" s="1"/>
  <c r="H313" i="49"/>
  <c r="I313" i="49" s="1"/>
  <c r="H58" i="49"/>
  <c r="I58" i="49" s="1"/>
  <c r="H76" i="49"/>
  <c r="I76" i="49" s="1"/>
  <c r="H100" i="49"/>
  <c r="I100" i="49" s="1"/>
  <c r="H118" i="49"/>
  <c r="I118" i="49" s="1"/>
  <c r="H133" i="49"/>
  <c r="I133" i="49" s="1"/>
  <c r="H159" i="49"/>
  <c r="I159" i="49" s="1"/>
  <c r="H187" i="49"/>
  <c r="I187" i="49" s="1"/>
  <c r="H203" i="49"/>
  <c r="I203" i="49" s="1"/>
  <c r="H219" i="49"/>
  <c r="I219" i="49" s="1"/>
  <c r="H250" i="49"/>
  <c r="I250" i="49" s="1"/>
  <c r="H266" i="49"/>
  <c r="I266" i="49" s="1"/>
  <c r="H291" i="49"/>
  <c r="I291" i="49" s="1"/>
  <c r="H310" i="49"/>
  <c r="I310" i="49" s="1"/>
  <c r="H101" i="49"/>
  <c r="I101" i="49" s="1"/>
  <c r="H147" i="49"/>
  <c r="I147" i="49" s="1"/>
  <c r="H192" i="49"/>
  <c r="I192" i="49" s="1"/>
  <c r="H276" i="49"/>
  <c r="I276" i="49" s="1"/>
  <c r="H319" i="49"/>
  <c r="I319" i="49" s="1"/>
  <c r="H40" i="49"/>
  <c r="I40" i="49" s="1"/>
  <c r="H322" i="49"/>
  <c r="I322" i="49" s="1"/>
  <c r="H168" i="49"/>
  <c r="I168" i="49" s="1"/>
  <c r="H286" i="49"/>
  <c r="I286" i="49" s="1"/>
  <c r="H172" i="49"/>
  <c r="I172" i="49" s="1"/>
  <c r="H271" i="49"/>
  <c r="I271" i="49" s="1"/>
  <c r="H141" i="49"/>
  <c r="I141" i="49" s="1"/>
  <c r="H321" i="49"/>
  <c r="I321" i="49" s="1"/>
  <c r="H42" i="49"/>
  <c r="I42" i="49" s="1"/>
  <c r="H173" i="49"/>
  <c r="I173" i="49" s="1"/>
  <c r="H10" i="49"/>
  <c r="I10" i="49" s="1"/>
  <c r="H49" i="49"/>
  <c r="I49" i="49" s="1"/>
  <c r="H78" i="49"/>
  <c r="I78" i="49" s="1"/>
  <c r="H108" i="49"/>
  <c r="I108" i="49" s="1"/>
  <c r="T7" i="19"/>
  <c r="H6" i="49" s="1"/>
  <c r="I6" i="49" s="1"/>
  <c r="H20" i="49"/>
  <c r="I20" i="49" s="1"/>
  <c r="H25" i="49"/>
  <c r="I25" i="49" s="1"/>
  <c r="H263" i="49"/>
  <c r="I263" i="49" s="1"/>
  <c r="H269" i="32"/>
  <c r="D275" i="9" s="1"/>
  <c r="H118" i="32"/>
  <c r="D124" i="9" s="1"/>
  <c r="H66" i="32"/>
  <c r="D72" i="9" s="1"/>
  <c r="H210" i="32"/>
  <c r="D216" i="9" s="1"/>
  <c r="H240" i="32"/>
  <c r="D246" i="9" s="1"/>
  <c r="H38" i="32"/>
  <c r="D44" i="9" s="1"/>
  <c r="H309" i="32"/>
  <c r="D315" i="9" s="1"/>
  <c r="H70" i="32"/>
  <c r="D76" i="9" s="1"/>
  <c r="H105" i="32"/>
  <c r="D111" i="9" s="1"/>
  <c r="H89" i="32"/>
  <c r="D95" i="9" s="1"/>
  <c r="H74" i="32"/>
  <c r="D80" i="9" s="1"/>
  <c r="H228" i="32"/>
  <c r="D234" i="9" s="1"/>
  <c r="H45" i="32"/>
  <c r="D51" i="9" s="1"/>
  <c r="H128" i="32"/>
  <c r="D134" i="9" s="1"/>
  <c r="H91" i="32"/>
  <c r="D97" i="9" s="1"/>
  <c r="H48" i="32"/>
  <c r="D54" i="9" s="1"/>
  <c r="H172" i="32"/>
  <c r="D178" i="9" s="1"/>
  <c r="H182" i="32"/>
  <c r="D188" i="9" s="1"/>
  <c r="H100" i="32"/>
  <c r="D106" i="9" s="1"/>
  <c r="H275" i="32"/>
  <c r="D281" i="9" s="1"/>
  <c r="H250" i="32"/>
  <c r="D256" i="9" s="1"/>
  <c r="H42" i="32"/>
  <c r="D48" i="9" s="1"/>
  <c r="H76" i="32"/>
  <c r="D82" i="9" s="1"/>
  <c r="H114" i="32"/>
  <c r="D120" i="9" s="1"/>
  <c r="H253" i="32"/>
  <c r="D259" i="9" s="1"/>
  <c r="H51" i="32"/>
  <c r="D57" i="9" s="1"/>
  <c r="H8" i="32"/>
  <c r="D14" i="9" s="1"/>
  <c r="H154" i="32"/>
  <c r="D160" i="9" s="1"/>
  <c r="H274" i="32"/>
  <c r="D280" i="9" s="1"/>
  <c r="H57" i="32"/>
  <c r="D63" i="9" s="1"/>
  <c r="H145" i="32"/>
  <c r="D151" i="9" s="1"/>
  <c r="H121" i="32"/>
  <c r="D127" i="9" s="1"/>
  <c r="H33" i="32"/>
  <c r="D39" i="9" s="1"/>
  <c r="H302" i="32"/>
  <c r="D308" i="9" s="1"/>
  <c r="H246" i="32"/>
  <c r="D252" i="9" s="1"/>
  <c r="H221" i="32"/>
  <c r="D227" i="9" s="1"/>
  <c r="H219" i="32"/>
  <c r="D225" i="9" s="1"/>
  <c r="H303" i="32"/>
  <c r="D309" i="9" s="1"/>
  <c r="H236" i="32"/>
  <c r="D242" i="9" s="1"/>
  <c r="H206" i="32"/>
  <c r="D212" i="9" s="1"/>
  <c r="H124" i="32"/>
  <c r="D130" i="9" s="1"/>
  <c r="H22" i="32"/>
  <c r="D28" i="9" s="1"/>
  <c r="H61" i="32"/>
  <c r="D67" i="9" s="1"/>
  <c r="H187" i="32"/>
  <c r="D193" i="9" s="1"/>
  <c r="H65" i="32"/>
  <c r="D71" i="9" s="1"/>
  <c r="H56" i="32"/>
  <c r="D62" i="9" s="1"/>
  <c r="H195" i="32"/>
  <c r="D201" i="9" s="1"/>
  <c r="H47" i="32"/>
  <c r="D53" i="9" s="1"/>
  <c r="H62" i="32"/>
  <c r="D68" i="9" s="1"/>
  <c r="H266" i="32"/>
  <c r="D272" i="9" s="1"/>
  <c r="H234" i="32"/>
  <c r="D240" i="9" s="1"/>
  <c r="H106" i="32"/>
  <c r="D112" i="9" s="1"/>
  <c r="C5" i="32"/>
  <c r="C323" i="32" s="1"/>
  <c r="H323" i="32" s="1"/>
  <c r="Y325" i="19"/>
  <c r="H120" i="32"/>
  <c r="D126" i="9" s="1"/>
  <c r="H11" i="32"/>
  <c r="D17" i="9" s="1"/>
  <c r="H251" i="32"/>
  <c r="D257" i="9" s="1"/>
  <c r="H217" i="32"/>
  <c r="D223" i="9" s="1"/>
  <c r="H308" i="32"/>
  <c r="D314" i="9" s="1"/>
  <c r="H189" i="32"/>
  <c r="D195" i="9" s="1"/>
  <c r="H264" i="32"/>
  <c r="D270" i="9" s="1"/>
  <c r="H205" i="32"/>
  <c r="D211" i="9" s="1"/>
  <c r="H252" i="32"/>
  <c r="D258" i="9" s="1"/>
  <c r="H10" i="32"/>
  <c r="D16" i="9" s="1"/>
  <c r="H256" i="32"/>
  <c r="D262" i="9" s="1"/>
  <c r="H69" i="32"/>
  <c r="D75" i="9" s="1"/>
  <c r="H134" i="32"/>
  <c r="D140" i="9" s="1"/>
  <c r="H175" i="32"/>
  <c r="D181" i="9" s="1"/>
  <c r="H34" i="32"/>
  <c r="D40" i="9" s="1"/>
  <c r="H197" i="32"/>
  <c r="D203" i="9" s="1"/>
  <c r="H94" i="32"/>
  <c r="D100" i="9" s="1"/>
  <c r="H186" i="32"/>
  <c r="D192" i="9" s="1"/>
  <c r="H146" i="32"/>
  <c r="D152" i="9" s="1"/>
  <c r="H263" i="32"/>
  <c r="D269" i="9" s="1"/>
  <c r="H112" i="32"/>
  <c r="D118" i="9" s="1"/>
  <c r="H290" i="32"/>
  <c r="D296" i="9" s="1"/>
  <c r="H82" i="32"/>
  <c r="D88" i="9" s="1"/>
  <c r="H50" i="32"/>
  <c r="D56" i="9" s="1"/>
  <c r="H41" i="32"/>
  <c r="D47" i="9" s="1"/>
  <c r="H153" i="32"/>
  <c r="D159" i="9" s="1"/>
  <c r="H23" i="32"/>
  <c r="D29" i="9" s="1"/>
  <c r="H229" i="32"/>
  <c r="D235" i="9" s="1"/>
  <c r="H88" i="32"/>
  <c r="D94" i="9" s="1"/>
  <c r="H262" i="32"/>
  <c r="D268" i="9" s="1"/>
  <c r="F16" i="49"/>
  <c r="F60" i="49"/>
  <c r="F11" i="49"/>
  <c r="F196" i="49"/>
  <c r="F296" i="49"/>
  <c r="H316" i="32"/>
  <c r="D322" i="9" s="1"/>
  <c r="H260" i="32"/>
  <c r="D266" i="9" s="1"/>
  <c r="H133" i="32"/>
  <c r="D139" i="9" s="1"/>
  <c r="F242" i="49"/>
  <c r="F15" i="49"/>
  <c r="F201" i="49"/>
  <c r="F31" i="49"/>
  <c r="F13" i="49"/>
  <c r="F130" i="49"/>
  <c r="H212" i="32"/>
  <c r="D218" i="9" s="1"/>
  <c r="H267" i="32"/>
  <c r="D273" i="9" s="1"/>
  <c r="H244" i="32"/>
  <c r="D250" i="9" s="1"/>
  <c r="F91" i="49"/>
  <c r="F127" i="49"/>
  <c r="F188" i="49"/>
  <c r="F267" i="49"/>
  <c r="F48" i="49"/>
  <c r="F256" i="49"/>
  <c r="F14" i="49"/>
  <c r="F75" i="49"/>
  <c r="F85" i="49"/>
  <c r="F95" i="49"/>
  <c r="F125" i="49"/>
  <c r="F181" i="49"/>
  <c r="F72" i="49"/>
  <c r="F90" i="49"/>
  <c r="F114" i="49"/>
  <c r="F232" i="49"/>
  <c r="F304" i="49"/>
  <c r="F106" i="49"/>
  <c r="F19" i="49"/>
  <c r="F200" i="49"/>
  <c r="F51" i="49"/>
  <c r="F79" i="49"/>
  <c r="F249" i="49"/>
  <c r="F28" i="49"/>
  <c r="F236" i="49"/>
  <c r="F59" i="49"/>
  <c r="F165" i="49"/>
  <c r="H15" i="32"/>
  <c r="D21" i="9" s="1"/>
  <c r="F35" i="49"/>
  <c r="F77" i="49"/>
  <c r="F119" i="49"/>
  <c r="F284" i="49"/>
  <c r="F308" i="49"/>
  <c r="F52" i="49"/>
  <c r="F83" i="49"/>
  <c r="F80" i="49"/>
  <c r="F163" i="49"/>
  <c r="F237" i="49"/>
  <c r="F176" i="49"/>
  <c r="F244" i="49"/>
  <c r="F166" i="49"/>
  <c r="H204" i="32"/>
  <c r="D210" i="9" s="1"/>
  <c r="H97" i="32"/>
  <c r="D103" i="9" s="1"/>
  <c r="H103" i="32"/>
  <c r="D109" i="9" s="1"/>
  <c r="H277" i="32"/>
  <c r="D283" i="9" s="1"/>
  <c r="H215" i="32"/>
  <c r="D221" i="9" s="1"/>
  <c r="H230" i="32"/>
  <c r="D236" i="9" s="1"/>
  <c r="F123" i="49"/>
  <c r="F229" i="49"/>
  <c r="F288" i="49"/>
  <c r="F32" i="49"/>
  <c r="F139" i="49"/>
  <c r="F157" i="49"/>
  <c r="F248" i="49"/>
  <c r="F297" i="49"/>
  <c r="F56" i="49"/>
  <c r="F84" i="49"/>
  <c r="F180" i="49"/>
  <c r="F274" i="49"/>
  <c r="F67" i="49"/>
  <c r="F68" i="49"/>
  <c r="F126" i="49"/>
  <c r="F211" i="49"/>
  <c r="F47" i="49"/>
  <c r="F143" i="49"/>
  <c r="F212" i="49"/>
  <c r="F39" i="49"/>
  <c r="F107" i="49"/>
  <c r="F150" i="49"/>
  <c r="H98" i="32"/>
  <c r="D104" i="9" s="1"/>
  <c r="H157" i="32"/>
  <c r="D163" i="9" s="1"/>
  <c r="H152" i="32"/>
  <c r="D158" i="9" s="1"/>
  <c r="H293" i="32"/>
  <c r="D299" i="9" s="1"/>
  <c r="H226" i="32"/>
  <c r="D232" i="9" s="1"/>
  <c r="H87" i="32"/>
  <c r="D93" i="9" s="1"/>
  <c r="H17" i="32"/>
  <c r="D23" i="9" s="1"/>
  <c r="H7" i="32"/>
  <c r="D13" i="9" s="1"/>
  <c r="H27" i="32"/>
  <c r="D33" i="9" s="1"/>
  <c r="H142" i="32"/>
  <c r="D148" i="9" s="1"/>
  <c r="H78" i="32"/>
  <c r="D84" i="9" s="1"/>
  <c r="H108" i="32"/>
  <c r="D114" i="9" s="1"/>
  <c r="H248" i="32"/>
  <c r="D254" i="9" s="1"/>
  <c r="H161" i="32"/>
  <c r="D167" i="9" s="1"/>
  <c r="H192" i="32"/>
  <c r="D198" i="9" s="1"/>
  <c r="H297" i="32"/>
  <c r="D303" i="9" s="1"/>
  <c r="H6" i="32"/>
  <c r="D12" i="9" s="1"/>
  <c r="H25" i="32"/>
  <c r="D31" i="9" s="1"/>
  <c r="H288" i="32"/>
  <c r="D294" i="9" s="1"/>
  <c r="H218" i="32"/>
  <c r="D224" i="9" s="1"/>
  <c r="H299" i="32"/>
  <c r="D305" i="9" s="1"/>
  <c r="H156" i="32"/>
  <c r="D162" i="9" s="1"/>
  <c r="H127" i="32"/>
  <c r="D133" i="9" s="1"/>
  <c r="H129" i="32"/>
  <c r="D135" i="9" s="1"/>
  <c r="H314" i="32"/>
  <c r="D320" i="9" s="1"/>
  <c r="H285" i="32"/>
  <c r="D291" i="9" s="1"/>
  <c r="H35" i="32"/>
  <c r="D41" i="9" s="1"/>
  <c r="H109" i="32"/>
  <c r="D115" i="9" s="1"/>
  <c r="H225" i="32"/>
  <c r="D231" i="9" s="1"/>
  <c r="H281" i="32"/>
  <c r="D287" i="9" s="1"/>
  <c r="H135" i="32"/>
  <c r="D141" i="9" s="1"/>
  <c r="H90" i="32"/>
  <c r="D96" i="9" s="1"/>
  <c r="H49" i="32"/>
  <c r="D55" i="9" s="1"/>
  <c r="H123" i="32"/>
  <c r="D129" i="9" s="1"/>
  <c r="H148" i="32"/>
  <c r="D154" i="9" s="1"/>
  <c r="H193" i="32"/>
  <c r="D199" i="9" s="1"/>
  <c r="H77" i="32"/>
  <c r="D83" i="9" s="1"/>
  <c r="H32" i="32"/>
  <c r="D38" i="9" s="1"/>
  <c r="H292" i="32"/>
  <c r="D298" i="9" s="1"/>
  <c r="H238" i="32"/>
  <c r="D244" i="9" s="1"/>
  <c r="H180" i="32"/>
  <c r="D186" i="9" s="1"/>
  <c r="H317" i="32"/>
  <c r="D323" i="9" s="1"/>
  <c r="H300" i="32"/>
  <c r="D306" i="9" s="1"/>
  <c r="H46" i="32"/>
  <c r="D52" i="9" s="1"/>
  <c r="H115" i="32"/>
  <c r="D121" i="9" s="1"/>
  <c r="H30" i="32"/>
  <c r="D36" i="9" s="1"/>
  <c r="H99" i="32"/>
  <c r="D105" i="9" s="1"/>
  <c r="H144" i="32"/>
  <c r="D150" i="9" s="1"/>
  <c r="H286" i="32"/>
  <c r="D292" i="9" s="1"/>
  <c r="H173" i="32"/>
  <c r="D179" i="9" s="1"/>
  <c r="H268" i="32"/>
  <c r="D274" i="9" s="1"/>
  <c r="H9" i="32"/>
  <c r="D15" i="9" s="1"/>
  <c r="H31" i="32"/>
  <c r="D37" i="9" s="1"/>
  <c r="H196" i="32"/>
  <c r="D202" i="9" s="1"/>
  <c r="H75" i="32"/>
  <c r="D81" i="9" s="1"/>
  <c r="H237" i="32"/>
  <c r="D243" i="9" s="1"/>
  <c r="H119" i="32"/>
  <c r="D125" i="9" s="1"/>
  <c r="H12" i="32"/>
  <c r="D18" i="9" s="1"/>
  <c r="H280" i="32"/>
  <c r="D286" i="9" s="1"/>
  <c r="H201" i="32"/>
  <c r="D207" i="9" s="1"/>
  <c r="H14" i="32"/>
  <c r="D20" i="9" s="1"/>
  <c r="H178" i="32"/>
  <c r="D184" i="9" s="1"/>
  <c r="H63" i="32"/>
  <c r="D69" i="9" s="1"/>
  <c r="H211" i="32"/>
  <c r="D217" i="9" s="1"/>
  <c r="H113" i="32"/>
  <c r="D119" i="9" s="1"/>
  <c r="H282" i="32"/>
  <c r="D288" i="9" s="1"/>
  <c r="H21" i="32"/>
  <c r="D27" i="9" s="1"/>
  <c r="H177" i="32"/>
  <c r="D183" i="9" s="1"/>
  <c r="H185" i="32"/>
  <c r="D191" i="9" s="1"/>
  <c r="H255" i="32"/>
  <c r="D261" i="9" s="1"/>
  <c r="H289" i="32"/>
  <c r="D295" i="9" s="1"/>
  <c r="H305" i="32"/>
  <c r="D311" i="9" s="1"/>
  <c r="H16" i="32"/>
  <c r="D22" i="9" s="1"/>
  <c r="H254" i="32"/>
  <c r="D260" i="9" s="1"/>
  <c r="H208" i="32"/>
  <c r="D214" i="9" s="1"/>
  <c r="H140" i="32"/>
  <c r="D146" i="9" s="1"/>
  <c r="H36" i="32"/>
  <c r="D42" i="9" s="1"/>
  <c r="H54" i="32"/>
  <c r="D60" i="9" s="1"/>
  <c r="H81" i="32"/>
  <c r="D87" i="9" s="1"/>
  <c r="H216" i="32"/>
  <c r="D222" i="9" s="1"/>
  <c r="H139" i="32"/>
  <c r="D145" i="9" s="1"/>
  <c r="H166" i="32"/>
  <c r="D172" i="9" s="1"/>
  <c r="O325" i="19"/>
  <c r="H116" i="32"/>
  <c r="D122" i="9" s="1"/>
  <c r="H85" i="32"/>
  <c r="D91" i="9" s="1"/>
  <c r="H122" i="32"/>
  <c r="D128" i="9" s="1"/>
  <c r="H130" i="32"/>
  <c r="D136" i="9" s="1"/>
  <c r="H171" i="32"/>
  <c r="D177" i="9" s="1"/>
  <c r="H209" i="32"/>
  <c r="D215" i="9" s="1"/>
  <c r="H117" i="32"/>
  <c r="D123" i="9" s="1"/>
  <c r="H44" i="32"/>
  <c r="D50" i="9" s="1"/>
  <c r="H28" i="32"/>
  <c r="D34" i="9" s="1"/>
  <c r="H107" i="32"/>
  <c r="D113" i="9" s="1"/>
  <c r="H147" i="32"/>
  <c r="D153" i="9" s="1"/>
  <c r="H203" i="32"/>
  <c r="D209" i="9" s="1"/>
  <c r="H307" i="32"/>
  <c r="D313" i="9" s="1"/>
  <c r="H220" i="32"/>
  <c r="D226" i="9" s="1"/>
  <c r="H59" i="32"/>
  <c r="D65" i="9" s="1"/>
  <c r="H235" i="32"/>
  <c r="D241" i="9" s="1"/>
  <c r="H64" i="32"/>
  <c r="D70" i="9" s="1"/>
  <c r="H93" i="32"/>
  <c r="D99" i="9" s="1"/>
  <c r="H233" i="32"/>
  <c r="D239" i="9" s="1"/>
  <c r="H179" i="32"/>
  <c r="D185" i="9" s="1"/>
  <c r="H143" i="32"/>
  <c r="D149" i="9" s="1"/>
  <c r="H207" i="32"/>
  <c r="D213" i="9" s="1"/>
  <c r="H232" i="32"/>
  <c r="D238" i="9" s="1"/>
  <c r="H160" i="32"/>
  <c r="D166" i="9" s="1"/>
  <c r="H276" i="32"/>
  <c r="D282" i="9" s="1"/>
  <c r="H191" i="32"/>
  <c r="D197" i="9" s="1"/>
  <c r="H296" i="32"/>
  <c r="D302" i="9" s="1"/>
  <c r="H322" i="32"/>
  <c r="D328" i="9" s="1"/>
  <c r="H184" i="32"/>
  <c r="D190" i="9" s="1"/>
  <c r="H29" i="32"/>
  <c r="D35" i="9" s="1"/>
  <c r="H188" i="32"/>
  <c r="D194" i="9" s="1"/>
  <c r="H163" i="32"/>
  <c r="D169" i="9" s="1"/>
  <c r="H111" i="32"/>
  <c r="D117" i="9" s="1"/>
  <c r="H247" i="32"/>
  <c r="D253" i="9" s="1"/>
  <c r="H295" i="32"/>
  <c r="D301" i="9" s="1"/>
  <c r="H60" i="32"/>
  <c r="D66" i="9" s="1"/>
  <c r="H150" i="32"/>
  <c r="D156" i="9" s="1"/>
  <c r="H92" i="32"/>
  <c r="D98" i="9" s="1"/>
  <c r="H272" i="32"/>
  <c r="D278" i="9" s="1"/>
  <c r="H200" i="32"/>
  <c r="D206" i="9" s="1"/>
  <c r="H37" i="32"/>
  <c r="D43" i="9" s="1"/>
  <c r="H243" i="32"/>
  <c r="D249" i="9" s="1"/>
  <c r="H73" i="32"/>
  <c r="D79" i="9" s="1"/>
  <c r="H284" i="32"/>
  <c r="D290" i="9" s="1"/>
  <c r="H321" i="32"/>
  <c r="D327" i="9" s="1"/>
  <c r="H138" i="32"/>
  <c r="D144" i="9" s="1"/>
  <c r="H183" i="32"/>
  <c r="D189" i="9" s="1"/>
  <c r="K225" i="36"/>
  <c r="F233" i="34" s="1"/>
  <c r="K175" i="36"/>
  <c r="F183" i="34" s="1"/>
  <c r="K15" i="36"/>
  <c r="F23" i="34" s="1"/>
  <c r="K35" i="36"/>
  <c r="F43" i="34" s="1"/>
  <c r="K101" i="36"/>
  <c r="F109" i="34" s="1"/>
  <c r="K97" i="36"/>
  <c r="F105" i="34" s="1"/>
  <c r="K149" i="36"/>
  <c r="F157" i="34" s="1"/>
  <c r="K72" i="36"/>
  <c r="F80" i="34" s="1"/>
  <c r="K324" i="36"/>
  <c r="F332" i="34" s="1"/>
  <c r="K18" i="36"/>
  <c r="F26" i="34" s="1"/>
  <c r="K262" i="36"/>
  <c r="F270" i="34" s="1"/>
  <c r="K81" i="36"/>
  <c r="F89" i="34" s="1"/>
  <c r="K164" i="36"/>
  <c r="F172" i="34" s="1"/>
  <c r="K82" i="36"/>
  <c r="F90" i="34" s="1"/>
  <c r="K318" i="36"/>
  <c r="F326" i="34" s="1"/>
  <c r="K165" i="36"/>
  <c r="F173" i="34" s="1"/>
  <c r="K178" i="36"/>
  <c r="F186" i="34" s="1"/>
  <c r="K260" i="36"/>
  <c r="F268" i="34" s="1"/>
  <c r="K90" i="36"/>
  <c r="F98" i="34" s="1"/>
  <c r="K54" i="36"/>
  <c r="F62" i="34" s="1"/>
  <c r="K248" i="36"/>
  <c r="F256" i="34" s="1"/>
  <c r="K279" i="36"/>
  <c r="F287" i="34" s="1"/>
  <c r="K224" i="36"/>
  <c r="F232" i="34" s="1"/>
  <c r="K148" i="36"/>
  <c r="F156" i="34" s="1"/>
  <c r="K112" i="36"/>
  <c r="F120" i="34" s="1"/>
  <c r="K143" i="36"/>
  <c r="F151" i="34" s="1"/>
  <c r="K170" i="36"/>
  <c r="F178" i="34" s="1"/>
  <c r="K190" i="36"/>
  <c r="F198" i="34" s="1"/>
  <c r="K127" i="36"/>
  <c r="F135" i="34" s="1"/>
  <c r="K158" i="36"/>
  <c r="F166" i="34" s="1"/>
  <c r="K111" i="36"/>
  <c r="F119" i="34" s="1"/>
  <c r="K52" i="36"/>
  <c r="F60" i="34" s="1"/>
  <c r="K86" i="36"/>
  <c r="F94" i="34" s="1"/>
  <c r="K115" i="36"/>
  <c r="F123" i="34" s="1"/>
  <c r="K20" i="36"/>
  <c r="F28" i="34" s="1"/>
  <c r="K151" i="36"/>
  <c r="F159" i="34" s="1"/>
  <c r="K55" i="36"/>
  <c r="F63" i="34" s="1"/>
  <c r="K78" i="36"/>
  <c r="F86" i="34" s="1"/>
  <c r="K299" i="36"/>
  <c r="F307" i="34" s="1"/>
  <c r="K235" i="36"/>
  <c r="F243" i="34" s="1"/>
  <c r="K186" i="36"/>
  <c r="F194" i="34" s="1"/>
  <c r="K218" i="36"/>
  <c r="F226" i="34" s="1"/>
  <c r="K121" i="36"/>
  <c r="F129" i="34" s="1"/>
  <c r="K138" i="36"/>
  <c r="F146" i="34" s="1"/>
  <c r="K57" i="36"/>
  <c r="F65" i="34" s="1"/>
  <c r="K166" i="36"/>
  <c r="F174" i="34" s="1"/>
  <c r="K254" i="36"/>
  <c r="F262" i="34" s="1"/>
  <c r="K157" i="36"/>
  <c r="F165" i="34" s="1"/>
  <c r="K96" i="36"/>
  <c r="F104" i="34" s="1"/>
  <c r="K306" i="36"/>
  <c r="F314" i="34" s="1"/>
  <c r="K106" i="36"/>
  <c r="F114" i="34" s="1"/>
  <c r="K92" i="36"/>
  <c r="F100" i="34" s="1"/>
  <c r="K79" i="36"/>
  <c r="F87" i="34" s="1"/>
  <c r="K73" i="36"/>
  <c r="F81" i="34" s="1"/>
  <c r="K10" i="36"/>
  <c r="F18" i="34" s="1"/>
  <c r="K167" i="36"/>
  <c r="F175" i="34" s="1"/>
  <c r="K231" i="36"/>
  <c r="F239" i="34" s="1"/>
  <c r="K237" i="36"/>
  <c r="F245" i="34" s="1"/>
  <c r="K135" i="36"/>
  <c r="F143" i="34" s="1"/>
  <c r="K109" i="36"/>
  <c r="F117" i="34" s="1"/>
  <c r="K169" i="36"/>
  <c r="F177" i="34" s="1"/>
  <c r="K277" i="36"/>
  <c r="F285" i="34" s="1"/>
  <c r="K16" i="36"/>
  <c r="F24" i="34" s="1"/>
  <c r="K80" i="36"/>
  <c r="F88" i="34" s="1"/>
  <c r="K180" i="36"/>
  <c r="F188" i="34" s="1"/>
  <c r="K295" i="36"/>
  <c r="F303" i="34" s="1"/>
  <c r="K159" i="36"/>
  <c r="F167" i="34" s="1"/>
  <c r="K282" i="36"/>
  <c r="F290" i="34" s="1"/>
  <c r="K207" i="36"/>
  <c r="F215" i="34" s="1"/>
  <c r="K147" i="36"/>
  <c r="F155" i="34" s="1"/>
  <c r="K261" i="36"/>
  <c r="F269" i="34" s="1"/>
  <c r="K19" i="36"/>
  <c r="F27" i="34" s="1"/>
  <c r="K242" i="36"/>
  <c r="F250" i="34" s="1"/>
  <c r="K309" i="36"/>
  <c r="F317" i="34" s="1"/>
  <c r="K43" i="36"/>
  <c r="F51" i="34" s="1"/>
  <c r="K264" i="36"/>
  <c r="F272" i="34" s="1"/>
  <c r="K210" i="36"/>
  <c r="F218" i="34" s="1"/>
  <c r="K199" i="36"/>
  <c r="F207" i="34" s="1"/>
  <c r="K315" i="36"/>
  <c r="F323" i="34" s="1"/>
  <c r="K117" i="36"/>
  <c r="F125" i="34" s="1"/>
  <c r="K107" i="36"/>
  <c r="F115" i="34" s="1"/>
  <c r="K152" i="36"/>
  <c r="F160" i="34" s="1"/>
  <c r="K240" i="36"/>
  <c r="F248" i="34" s="1"/>
  <c r="K22" i="36"/>
  <c r="F30" i="34" s="1"/>
  <c r="K110" i="36"/>
  <c r="F118" i="34" s="1"/>
  <c r="K227" i="36"/>
  <c r="F235" i="34" s="1"/>
  <c r="K24" i="36"/>
  <c r="F32" i="34" s="1"/>
  <c r="K129" i="36"/>
  <c r="F137" i="34" s="1"/>
  <c r="K155" i="36"/>
  <c r="F163" i="34" s="1"/>
  <c r="K67" i="36"/>
  <c r="F75" i="34" s="1"/>
  <c r="K119" i="36"/>
  <c r="F127" i="34" s="1"/>
  <c r="K305" i="36"/>
  <c r="F313" i="34" s="1"/>
  <c r="K64" i="36"/>
  <c r="F72" i="34" s="1"/>
  <c r="K239" i="36"/>
  <c r="F247" i="34" s="1"/>
  <c r="K232" i="36"/>
  <c r="F240" i="34" s="1"/>
  <c r="K63" i="36"/>
  <c r="F71" i="34" s="1"/>
  <c r="K105" i="36"/>
  <c r="F113" i="34" s="1"/>
  <c r="K48" i="36"/>
  <c r="F56" i="34" s="1"/>
  <c r="K290" i="36"/>
  <c r="F298" i="34" s="1"/>
  <c r="K141" i="36"/>
  <c r="F149" i="34" s="1"/>
  <c r="K323" i="36"/>
  <c r="F331" i="34" s="1"/>
  <c r="K94" i="36"/>
  <c r="F102" i="34" s="1"/>
  <c r="K71" i="36"/>
  <c r="F79" i="34" s="1"/>
  <c r="K122" i="36"/>
  <c r="F130" i="34" s="1"/>
  <c r="K88" i="36"/>
  <c r="F96" i="34" s="1"/>
  <c r="K102" i="36"/>
  <c r="F110" i="34" s="1"/>
  <c r="K50" i="36"/>
  <c r="F58" i="34" s="1"/>
  <c r="K257" i="36"/>
  <c r="F265" i="34" s="1"/>
  <c r="K21" i="36"/>
  <c r="F29" i="34" s="1"/>
  <c r="K250" i="36"/>
  <c r="F258" i="34" s="1"/>
  <c r="K223" i="36"/>
  <c r="F231" i="34" s="1"/>
  <c r="K320" i="36"/>
  <c r="F328" i="34" s="1"/>
  <c r="K75" i="36"/>
  <c r="F83" i="34" s="1"/>
  <c r="K319" i="36"/>
  <c r="F327" i="34" s="1"/>
  <c r="K316" i="36"/>
  <c r="F324" i="34" s="1"/>
  <c r="K214" i="36"/>
  <c r="F222" i="34" s="1"/>
  <c r="K172" i="36"/>
  <c r="F180" i="34" s="1"/>
  <c r="K310" i="36"/>
  <c r="F318" i="34" s="1"/>
  <c r="K183" i="36"/>
  <c r="F191" i="34" s="1"/>
  <c r="K211" i="36"/>
  <c r="F219" i="34" s="1"/>
  <c r="K230" i="36"/>
  <c r="F238" i="34" s="1"/>
  <c r="K296" i="36"/>
  <c r="F304" i="34" s="1"/>
  <c r="K85" i="36"/>
  <c r="F93" i="34" s="1"/>
  <c r="K284" i="36"/>
  <c r="F292" i="34" s="1"/>
  <c r="K168" i="36"/>
  <c r="F176" i="34" s="1"/>
  <c r="K162" i="36"/>
  <c r="F170" i="34" s="1"/>
  <c r="K29" i="36"/>
  <c r="F37" i="34" s="1"/>
  <c r="K145" i="36"/>
  <c r="F153" i="34" s="1"/>
  <c r="K245" i="36"/>
  <c r="F253" i="34" s="1"/>
  <c r="K197" i="36"/>
  <c r="F205" i="34" s="1"/>
  <c r="K208" i="36"/>
  <c r="F216" i="34" s="1"/>
  <c r="K198" i="36"/>
  <c r="F206" i="34" s="1"/>
  <c r="K132" i="36"/>
  <c r="F140" i="34" s="1"/>
  <c r="K68" i="36"/>
  <c r="F76" i="34" s="1"/>
  <c r="K325" i="36"/>
  <c r="F333" i="34" s="1"/>
  <c r="K156" i="36"/>
  <c r="F164" i="34" s="1"/>
  <c r="K142" i="36"/>
  <c r="F150" i="34" s="1"/>
  <c r="K287" i="36"/>
  <c r="F295" i="34" s="1"/>
  <c r="K185" i="36"/>
  <c r="F193" i="34" s="1"/>
  <c r="K134" i="36"/>
  <c r="F142" i="34" s="1"/>
  <c r="K32" i="36"/>
  <c r="F40" i="34" s="1"/>
  <c r="K244" i="36"/>
  <c r="F252" i="34" s="1"/>
  <c r="K14" i="36"/>
  <c r="F22" i="34" s="1"/>
  <c r="K249" i="36"/>
  <c r="F257" i="34" s="1"/>
  <c r="K76" i="36"/>
  <c r="F84" i="34" s="1"/>
  <c r="K259" i="36"/>
  <c r="F267" i="34" s="1"/>
  <c r="K276" i="36"/>
  <c r="F284" i="34" s="1"/>
  <c r="K131" i="36"/>
  <c r="F139" i="34" s="1"/>
  <c r="K91" i="36"/>
  <c r="F99" i="34" s="1"/>
  <c r="K103" i="36"/>
  <c r="F111" i="34" s="1"/>
  <c r="K66" i="36"/>
  <c r="F74" i="34" s="1"/>
  <c r="K307" i="36"/>
  <c r="F315" i="34" s="1"/>
  <c r="K241" i="36"/>
  <c r="F249" i="34" s="1"/>
  <c r="K160" i="36"/>
  <c r="K56" i="36"/>
  <c r="F64" i="34" s="1"/>
  <c r="K100" i="36"/>
  <c r="F108" i="34" s="1"/>
  <c r="K253" i="36"/>
  <c r="F261" i="34" s="1"/>
  <c r="K212" i="36"/>
  <c r="F220" i="34" s="1"/>
  <c r="K271" i="36"/>
  <c r="F279" i="34" s="1"/>
  <c r="K176" i="36"/>
  <c r="F184" i="34" s="1"/>
  <c r="K99" i="36"/>
  <c r="F107" i="34" s="1"/>
  <c r="K136" i="36"/>
  <c r="F144" i="34" s="1"/>
  <c r="K252" i="36"/>
  <c r="F260" i="34" s="1"/>
  <c r="K255" i="36"/>
  <c r="F263" i="34" s="1"/>
  <c r="K300" i="36"/>
  <c r="F308" i="34" s="1"/>
  <c r="K45" i="36"/>
  <c r="F53" i="34" s="1"/>
  <c r="K189" i="36"/>
  <c r="F197" i="34" s="1"/>
  <c r="K311" i="36"/>
  <c r="F319" i="34" s="1"/>
  <c r="K251" i="36"/>
  <c r="F259" i="34" s="1"/>
  <c r="K200" i="36"/>
  <c r="F208" i="34" s="1"/>
  <c r="K161" i="36"/>
  <c r="F169" i="34" s="1"/>
  <c r="K291" i="36"/>
  <c r="F299" i="34" s="1"/>
  <c r="K87" i="36"/>
  <c r="F95" i="34" s="1"/>
  <c r="K126" i="36"/>
  <c r="F134" i="34" s="1"/>
  <c r="K312" i="36"/>
  <c r="F320" i="34" s="1"/>
  <c r="K233" i="36"/>
  <c r="F241" i="34" s="1"/>
  <c r="K33" i="36"/>
  <c r="F41" i="34" s="1"/>
  <c r="K40" i="36"/>
  <c r="F48" i="34" s="1"/>
  <c r="K144" i="36"/>
  <c r="F152" i="34" s="1"/>
  <c r="K146" i="36"/>
  <c r="F154" i="34" s="1"/>
  <c r="K44" i="36"/>
  <c r="F52" i="34" s="1"/>
  <c r="K216" i="36"/>
  <c r="F224" i="34" s="1"/>
  <c r="K236" i="36"/>
  <c r="F244" i="34" s="1"/>
  <c r="K12" i="36"/>
  <c r="F20" i="34" s="1"/>
  <c r="K289" i="36"/>
  <c r="F297" i="34" s="1"/>
  <c r="K174" i="36"/>
  <c r="F182" i="34" s="1"/>
  <c r="K303" i="36"/>
  <c r="F311" i="34" s="1"/>
  <c r="K219" i="36"/>
  <c r="F227" i="34" s="1"/>
  <c r="K137" i="36"/>
  <c r="F145" i="34" s="1"/>
  <c r="K65" i="36"/>
  <c r="F73" i="34" s="1"/>
  <c r="K301" i="36"/>
  <c r="F309" i="34" s="1"/>
  <c r="K182" i="36"/>
  <c r="F190" i="34" s="1"/>
  <c r="K288" i="36"/>
  <c r="F296" i="34" s="1"/>
  <c r="K275" i="36"/>
  <c r="F283" i="34" s="1"/>
  <c r="K98" i="36"/>
  <c r="F106" i="34" s="1"/>
  <c r="K26" i="36"/>
  <c r="F34" i="34" s="1"/>
  <c r="K120" i="36"/>
  <c r="F128" i="34" s="1"/>
  <c r="K188" i="36"/>
  <c r="F196" i="34" s="1"/>
  <c r="K89" i="36"/>
  <c r="F97" i="34" s="1"/>
  <c r="K268" i="36"/>
  <c r="F276" i="34" s="1"/>
  <c r="K83" i="36"/>
  <c r="F91" i="34" s="1"/>
  <c r="K285" i="36"/>
  <c r="F293" i="34" s="1"/>
  <c r="K215" i="36"/>
  <c r="F223" i="34" s="1"/>
  <c r="K313" i="36"/>
  <c r="F321" i="34" s="1"/>
  <c r="K28" i="36"/>
  <c r="F36" i="34" s="1"/>
  <c r="K220" i="36"/>
  <c r="F228" i="34" s="1"/>
  <c r="K187" i="36"/>
  <c r="F195" i="34" s="1"/>
  <c r="K153" i="36"/>
  <c r="F161" i="34" s="1"/>
  <c r="K263" i="36"/>
  <c r="F271" i="34" s="1"/>
  <c r="K77" i="36"/>
  <c r="F85" i="34" s="1"/>
  <c r="K270" i="36"/>
  <c r="F278" i="34" s="1"/>
  <c r="K204" i="36"/>
  <c r="F212" i="34" s="1"/>
  <c r="K41" i="36"/>
  <c r="F49" i="34" s="1"/>
  <c r="K317" i="36"/>
  <c r="F325" i="34" s="1"/>
  <c r="K266" i="36"/>
  <c r="F274" i="34" s="1"/>
  <c r="K205" i="36"/>
  <c r="F213" i="34" s="1"/>
  <c r="K123" i="36"/>
  <c r="F131" i="34" s="1"/>
  <c r="K30" i="36"/>
  <c r="F38" i="34" s="1"/>
  <c r="K293" i="36"/>
  <c r="F301" i="34" s="1"/>
  <c r="K34" i="36"/>
  <c r="F42" i="34" s="1"/>
  <c r="K228" i="36"/>
  <c r="F236" i="34" s="1"/>
  <c r="K84" i="36"/>
  <c r="F92" i="34" s="1"/>
  <c r="K95" i="36"/>
  <c r="F103" i="34" s="1"/>
  <c r="K238" i="36"/>
  <c r="F246" i="34" s="1"/>
  <c r="K61" i="36"/>
  <c r="F69" i="34" s="1"/>
  <c r="K140" i="36"/>
  <c r="F148" i="34" s="1"/>
  <c r="K258" i="36"/>
  <c r="F266" i="34" s="1"/>
  <c r="K302" i="36"/>
  <c r="F310" i="34" s="1"/>
  <c r="K38" i="36"/>
  <c r="F46" i="34" s="1"/>
  <c r="K196" i="36"/>
  <c r="F204" i="34" s="1"/>
  <c r="K314" i="36"/>
  <c r="F322" i="34" s="1"/>
  <c r="K213" i="36"/>
  <c r="F221" i="34" s="1"/>
  <c r="K46" i="36"/>
  <c r="F54" i="34" s="1"/>
  <c r="K60" i="36"/>
  <c r="F68" i="34" s="1"/>
  <c r="K11" i="36"/>
  <c r="F19" i="34" s="1"/>
  <c r="K247" i="36"/>
  <c r="F255" i="34" s="1"/>
  <c r="K243" i="36"/>
  <c r="F251" i="34" s="1"/>
  <c r="K193" i="36"/>
  <c r="F201" i="34" s="1"/>
  <c r="K53" i="36"/>
  <c r="F61" i="34" s="1"/>
  <c r="K267" i="36"/>
  <c r="F275" i="34" s="1"/>
  <c r="K74" i="36"/>
  <c r="F82" i="34" s="1"/>
  <c r="K69" i="36"/>
  <c r="K280" i="36"/>
  <c r="F288" i="34" s="1"/>
  <c r="K173" i="36"/>
  <c r="F181" i="34" s="1"/>
  <c r="K31" i="36"/>
  <c r="F39" i="34" s="1"/>
  <c r="K184" i="36"/>
  <c r="F192" i="34" s="1"/>
  <c r="K49" i="36"/>
  <c r="F57" i="34" s="1"/>
  <c r="K128" i="36"/>
  <c r="F136" i="34" s="1"/>
  <c r="K322" i="36"/>
  <c r="F330" i="34" s="1"/>
  <c r="K292" i="36"/>
  <c r="F300" i="34" s="1"/>
  <c r="K125" i="36"/>
  <c r="F133" i="34" s="1"/>
  <c r="K269" i="36"/>
  <c r="F277" i="34" s="1"/>
  <c r="K17" i="36"/>
  <c r="F25" i="34" s="1"/>
  <c r="K217" i="36"/>
  <c r="F225" i="34" s="1"/>
  <c r="K113" i="36"/>
  <c r="F121" i="34" s="1"/>
  <c r="K108" i="36"/>
  <c r="F116" i="34" s="1"/>
  <c r="K304" i="36"/>
  <c r="F312" i="34" s="1"/>
  <c r="K58" i="36"/>
  <c r="F66" i="34" s="1"/>
  <c r="K47" i="36"/>
  <c r="F55" i="34" s="1"/>
  <c r="K273" i="36"/>
  <c r="F281" i="34" s="1"/>
  <c r="K286" i="36"/>
  <c r="F294" i="34" s="1"/>
  <c r="K42" i="36"/>
  <c r="F50" i="34" s="1"/>
  <c r="K39" i="36"/>
  <c r="F47" i="34" s="1"/>
  <c r="K118" i="36"/>
  <c r="F126" i="34" s="1"/>
  <c r="K37" i="36"/>
  <c r="F45" i="34" s="1"/>
  <c r="K278" i="36"/>
  <c r="F286" i="34" s="1"/>
  <c r="K179" i="36"/>
  <c r="F187" i="34" s="1"/>
  <c r="K181" i="36"/>
  <c r="F189" i="34" s="1"/>
  <c r="K203" i="36"/>
  <c r="F211" i="34" s="1"/>
  <c r="K27" i="36"/>
  <c r="F35" i="34" s="1"/>
  <c r="K130" i="36"/>
  <c r="F138" i="34" s="1"/>
  <c r="K272" i="36"/>
  <c r="F280" i="34" s="1"/>
  <c r="K51" i="36"/>
  <c r="F59" i="34" s="1"/>
  <c r="K177" i="36"/>
  <c r="F185" i="34" s="1"/>
  <c r="K8" i="36"/>
  <c r="K133" i="36"/>
  <c r="F141" i="34" s="1"/>
  <c r="K116" i="36"/>
  <c r="F124" i="34" s="1"/>
  <c r="K163" i="36"/>
  <c r="F171" i="34" s="1"/>
  <c r="K274" i="36"/>
  <c r="F282" i="34" s="1"/>
  <c r="K297" i="36"/>
  <c r="F305" i="34" s="1"/>
  <c r="K171" i="36"/>
  <c r="F179" i="34" s="1"/>
  <c r="K150" i="36"/>
  <c r="F158" i="34" s="1"/>
  <c r="K246" i="36"/>
  <c r="F254" i="34" s="1"/>
  <c r="K191" i="36"/>
  <c r="F199" i="34" s="1"/>
  <c r="K9" i="36"/>
  <c r="F17" i="34" s="1"/>
  <c r="K25" i="36"/>
  <c r="F33" i="34" s="1"/>
  <c r="K222" i="36"/>
  <c r="F230" i="34" s="1"/>
  <c r="K114" i="36"/>
  <c r="F122" i="34" s="1"/>
  <c r="K59" i="36"/>
  <c r="F67" i="34" s="1"/>
  <c r="K195" i="36"/>
  <c r="F203" i="34" s="1"/>
  <c r="K281" i="36"/>
  <c r="F289" i="34" s="1"/>
  <c r="K294" i="36"/>
  <c r="F302" i="34" s="1"/>
  <c r="K298" i="36"/>
  <c r="F306" i="34" s="1"/>
  <c r="K308" i="36"/>
  <c r="F316" i="34" s="1"/>
  <c r="K209" i="36"/>
  <c r="F217" i="34" s="1"/>
  <c r="K124" i="36"/>
  <c r="F132" i="34" s="1"/>
  <c r="K104" i="36"/>
  <c r="F112" i="34" s="1"/>
  <c r="K194" i="36"/>
  <c r="F202" i="34" s="1"/>
  <c r="K93" i="36"/>
  <c r="F101" i="34" s="1"/>
  <c r="K62" i="36"/>
  <c r="F70" i="34" s="1"/>
  <c r="K70" i="36"/>
  <c r="F78" i="34" s="1"/>
  <c r="K201" i="36"/>
  <c r="F209" i="34" s="1"/>
  <c r="K13" i="36"/>
  <c r="F21" i="34" s="1"/>
  <c r="K154" i="36"/>
  <c r="F162" i="34" s="1"/>
  <c r="K206" i="36"/>
  <c r="F214" i="34" s="1"/>
  <c r="K139" i="36"/>
  <c r="F147" i="34" s="1"/>
  <c r="K256" i="36"/>
  <c r="F264" i="34" s="1"/>
  <c r="K321" i="36"/>
  <c r="F329" i="34" s="1"/>
  <c r="K265" i="36"/>
  <c r="F273" i="34" s="1"/>
  <c r="K221" i="36"/>
  <c r="F229" i="34" s="1"/>
  <c r="K234" i="36"/>
  <c r="F242" i="34" s="1"/>
  <c r="K36" i="36"/>
  <c r="F44" i="34" s="1"/>
  <c r="K226" i="36"/>
  <c r="F234" i="34" s="1"/>
  <c r="F168" i="34"/>
  <c r="I326" i="36"/>
  <c r="E326" i="36"/>
  <c r="J326" i="36"/>
  <c r="H326" i="36"/>
  <c r="F326" i="36"/>
  <c r="D326" i="36"/>
  <c r="G325" i="19"/>
  <c r="G326" i="36"/>
  <c r="H271" i="32"/>
  <c r="D277" i="9" s="1"/>
  <c r="K326" i="36" l="1"/>
  <c r="E5" i="32"/>
  <c r="E323" i="32" s="1"/>
  <c r="I324" i="49"/>
  <c r="J6" i="49" s="1"/>
  <c r="L6" i="49" s="1"/>
  <c r="E14" i="48"/>
  <c r="F15" i="48" s="1"/>
  <c r="H5" i="32"/>
  <c r="D11" i="9" s="1"/>
  <c r="D329" i="9" s="1"/>
  <c r="U7" i="19"/>
  <c r="G6" i="49" s="1"/>
  <c r="F6" i="49"/>
  <c r="F16" i="34"/>
  <c r="F28" i="48"/>
  <c r="C114" i="39"/>
  <c r="F115" i="49"/>
  <c r="J239" i="13"/>
  <c r="F239" i="49"/>
  <c r="C258" i="12"/>
  <c r="F259" i="49"/>
  <c r="C203" i="39"/>
  <c r="F204" i="49"/>
  <c r="F128" i="32"/>
  <c r="G128" i="32" s="1"/>
  <c r="F129" i="49"/>
  <c r="C313" i="39"/>
  <c r="F314" i="49"/>
  <c r="J223" i="13"/>
  <c r="F223" i="49"/>
  <c r="C121" i="33"/>
  <c r="F122" i="49"/>
  <c r="C281" i="39"/>
  <c r="F282" i="49"/>
  <c r="C153" i="33"/>
  <c r="F154" i="49"/>
  <c r="C61" i="33"/>
  <c r="E61" i="33" s="1"/>
  <c r="F62" i="49"/>
  <c r="C305" i="39"/>
  <c r="F306" i="49"/>
  <c r="C212" i="39"/>
  <c r="F213" i="49"/>
  <c r="F127" i="32"/>
  <c r="F128" i="49"/>
  <c r="C291" i="12"/>
  <c r="F292" i="49"/>
  <c r="C11" i="12"/>
  <c r="F12" i="49"/>
  <c r="C134" i="33"/>
  <c r="F135" i="49"/>
  <c r="F63" i="49"/>
  <c r="F78" i="49"/>
  <c r="C171" i="12"/>
  <c r="F172" i="49"/>
  <c r="C275" i="33"/>
  <c r="F276" i="49"/>
  <c r="C309" i="12"/>
  <c r="F310" i="49"/>
  <c r="F265" i="32"/>
  <c r="F266" i="49"/>
  <c r="C186" i="12"/>
  <c r="F187" i="49"/>
  <c r="F100" i="49"/>
  <c r="C57" i="33"/>
  <c r="F58" i="49"/>
  <c r="F261" i="49"/>
  <c r="F166" i="32"/>
  <c r="G166" i="32" s="1"/>
  <c r="F167" i="49"/>
  <c r="C268" i="12"/>
  <c r="F269" i="49"/>
  <c r="C143" i="12"/>
  <c r="F144" i="49"/>
  <c r="F69" i="32"/>
  <c r="F70" i="49"/>
  <c r="F45" i="32"/>
  <c r="F46" i="49"/>
  <c r="C73" i="12"/>
  <c r="F74" i="49"/>
  <c r="C123" i="33"/>
  <c r="F124" i="49"/>
  <c r="F96" i="49"/>
  <c r="F310" i="32"/>
  <c r="G310" i="32" s="1"/>
  <c r="F311" i="49"/>
  <c r="C286" i="12"/>
  <c r="F287" i="49"/>
  <c r="J199" i="13"/>
  <c r="F199" i="49"/>
  <c r="F56" i="32"/>
  <c r="F57" i="49"/>
  <c r="F293" i="32"/>
  <c r="F294" i="49"/>
  <c r="J202" i="13"/>
  <c r="F202" i="49"/>
  <c r="C204" i="39"/>
  <c r="F205" i="49"/>
  <c r="F96" i="32"/>
  <c r="G96" i="32" s="1"/>
  <c r="F97" i="49"/>
  <c r="J27" i="13"/>
  <c r="F27" i="49"/>
  <c r="C92" i="33"/>
  <c r="F93" i="49"/>
  <c r="F111" i="32"/>
  <c r="G111" i="32" s="1"/>
  <c r="F112" i="49"/>
  <c r="C17" i="12"/>
  <c r="F18" i="49"/>
  <c r="J34" i="13"/>
  <c r="F34" i="49"/>
  <c r="F137" i="32"/>
  <c r="F138" i="49"/>
  <c r="C282" i="33"/>
  <c r="F283" i="49"/>
  <c r="C141" i="12"/>
  <c r="F142" i="49"/>
  <c r="J307" i="13"/>
  <c r="F307" i="49"/>
  <c r="C234" i="39"/>
  <c r="F235" i="49"/>
  <c r="C157" i="33"/>
  <c r="F158" i="49"/>
  <c r="C65" i="33"/>
  <c r="F66" i="49"/>
  <c r="C229" i="39"/>
  <c r="F230" i="49"/>
  <c r="J220" i="13"/>
  <c r="F220" i="49"/>
  <c r="J26" i="13"/>
  <c r="F26" i="49"/>
  <c r="F273" i="49"/>
  <c r="C87" i="33"/>
  <c r="E87" i="33" s="1"/>
  <c r="F88" i="49"/>
  <c r="F303" i="49"/>
  <c r="J7" i="13"/>
  <c r="F7" i="49"/>
  <c r="F33" i="49"/>
  <c r="F104" i="49"/>
  <c r="F295" i="49"/>
  <c r="J254" i="13"/>
  <c r="F254" i="49"/>
  <c r="C206" i="12"/>
  <c r="F207" i="49"/>
  <c r="C136" i="12"/>
  <c r="F137" i="49"/>
  <c r="C301" i="33"/>
  <c r="F302" i="49"/>
  <c r="F265" i="49"/>
  <c r="F210" i="49"/>
  <c r="C174" i="39"/>
  <c r="F175" i="49"/>
  <c r="F136" i="49"/>
  <c r="C29" i="12"/>
  <c r="F30" i="49"/>
  <c r="F288" i="32"/>
  <c r="G288" i="32" s="1"/>
  <c r="F289" i="49"/>
  <c r="C225" i="39"/>
  <c r="F226" i="49"/>
  <c r="C196" i="33"/>
  <c r="F197" i="49"/>
  <c r="C147" i="12"/>
  <c r="F148" i="49"/>
  <c r="F98" i="49"/>
  <c r="F232" i="32"/>
  <c r="F233" i="49"/>
  <c r="J54" i="13"/>
  <c r="F54" i="49"/>
  <c r="F8" i="49"/>
  <c r="C49" i="39"/>
  <c r="F50" i="49"/>
  <c r="C251" i="12"/>
  <c r="F252" i="49"/>
  <c r="F181" i="32"/>
  <c r="G181" i="32" s="1"/>
  <c r="F182" i="49"/>
  <c r="C150" i="39"/>
  <c r="F151" i="49"/>
  <c r="J279" i="13"/>
  <c r="F279" i="49"/>
  <c r="C190" i="12"/>
  <c r="F191" i="49"/>
  <c r="C316" i="12"/>
  <c r="F317" i="49"/>
  <c r="C230" i="39"/>
  <c r="F231" i="49"/>
  <c r="F189" i="32"/>
  <c r="F190" i="49"/>
  <c r="C108" i="12"/>
  <c r="F109" i="49"/>
  <c r="C259" i="39"/>
  <c r="F260" i="49"/>
  <c r="C173" i="12"/>
  <c r="F174" i="49"/>
  <c r="J111" i="13"/>
  <c r="F111" i="49"/>
  <c r="F86" i="32"/>
  <c r="F87" i="49"/>
  <c r="J312" i="13"/>
  <c r="F312" i="49"/>
  <c r="F224" i="32"/>
  <c r="F225" i="49"/>
  <c r="C24" i="12"/>
  <c r="F25" i="49"/>
  <c r="J10" i="13"/>
  <c r="F10" i="49"/>
  <c r="J141" i="13"/>
  <c r="F141" i="49"/>
  <c r="C167" i="39"/>
  <c r="F168" i="49"/>
  <c r="C39" i="33"/>
  <c r="F40" i="49"/>
  <c r="C146" i="39"/>
  <c r="F147" i="49"/>
  <c r="F219" i="49"/>
  <c r="C132" i="39"/>
  <c r="F133" i="49"/>
  <c r="C297" i="12"/>
  <c r="F298" i="49"/>
  <c r="J222" i="13"/>
  <c r="F222" i="49"/>
  <c r="F60" i="32"/>
  <c r="F61" i="49"/>
  <c r="C300" i="12"/>
  <c r="F301" i="49"/>
  <c r="F193" i="49"/>
  <c r="J170" i="13"/>
  <c r="F170" i="49"/>
  <c r="J24" i="13"/>
  <c r="F24" i="49"/>
  <c r="C315" i="33"/>
  <c r="E315" i="33" s="1"/>
  <c r="F316" i="49"/>
  <c r="J131" i="13"/>
  <c r="F131" i="49"/>
  <c r="C245" i="12"/>
  <c r="F246" i="49"/>
  <c r="C145" i="39"/>
  <c r="F146" i="49"/>
  <c r="C8" i="39"/>
  <c r="F9" i="49"/>
  <c r="C239" i="39"/>
  <c r="F240" i="49"/>
  <c r="C144" i="39"/>
  <c r="F145" i="49"/>
  <c r="C267" i="39"/>
  <c r="F268" i="49"/>
  <c r="J116" i="13"/>
  <c r="J324" i="13" s="1"/>
  <c r="F116" i="49"/>
  <c r="F223" i="32"/>
  <c r="G223" i="32" s="1"/>
  <c r="F224" i="49"/>
  <c r="C168" i="12"/>
  <c r="F169" i="49"/>
  <c r="C274" i="33"/>
  <c r="F275" i="49"/>
  <c r="C314" i="12"/>
  <c r="F315" i="49"/>
  <c r="J243" i="13"/>
  <c r="F243" i="49"/>
  <c r="C116" i="12"/>
  <c r="F117" i="49"/>
  <c r="F207" i="32"/>
  <c r="F208" i="49"/>
  <c r="C317" i="39"/>
  <c r="F318" i="49"/>
  <c r="J241" i="13"/>
  <c r="F241" i="49"/>
  <c r="C194" i="12"/>
  <c r="F195" i="49"/>
  <c r="J270" i="13"/>
  <c r="F270" i="49"/>
  <c r="C197" i="12"/>
  <c r="F198" i="49"/>
  <c r="F113" i="49"/>
  <c r="F276" i="32"/>
  <c r="F277" i="49"/>
  <c r="C184" i="39"/>
  <c r="F185" i="49"/>
  <c r="C271" i="12"/>
  <c r="F272" i="49"/>
  <c r="C91" i="33"/>
  <c r="F92" i="49"/>
  <c r="F70" i="32"/>
  <c r="F71" i="49"/>
  <c r="F281" i="49"/>
  <c r="C102" i="12"/>
  <c r="F103" i="49"/>
  <c r="J263" i="13"/>
  <c r="F263" i="49"/>
  <c r="F20" i="49"/>
  <c r="F49" i="49"/>
  <c r="C172" i="39"/>
  <c r="F173" i="49"/>
  <c r="F321" i="49"/>
  <c r="C270" i="39"/>
  <c r="F271" i="49"/>
  <c r="C285" i="33"/>
  <c r="E285" i="33" s="1"/>
  <c r="F286" i="49"/>
  <c r="F322" i="49"/>
  <c r="F319" i="49"/>
  <c r="C191" i="12"/>
  <c r="F192" i="49"/>
  <c r="F291" i="49"/>
  <c r="F250" i="49"/>
  <c r="F203" i="49"/>
  <c r="C158" i="33"/>
  <c r="F159" i="49"/>
  <c r="F117" i="32"/>
  <c r="G117" i="32" s="1"/>
  <c r="F118" i="49"/>
  <c r="C312" i="33"/>
  <c r="F313" i="49"/>
  <c r="F278" i="49"/>
  <c r="F244" i="32"/>
  <c r="G244" i="32" s="1"/>
  <c r="F245" i="49"/>
  <c r="F206" i="49"/>
  <c r="C148" i="12"/>
  <c r="F149" i="49"/>
  <c r="F38" i="49"/>
  <c r="J285" i="13"/>
  <c r="F285" i="49"/>
  <c r="F209" i="49"/>
  <c r="C160" i="33"/>
  <c r="F161" i="49"/>
  <c r="J120" i="13"/>
  <c r="F120" i="49"/>
  <c r="C250" i="33"/>
  <c r="F251" i="49"/>
  <c r="F81" i="49"/>
  <c r="C163" i="12"/>
  <c r="F164" i="49"/>
  <c r="C193" i="39"/>
  <c r="F194" i="49"/>
  <c r="J280" i="13"/>
  <c r="F280" i="49"/>
  <c r="F300" i="49"/>
  <c r="F179" i="49"/>
  <c r="F227" i="49"/>
  <c r="C233" i="33"/>
  <c r="F234" i="49"/>
  <c r="F184" i="49"/>
  <c r="C319" i="33"/>
  <c r="F320" i="49"/>
  <c r="C261" i="39"/>
  <c r="F262" i="49"/>
  <c r="J215" i="13"/>
  <c r="F215" i="49"/>
  <c r="F183" i="49"/>
  <c r="F132" i="49"/>
  <c r="C21" i="33"/>
  <c r="E21" i="33" s="1"/>
  <c r="F22" i="49"/>
  <c r="J309" i="13"/>
  <c r="F309" i="49"/>
  <c r="F257" i="49"/>
  <c r="C217" i="12"/>
  <c r="F218" i="49"/>
  <c r="F162" i="49"/>
  <c r="J121" i="13"/>
  <c r="F121" i="49"/>
  <c r="F37" i="49"/>
  <c r="F221" i="49"/>
  <c r="C188" i="33"/>
  <c r="E188" i="33" s="1"/>
  <c r="F189" i="49"/>
  <c r="C64" i="12"/>
  <c r="F65" i="49"/>
  <c r="F156" i="49"/>
  <c r="F246" i="32"/>
  <c r="F247" i="49"/>
  <c r="F155" i="49"/>
  <c r="F99" i="49"/>
  <c r="F255" i="49"/>
  <c r="F215" i="32"/>
  <c r="G215" i="32" s="1"/>
  <c r="F216" i="49"/>
  <c r="J177" i="13"/>
  <c r="F177" i="49"/>
  <c r="C185" i="39"/>
  <c r="F186" i="49"/>
  <c r="F153" i="49"/>
  <c r="F304" i="32"/>
  <c r="F305" i="49"/>
  <c r="F160" i="49"/>
  <c r="F64" i="49"/>
  <c r="F299" i="49"/>
  <c r="C257" i="33"/>
  <c r="F258" i="49"/>
  <c r="F227" i="32"/>
  <c r="G227" i="32" s="1"/>
  <c r="F228" i="49"/>
  <c r="C170" i="39"/>
  <c r="F171" i="49"/>
  <c r="J110" i="13"/>
  <c r="F110" i="49"/>
  <c r="F16" i="32"/>
  <c r="F17" i="49"/>
  <c r="F290" i="49"/>
  <c r="F253" i="49"/>
  <c r="F214" i="49"/>
  <c r="C177" i="33"/>
  <c r="E177" i="33" s="1"/>
  <c r="F178" i="49"/>
  <c r="C139" i="12"/>
  <c r="F140" i="49"/>
  <c r="J293" i="13"/>
  <c r="F293" i="49"/>
  <c r="F264" i="49"/>
  <c r="C216" i="12"/>
  <c r="F217" i="49"/>
  <c r="F152" i="49"/>
  <c r="C322" i="33"/>
  <c r="E322" i="33" s="1"/>
  <c r="F323" i="49"/>
  <c r="C237" i="12"/>
  <c r="F238" i="49"/>
  <c r="F133" i="32"/>
  <c r="F134" i="49"/>
  <c r="C72" i="39"/>
  <c r="F73" i="49"/>
  <c r="C107" i="33"/>
  <c r="E107" i="33" s="1"/>
  <c r="F108" i="49"/>
  <c r="C104" i="39"/>
  <c r="F105" i="49"/>
  <c r="C101" i="12"/>
  <c r="F102" i="49"/>
  <c r="F101" i="49"/>
  <c r="C93" i="39"/>
  <c r="F94" i="49"/>
  <c r="F89" i="49"/>
  <c r="F86" i="49"/>
  <c r="F82" i="49"/>
  <c r="C75" i="33"/>
  <c r="F76" i="49"/>
  <c r="C68" i="12"/>
  <c r="F69" i="49"/>
  <c r="F55" i="49"/>
  <c r="J53" i="13"/>
  <c r="F53" i="49"/>
  <c r="J45" i="13"/>
  <c r="F45" i="49"/>
  <c r="F44" i="49"/>
  <c r="F42" i="32"/>
  <c r="G42" i="32" s="1"/>
  <c r="F43" i="49"/>
  <c r="F42" i="49"/>
  <c r="C40" i="12"/>
  <c r="F41" i="49"/>
  <c r="C35" i="33"/>
  <c r="F36" i="49"/>
  <c r="F28" i="32"/>
  <c r="F29" i="49"/>
  <c r="H324" i="49"/>
  <c r="C22" i="39"/>
  <c r="F23" i="49"/>
  <c r="F21" i="49"/>
  <c r="F77" i="34"/>
  <c r="F334" i="34" s="1"/>
  <c r="T325" i="19"/>
  <c r="C62" i="12"/>
  <c r="G211" i="49"/>
  <c r="G32" i="49"/>
  <c r="G176" i="49"/>
  <c r="G35" i="49"/>
  <c r="G59" i="49"/>
  <c r="G72" i="49"/>
  <c r="G85" i="49"/>
  <c r="G127" i="49"/>
  <c r="G212" i="49"/>
  <c r="G126" i="49"/>
  <c r="G56" i="49"/>
  <c r="G288" i="49"/>
  <c r="G237" i="49"/>
  <c r="G284" i="49"/>
  <c r="G236" i="49"/>
  <c r="G200" i="49"/>
  <c r="G181" i="49"/>
  <c r="G48" i="49"/>
  <c r="G242" i="49"/>
  <c r="G11" i="49"/>
  <c r="G143" i="49"/>
  <c r="G180" i="49"/>
  <c r="G157" i="49"/>
  <c r="G229" i="49"/>
  <c r="G166" i="49"/>
  <c r="G163" i="49"/>
  <c r="G52" i="49"/>
  <c r="G119" i="49"/>
  <c r="G165" i="49"/>
  <c r="G28" i="49"/>
  <c r="G51" i="49"/>
  <c r="G19" i="49"/>
  <c r="G114" i="49"/>
  <c r="G125" i="49"/>
  <c r="G14" i="49"/>
  <c r="G267" i="49"/>
  <c r="G31" i="49"/>
  <c r="G39" i="49"/>
  <c r="G67" i="49"/>
  <c r="G304" i="49"/>
  <c r="G15" i="49"/>
  <c r="G196" i="49"/>
  <c r="G150" i="49"/>
  <c r="G274" i="49"/>
  <c r="G248" i="49"/>
  <c r="G83" i="49"/>
  <c r="G79" i="49"/>
  <c r="G232" i="49"/>
  <c r="G75" i="49"/>
  <c r="G91" i="49"/>
  <c r="G13" i="49"/>
  <c r="G16" i="49"/>
  <c r="G107" i="49"/>
  <c r="G47" i="49"/>
  <c r="G68" i="49"/>
  <c r="G84" i="49"/>
  <c r="G297" i="49"/>
  <c r="G139" i="49"/>
  <c r="G123" i="49"/>
  <c r="G244" i="49"/>
  <c r="G80" i="49"/>
  <c r="G308" i="49"/>
  <c r="G77" i="49"/>
  <c r="G249" i="49"/>
  <c r="G106" i="49"/>
  <c r="G90" i="49"/>
  <c r="G95" i="49"/>
  <c r="G256" i="49"/>
  <c r="G188" i="49"/>
  <c r="G130" i="49"/>
  <c r="G201" i="49"/>
  <c r="G296" i="49"/>
  <c r="G60" i="49"/>
  <c r="C5" i="9"/>
  <c r="D324" i="25"/>
  <c r="D323" i="33"/>
  <c r="R325" i="19"/>
  <c r="F153" i="32" l="1"/>
  <c r="C11" i="39"/>
  <c r="C204" i="12"/>
  <c r="C238" i="33"/>
  <c r="E238" i="33" s="1"/>
  <c r="J128" i="13"/>
  <c r="C33" i="33"/>
  <c r="E33" i="33" s="1"/>
  <c r="C121" i="39"/>
  <c r="J46" i="13"/>
  <c r="C65" i="12"/>
  <c r="C127" i="39"/>
  <c r="C230" i="12"/>
  <c r="J204" i="13"/>
  <c r="F219" i="32"/>
  <c r="G219" i="32" s="1"/>
  <c r="C306" i="33"/>
  <c r="E306" i="33" s="1"/>
  <c r="J112" i="13"/>
  <c r="J124" i="13"/>
  <c r="C253" i="33"/>
  <c r="E253" i="33" s="1"/>
  <c r="C278" i="33"/>
  <c r="E278" i="33" s="1"/>
  <c r="C198" i="33"/>
  <c r="E198" i="33" s="1"/>
  <c r="C229" i="33"/>
  <c r="E229" i="33" s="1"/>
  <c r="J158" i="13"/>
  <c r="J283" i="13"/>
  <c r="C111" i="39"/>
  <c r="C26" i="39"/>
  <c r="F198" i="32"/>
  <c r="G198" i="32" s="1"/>
  <c r="C6" i="33"/>
  <c r="J9" i="13"/>
  <c r="C116" i="39"/>
  <c r="C169" i="33"/>
  <c r="E169" i="33" s="1"/>
  <c r="F146" i="32"/>
  <c r="G146" i="32" s="1"/>
  <c r="C245" i="39"/>
  <c r="J65" i="13"/>
  <c r="C197" i="33"/>
  <c r="E197" i="33" s="1"/>
  <c r="J234" i="13"/>
  <c r="J213" i="13"/>
  <c r="J50" i="13"/>
  <c r="F61" i="32"/>
  <c r="G61" i="32" s="1"/>
  <c r="C316" i="39"/>
  <c r="C181" i="33"/>
  <c r="E181" i="33" s="1"/>
  <c r="C286" i="39"/>
  <c r="C276" i="39"/>
  <c r="C317" i="12"/>
  <c r="J145" i="13"/>
  <c r="C140" i="39"/>
  <c r="J8" i="49"/>
  <c r="K8" i="49" s="1"/>
  <c r="J306" i="13"/>
  <c r="C221" i="33"/>
  <c r="E221" i="33" s="1"/>
  <c r="C110" i="33"/>
  <c r="E110" i="33" s="1"/>
  <c r="C281" i="33"/>
  <c r="E281" i="33" s="1"/>
  <c r="F258" i="32"/>
  <c r="G258" i="32" s="1"/>
  <c r="C65" i="39"/>
  <c r="C269" i="33"/>
  <c r="E269" i="33" s="1"/>
  <c r="C265" i="33"/>
  <c r="E265" i="33" s="1"/>
  <c r="F139" i="32"/>
  <c r="G139" i="32" s="1"/>
  <c r="C176" i="39"/>
  <c r="C110" i="39"/>
  <c r="F222" i="32"/>
  <c r="G222" i="32" s="1"/>
  <c r="C181" i="39"/>
  <c r="F104" i="32"/>
  <c r="G104" i="32" s="1"/>
  <c r="C130" i="12"/>
  <c r="F297" i="32"/>
  <c r="G297" i="32" s="1"/>
  <c r="C5" i="39"/>
  <c r="G36" i="49"/>
  <c r="J36" i="13"/>
  <c r="F35" i="32"/>
  <c r="G35" i="32" s="1"/>
  <c r="C35" i="39"/>
  <c r="G42" i="49"/>
  <c r="J42" i="13"/>
  <c r="C41" i="33"/>
  <c r="E41" i="33" s="1"/>
  <c r="C41" i="39"/>
  <c r="C41" i="12"/>
  <c r="F41" i="32"/>
  <c r="G41" i="32" s="1"/>
  <c r="G44" i="49"/>
  <c r="C43" i="39"/>
  <c r="C43" i="33"/>
  <c r="E43" i="33" s="1"/>
  <c r="F43" i="32"/>
  <c r="G43" i="32" s="1"/>
  <c r="G53" i="49"/>
  <c r="C52" i="33"/>
  <c r="E52" i="33" s="1"/>
  <c r="C52" i="12"/>
  <c r="F52" i="32"/>
  <c r="G52" i="32" s="1"/>
  <c r="G82" i="49"/>
  <c r="C81" i="12"/>
  <c r="G89" i="49"/>
  <c r="C88" i="39"/>
  <c r="C88" i="33"/>
  <c r="E88" i="33" s="1"/>
  <c r="J89" i="13"/>
  <c r="G101" i="49"/>
  <c r="C100" i="33"/>
  <c r="E100" i="33" s="1"/>
  <c r="C100" i="12"/>
  <c r="G105" i="49"/>
  <c r="C104" i="12"/>
  <c r="C104" i="33"/>
  <c r="E104" i="33" s="1"/>
  <c r="G73" i="49"/>
  <c r="J73" i="13"/>
  <c r="C72" i="33"/>
  <c r="E72" i="33" s="1"/>
  <c r="F72" i="32"/>
  <c r="G72" i="32" s="1"/>
  <c r="G238" i="49"/>
  <c r="F237" i="32"/>
  <c r="G237" i="32" s="1"/>
  <c r="C237" i="39"/>
  <c r="G152" i="49"/>
  <c r="F151" i="32"/>
  <c r="G151" i="32" s="1"/>
  <c r="C151" i="39"/>
  <c r="C151" i="33"/>
  <c r="E151" i="33" s="1"/>
  <c r="G264" i="49"/>
  <c r="C263" i="33"/>
  <c r="E263" i="33" s="1"/>
  <c r="C263" i="39"/>
  <c r="G140" i="49"/>
  <c r="C139" i="39"/>
  <c r="J140" i="13"/>
  <c r="G214" i="49"/>
  <c r="J214" i="13"/>
  <c r="F213" i="32"/>
  <c r="G213" i="32" s="1"/>
  <c r="C213" i="33"/>
  <c r="E213" i="33" s="1"/>
  <c r="G290" i="49"/>
  <c r="C289" i="12"/>
  <c r="C289" i="33"/>
  <c r="E289" i="33" s="1"/>
  <c r="C289" i="39"/>
  <c r="G110" i="49"/>
  <c r="C109" i="39"/>
  <c r="F109" i="32"/>
  <c r="G109" i="32" s="1"/>
  <c r="C109" i="33"/>
  <c r="E109" i="33" s="1"/>
  <c r="G228" i="49"/>
  <c r="C227" i="39"/>
  <c r="C227" i="12"/>
  <c r="G299" i="49"/>
  <c r="J299" i="13"/>
  <c r="C298" i="33"/>
  <c r="E298" i="33" s="1"/>
  <c r="F298" i="32"/>
  <c r="G298" i="32" s="1"/>
  <c r="G160" i="49"/>
  <c r="J160" i="13"/>
  <c r="C159" i="39"/>
  <c r="G153" i="49"/>
  <c r="F152" i="32"/>
  <c r="G152" i="32" s="1"/>
  <c r="J153" i="13"/>
  <c r="C152" i="12"/>
  <c r="C152" i="33"/>
  <c r="E152" i="33" s="1"/>
  <c r="G177" i="49"/>
  <c r="C176" i="12"/>
  <c r="C176" i="33"/>
  <c r="E176" i="33" s="1"/>
  <c r="G255" i="49"/>
  <c r="J255" i="13"/>
  <c r="F254" i="32"/>
  <c r="G254" i="32" s="1"/>
  <c r="C254" i="33"/>
  <c r="E254" i="33" s="1"/>
  <c r="C254" i="39"/>
  <c r="G155" i="49"/>
  <c r="C154" i="33"/>
  <c r="E154" i="33" s="1"/>
  <c r="J155" i="13"/>
  <c r="G156" i="49"/>
  <c r="C155" i="33"/>
  <c r="E155" i="33" s="1"/>
  <c r="C155" i="12"/>
  <c r="C155" i="39"/>
  <c r="G189" i="49"/>
  <c r="C188" i="39"/>
  <c r="F188" i="32"/>
  <c r="G188" i="32" s="1"/>
  <c r="J189" i="13"/>
  <c r="G37" i="49"/>
  <c r="C36" i="39"/>
  <c r="C36" i="12"/>
  <c r="C36" i="33"/>
  <c r="G162" i="49"/>
  <c r="C161" i="12"/>
  <c r="F161" i="32"/>
  <c r="G161" i="32" s="1"/>
  <c r="C161" i="39"/>
  <c r="G257" i="49"/>
  <c r="C256" i="39"/>
  <c r="C256" i="33"/>
  <c r="E256" i="33" s="1"/>
  <c r="F256" i="32"/>
  <c r="G256" i="32" s="1"/>
  <c r="G22" i="49"/>
  <c r="C21" i="39"/>
  <c r="C21" i="12"/>
  <c r="F21" i="32"/>
  <c r="G21" i="32" s="1"/>
  <c r="G183" i="49"/>
  <c r="C182" i="39"/>
  <c r="C182" i="12"/>
  <c r="F182" i="32"/>
  <c r="G182" i="32" s="1"/>
  <c r="G262" i="49"/>
  <c r="C261" i="33"/>
  <c r="E261" i="33" s="1"/>
  <c r="C261" i="12"/>
  <c r="G184" i="49"/>
  <c r="C183" i="12"/>
  <c r="C183" i="33"/>
  <c r="E183" i="33" s="1"/>
  <c r="C183" i="39"/>
  <c r="G227" i="49"/>
  <c r="F226" i="32"/>
  <c r="G226" i="32" s="1"/>
  <c r="C226" i="33"/>
  <c r="E226" i="33" s="1"/>
  <c r="J227" i="13"/>
  <c r="C226" i="39"/>
  <c r="G300" i="49"/>
  <c r="C299" i="12"/>
  <c r="C299" i="33"/>
  <c r="E299" i="33" s="1"/>
  <c r="G194" i="49"/>
  <c r="C193" i="12"/>
  <c r="F193" i="32"/>
  <c r="G193" i="32" s="1"/>
  <c r="C193" i="33"/>
  <c r="E193" i="33" s="1"/>
  <c r="G81" i="49"/>
  <c r="C80" i="33"/>
  <c r="E80" i="33" s="1"/>
  <c r="F80" i="32"/>
  <c r="G80" i="32" s="1"/>
  <c r="C80" i="39"/>
  <c r="G120" i="49"/>
  <c r="C119" i="33"/>
  <c r="E119" i="33" s="1"/>
  <c r="F119" i="32"/>
  <c r="G119" i="32" s="1"/>
  <c r="G209" i="49"/>
  <c r="C208" i="33"/>
  <c r="E208" i="33" s="1"/>
  <c r="F208" i="32"/>
  <c r="G208" i="32" s="1"/>
  <c r="C208" i="39"/>
  <c r="G38" i="49"/>
  <c r="C37" i="12"/>
  <c r="F37" i="32"/>
  <c r="G37" i="32" s="1"/>
  <c r="C37" i="33"/>
  <c r="E37" i="33" s="1"/>
  <c r="C37" i="39"/>
  <c r="G206" i="49"/>
  <c r="C205" i="39"/>
  <c r="C205" i="12"/>
  <c r="F205" i="32"/>
  <c r="G205" i="32" s="1"/>
  <c r="G278" i="49"/>
  <c r="C277" i="39"/>
  <c r="C277" i="12"/>
  <c r="F277" i="32"/>
  <c r="G277" i="32" s="1"/>
  <c r="C277" i="33"/>
  <c r="E277" i="33" s="1"/>
  <c r="G118" i="49"/>
  <c r="C117" i="12"/>
  <c r="G203" i="49"/>
  <c r="J203" i="13"/>
  <c r="C202" i="39"/>
  <c r="F202" i="32"/>
  <c r="G202" i="32" s="1"/>
  <c r="C202" i="33"/>
  <c r="E202" i="33" s="1"/>
  <c r="G291" i="49"/>
  <c r="C290" i="39"/>
  <c r="C290" i="12"/>
  <c r="F290" i="32"/>
  <c r="G290" i="32" s="1"/>
  <c r="G319" i="49"/>
  <c r="C318" i="39"/>
  <c r="F318" i="32"/>
  <c r="G318" i="32" s="1"/>
  <c r="C318" i="33"/>
  <c r="E318" i="33" s="1"/>
  <c r="G286" i="49"/>
  <c r="C285" i="39"/>
  <c r="C285" i="12"/>
  <c r="J286" i="13"/>
  <c r="G321" i="49"/>
  <c r="C320" i="33"/>
  <c r="E320" i="33" s="1"/>
  <c r="F320" i="32"/>
  <c r="G320" i="32" s="1"/>
  <c r="C320" i="12"/>
  <c r="J321" i="13"/>
  <c r="G49" i="49"/>
  <c r="C48" i="39"/>
  <c r="C48" i="33"/>
  <c r="E48" i="33" s="1"/>
  <c r="J49" i="13"/>
  <c r="C48" i="12"/>
  <c r="G263" i="49"/>
  <c r="C262" i="12"/>
  <c r="F262" i="32"/>
  <c r="G262" i="32" s="1"/>
  <c r="C262" i="33"/>
  <c r="E262" i="33" s="1"/>
  <c r="G281" i="49"/>
  <c r="C280" i="12"/>
  <c r="F280" i="32"/>
  <c r="G280" i="32" s="1"/>
  <c r="J281" i="13"/>
  <c r="C280" i="39"/>
  <c r="G92" i="49"/>
  <c r="J92" i="13"/>
  <c r="C91" i="39"/>
  <c r="C91" i="12"/>
  <c r="G185" i="49"/>
  <c r="C184" i="33"/>
  <c r="E184" i="33" s="1"/>
  <c r="J185" i="13"/>
  <c r="F184" i="32"/>
  <c r="G184" i="32" s="1"/>
  <c r="G113" i="49"/>
  <c r="F112" i="32"/>
  <c r="G112" i="32" s="1"/>
  <c r="J113" i="13"/>
  <c r="C112" i="12"/>
  <c r="G270" i="49"/>
  <c r="C269" i="39"/>
  <c r="C269" i="12"/>
  <c r="F269" i="32"/>
  <c r="G269" i="32" s="1"/>
  <c r="G241" i="49"/>
  <c r="C240" i="33"/>
  <c r="E240" i="33" s="1"/>
  <c r="F240" i="32"/>
  <c r="G240" i="32" s="1"/>
  <c r="C240" i="12"/>
  <c r="G208" i="49"/>
  <c r="C207" i="33"/>
  <c r="E207" i="33" s="1"/>
  <c r="J208" i="13"/>
  <c r="C207" i="39"/>
  <c r="G243" i="49"/>
  <c r="C242" i="12"/>
  <c r="F242" i="32"/>
  <c r="G242" i="32" s="1"/>
  <c r="C242" i="33"/>
  <c r="E242" i="33" s="1"/>
  <c r="G275" i="49"/>
  <c r="C274" i="12"/>
  <c r="J275" i="13"/>
  <c r="C274" i="39"/>
  <c r="G224" i="49"/>
  <c r="C223" i="39"/>
  <c r="J224" i="13"/>
  <c r="C223" i="33"/>
  <c r="E223" i="33" s="1"/>
  <c r="G268" i="49"/>
  <c r="J268" i="13"/>
  <c r="F267" i="32"/>
  <c r="G267" i="32" s="1"/>
  <c r="C267" i="12"/>
  <c r="C267" i="33"/>
  <c r="E267" i="33" s="1"/>
  <c r="G240" i="49"/>
  <c r="C239" i="12"/>
  <c r="C239" i="33"/>
  <c r="E239" i="33" s="1"/>
  <c r="F239" i="32"/>
  <c r="G239" i="32" s="1"/>
  <c r="G146" i="49"/>
  <c r="F145" i="32"/>
  <c r="G145" i="32" s="1"/>
  <c r="J146" i="13"/>
  <c r="C145" i="12"/>
  <c r="G131" i="49"/>
  <c r="C130" i="39"/>
  <c r="F130" i="32"/>
  <c r="G130" i="32" s="1"/>
  <c r="C130" i="33"/>
  <c r="E130" i="33" s="1"/>
  <c r="G24" i="49"/>
  <c r="C23" i="39"/>
  <c r="C23" i="33"/>
  <c r="E23" i="33" s="1"/>
  <c r="F23" i="32"/>
  <c r="G23" i="32" s="1"/>
  <c r="G193" i="49"/>
  <c r="J193" i="13"/>
  <c r="C192" i="12"/>
  <c r="C192" i="39"/>
  <c r="G61" i="49"/>
  <c r="C60" i="12"/>
  <c r="J61" i="13"/>
  <c r="C60" i="39"/>
  <c r="C60" i="33"/>
  <c r="E60" i="33" s="1"/>
  <c r="G298" i="49"/>
  <c r="C297" i="39"/>
  <c r="J298" i="13"/>
  <c r="C297" i="33"/>
  <c r="E297" i="33" s="1"/>
  <c r="G219" i="49"/>
  <c r="J219" i="13"/>
  <c r="C218" i="33"/>
  <c r="E218" i="33" s="1"/>
  <c r="C218" i="39"/>
  <c r="C218" i="12"/>
  <c r="F218" i="32"/>
  <c r="G218" i="32" s="1"/>
  <c r="G40" i="49"/>
  <c r="C39" i="39"/>
  <c r="C39" i="12"/>
  <c r="F39" i="32"/>
  <c r="G39" i="32" s="1"/>
  <c r="G141" i="49"/>
  <c r="C140" i="33"/>
  <c r="E140" i="33" s="1"/>
  <c r="C140" i="12"/>
  <c r="F140" i="32"/>
  <c r="G140" i="32" s="1"/>
  <c r="G25" i="49"/>
  <c r="C24" i="39"/>
  <c r="F24" i="32"/>
  <c r="G24" i="32" s="1"/>
  <c r="C24" i="33"/>
  <c r="E24" i="33" s="1"/>
  <c r="J25" i="13"/>
  <c r="G312" i="49"/>
  <c r="C311" i="39"/>
  <c r="F311" i="32"/>
  <c r="G311" i="32" s="1"/>
  <c r="C311" i="33"/>
  <c r="E311" i="33" s="1"/>
  <c r="G111" i="49"/>
  <c r="C110" i="12"/>
  <c r="F110" i="32"/>
  <c r="G110" i="32" s="1"/>
  <c r="G260" i="49"/>
  <c r="C259" i="33"/>
  <c r="E259" i="33" s="1"/>
  <c r="J260" i="13"/>
  <c r="F259" i="32"/>
  <c r="G259" i="32" s="1"/>
  <c r="G190" i="49"/>
  <c r="J190" i="13"/>
  <c r="C189" i="33"/>
  <c r="E189" i="33" s="1"/>
  <c r="C189" i="12"/>
  <c r="G317" i="49"/>
  <c r="C316" i="33"/>
  <c r="E316" i="33" s="1"/>
  <c r="J317" i="13"/>
  <c r="F316" i="32"/>
  <c r="G316" i="32" s="1"/>
  <c r="G279" i="49"/>
  <c r="C278" i="12"/>
  <c r="F278" i="32"/>
  <c r="G278" i="32" s="1"/>
  <c r="G182" i="49"/>
  <c r="C181" i="12"/>
  <c r="J182" i="13"/>
  <c r="G50" i="49"/>
  <c r="C49" i="12"/>
  <c r="F49" i="32"/>
  <c r="G49" i="32" s="1"/>
  <c r="G54" i="49"/>
  <c r="C53" i="12"/>
  <c r="C53" i="39"/>
  <c r="F53" i="32"/>
  <c r="G53" i="32" s="1"/>
  <c r="C53" i="33"/>
  <c r="E53" i="33" s="1"/>
  <c r="G98" i="49"/>
  <c r="F97" i="32"/>
  <c r="G97" i="32" s="1"/>
  <c r="C97" i="12"/>
  <c r="J98" i="13"/>
  <c r="C97" i="33"/>
  <c r="E97" i="33" s="1"/>
  <c r="G197" i="49"/>
  <c r="J197" i="13"/>
  <c r="F196" i="32"/>
  <c r="G196" i="32" s="1"/>
  <c r="C196" i="39"/>
  <c r="C196" i="12"/>
  <c r="G289" i="49"/>
  <c r="C288" i="39"/>
  <c r="J289" i="13"/>
  <c r="C288" i="12"/>
  <c r="G136" i="49"/>
  <c r="C135" i="33"/>
  <c r="E135" i="33" s="1"/>
  <c r="J136" i="13"/>
  <c r="F135" i="32"/>
  <c r="G135" i="32" s="1"/>
  <c r="C135" i="39"/>
  <c r="G210" i="49"/>
  <c r="C209" i="39"/>
  <c r="C209" i="33"/>
  <c r="E209" i="33" s="1"/>
  <c r="J210" i="13"/>
  <c r="C209" i="12"/>
  <c r="F209" i="32"/>
  <c r="G209" i="32" s="1"/>
  <c r="G302" i="49"/>
  <c r="C301" i="39"/>
  <c r="J302" i="13"/>
  <c r="C301" i="12"/>
  <c r="G207" i="49"/>
  <c r="C206" i="39"/>
  <c r="J207" i="13"/>
  <c r="C206" i="33"/>
  <c r="E206" i="33" s="1"/>
  <c r="G295" i="49"/>
  <c r="J295" i="13"/>
  <c r="C294" i="33"/>
  <c r="E294" i="33" s="1"/>
  <c r="C294" i="39"/>
  <c r="F294" i="32"/>
  <c r="G294" i="32" s="1"/>
  <c r="G33" i="49"/>
  <c r="C32" i="39"/>
  <c r="J33" i="13"/>
  <c r="C32" i="33"/>
  <c r="E32" i="33" s="1"/>
  <c r="F32" i="32"/>
  <c r="G32" i="32" s="1"/>
  <c r="G303" i="49"/>
  <c r="J303" i="13"/>
  <c r="C302" i="33"/>
  <c r="E302" i="33" s="1"/>
  <c r="C302" i="39"/>
  <c r="C302" i="12"/>
  <c r="F302" i="32"/>
  <c r="G302" i="32" s="1"/>
  <c r="G273" i="49"/>
  <c r="C272" i="12"/>
  <c r="J273" i="13"/>
  <c r="C272" i="33"/>
  <c r="E272" i="33" s="1"/>
  <c r="F272" i="32"/>
  <c r="G272" i="32" s="1"/>
  <c r="G220" i="49"/>
  <c r="C219" i="39"/>
  <c r="C219" i="12"/>
  <c r="G66" i="49"/>
  <c r="J66" i="13"/>
  <c r="F65" i="32"/>
  <c r="G65" i="32" s="1"/>
  <c r="G235" i="49"/>
  <c r="J235" i="13"/>
  <c r="C234" i="12"/>
  <c r="F234" i="32"/>
  <c r="G234" i="32" s="1"/>
  <c r="G142" i="49"/>
  <c r="J142" i="13"/>
  <c r="C141" i="33"/>
  <c r="E141" i="33" s="1"/>
  <c r="C141" i="39"/>
  <c r="F141" i="32"/>
  <c r="G141" i="32" s="1"/>
  <c r="G138" i="49"/>
  <c r="C137" i="39"/>
  <c r="J138" i="13"/>
  <c r="C137" i="12"/>
  <c r="G18" i="49"/>
  <c r="J18" i="13"/>
  <c r="F17" i="32"/>
  <c r="G17" i="32" s="1"/>
  <c r="C17" i="33"/>
  <c r="E17" i="33" s="1"/>
  <c r="G93" i="49"/>
  <c r="C92" i="39"/>
  <c r="J93" i="13"/>
  <c r="C92" i="12"/>
  <c r="G97" i="49"/>
  <c r="J97" i="13"/>
  <c r="C96" i="12"/>
  <c r="C96" i="39"/>
  <c r="C96" i="33"/>
  <c r="E96" i="33" s="1"/>
  <c r="G202" i="49"/>
  <c r="C201" i="12"/>
  <c r="F201" i="32"/>
  <c r="G201" i="32" s="1"/>
  <c r="C201" i="33"/>
  <c r="E201" i="33" s="1"/>
  <c r="G57" i="49"/>
  <c r="C56" i="12"/>
  <c r="J57" i="13"/>
  <c r="C56" i="39"/>
  <c r="G287" i="49"/>
  <c r="F286" i="32"/>
  <c r="G286" i="32" s="1"/>
  <c r="C286" i="33"/>
  <c r="E286" i="33" s="1"/>
  <c r="J287" i="13"/>
  <c r="G96" i="49"/>
  <c r="C95" i="33"/>
  <c r="E95" i="33" s="1"/>
  <c r="C95" i="12"/>
  <c r="F95" i="32"/>
  <c r="G95" i="32" s="1"/>
  <c r="G74" i="49"/>
  <c r="J74" i="13"/>
  <c r="C73" i="33"/>
  <c r="E73" i="33" s="1"/>
  <c r="F73" i="32"/>
  <c r="G73" i="32" s="1"/>
  <c r="G70" i="49"/>
  <c r="C69" i="39"/>
  <c r="C69" i="33"/>
  <c r="E69" i="33" s="1"/>
  <c r="C69" i="12"/>
  <c r="G269" i="49"/>
  <c r="C268" i="39"/>
  <c r="J269" i="13"/>
  <c r="C268" i="33"/>
  <c r="E268" i="33" s="1"/>
  <c r="F268" i="32"/>
  <c r="G268" i="32" s="1"/>
  <c r="G261" i="49"/>
  <c r="J261" i="13"/>
  <c r="F260" i="32"/>
  <c r="G260" i="32" s="1"/>
  <c r="C260" i="12"/>
  <c r="C260" i="39"/>
  <c r="G100" i="49"/>
  <c r="C99" i="12"/>
  <c r="J100" i="13"/>
  <c r="C99" i="33"/>
  <c r="E99" i="33" s="1"/>
  <c r="F99" i="32"/>
  <c r="G99" i="32" s="1"/>
  <c r="G266" i="49"/>
  <c r="C265" i="39"/>
  <c r="J266" i="13"/>
  <c r="C265" i="12"/>
  <c r="G276" i="49"/>
  <c r="J276" i="13"/>
  <c r="F275" i="32"/>
  <c r="G275" i="32" s="1"/>
  <c r="C275" i="12"/>
  <c r="C275" i="39"/>
  <c r="G78" i="49"/>
  <c r="C77" i="39"/>
  <c r="F77" i="32"/>
  <c r="G77" i="32" s="1"/>
  <c r="J78" i="13"/>
  <c r="C77" i="12"/>
  <c r="G135" i="49"/>
  <c r="C134" i="39"/>
  <c r="J135" i="13"/>
  <c r="C134" i="12"/>
  <c r="F134" i="32"/>
  <c r="G134" i="32" s="1"/>
  <c r="G292" i="49"/>
  <c r="F291" i="32"/>
  <c r="G291" i="32" s="1"/>
  <c r="J292" i="13"/>
  <c r="C291" i="39"/>
  <c r="G213" i="49"/>
  <c r="C212" i="12"/>
  <c r="C212" i="33"/>
  <c r="E212" i="33" s="1"/>
  <c r="G62" i="49"/>
  <c r="C61" i="12"/>
  <c r="C61" i="39"/>
  <c r="G282" i="49"/>
  <c r="C281" i="12"/>
  <c r="F281" i="32"/>
  <c r="G281" i="32" s="1"/>
  <c r="G223" i="49"/>
  <c r="C222" i="12"/>
  <c r="C222" i="39"/>
  <c r="G129" i="49"/>
  <c r="J129" i="13"/>
  <c r="C128" i="12"/>
  <c r="C128" i="39"/>
  <c r="G259" i="49"/>
  <c r="J259" i="13"/>
  <c r="C258" i="33"/>
  <c r="E258" i="33" s="1"/>
  <c r="C258" i="39"/>
  <c r="G115" i="49"/>
  <c r="J115" i="13"/>
  <c r="C114" i="33"/>
  <c r="E114" i="33" s="1"/>
  <c r="C114" i="12"/>
  <c r="C291" i="33"/>
  <c r="E291" i="33" s="1"/>
  <c r="F212" i="32"/>
  <c r="G212" i="32" s="1"/>
  <c r="C259" i="12"/>
  <c r="J62" i="13"/>
  <c r="C189" i="39"/>
  <c r="J282" i="13"/>
  <c r="C222" i="33"/>
  <c r="E222" i="33" s="1"/>
  <c r="C278" i="39"/>
  <c r="C128" i="33"/>
  <c r="E128" i="33" s="1"/>
  <c r="C49" i="33"/>
  <c r="E49" i="33" s="1"/>
  <c r="C219" i="33"/>
  <c r="E219" i="33" s="1"/>
  <c r="J105" i="13"/>
  <c r="C112" i="33"/>
  <c r="E112" i="33" s="1"/>
  <c r="C234" i="33"/>
  <c r="E234" i="33" s="1"/>
  <c r="C207" i="12"/>
  <c r="C17" i="39"/>
  <c r="F274" i="32"/>
  <c r="G274" i="32" s="1"/>
  <c r="C223" i="12"/>
  <c r="J240" i="13"/>
  <c r="C56" i="33"/>
  <c r="E56" i="33" s="1"/>
  <c r="C95" i="39"/>
  <c r="C73" i="39"/>
  <c r="F192" i="32"/>
  <c r="G192" i="32" s="1"/>
  <c r="C99" i="39"/>
  <c r="J40" i="13"/>
  <c r="C35" i="12"/>
  <c r="C288" i="33"/>
  <c r="E288" i="33" s="1"/>
  <c r="F301" i="32"/>
  <c r="G301" i="32" s="1"/>
  <c r="C294" i="12"/>
  <c r="F81" i="32"/>
  <c r="G81" i="32" s="1"/>
  <c r="J152" i="13"/>
  <c r="C213" i="39"/>
  <c r="C298" i="39"/>
  <c r="F154" i="32"/>
  <c r="G154" i="32" s="1"/>
  <c r="J118" i="13"/>
  <c r="G69" i="49"/>
  <c r="J69" i="13"/>
  <c r="F68" i="32"/>
  <c r="G68" i="32" s="1"/>
  <c r="C68" i="33"/>
  <c r="E68" i="33" s="1"/>
  <c r="F91" i="32"/>
  <c r="G91" i="32" s="1"/>
  <c r="C184" i="12"/>
  <c r="C112" i="39"/>
  <c r="C52" i="39"/>
  <c r="C240" i="39"/>
  <c r="C137" i="33"/>
  <c r="E137" i="33" s="1"/>
  <c r="C242" i="39"/>
  <c r="F92" i="32"/>
  <c r="G92" i="32" s="1"/>
  <c r="C201" i="39"/>
  <c r="C145" i="33"/>
  <c r="E145" i="33" s="1"/>
  <c r="C68" i="39"/>
  <c r="J96" i="13"/>
  <c r="C23" i="12"/>
  <c r="J70" i="13"/>
  <c r="C192" i="33"/>
  <c r="E192" i="33" s="1"/>
  <c r="C260" i="33"/>
  <c r="E260" i="33" s="1"/>
  <c r="C77" i="33"/>
  <c r="E77" i="33" s="1"/>
  <c r="C311" i="12"/>
  <c r="F114" i="32"/>
  <c r="G114" i="32" s="1"/>
  <c r="C97" i="39"/>
  <c r="C135" i="12"/>
  <c r="F206" i="32"/>
  <c r="G206" i="32" s="1"/>
  <c r="C32" i="12"/>
  <c r="C81" i="39"/>
  <c r="C263" i="12"/>
  <c r="J290" i="13"/>
  <c r="C159" i="33"/>
  <c r="E159" i="33" s="1"/>
  <c r="C154" i="39"/>
  <c r="C161" i="33"/>
  <c r="E161" i="33" s="1"/>
  <c r="C119" i="39"/>
  <c r="J319" i="13"/>
  <c r="G21" i="49"/>
  <c r="C20" i="12"/>
  <c r="J159" i="13"/>
  <c r="C5" i="12"/>
  <c r="C25" i="12"/>
  <c r="C271" i="33"/>
  <c r="E271" i="33" s="1"/>
  <c r="F115" i="32"/>
  <c r="G115" i="32" s="1"/>
  <c r="C315" i="12"/>
  <c r="F5" i="32"/>
  <c r="J6" i="13"/>
  <c r="F308" i="32"/>
  <c r="G308" i="32" s="1"/>
  <c r="F284" i="32"/>
  <c r="G284" i="32" s="1"/>
  <c r="C100" i="39"/>
  <c r="C20" i="39"/>
  <c r="J314" i="13"/>
  <c r="C293" i="39"/>
  <c r="J311" i="13"/>
  <c r="C5" i="33"/>
  <c r="E5" i="33" s="1"/>
  <c r="C20" i="33"/>
  <c r="E20" i="33" s="1"/>
  <c r="J7" i="49"/>
  <c r="L7" i="49" s="1"/>
  <c r="J9" i="49"/>
  <c r="J13" i="49"/>
  <c r="J17" i="49"/>
  <c r="J21" i="49"/>
  <c r="J25" i="49"/>
  <c r="J29" i="49"/>
  <c r="J33" i="49"/>
  <c r="J37" i="49"/>
  <c r="J41" i="49"/>
  <c r="J45" i="49"/>
  <c r="J49" i="49"/>
  <c r="J53" i="49"/>
  <c r="J57" i="49"/>
  <c r="J61" i="49"/>
  <c r="J65" i="49"/>
  <c r="J69" i="49"/>
  <c r="J12" i="49"/>
  <c r="J18" i="49"/>
  <c r="J23" i="49"/>
  <c r="J28" i="49"/>
  <c r="J34" i="49"/>
  <c r="J39" i="49"/>
  <c r="J44" i="49"/>
  <c r="J50" i="49"/>
  <c r="J55" i="49"/>
  <c r="J60" i="49"/>
  <c r="J66" i="49"/>
  <c r="J71" i="49"/>
  <c r="J75" i="49"/>
  <c r="J79" i="49"/>
  <c r="J83" i="49"/>
  <c r="J87" i="49"/>
  <c r="J91" i="49"/>
  <c r="J95" i="49"/>
  <c r="J99" i="49"/>
  <c r="J103" i="49"/>
  <c r="J107" i="49"/>
  <c r="J111" i="49"/>
  <c r="J115" i="49"/>
  <c r="J119" i="49"/>
  <c r="L119" i="49" s="1"/>
  <c r="J123" i="49"/>
  <c r="J127" i="49"/>
  <c r="L127" i="49" s="1"/>
  <c r="J131" i="49"/>
  <c r="L131" i="49" s="1"/>
  <c r="J135" i="49"/>
  <c r="L135" i="49" s="1"/>
  <c r="J139" i="49"/>
  <c r="J143" i="49"/>
  <c r="J147" i="49"/>
  <c r="J151" i="49"/>
  <c r="L151" i="49" s="1"/>
  <c r="J155" i="49"/>
  <c r="L155" i="49" s="1"/>
  <c r="J159" i="49"/>
  <c r="J163" i="49"/>
  <c r="J167" i="49"/>
  <c r="J171" i="49"/>
  <c r="J175" i="49"/>
  <c r="J179" i="49"/>
  <c r="J183" i="49"/>
  <c r="J187" i="49"/>
  <c r="J191" i="49"/>
  <c r="J195" i="49"/>
  <c r="J199" i="49"/>
  <c r="J203" i="49"/>
  <c r="J207" i="49"/>
  <c r="L207" i="49" s="1"/>
  <c r="J211" i="49"/>
  <c r="J215" i="49"/>
  <c r="J219" i="49"/>
  <c r="J223" i="49"/>
  <c r="J227" i="49"/>
  <c r="J231" i="49"/>
  <c r="L231" i="49" s="1"/>
  <c r="J235" i="49"/>
  <c r="J11" i="49"/>
  <c r="J19" i="49"/>
  <c r="J26" i="49"/>
  <c r="J32" i="49"/>
  <c r="J40" i="49"/>
  <c r="J47" i="49"/>
  <c r="J54" i="49"/>
  <c r="J62" i="49"/>
  <c r="J68" i="49"/>
  <c r="J74" i="49"/>
  <c r="J80" i="49"/>
  <c r="J85" i="49"/>
  <c r="J90" i="49"/>
  <c r="J96" i="49"/>
  <c r="J101" i="49"/>
  <c r="J106" i="49"/>
  <c r="J112" i="49"/>
  <c r="L112" i="49" s="1"/>
  <c r="J117" i="49"/>
  <c r="L117" i="49" s="1"/>
  <c r="J122" i="49"/>
  <c r="L122" i="49" s="1"/>
  <c r="J128" i="49"/>
  <c r="L128" i="49" s="1"/>
  <c r="J133" i="49"/>
  <c r="J138" i="49"/>
  <c r="J144" i="49"/>
  <c r="L144" i="49" s="1"/>
  <c r="J149" i="49"/>
  <c r="L149" i="49" s="1"/>
  <c r="J154" i="49"/>
  <c r="L154" i="49" s="1"/>
  <c r="J160" i="49"/>
  <c r="J165" i="49"/>
  <c r="J170" i="49"/>
  <c r="J176" i="49"/>
  <c r="J181" i="49"/>
  <c r="J186" i="49"/>
  <c r="J192" i="49"/>
  <c r="J197" i="49"/>
  <c r="J202" i="49"/>
  <c r="J208" i="49"/>
  <c r="L208" i="49" s="1"/>
  <c r="J213" i="49"/>
  <c r="J218" i="49"/>
  <c r="J224" i="49"/>
  <c r="J229" i="49"/>
  <c r="J234" i="49"/>
  <c r="J239" i="49"/>
  <c r="J243" i="49"/>
  <c r="J247" i="49"/>
  <c r="J251" i="49"/>
  <c r="J255" i="49"/>
  <c r="J259" i="49"/>
  <c r="J263" i="49"/>
  <c r="J267" i="49"/>
  <c r="J271" i="49"/>
  <c r="J275" i="49"/>
  <c r="J279" i="49"/>
  <c r="J283" i="49"/>
  <c r="L283" i="49" s="1"/>
  <c r="J287" i="49"/>
  <c r="L287" i="49" s="1"/>
  <c r="J291" i="49"/>
  <c r="L291" i="49" s="1"/>
  <c r="J295" i="49"/>
  <c r="J299" i="49"/>
  <c r="J303" i="49"/>
  <c r="J307" i="49"/>
  <c r="J311" i="49"/>
  <c r="J315" i="49"/>
  <c r="J319" i="49"/>
  <c r="J323" i="49"/>
  <c r="J10" i="49"/>
  <c r="J20" i="49"/>
  <c r="J30" i="49"/>
  <c r="J38" i="49"/>
  <c r="J48" i="49"/>
  <c r="J58" i="49"/>
  <c r="J67" i="49"/>
  <c r="J76" i="49"/>
  <c r="J82" i="49"/>
  <c r="J89" i="49"/>
  <c r="J97" i="49"/>
  <c r="J104" i="49"/>
  <c r="J110" i="49"/>
  <c r="J118" i="49"/>
  <c r="J125" i="49"/>
  <c r="J132" i="49"/>
  <c r="J140" i="49"/>
  <c r="J146" i="49"/>
  <c r="J153" i="49"/>
  <c r="J161" i="49"/>
  <c r="J168" i="49"/>
  <c r="J174" i="49"/>
  <c r="J182" i="49"/>
  <c r="J189" i="49"/>
  <c r="J196" i="49"/>
  <c r="L196" i="49" s="1"/>
  <c r="J204" i="49"/>
  <c r="J210" i="49"/>
  <c r="J217" i="49"/>
  <c r="J225" i="49"/>
  <c r="J232" i="49"/>
  <c r="J238" i="49"/>
  <c r="J244" i="49"/>
  <c r="J249" i="49"/>
  <c r="J254" i="49"/>
  <c r="J260" i="49"/>
  <c r="J265" i="49"/>
  <c r="J270" i="49"/>
  <c r="J276" i="49"/>
  <c r="J281" i="49"/>
  <c r="J286" i="49"/>
  <c r="L286" i="49" s="1"/>
  <c r="J292" i="49"/>
  <c r="L292" i="49" s="1"/>
  <c r="J297" i="49"/>
  <c r="J302" i="49"/>
  <c r="J308" i="49"/>
  <c r="J313" i="49"/>
  <c r="J318" i="49"/>
  <c r="J14" i="49"/>
  <c r="L14" i="49" s="1"/>
  <c r="J22" i="49"/>
  <c r="J31" i="49"/>
  <c r="J42" i="49"/>
  <c r="J51" i="49"/>
  <c r="J59" i="49"/>
  <c r="J70" i="49"/>
  <c r="J77" i="49"/>
  <c r="J84" i="49"/>
  <c r="J92" i="49"/>
  <c r="J98" i="49"/>
  <c r="J105" i="49"/>
  <c r="J113" i="49"/>
  <c r="J120" i="49"/>
  <c r="L120" i="49" s="1"/>
  <c r="J126" i="49"/>
  <c r="L126" i="49" s="1"/>
  <c r="J134" i="49"/>
  <c r="L134" i="49" s="1"/>
  <c r="J141" i="49"/>
  <c r="J148" i="49"/>
  <c r="J156" i="49"/>
  <c r="L156" i="49" s="1"/>
  <c r="J162" i="49"/>
  <c r="J169" i="49"/>
  <c r="J177" i="49"/>
  <c r="J184" i="49"/>
  <c r="J190" i="49"/>
  <c r="J198" i="49"/>
  <c r="J205" i="49"/>
  <c r="J212" i="49"/>
  <c r="J220" i="49"/>
  <c r="J226" i="49"/>
  <c r="L226" i="49" s="1"/>
  <c r="J233" i="49"/>
  <c r="J240" i="49"/>
  <c r="J245" i="49"/>
  <c r="J250" i="49"/>
  <c r="J256" i="49"/>
  <c r="J261" i="49"/>
  <c r="J266" i="49"/>
  <c r="J272" i="49"/>
  <c r="J277" i="49"/>
  <c r="J282" i="49"/>
  <c r="J288" i="49"/>
  <c r="L288" i="49" s="1"/>
  <c r="J293" i="49"/>
  <c r="J298" i="49"/>
  <c r="J304" i="49"/>
  <c r="L304" i="49" s="1"/>
  <c r="J309" i="49"/>
  <c r="J314" i="49"/>
  <c r="L314" i="49" s="1"/>
  <c r="J320" i="49"/>
  <c r="J15" i="49"/>
  <c r="J24" i="49"/>
  <c r="J35" i="49"/>
  <c r="J43" i="49"/>
  <c r="J52" i="49"/>
  <c r="J63" i="49"/>
  <c r="J72" i="49"/>
  <c r="J78" i="49"/>
  <c r="J86" i="49"/>
  <c r="J93" i="49"/>
  <c r="J100" i="49"/>
  <c r="J108" i="49"/>
  <c r="J114" i="49"/>
  <c r="L114" i="49" s="1"/>
  <c r="J121" i="49"/>
  <c r="L121" i="49" s="1"/>
  <c r="J129" i="49"/>
  <c r="L129" i="49" s="1"/>
  <c r="J136" i="49"/>
  <c r="J142" i="49"/>
  <c r="J150" i="49"/>
  <c r="L150" i="49" s="1"/>
  <c r="J157" i="49"/>
  <c r="J164" i="49"/>
  <c r="J172" i="49"/>
  <c r="J178" i="49"/>
  <c r="J185" i="49"/>
  <c r="J193" i="49"/>
  <c r="J200" i="49"/>
  <c r="J206" i="49"/>
  <c r="J214" i="49"/>
  <c r="J221" i="49"/>
  <c r="J228" i="49"/>
  <c r="J236" i="49"/>
  <c r="J241" i="49"/>
  <c r="J246" i="49"/>
  <c r="J252" i="49"/>
  <c r="J257" i="49"/>
  <c r="J262" i="49"/>
  <c r="J268" i="49"/>
  <c r="J273" i="49"/>
  <c r="J278" i="49"/>
  <c r="J284" i="49"/>
  <c r="L284" i="49" s="1"/>
  <c r="J289" i="49"/>
  <c r="L289" i="49" s="1"/>
  <c r="J294" i="49"/>
  <c r="J300" i="49"/>
  <c r="J305" i="49"/>
  <c r="L305" i="49" s="1"/>
  <c r="J310" i="49"/>
  <c r="J316" i="49"/>
  <c r="J321" i="49"/>
  <c r="J46" i="49"/>
  <c r="J81" i="49"/>
  <c r="J109" i="49"/>
  <c r="J137" i="49"/>
  <c r="L137" i="49" s="1"/>
  <c r="J166" i="49"/>
  <c r="J194" i="49"/>
  <c r="J222" i="49"/>
  <c r="J248" i="49"/>
  <c r="J269" i="49"/>
  <c r="J290" i="49"/>
  <c r="L290" i="49" s="1"/>
  <c r="J312" i="49"/>
  <c r="J64" i="49"/>
  <c r="J180" i="49"/>
  <c r="J258" i="49"/>
  <c r="J301" i="49"/>
  <c r="J36" i="49"/>
  <c r="J73" i="49"/>
  <c r="J102" i="49"/>
  <c r="J130" i="49"/>
  <c r="L130" i="49" s="1"/>
  <c r="J158" i="49"/>
  <c r="L158" i="49" s="1"/>
  <c r="J188" i="49"/>
  <c r="J216" i="49"/>
  <c r="J242" i="49"/>
  <c r="J264" i="49"/>
  <c r="J285" i="49"/>
  <c r="L285" i="49" s="1"/>
  <c r="J306" i="49"/>
  <c r="J16" i="49"/>
  <c r="J56" i="49"/>
  <c r="J88" i="49"/>
  <c r="J116" i="49"/>
  <c r="J145" i="49"/>
  <c r="J173" i="49"/>
  <c r="J201" i="49"/>
  <c r="J230" i="49"/>
  <c r="L230" i="49" s="1"/>
  <c r="J253" i="49"/>
  <c r="J274" i="49"/>
  <c r="J296" i="49"/>
  <c r="J317" i="49"/>
  <c r="J27" i="49"/>
  <c r="J94" i="49"/>
  <c r="J124" i="49"/>
  <c r="L124" i="49" s="1"/>
  <c r="J152" i="49"/>
  <c r="J209" i="49"/>
  <c r="J237" i="49"/>
  <c r="J280" i="49"/>
  <c r="J322" i="49"/>
  <c r="L322" i="49" s="1"/>
  <c r="C313" i="33"/>
  <c r="E313" i="33" s="1"/>
  <c r="C310" i="33"/>
  <c r="E310" i="33" s="1"/>
  <c r="C299" i="39"/>
  <c r="C293" i="33"/>
  <c r="E293" i="33" s="1"/>
  <c r="C292" i="39"/>
  <c r="J262" i="13"/>
  <c r="J228" i="13"/>
  <c r="C221" i="39"/>
  <c r="C190" i="39"/>
  <c r="C167" i="12"/>
  <c r="C166" i="33"/>
  <c r="E166" i="33" s="1"/>
  <c r="F159" i="32"/>
  <c r="G159" i="32" s="1"/>
  <c r="C132" i="12"/>
  <c r="J94" i="13"/>
  <c r="C93" i="33"/>
  <c r="E93" i="33" s="1"/>
  <c r="F88" i="32"/>
  <c r="G88" i="32" s="1"/>
  <c r="F57" i="32"/>
  <c r="G57" i="32" s="1"/>
  <c r="J44" i="13"/>
  <c r="J29" i="13"/>
  <c r="F20" i="32"/>
  <c r="G20" i="32" s="1"/>
  <c r="G23" i="49"/>
  <c r="C22" i="12"/>
  <c r="G29" i="49"/>
  <c r="C28" i="33"/>
  <c r="E28" i="33" s="1"/>
  <c r="C28" i="12"/>
  <c r="G41" i="49"/>
  <c r="J41" i="13"/>
  <c r="F40" i="32"/>
  <c r="G40" i="32" s="1"/>
  <c r="C40" i="39"/>
  <c r="C40" i="33"/>
  <c r="E40" i="33" s="1"/>
  <c r="G43" i="49"/>
  <c r="C42" i="39"/>
  <c r="C42" i="12"/>
  <c r="G45" i="49"/>
  <c r="C44" i="12"/>
  <c r="F44" i="32"/>
  <c r="G44" i="32" s="1"/>
  <c r="C44" i="39"/>
  <c r="G55" i="49"/>
  <c r="C54" i="12"/>
  <c r="C54" i="39"/>
  <c r="F54" i="32"/>
  <c r="G54" i="32" s="1"/>
  <c r="G76" i="49"/>
  <c r="J76" i="13"/>
  <c r="C75" i="39"/>
  <c r="F75" i="32"/>
  <c r="G75" i="32" s="1"/>
  <c r="G86" i="49"/>
  <c r="C85" i="12"/>
  <c r="C85" i="39"/>
  <c r="C85" i="33"/>
  <c r="E85" i="33" s="1"/>
  <c r="J86" i="13"/>
  <c r="G94" i="49"/>
  <c r="F93" i="32"/>
  <c r="G93" i="32" s="1"/>
  <c r="C93" i="12"/>
  <c r="G102" i="49"/>
  <c r="F101" i="32"/>
  <c r="G101" i="32" s="1"/>
  <c r="J102" i="13"/>
  <c r="C101" i="39"/>
  <c r="C101" i="33"/>
  <c r="E101" i="33" s="1"/>
  <c r="G108" i="49"/>
  <c r="J108" i="13"/>
  <c r="C107" i="12"/>
  <c r="F107" i="32"/>
  <c r="G107" i="32" s="1"/>
  <c r="G134" i="49"/>
  <c r="C133" i="39"/>
  <c r="C133" i="33"/>
  <c r="E133" i="33" s="1"/>
  <c r="C133" i="12"/>
  <c r="J134" i="13"/>
  <c r="G323" i="49"/>
  <c r="C322" i="12"/>
  <c r="F322" i="32"/>
  <c r="G322" i="32" s="1"/>
  <c r="C322" i="39"/>
  <c r="G217" i="49"/>
  <c r="J217" i="13"/>
  <c r="F216" i="32"/>
  <c r="G216" i="32" s="1"/>
  <c r="C216" i="33"/>
  <c r="E216" i="33" s="1"/>
  <c r="C216" i="39"/>
  <c r="G293" i="49"/>
  <c r="C292" i="33"/>
  <c r="E292" i="33" s="1"/>
  <c r="F292" i="32"/>
  <c r="G292" i="32" s="1"/>
  <c r="C292" i="12"/>
  <c r="G178" i="49"/>
  <c r="C177" i="12"/>
  <c r="J178" i="13"/>
  <c r="C177" i="39"/>
  <c r="F177" i="32"/>
  <c r="G177" i="32" s="1"/>
  <c r="G253" i="49"/>
  <c r="C252" i="33"/>
  <c r="E252" i="33" s="1"/>
  <c r="J253" i="13"/>
  <c r="C252" i="12"/>
  <c r="F252" i="32"/>
  <c r="G252" i="32" s="1"/>
  <c r="G17" i="49"/>
  <c r="J17" i="13"/>
  <c r="C16" i="33"/>
  <c r="E16" i="33" s="1"/>
  <c r="C16" i="39"/>
  <c r="C16" i="12"/>
  <c r="G171" i="49"/>
  <c r="F170" i="32"/>
  <c r="G170" i="32" s="1"/>
  <c r="C170" i="33"/>
  <c r="E170" i="33" s="1"/>
  <c r="C170" i="12"/>
  <c r="J171" i="13"/>
  <c r="G258" i="49"/>
  <c r="C257" i="12"/>
  <c r="C257" i="39"/>
  <c r="J258" i="13"/>
  <c r="F257" i="32"/>
  <c r="G257" i="32" s="1"/>
  <c r="G64" i="49"/>
  <c r="C63" i="12"/>
  <c r="F63" i="32"/>
  <c r="G63" i="32" s="1"/>
  <c r="C63" i="33"/>
  <c r="E63" i="33" s="1"/>
  <c r="J64" i="13"/>
  <c r="G305" i="49"/>
  <c r="C304" i="39"/>
  <c r="J305" i="13"/>
  <c r="C304" i="12"/>
  <c r="C304" i="33"/>
  <c r="E304" i="33" s="1"/>
  <c r="G186" i="49"/>
  <c r="F185" i="32"/>
  <c r="G185" i="32" s="1"/>
  <c r="J186" i="13"/>
  <c r="C185" i="12"/>
  <c r="C185" i="33"/>
  <c r="E185" i="33" s="1"/>
  <c r="G216" i="49"/>
  <c r="C215" i="12"/>
  <c r="J216" i="13"/>
  <c r="C215" i="39"/>
  <c r="C215" i="33"/>
  <c r="E215" i="33" s="1"/>
  <c r="G99" i="49"/>
  <c r="J99" i="13"/>
  <c r="C98" i="33"/>
  <c r="E98" i="33" s="1"/>
  <c r="C98" i="39"/>
  <c r="F98" i="32"/>
  <c r="G98" i="32" s="1"/>
  <c r="G247" i="49"/>
  <c r="J247" i="13"/>
  <c r="C246" i="39"/>
  <c r="C246" i="12"/>
  <c r="C246" i="33"/>
  <c r="E246" i="33" s="1"/>
  <c r="G65" i="49"/>
  <c r="C64" i="33"/>
  <c r="E64" i="33" s="1"/>
  <c r="C64" i="39"/>
  <c r="F64" i="32"/>
  <c r="G64" i="32" s="1"/>
  <c r="G221" i="49"/>
  <c r="J221" i="13"/>
  <c r="F220" i="32"/>
  <c r="G220" i="32" s="1"/>
  <c r="C220" i="39"/>
  <c r="C220" i="33"/>
  <c r="E220" i="33" s="1"/>
  <c r="G121" i="49"/>
  <c r="C120" i="12"/>
  <c r="C120" i="33"/>
  <c r="E120" i="33" s="1"/>
  <c r="C120" i="39"/>
  <c r="G218" i="49"/>
  <c r="J218" i="13"/>
  <c r="C217" i="33"/>
  <c r="E217" i="33" s="1"/>
  <c r="F217" i="32"/>
  <c r="G217" i="32" s="1"/>
  <c r="C217" i="39"/>
  <c r="G309" i="49"/>
  <c r="C308" i="12"/>
  <c r="C308" i="33"/>
  <c r="E308" i="33" s="1"/>
  <c r="C308" i="39"/>
  <c r="G132" i="49"/>
  <c r="J132" i="13"/>
  <c r="F131" i="32"/>
  <c r="G131" i="32" s="1"/>
  <c r="C131" i="33"/>
  <c r="E131" i="33" s="1"/>
  <c r="C131" i="39"/>
  <c r="G215" i="49"/>
  <c r="F214" i="32"/>
  <c r="G214" i="32" s="1"/>
  <c r="C214" i="12"/>
  <c r="C214" i="39"/>
  <c r="G320" i="49"/>
  <c r="J320" i="13"/>
  <c r="F319" i="32"/>
  <c r="G319" i="32" s="1"/>
  <c r="C319" i="39"/>
  <c r="C319" i="12"/>
  <c r="G234" i="49"/>
  <c r="C233" i="12"/>
  <c r="C233" i="39"/>
  <c r="F233" i="32"/>
  <c r="G233" i="32" s="1"/>
  <c r="G179" i="49"/>
  <c r="J179" i="13"/>
  <c r="C178" i="39"/>
  <c r="C178" i="33"/>
  <c r="E178" i="33" s="1"/>
  <c r="C178" i="12"/>
  <c r="G280" i="49"/>
  <c r="C279" i="12"/>
  <c r="C279" i="39"/>
  <c r="C279" i="33"/>
  <c r="E279" i="33" s="1"/>
  <c r="G164" i="49"/>
  <c r="J164" i="13"/>
  <c r="F163" i="32"/>
  <c r="G163" i="32" s="1"/>
  <c r="C163" i="39"/>
  <c r="C163" i="33"/>
  <c r="E163" i="33" s="1"/>
  <c r="G251" i="49"/>
  <c r="C250" i="12"/>
  <c r="C250" i="39"/>
  <c r="F250" i="32"/>
  <c r="G250" i="32" s="1"/>
  <c r="G161" i="49"/>
  <c r="J161" i="13"/>
  <c r="C160" i="12"/>
  <c r="C160" i="39"/>
  <c r="F160" i="32"/>
  <c r="G160" i="32" s="1"/>
  <c r="G285" i="49"/>
  <c r="C284" i="12"/>
  <c r="C284" i="33"/>
  <c r="E284" i="33" s="1"/>
  <c r="C284" i="39"/>
  <c r="G149" i="49"/>
  <c r="J149" i="13"/>
  <c r="F148" i="32"/>
  <c r="G148" i="32" s="1"/>
  <c r="C148" i="33"/>
  <c r="E148" i="33" s="1"/>
  <c r="C148" i="39"/>
  <c r="G245" i="49"/>
  <c r="C244" i="12"/>
  <c r="C244" i="33"/>
  <c r="E244" i="33" s="1"/>
  <c r="C244" i="39"/>
  <c r="G313" i="49"/>
  <c r="J313" i="13"/>
  <c r="F312" i="32"/>
  <c r="G312" i="32" s="1"/>
  <c r="C312" i="39"/>
  <c r="C312" i="12"/>
  <c r="G159" i="49"/>
  <c r="C158" i="12"/>
  <c r="C158" i="39"/>
  <c r="F158" i="32"/>
  <c r="G158" i="32" s="1"/>
  <c r="G250" i="49"/>
  <c r="J250" i="13"/>
  <c r="C249" i="33"/>
  <c r="E249" i="33" s="1"/>
  <c r="C249" i="39"/>
  <c r="F249" i="32"/>
  <c r="G249" i="32" s="1"/>
  <c r="G192" i="49"/>
  <c r="C191" i="39"/>
  <c r="C191" i="33"/>
  <c r="E191" i="33" s="1"/>
  <c r="J192" i="13"/>
  <c r="F191" i="32"/>
  <c r="G191" i="32" s="1"/>
  <c r="G322" i="49"/>
  <c r="F321" i="32"/>
  <c r="G321" i="32" s="1"/>
  <c r="C321" i="33"/>
  <c r="E321" i="33" s="1"/>
  <c r="J322" i="13"/>
  <c r="C321" i="39"/>
  <c r="G271" i="49"/>
  <c r="C270" i="12"/>
  <c r="J271" i="13"/>
  <c r="C270" i="33"/>
  <c r="E270" i="33" s="1"/>
  <c r="F270" i="32"/>
  <c r="G270" i="32" s="1"/>
  <c r="G173" i="49"/>
  <c r="C172" i="33"/>
  <c r="E172" i="33" s="1"/>
  <c r="J173" i="13"/>
  <c r="C172" i="12"/>
  <c r="F172" i="32"/>
  <c r="G172" i="32" s="1"/>
  <c r="G20" i="49"/>
  <c r="C19" i="39"/>
  <c r="J20" i="13"/>
  <c r="F19" i="32"/>
  <c r="G19" i="32" s="1"/>
  <c r="C19" i="12"/>
  <c r="G103" i="49"/>
  <c r="F102" i="32"/>
  <c r="G102" i="32" s="1"/>
  <c r="J103" i="13"/>
  <c r="C102" i="39"/>
  <c r="C102" i="33"/>
  <c r="E102" i="33" s="1"/>
  <c r="G71" i="49"/>
  <c r="C70" i="12"/>
  <c r="J71" i="13"/>
  <c r="C70" i="33"/>
  <c r="E70" i="33" s="1"/>
  <c r="C70" i="39"/>
  <c r="G272" i="49"/>
  <c r="F271" i="32"/>
  <c r="G271" i="32" s="1"/>
  <c r="C271" i="39"/>
  <c r="G277" i="49"/>
  <c r="C276" i="12"/>
  <c r="C276" i="33"/>
  <c r="E276" i="33" s="1"/>
  <c r="G198" i="49"/>
  <c r="F197" i="32"/>
  <c r="G197" i="32" s="1"/>
  <c r="J198" i="13"/>
  <c r="G195" i="49"/>
  <c r="J195" i="13"/>
  <c r="C194" i="33"/>
  <c r="E194" i="33" s="1"/>
  <c r="C194" i="39"/>
  <c r="G318" i="49"/>
  <c r="F317" i="32"/>
  <c r="G317" i="32" s="1"/>
  <c r="J318" i="13"/>
  <c r="C317" i="33"/>
  <c r="E317" i="33" s="1"/>
  <c r="G117" i="49"/>
  <c r="F116" i="32"/>
  <c r="G116" i="32" s="1"/>
  <c r="C116" i="33"/>
  <c r="E116" i="33" s="1"/>
  <c r="J117" i="13"/>
  <c r="G315" i="49"/>
  <c r="C314" i="39"/>
  <c r="C314" i="33"/>
  <c r="E314" i="33" s="1"/>
  <c r="J315" i="13"/>
  <c r="G169" i="49"/>
  <c r="J169" i="13"/>
  <c r="F168" i="32"/>
  <c r="G168" i="32" s="1"/>
  <c r="C168" i="33"/>
  <c r="E168" i="33" s="1"/>
  <c r="G116" i="49"/>
  <c r="C115" i="33"/>
  <c r="E115" i="33" s="1"/>
  <c r="C115" i="12"/>
  <c r="G145" i="49"/>
  <c r="F144" i="32"/>
  <c r="G144" i="32" s="1"/>
  <c r="C144" i="33"/>
  <c r="E144" i="33" s="1"/>
  <c r="G9" i="49"/>
  <c r="C8" i="33"/>
  <c r="E8" i="33" s="1"/>
  <c r="C8" i="12"/>
  <c r="G246" i="49"/>
  <c r="F245" i="32"/>
  <c r="G245" i="32" s="1"/>
  <c r="J246" i="13"/>
  <c r="G316" i="49"/>
  <c r="C315" i="39"/>
  <c r="J316" i="13"/>
  <c r="F315" i="32"/>
  <c r="G315" i="32" s="1"/>
  <c r="G170" i="49"/>
  <c r="F169" i="32"/>
  <c r="G169" i="32" s="1"/>
  <c r="C169" i="12"/>
  <c r="G301" i="49"/>
  <c r="J301" i="13"/>
  <c r="F300" i="32"/>
  <c r="G300" i="32" s="1"/>
  <c r="C300" i="33"/>
  <c r="E300" i="33" s="1"/>
  <c r="G222" i="49"/>
  <c r="F221" i="32"/>
  <c r="G221" i="32" s="1"/>
  <c r="C221" i="12"/>
  <c r="G133" i="49"/>
  <c r="J133" i="13"/>
  <c r="F132" i="32"/>
  <c r="G132" i="32" s="1"/>
  <c r="C132" i="33"/>
  <c r="E132" i="33" s="1"/>
  <c r="G147" i="49"/>
  <c r="C146" i="12"/>
  <c r="J147" i="13"/>
  <c r="C146" i="33"/>
  <c r="E146" i="33" s="1"/>
  <c r="G168" i="49"/>
  <c r="J168" i="13"/>
  <c r="F167" i="32"/>
  <c r="G167" i="32" s="1"/>
  <c r="C167" i="33"/>
  <c r="E167" i="33" s="1"/>
  <c r="G10" i="49"/>
  <c r="C9" i="39"/>
  <c r="C9" i="33"/>
  <c r="E9" i="33" s="1"/>
  <c r="F9" i="32"/>
  <c r="G9" i="32" s="1"/>
  <c r="G225" i="49"/>
  <c r="C224" i="39"/>
  <c r="J225" i="13"/>
  <c r="C224" i="12"/>
  <c r="C224" i="33"/>
  <c r="E224" i="33" s="1"/>
  <c r="G87" i="49"/>
  <c r="C86" i="39"/>
  <c r="J87" i="13"/>
  <c r="C86" i="33"/>
  <c r="E86" i="33" s="1"/>
  <c r="C86" i="12"/>
  <c r="G174" i="49"/>
  <c r="F173" i="32"/>
  <c r="G173" i="32" s="1"/>
  <c r="J174" i="13"/>
  <c r="C173" i="33"/>
  <c r="E173" i="33" s="1"/>
  <c r="G109" i="49"/>
  <c r="C108" i="39"/>
  <c r="J109" i="13"/>
  <c r="F108" i="32"/>
  <c r="G108" i="32" s="1"/>
  <c r="G231" i="49"/>
  <c r="J231" i="13"/>
  <c r="F230" i="32"/>
  <c r="G230" i="32" s="1"/>
  <c r="C230" i="33"/>
  <c r="E230" i="33" s="1"/>
  <c r="G191" i="49"/>
  <c r="F190" i="32"/>
  <c r="G190" i="32" s="1"/>
  <c r="J191" i="13"/>
  <c r="C190" i="33"/>
  <c r="E190" i="33" s="1"/>
  <c r="G151" i="49"/>
  <c r="C150" i="33"/>
  <c r="E150" i="33" s="1"/>
  <c r="F150" i="32"/>
  <c r="G150" i="32" s="1"/>
  <c r="J151" i="13"/>
  <c r="G252" i="49"/>
  <c r="C251" i="33"/>
  <c r="E251" i="33" s="1"/>
  <c r="J252" i="13"/>
  <c r="F251" i="32"/>
  <c r="G251" i="32" s="1"/>
  <c r="G8" i="49"/>
  <c r="C7" i="39"/>
  <c r="F7" i="32"/>
  <c r="G7" i="32" s="1"/>
  <c r="C7" i="33"/>
  <c r="J8" i="13"/>
  <c r="G233" i="49"/>
  <c r="C232" i="12"/>
  <c r="C232" i="33"/>
  <c r="E232" i="33" s="1"/>
  <c r="C232" i="39"/>
  <c r="G148" i="49"/>
  <c r="J148" i="13"/>
  <c r="F147" i="32"/>
  <c r="G147" i="32" s="1"/>
  <c r="C147" i="33"/>
  <c r="E147" i="33" s="1"/>
  <c r="C147" i="39"/>
  <c r="G226" i="49"/>
  <c r="J226" i="13"/>
  <c r="C225" i="12"/>
  <c r="F225" i="32"/>
  <c r="G225" i="32" s="1"/>
  <c r="G30" i="49"/>
  <c r="J30" i="13"/>
  <c r="C29" i="33"/>
  <c r="E29" i="33" s="1"/>
  <c r="C29" i="39"/>
  <c r="F29" i="32"/>
  <c r="G29" i="32" s="1"/>
  <c r="G175" i="49"/>
  <c r="F174" i="32"/>
  <c r="G174" i="32" s="1"/>
  <c r="C174" i="33"/>
  <c r="E174" i="33" s="1"/>
  <c r="C174" i="12"/>
  <c r="J175" i="13"/>
  <c r="G265" i="49"/>
  <c r="C264" i="39"/>
  <c r="J265" i="13"/>
  <c r="F264" i="32"/>
  <c r="G264" i="32" s="1"/>
  <c r="C264" i="12"/>
  <c r="G137" i="49"/>
  <c r="J137" i="13"/>
  <c r="F136" i="32"/>
  <c r="G136" i="32" s="1"/>
  <c r="C136" i="39"/>
  <c r="C136" i="33"/>
  <c r="E136" i="33" s="1"/>
  <c r="G254" i="49"/>
  <c r="C253" i="12"/>
  <c r="C253" i="39"/>
  <c r="F253" i="32"/>
  <c r="G253" i="32" s="1"/>
  <c r="G104" i="49"/>
  <c r="J104" i="13"/>
  <c r="F103" i="32"/>
  <c r="G103" i="32" s="1"/>
  <c r="C103" i="39"/>
  <c r="C103" i="33"/>
  <c r="E103" i="33" s="1"/>
  <c r="G7" i="49"/>
  <c r="C6" i="12"/>
  <c r="F6" i="32"/>
  <c r="G6" i="32" s="1"/>
  <c r="C6" i="39"/>
  <c r="G88" i="49"/>
  <c r="C87" i="39"/>
  <c r="J88" i="13"/>
  <c r="F87" i="32"/>
  <c r="G87" i="32" s="1"/>
  <c r="C87" i="12"/>
  <c r="G26" i="49"/>
  <c r="F25" i="32"/>
  <c r="G25" i="32" s="1"/>
  <c r="C25" i="39"/>
  <c r="C25" i="33"/>
  <c r="E25" i="33" s="1"/>
  <c r="G230" i="49"/>
  <c r="C229" i="12"/>
  <c r="J230" i="13"/>
  <c r="G158" i="49"/>
  <c r="F157" i="32"/>
  <c r="G157" i="32" s="1"/>
  <c r="C157" i="12"/>
  <c r="G307" i="49"/>
  <c r="C306" i="39"/>
  <c r="C306" i="12"/>
  <c r="G283" i="49"/>
  <c r="C282" i="39"/>
  <c r="F282" i="32"/>
  <c r="G282" i="32" s="1"/>
  <c r="G34" i="49"/>
  <c r="C33" i="39"/>
  <c r="F33" i="32"/>
  <c r="G33" i="32" s="1"/>
  <c r="G112" i="49"/>
  <c r="C111" i="33"/>
  <c r="E111" i="33" s="1"/>
  <c r="C111" i="12"/>
  <c r="G27" i="49"/>
  <c r="F26" i="32"/>
  <c r="G26" i="32" s="1"/>
  <c r="C26" i="12"/>
  <c r="G205" i="49"/>
  <c r="J205" i="13"/>
  <c r="F204" i="32"/>
  <c r="G204" i="32" s="1"/>
  <c r="C204" i="33"/>
  <c r="E204" i="33" s="1"/>
  <c r="G294" i="49"/>
  <c r="J294" i="13"/>
  <c r="C293" i="12"/>
  <c r="G199" i="49"/>
  <c r="C198" i="39"/>
  <c r="C198" i="12"/>
  <c r="G311" i="49"/>
  <c r="C310" i="12"/>
  <c r="C310" i="39"/>
  <c r="G124" i="49"/>
  <c r="C123" i="12"/>
  <c r="C123" i="39"/>
  <c r="G46" i="49"/>
  <c r="C45" i="12"/>
  <c r="C45" i="39"/>
  <c r="G144" i="49"/>
  <c r="C143" i="39"/>
  <c r="J144" i="13"/>
  <c r="F143" i="32"/>
  <c r="G143" i="32" s="1"/>
  <c r="G167" i="49"/>
  <c r="C166" i="39"/>
  <c r="C166" i="12"/>
  <c r="G58" i="49"/>
  <c r="C57" i="12"/>
  <c r="C57" i="39"/>
  <c r="G187" i="49"/>
  <c r="C186" i="39"/>
  <c r="J187" i="13"/>
  <c r="C186" i="33"/>
  <c r="E186" i="33" s="1"/>
  <c r="G310" i="49"/>
  <c r="C309" i="39"/>
  <c r="C309" i="33"/>
  <c r="E309" i="33" s="1"/>
  <c r="F309" i="32"/>
  <c r="G309" i="32" s="1"/>
  <c r="G172" i="49"/>
  <c r="C171" i="39"/>
  <c r="J172" i="13"/>
  <c r="F171" i="32"/>
  <c r="G171" i="32" s="1"/>
  <c r="G63" i="49"/>
  <c r="J63" i="13"/>
  <c r="C62" i="33"/>
  <c r="E62" i="33" s="1"/>
  <c r="C62" i="39"/>
  <c r="F62" i="32"/>
  <c r="G62" i="32" s="1"/>
  <c r="G12" i="49"/>
  <c r="F11" i="32"/>
  <c r="G11" i="32" s="1"/>
  <c r="C11" i="33"/>
  <c r="E11" i="33" s="1"/>
  <c r="J12" i="13"/>
  <c r="G128" i="49"/>
  <c r="C127" i="12"/>
  <c r="C127" i="33"/>
  <c r="E127" i="33" s="1"/>
  <c r="G306" i="49"/>
  <c r="F305" i="32"/>
  <c r="G305" i="32" s="1"/>
  <c r="C305" i="12"/>
  <c r="G154" i="49"/>
  <c r="C153" i="39"/>
  <c r="C153" i="12"/>
  <c r="G122" i="49"/>
  <c r="F121" i="32"/>
  <c r="G121" i="32" s="1"/>
  <c r="C121" i="12"/>
  <c r="G314" i="49"/>
  <c r="C313" i="12"/>
  <c r="F313" i="32"/>
  <c r="G313" i="32" s="1"/>
  <c r="G204" i="49"/>
  <c r="C203" i="12"/>
  <c r="C203" i="33"/>
  <c r="E203" i="33" s="1"/>
  <c r="G239" i="49"/>
  <c r="C238" i="39"/>
  <c r="F238" i="32"/>
  <c r="G238" i="32" s="1"/>
  <c r="C173" i="39"/>
  <c r="C305" i="33"/>
  <c r="E305" i="33" s="1"/>
  <c r="C108" i="33"/>
  <c r="E108" i="33" s="1"/>
  <c r="J154" i="13"/>
  <c r="J122" i="13"/>
  <c r="C150" i="12"/>
  <c r="F203" i="32"/>
  <c r="G203" i="32" s="1"/>
  <c r="C251" i="39"/>
  <c r="C238" i="12"/>
  <c r="J272" i="13"/>
  <c r="F229" i="32"/>
  <c r="G229" i="32" s="1"/>
  <c r="J277" i="13"/>
  <c r="C157" i="39"/>
  <c r="C197" i="39"/>
  <c r="F306" i="32"/>
  <c r="G306" i="32" s="1"/>
  <c r="F194" i="32"/>
  <c r="G194" i="32" s="1"/>
  <c r="C282" i="12"/>
  <c r="C33" i="12"/>
  <c r="F314" i="32"/>
  <c r="G314" i="32" s="1"/>
  <c r="C26" i="33"/>
  <c r="E26" i="33" s="1"/>
  <c r="C168" i="39"/>
  <c r="C115" i="39"/>
  <c r="C144" i="12"/>
  <c r="F8" i="32"/>
  <c r="G8" i="32" s="1"/>
  <c r="C245" i="33"/>
  <c r="E245" i="33" s="1"/>
  <c r="F123" i="32"/>
  <c r="G123" i="32" s="1"/>
  <c r="C28" i="39"/>
  <c r="C45" i="33"/>
  <c r="E45" i="33" s="1"/>
  <c r="C169" i="39"/>
  <c r="C143" i="33"/>
  <c r="E143" i="33" s="1"/>
  <c r="C300" i="39"/>
  <c r="J167" i="13"/>
  <c r="J58" i="13"/>
  <c r="F186" i="32"/>
  <c r="G186" i="32" s="1"/>
  <c r="J310" i="13"/>
  <c r="C171" i="33"/>
  <c r="E171" i="33" s="1"/>
  <c r="C9" i="12"/>
  <c r="C7" i="12"/>
  <c r="J233" i="13"/>
  <c r="C225" i="33"/>
  <c r="E225" i="33" s="1"/>
  <c r="F85" i="32"/>
  <c r="G85" i="32" s="1"/>
  <c r="C264" i="33"/>
  <c r="E264" i="33" s="1"/>
  <c r="C103" i="12"/>
  <c r="J323" i="13"/>
  <c r="C252" i="39"/>
  <c r="C63" i="39"/>
  <c r="C98" i="12"/>
  <c r="C220" i="12"/>
  <c r="F120" i="32"/>
  <c r="G120" i="32" s="1"/>
  <c r="C131" i="12"/>
  <c r="C214" i="33"/>
  <c r="E214" i="33" s="1"/>
  <c r="F178" i="32"/>
  <c r="G178" i="32" s="1"/>
  <c r="F279" i="32"/>
  <c r="G279" i="32" s="1"/>
  <c r="J251" i="13"/>
  <c r="J245" i="13"/>
  <c r="C249" i="12"/>
  <c r="C321" i="12"/>
  <c r="C19" i="33"/>
  <c r="E19" i="33" s="1"/>
  <c r="C81" i="33"/>
  <c r="E81" i="33" s="1"/>
  <c r="J82" i="13"/>
  <c r="J21" i="13"/>
  <c r="C72" i="12"/>
  <c r="C237" i="33"/>
  <c r="E237" i="33" s="1"/>
  <c r="J238" i="13"/>
  <c r="C151" i="12"/>
  <c r="F263" i="32"/>
  <c r="G263" i="32" s="1"/>
  <c r="J264" i="13"/>
  <c r="C88" i="12"/>
  <c r="C139" i="33"/>
  <c r="E139" i="33" s="1"/>
  <c r="C213" i="12"/>
  <c r="F289" i="32"/>
  <c r="G289" i="32" s="1"/>
  <c r="C109" i="12"/>
  <c r="C227" i="33"/>
  <c r="E227" i="33" s="1"/>
  <c r="C298" i="12"/>
  <c r="C159" i="12"/>
  <c r="C152" i="39"/>
  <c r="F176" i="32"/>
  <c r="G176" i="32" s="1"/>
  <c r="C254" i="12"/>
  <c r="C43" i="12"/>
  <c r="C154" i="12"/>
  <c r="F155" i="32"/>
  <c r="G155" i="32" s="1"/>
  <c r="J156" i="13"/>
  <c r="C188" i="12"/>
  <c r="F36" i="32"/>
  <c r="J37" i="13"/>
  <c r="J162" i="13"/>
  <c r="C256" i="12"/>
  <c r="J257" i="13"/>
  <c r="J22" i="13"/>
  <c r="C182" i="33"/>
  <c r="E182" i="33" s="1"/>
  <c r="J183" i="13"/>
  <c r="F261" i="32"/>
  <c r="G261" i="32" s="1"/>
  <c r="F183" i="32"/>
  <c r="G183" i="32" s="1"/>
  <c r="J184" i="13"/>
  <c r="C226" i="12"/>
  <c r="F299" i="32"/>
  <c r="G299" i="32" s="1"/>
  <c r="J300" i="13"/>
  <c r="J194" i="13"/>
  <c r="C80" i="12"/>
  <c r="J81" i="13"/>
  <c r="C119" i="12"/>
  <c r="C208" i="12"/>
  <c r="J209" i="13"/>
  <c r="J38" i="13"/>
  <c r="C205" i="33"/>
  <c r="E205" i="33" s="1"/>
  <c r="J206" i="13"/>
  <c r="J278" i="13"/>
  <c r="C117" i="33"/>
  <c r="E117" i="33" s="1"/>
  <c r="C117" i="39"/>
  <c r="C202" i="12"/>
  <c r="C290" i="33"/>
  <c r="E290" i="33" s="1"/>
  <c r="J291" i="13"/>
  <c r="C318" i="12"/>
  <c r="F285" i="32"/>
  <c r="G285" i="32" s="1"/>
  <c r="C320" i="39"/>
  <c r="F48" i="32"/>
  <c r="G48" i="32" s="1"/>
  <c r="C262" i="39"/>
  <c r="C280" i="33"/>
  <c r="E280" i="33" s="1"/>
  <c r="C272" i="39"/>
  <c r="C107" i="39"/>
  <c r="F100" i="32"/>
  <c r="G100" i="32" s="1"/>
  <c r="J101" i="13"/>
  <c r="C75" i="12"/>
  <c r="C54" i="33"/>
  <c r="E54" i="33" s="1"/>
  <c r="J55" i="13"/>
  <c r="C44" i="33"/>
  <c r="E44" i="33" s="1"/>
  <c r="C42" i="33"/>
  <c r="E42" i="33" s="1"/>
  <c r="J43" i="13"/>
  <c r="C22" i="33"/>
  <c r="E22" i="33" s="1"/>
  <c r="J23" i="13"/>
  <c r="F324" i="49"/>
  <c r="F22" i="32"/>
  <c r="G22" i="32" s="1"/>
  <c r="J201" i="13"/>
  <c r="C200" i="39"/>
  <c r="C200" i="12"/>
  <c r="C200" i="33"/>
  <c r="F200" i="32"/>
  <c r="G200" i="32" s="1"/>
  <c r="J244" i="13"/>
  <c r="C243" i="39"/>
  <c r="C243" i="12"/>
  <c r="C243" i="33"/>
  <c r="F243" i="32"/>
  <c r="G243" i="32" s="1"/>
  <c r="J297" i="13"/>
  <c r="C296" i="39"/>
  <c r="C296" i="12"/>
  <c r="C296" i="33"/>
  <c r="F296" i="32"/>
  <c r="G296" i="32" s="1"/>
  <c r="J16" i="13"/>
  <c r="C15" i="39"/>
  <c r="C15" i="33"/>
  <c r="E15" i="33" s="1"/>
  <c r="F15" i="32"/>
  <c r="G15" i="32" s="1"/>
  <c r="C15" i="12"/>
  <c r="J248" i="13"/>
  <c r="C247" i="12"/>
  <c r="C247" i="33"/>
  <c r="F247" i="32"/>
  <c r="G247" i="32" s="1"/>
  <c r="C247" i="39"/>
  <c r="J67" i="13"/>
  <c r="C66" i="39"/>
  <c r="C66" i="12"/>
  <c r="F66" i="32"/>
  <c r="G66" i="32" s="1"/>
  <c r="C66" i="33"/>
  <c r="E66" i="33" s="1"/>
  <c r="J51" i="13"/>
  <c r="C50" i="39"/>
  <c r="C50" i="12"/>
  <c r="F50" i="32"/>
  <c r="G50" i="32" s="1"/>
  <c r="C50" i="33"/>
  <c r="E50" i="33" s="1"/>
  <c r="J143" i="13"/>
  <c r="C142" i="39"/>
  <c r="C142" i="12"/>
  <c r="F142" i="32"/>
  <c r="G142" i="32" s="1"/>
  <c r="C142" i="33"/>
  <c r="E142" i="33" s="1"/>
  <c r="J236" i="13"/>
  <c r="C235" i="39"/>
  <c r="C235" i="12"/>
  <c r="C235" i="33"/>
  <c r="F235" i="32"/>
  <c r="G235" i="32" s="1"/>
  <c r="J212" i="13"/>
  <c r="C211" i="39"/>
  <c r="C211" i="12"/>
  <c r="C211" i="33"/>
  <c r="F211" i="32"/>
  <c r="G211" i="32" s="1"/>
  <c r="J32" i="13"/>
  <c r="C31" i="39"/>
  <c r="C31" i="33"/>
  <c r="E31" i="33" s="1"/>
  <c r="C31" i="12"/>
  <c r="F31" i="32"/>
  <c r="G31" i="32" s="1"/>
  <c r="E196" i="33"/>
  <c r="J90" i="13"/>
  <c r="C89" i="39"/>
  <c r="C89" i="12"/>
  <c r="F89" i="32"/>
  <c r="G89" i="32" s="1"/>
  <c r="C89" i="33"/>
  <c r="E89" i="33" s="1"/>
  <c r="C12" i="39"/>
  <c r="J13" i="13"/>
  <c r="C12" i="12"/>
  <c r="C12" i="33"/>
  <c r="E12" i="33" s="1"/>
  <c r="F12" i="32"/>
  <c r="G12" i="32" s="1"/>
  <c r="C273" i="39"/>
  <c r="J274" i="13"/>
  <c r="C273" i="12"/>
  <c r="F273" i="32"/>
  <c r="G273" i="32" s="1"/>
  <c r="C273" i="33"/>
  <c r="E273" i="33" s="1"/>
  <c r="J125" i="13"/>
  <c r="C124" i="39"/>
  <c r="C124" i="12"/>
  <c r="C124" i="33"/>
  <c r="E124" i="33" s="1"/>
  <c r="F124" i="32"/>
  <c r="G124" i="32" s="1"/>
  <c r="J52" i="13"/>
  <c r="C51" i="39"/>
  <c r="C51" i="12"/>
  <c r="C51" i="33"/>
  <c r="F51" i="32"/>
  <c r="G51" i="32" s="1"/>
  <c r="U325" i="19"/>
  <c r="B55" i="40" s="1"/>
  <c r="B57" i="40" s="1"/>
  <c r="J11" i="13"/>
  <c r="C10" i="39"/>
  <c r="C10" i="12"/>
  <c r="F10" i="32"/>
  <c r="G10" i="32" s="1"/>
  <c r="C10" i="33"/>
  <c r="J56" i="13"/>
  <c r="C55" i="39"/>
  <c r="C55" i="12"/>
  <c r="C55" i="33"/>
  <c r="E55" i="33" s="1"/>
  <c r="F55" i="32"/>
  <c r="G55" i="32" s="1"/>
  <c r="J35" i="13"/>
  <c r="C34" i="39"/>
  <c r="C34" i="12"/>
  <c r="F34" i="32"/>
  <c r="G34" i="32" s="1"/>
  <c r="C34" i="33"/>
  <c r="J60" i="13"/>
  <c r="C59" i="39"/>
  <c r="C59" i="12"/>
  <c r="C59" i="33"/>
  <c r="F59" i="32"/>
  <c r="G59" i="32" s="1"/>
  <c r="J188" i="13"/>
  <c r="C187" i="39"/>
  <c r="C187" i="12"/>
  <c r="C187" i="33"/>
  <c r="F187" i="32"/>
  <c r="G187" i="32" s="1"/>
  <c r="J106" i="13"/>
  <c r="C105" i="39"/>
  <c r="C105" i="12"/>
  <c r="F105" i="32"/>
  <c r="G105" i="32" s="1"/>
  <c r="C105" i="33"/>
  <c r="E105" i="33" s="1"/>
  <c r="J308" i="13"/>
  <c r="C307" i="39"/>
  <c r="C307" i="12"/>
  <c r="C307" i="33"/>
  <c r="E307" i="33" s="1"/>
  <c r="F307" i="32"/>
  <c r="G307" i="32" s="1"/>
  <c r="J123" i="13"/>
  <c r="C122" i="39"/>
  <c r="C122" i="12"/>
  <c r="F122" i="32"/>
  <c r="G122" i="32" s="1"/>
  <c r="C122" i="33"/>
  <c r="E122" i="33" s="1"/>
  <c r="J84" i="13"/>
  <c r="C83" i="39"/>
  <c r="C83" i="12"/>
  <c r="C83" i="33"/>
  <c r="F83" i="32"/>
  <c r="G83" i="32" s="1"/>
  <c r="J91" i="13"/>
  <c r="C90" i="39"/>
  <c r="C90" i="12"/>
  <c r="F90" i="32"/>
  <c r="G90" i="32" s="1"/>
  <c r="C90" i="33"/>
  <c r="J79" i="13"/>
  <c r="C78" i="39"/>
  <c r="C78" i="12"/>
  <c r="F78" i="32"/>
  <c r="G78" i="32" s="1"/>
  <c r="C78" i="33"/>
  <c r="C149" i="39"/>
  <c r="C149" i="12"/>
  <c r="J150" i="13"/>
  <c r="F149" i="32"/>
  <c r="G149" i="32" s="1"/>
  <c r="C149" i="33"/>
  <c r="J15" i="13"/>
  <c r="C14" i="39"/>
  <c r="C14" i="12"/>
  <c r="F14" i="32"/>
  <c r="G14" i="32" s="1"/>
  <c r="C14" i="33"/>
  <c r="E14" i="33" s="1"/>
  <c r="J31" i="13"/>
  <c r="C30" i="39"/>
  <c r="C30" i="12"/>
  <c r="F30" i="32"/>
  <c r="G30" i="32" s="1"/>
  <c r="C30" i="33"/>
  <c r="E30" i="33" s="1"/>
  <c r="J114" i="13"/>
  <c r="C113" i="12"/>
  <c r="C113" i="39"/>
  <c r="F113" i="32"/>
  <c r="G113" i="32" s="1"/>
  <c r="C113" i="33"/>
  <c r="E113" i="33" s="1"/>
  <c r="J28" i="13"/>
  <c r="C27" i="39"/>
  <c r="C27" i="12"/>
  <c r="C27" i="33"/>
  <c r="E27" i="33" s="1"/>
  <c r="F27" i="32"/>
  <c r="G27" i="32" s="1"/>
  <c r="J163" i="13"/>
  <c r="C162" i="39"/>
  <c r="C162" i="12"/>
  <c r="F162" i="32"/>
  <c r="G162" i="32" s="1"/>
  <c r="C162" i="33"/>
  <c r="J157" i="13"/>
  <c r="C156" i="39"/>
  <c r="C156" i="12"/>
  <c r="C156" i="33"/>
  <c r="E156" i="33" s="1"/>
  <c r="F156" i="32"/>
  <c r="G156" i="32" s="1"/>
  <c r="J181" i="13"/>
  <c r="C180" i="39"/>
  <c r="C180" i="12"/>
  <c r="C180" i="33"/>
  <c r="E180" i="33" s="1"/>
  <c r="F180" i="32"/>
  <c r="G180" i="32" s="1"/>
  <c r="J284" i="13"/>
  <c r="C283" i="39"/>
  <c r="C283" i="12"/>
  <c r="C283" i="33"/>
  <c r="E283" i="33" s="1"/>
  <c r="F283" i="32"/>
  <c r="G283" i="32" s="1"/>
  <c r="J126" i="13"/>
  <c r="C125" i="12"/>
  <c r="C125" i="39"/>
  <c r="F125" i="32"/>
  <c r="G125" i="32" s="1"/>
  <c r="C125" i="33"/>
  <c r="J85" i="13"/>
  <c r="C84" i="39"/>
  <c r="C84" i="12"/>
  <c r="C84" i="33"/>
  <c r="E84" i="33" s="1"/>
  <c r="F84" i="32"/>
  <c r="G84" i="32" s="1"/>
  <c r="E75" i="33"/>
  <c r="J95" i="13"/>
  <c r="C94" i="39"/>
  <c r="C94" i="12"/>
  <c r="F94" i="32"/>
  <c r="G94" i="32" s="1"/>
  <c r="C94" i="33"/>
  <c r="E94" i="33" s="1"/>
  <c r="J68" i="13"/>
  <c r="C67" i="39"/>
  <c r="C67" i="12"/>
  <c r="C67" i="33"/>
  <c r="E67" i="33" s="1"/>
  <c r="F67" i="32"/>
  <c r="G67" i="32" s="1"/>
  <c r="J75" i="13"/>
  <c r="C74" i="39"/>
  <c r="C74" i="12"/>
  <c r="F74" i="32"/>
  <c r="G74" i="32" s="1"/>
  <c r="C74" i="33"/>
  <c r="J196" i="13"/>
  <c r="C195" i="39"/>
  <c r="C195" i="12"/>
  <c r="C195" i="33"/>
  <c r="F195" i="32"/>
  <c r="G195" i="32" s="1"/>
  <c r="C13" i="39"/>
  <c r="J14" i="13"/>
  <c r="C13" i="12"/>
  <c r="F13" i="32"/>
  <c r="G13" i="32" s="1"/>
  <c r="C13" i="33"/>
  <c r="J119" i="13"/>
  <c r="C118" i="39"/>
  <c r="C118" i="12"/>
  <c r="F118" i="32"/>
  <c r="G118" i="32" s="1"/>
  <c r="C118" i="33"/>
  <c r="E118" i="33" s="1"/>
  <c r="J229" i="13"/>
  <c r="C228" i="39"/>
  <c r="C228" i="12"/>
  <c r="C228" i="33"/>
  <c r="F228" i="32"/>
  <c r="G228" i="32" s="1"/>
  <c r="J48" i="13"/>
  <c r="C47" i="33"/>
  <c r="C47" i="39"/>
  <c r="F47" i="32"/>
  <c r="G47" i="32" s="1"/>
  <c r="C47" i="12"/>
  <c r="J288" i="13"/>
  <c r="C287" i="39"/>
  <c r="C287" i="33"/>
  <c r="C287" i="12"/>
  <c r="F287" i="32"/>
  <c r="G287" i="32" s="1"/>
  <c r="J59" i="13"/>
  <c r="C58" i="39"/>
  <c r="C58" i="12"/>
  <c r="F58" i="32"/>
  <c r="G58" i="32" s="1"/>
  <c r="C58" i="33"/>
  <c r="E58" i="33" s="1"/>
  <c r="E57" i="33"/>
  <c r="C129" i="39"/>
  <c r="C129" i="12"/>
  <c r="F129" i="32"/>
  <c r="G129" i="32" s="1"/>
  <c r="J130" i="13"/>
  <c r="C129" i="33"/>
  <c r="E129" i="33" s="1"/>
  <c r="J77" i="13"/>
  <c r="C76" i="39"/>
  <c r="C76" i="12"/>
  <c r="C76" i="33"/>
  <c r="E76" i="33" s="1"/>
  <c r="F76" i="32"/>
  <c r="G76" i="32" s="1"/>
  <c r="J47" i="13"/>
  <c r="C46" i="39"/>
  <c r="C46" i="12"/>
  <c r="F46" i="32"/>
  <c r="G46" i="32" s="1"/>
  <c r="C46" i="33"/>
  <c r="J232" i="13"/>
  <c r="C231" i="12"/>
  <c r="C231" i="33"/>
  <c r="E231" i="33" s="1"/>
  <c r="C231" i="39"/>
  <c r="F231" i="32"/>
  <c r="G231" i="32" s="1"/>
  <c r="J39" i="13"/>
  <c r="C38" i="39"/>
  <c r="C38" i="12"/>
  <c r="F38" i="32"/>
  <c r="G38" i="32" s="1"/>
  <c r="C38" i="33"/>
  <c r="E38" i="33" s="1"/>
  <c r="J127" i="13"/>
  <c r="C126" i="39"/>
  <c r="C126" i="12"/>
  <c r="F126" i="32"/>
  <c r="G126" i="32" s="1"/>
  <c r="C126" i="33"/>
  <c r="E126" i="33" s="1"/>
  <c r="J211" i="13"/>
  <c r="C210" i="39"/>
  <c r="C210" i="12"/>
  <c r="F210" i="32"/>
  <c r="G210" i="32" s="1"/>
  <c r="C210" i="33"/>
  <c r="J296" i="13"/>
  <c r="C295" i="39"/>
  <c r="C295" i="12"/>
  <c r="C295" i="33"/>
  <c r="E295" i="33" s="1"/>
  <c r="F295" i="32"/>
  <c r="G295" i="32" s="1"/>
  <c r="J256" i="13"/>
  <c r="C255" i="39"/>
  <c r="C255" i="33"/>
  <c r="E255" i="33" s="1"/>
  <c r="C255" i="12"/>
  <c r="F255" i="32"/>
  <c r="G255" i="32" s="1"/>
  <c r="J249" i="13"/>
  <c r="C248" i="39"/>
  <c r="C248" i="12"/>
  <c r="C248" i="33"/>
  <c r="F248" i="32"/>
  <c r="G248" i="32" s="1"/>
  <c r="J80" i="13"/>
  <c r="C79" i="39"/>
  <c r="C79" i="33"/>
  <c r="F79" i="32"/>
  <c r="G79" i="32" s="1"/>
  <c r="C79" i="12"/>
  <c r="J139" i="13"/>
  <c r="C138" i="39"/>
  <c r="C138" i="12"/>
  <c r="F138" i="32"/>
  <c r="G138" i="32" s="1"/>
  <c r="C138" i="33"/>
  <c r="E138" i="33" s="1"/>
  <c r="J107" i="13"/>
  <c r="C106" i="39"/>
  <c r="C106" i="12"/>
  <c r="F106" i="32"/>
  <c r="G106" i="32" s="1"/>
  <c r="C106" i="33"/>
  <c r="J83" i="13"/>
  <c r="C82" i="12"/>
  <c r="C82" i="39"/>
  <c r="F82" i="32"/>
  <c r="G82" i="32" s="1"/>
  <c r="C82" i="33"/>
  <c r="E82" i="33" s="1"/>
  <c r="J304" i="13"/>
  <c r="C303" i="33"/>
  <c r="E303" i="33" s="1"/>
  <c r="C303" i="39"/>
  <c r="F303" i="32"/>
  <c r="G303" i="32" s="1"/>
  <c r="C303" i="12"/>
  <c r="J267" i="13"/>
  <c r="C266" i="12"/>
  <c r="C266" i="39"/>
  <c r="F266" i="32"/>
  <c r="G266" i="32" s="1"/>
  <c r="C266" i="33"/>
  <c r="E266" i="33" s="1"/>
  <c r="J19" i="13"/>
  <c r="C18" i="39"/>
  <c r="C18" i="12"/>
  <c r="F18" i="32"/>
  <c r="G18" i="32" s="1"/>
  <c r="C18" i="33"/>
  <c r="J165" i="13"/>
  <c r="C164" i="39"/>
  <c r="C164" i="12"/>
  <c r="C164" i="33"/>
  <c r="F164" i="32"/>
  <c r="G164" i="32" s="1"/>
  <c r="C165" i="39"/>
  <c r="C165" i="12"/>
  <c r="J166" i="13"/>
  <c r="F165" i="32"/>
  <c r="G165" i="32" s="1"/>
  <c r="C165" i="33"/>
  <c r="E165" i="33" s="1"/>
  <c r="J180" i="13"/>
  <c r="C179" i="39"/>
  <c r="C179" i="12"/>
  <c r="C179" i="33"/>
  <c r="E179" i="33" s="1"/>
  <c r="F179" i="32"/>
  <c r="G179" i="32" s="1"/>
  <c r="C241" i="39"/>
  <c r="J242" i="13"/>
  <c r="C241" i="12"/>
  <c r="F241" i="32"/>
  <c r="G241" i="32" s="1"/>
  <c r="C241" i="33"/>
  <c r="E241" i="33" s="1"/>
  <c r="J200" i="13"/>
  <c r="C199" i="12"/>
  <c r="C199" i="33"/>
  <c r="E199" i="33" s="1"/>
  <c r="C199" i="39"/>
  <c r="F199" i="32"/>
  <c r="G199" i="32" s="1"/>
  <c r="J237" i="13"/>
  <c r="C236" i="39"/>
  <c r="C236" i="12"/>
  <c r="C236" i="33"/>
  <c r="E236" i="33" s="1"/>
  <c r="F236" i="32"/>
  <c r="G236" i="32" s="1"/>
  <c r="J72" i="13"/>
  <c r="C71" i="12"/>
  <c r="C71" i="33"/>
  <c r="E71" i="33" s="1"/>
  <c r="C71" i="39"/>
  <c r="F71" i="32"/>
  <c r="G71" i="32" s="1"/>
  <c r="J176" i="13"/>
  <c r="C175" i="39"/>
  <c r="C175" i="33"/>
  <c r="E175" i="33" s="1"/>
  <c r="C175" i="12"/>
  <c r="F175" i="32"/>
  <c r="G175" i="32" s="1"/>
  <c r="E134" i="33"/>
  <c r="G28" i="32"/>
  <c r="E123" i="33"/>
  <c r="G246" i="32"/>
  <c r="E121" i="33"/>
  <c r="G69" i="32"/>
  <c r="G133" i="32"/>
  <c r="E274" i="33"/>
  <c r="E35" i="33"/>
  <c r="E282" i="33"/>
  <c r="E275" i="33"/>
  <c r="E250" i="33"/>
  <c r="G86" i="32"/>
  <c r="E153" i="33"/>
  <c r="G153" i="32"/>
  <c r="E160" i="33"/>
  <c r="G224" i="32"/>
  <c r="G56" i="32"/>
  <c r="G45" i="32"/>
  <c r="G189" i="32"/>
  <c r="E157" i="33"/>
  <c r="E233" i="33"/>
  <c r="E319" i="33"/>
  <c r="E39" i="33"/>
  <c r="G60" i="32"/>
  <c r="G127" i="32"/>
  <c r="G293" i="32"/>
  <c r="G207" i="32"/>
  <c r="G304" i="32"/>
  <c r="G137" i="32"/>
  <c r="E312" i="33"/>
  <c r="E65" i="33"/>
  <c r="E158" i="33"/>
  <c r="E301" i="33"/>
  <c r="G232" i="32"/>
  <c r="E91" i="33"/>
  <c r="G276" i="32"/>
  <c r="G70" i="32"/>
  <c r="E92" i="33"/>
  <c r="G16" i="32"/>
  <c r="E257" i="33"/>
  <c r="G265" i="32"/>
  <c r="G5" i="32" l="1"/>
  <c r="F323" i="32"/>
  <c r="S325" i="19"/>
  <c r="L324" i="13" s="1"/>
  <c r="E47" i="48"/>
  <c r="C323" i="39"/>
  <c r="K237" i="49"/>
  <c r="L237" i="49" s="1"/>
  <c r="K274" i="49"/>
  <c r="L274" i="49" s="1"/>
  <c r="K56" i="49"/>
  <c r="L56" i="49" s="1"/>
  <c r="K64" i="49"/>
  <c r="L64" i="49" s="1"/>
  <c r="K262" i="49"/>
  <c r="L262" i="49" s="1"/>
  <c r="K241" i="49"/>
  <c r="L241" i="49" s="1"/>
  <c r="K185" i="49"/>
  <c r="L185" i="49" s="1"/>
  <c r="K72" i="49"/>
  <c r="L72" i="49" s="1"/>
  <c r="K35" i="49"/>
  <c r="L35" i="49" s="1"/>
  <c r="K293" i="49"/>
  <c r="L293" i="49" s="1"/>
  <c r="K250" i="49"/>
  <c r="L250" i="49" s="1"/>
  <c r="K198" i="49"/>
  <c r="L198" i="49" s="1"/>
  <c r="K141" i="49"/>
  <c r="L141" i="49" s="1"/>
  <c r="K84" i="49"/>
  <c r="L84" i="49" s="1"/>
  <c r="K51" i="49"/>
  <c r="L51" i="49" s="1"/>
  <c r="K302" i="49"/>
  <c r="L302" i="49" s="1"/>
  <c r="K260" i="49"/>
  <c r="L260" i="49" s="1"/>
  <c r="K238" i="49"/>
  <c r="L238" i="49" s="1"/>
  <c r="K182" i="49"/>
  <c r="L182" i="49" s="1"/>
  <c r="K125" i="49"/>
  <c r="L125" i="49" s="1"/>
  <c r="K67" i="49"/>
  <c r="L67" i="49" s="1"/>
  <c r="K319" i="49"/>
  <c r="L319" i="49" s="1"/>
  <c r="K303" i="49"/>
  <c r="L303" i="49" s="1"/>
  <c r="K271" i="49"/>
  <c r="L271" i="49" s="1"/>
  <c r="K239" i="49"/>
  <c r="L239" i="49" s="1"/>
  <c r="K197" i="49"/>
  <c r="L197" i="49" s="1"/>
  <c r="K176" i="49"/>
  <c r="L176" i="49" s="1"/>
  <c r="K133" i="49"/>
  <c r="L133" i="49" s="1"/>
  <c r="K90" i="49"/>
  <c r="L90" i="49" s="1"/>
  <c r="K40" i="49"/>
  <c r="L40" i="49" s="1"/>
  <c r="K175" i="49"/>
  <c r="L175" i="49" s="1"/>
  <c r="K95" i="49"/>
  <c r="L95" i="49" s="1"/>
  <c r="K79" i="49"/>
  <c r="L79" i="49" s="1"/>
  <c r="K18" i="49"/>
  <c r="L18" i="49" s="1"/>
  <c r="K45" i="49"/>
  <c r="L45" i="49" s="1"/>
  <c r="K13" i="49"/>
  <c r="L13" i="49" s="1"/>
  <c r="K209" i="49"/>
  <c r="L209" i="49" s="1"/>
  <c r="K253" i="49"/>
  <c r="L253" i="49" s="1"/>
  <c r="K16" i="49"/>
  <c r="L16" i="49" s="1"/>
  <c r="K242" i="49"/>
  <c r="L242" i="49" s="1"/>
  <c r="K301" i="49"/>
  <c r="L301" i="49" s="1"/>
  <c r="K222" i="49"/>
  <c r="L222" i="49" s="1"/>
  <c r="K321" i="49"/>
  <c r="L321" i="49" s="1"/>
  <c r="K278" i="49"/>
  <c r="L278" i="49" s="1"/>
  <c r="K257" i="49"/>
  <c r="L257" i="49" s="1"/>
  <c r="K206" i="49"/>
  <c r="L206" i="49" s="1"/>
  <c r="K178" i="49"/>
  <c r="L178" i="49" s="1"/>
  <c r="K63" i="49"/>
  <c r="L63" i="49" s="1"/>
  <c r="K245" i="49"/>
  <c r="L245" i="49" s="1"/>
  <c r="K190" i="49"/>
  <c r="L190" i="49" s="1"/>
  <c r="K77" i="49"/>
  <c r="L77" i="49" s="1"/>
  <c r="K318" i="49"/>
  <c r="L318" i="49" s="1"/>
  <c r="K276" i="49"/>
  <c r="L276" i="49" s="1"/>
  <c r="K232" i="49"/>
  <c r="L232" i="49" s="1"/>
  <c r="K174" i="49"/>
  <c r="L174" i="49" s="1"/>
  <c r="K118" i="49"/>
  <c r="L118" i="49" s="1"/>
  <c r="K58" i="49"/>
  <c r="L58" i="49" s="1"/>
  <c r="K315" i="49"/>
  <c r="L315" i="49" s="1"/>
  <c r="K251" i="49"/>
  <c r="L251" i="49" s="1"/>
  <c r="K192" i="49"/>
  <c r="L192" i="49" s="1"/>
  <c r="K106" i="49"/>
  <c r="L106" i="49" s="1"/>
  <c r="K62" i="49"/>
  <c r="L62" i="49" s="1"/>
  <c r="K235" i="49"/>
  <c r="L235" i="49" s="1"/>
  <c r="K203" i="49"/>
  <c r="L203" i="49" s="1"/>
  <c r="K187" i="49"/>
  <c r="L187" i="49" s="1"/>
  <c r="K139" i="49"/>
  <c r="L139" i="49" s="1"/>
  <c r="K123" i="49"/>
  <c r="L123" i="49" s="1"/>
  <c r="K107" i="49"/>
  <c r="L107" i="49" s="1"/>
  <c r="K91" i="49"/>
  <c r="L91" i="49" s="1"/>
  <c r="K75" i="49"/>
  <c r="L75" i="49" s="1"/>
  <c r="K55" i="49"/>
  <c r="L55" i="49" s="1"/>
  <c r="K34" i="49"/>
  <c r="L34" i="49" s="1"/>
  <c r="K12" i="49"/>
  <c r="L12" i="49" s="1"/>
  <c r="K57" i="49"/>
  <c r="L57" i="49" s="1"/>
  <c r="K41" i="49"/>
  <c r="L41" i="49" s="1"/>
  <c r="K9" i="49"/>
  <c r="L9" i="49" s="1"/>
  <c r="K280" i="49"/>
  <c r="L280" i="49" s="1"/>
  <c r="K296" i="49"/>
  <c r="L296" i="49" s="1"/>
  <c r="K201" i="49"/>
  <c r="L201" i="49" s="1"/>
  <c r="K88" i="49"/>
  <c r="L88" i="49" s="1"/>
  <c r="K188" i="49"/>
  <c r="L188" i="49" s="1"/>
  <c r="K73" i="49"/>
  <c r="L73" i="49" s="1"/>
  <c r="K180" i="49"/>
  <c r="L180" i="49" s="1"/>
  <c r="K269" i="49"/>
  <c r="L269" i="49" s="1"/>
  <c r="K166" i="49"/>
  <c r="L166" i="49" s="1"/>
  <c r="K46" i="49"/>
  <c r="L46" i="49" s="1"/>
  <c r="K310" i="49"/>
  <c r="L310" i="49" s="1"/>
  <c r="K268" i="49"/>
  <c r="L268" i="49" s="1"/>
  <c r="K246" i="49"/>
  <c r="L246" i="49" s="1"/>
  <c r="K221" i="49"/>
  <c r="L221" i="49" s="1"/>
  <c r="K193" i="49"/>
  <c r="L193" i="49" s="1"/>
  <c r="K164" i="49"/>
  <c r="L164" i="49" s="1"/>
  <c r="K136" i="49"/>
  <c r="L136" i="49" s="1"/>
  <c r="K108" i="49"/>
  <c r="L108" i="49" s="1"/>
  <c r="K78" i="49"/>
  <c r="L78" i="49" s="1"/>
  <c r="K43" i="49"/>
  <c r="L43" i="49" s="1"/>
  <c r="K320" i="49"/>
  <c r="L320" i="49" s="1"/>
  <c r="K298" i="49"/>
  <c r="L298" i="49" s="1"/>
  <c r="K277" i="49"/>
  <c r="L277" i="49" s="1"/>
  <c r="K256" i="49"/>
  <c r="L256" i="49" s="1"/>
  <c r="K233" i="49"/>
  <c r="L233" i="49" s="1"/>
  <c r="K205" i="49"/>
  <c r="L205" i="49" s="1"/>
  <c r="K177" i="49"/>
  <c r="L177" i="49" s="1"/>
  <c r="K148" i="49"/>
  <c r="L148" i="49" s="1"/>
  <c r="K92" i="49"/>
  <c r="L92" i="49" s="1"/>
  <c r="K59" i="49"/>
  <c r="L59" i="49" s="1"/>
  <c r="K22" i="49"/>
  <c r="L22" i="49" s="1"/>
  <c r="K308" i="49"/>
  <c r="L308" i="49" s="1"/>
  <c r="K265" i="49"/>
  <c r="L265" i="49" s="1"/>
  <c r="K244" i="49"/>
  <c r="L244" i="49" s="1"/>
  <c r="K217" i="49"/>
  <c r="L217" i="49" s="1"/>
  <c r="K189" i="49"/>
  <c r="L189" i="49" s="1"/>
  <c r="K161" i="49"/>
  <c r="L161" i="49" s="1"/>
  <c r="K132" i="49"/>
  <c r="L132" i="49" s="1"/>
  <c r="K104" i="49"/>
  <c r="L104" i="49" s="1"/>
  <c r="K76" i="49"/>
  <c r="L76" i="49" s="1"/>
  <c r="K38" i="49"/>
  <c r="L38" i="49" s="1"/>
  <c r="K323" i="49"/>
  <c r="L323" i="49" s="1"/>
  <c r="K307" i="49"/>
  <c r="L307" i="49" s="1"/>
  <c r="K275" i="49"/>
  <c r="L275" i="49" s="1"/>
  <c r="K259" i="49"/>
  <c r="L259" i="49" s="1"/>
  <c r="K243" i="49"/>
  <c r="L243" i="49" s="1"/>
  <c r="K224" i="49"/>
  <c r="L224" i="49" s="1"/>
  <c r="K202" i="49"/>
  <c r="L202" i="49" s="1"/>
  <c r="K181" i="49"/>
  <c r="L181" i="49" s="1"/>
  <c r="K160" i="49"/>
  <c r="L160" i="49" s="1"/>
  <c r="K138" i="49"/>
  <c r="L138" i="49" s="1"/>
  <c r="K96" i="49"/>
  <c r="L96" i="49" s="1"/>
  <c r="K74" i="49"/>
  <c r="L74" i="49" s="1"/>
  <c r="K47" i="49"/>
  <c r="L47" i="49" s="1"/>
  <c r="K19" i="49"/>
  <c r="L19" i="49" s="1"/>
  <c r="K227" i="49"/>
  <c r="L227" i="49" s="1"/>
  <c r="K211" i="49"/>
  <c r="L211" i="49" s="1"/>
  <c r="K195" i="49"/>
  <c r="L195" i="49" s="1"/>
  <c r="K179" i="49"/>
  <c r="L179" i="49" s="1"/>
  <c r="K163" i="49"/>
  <c r="L163" i="49" s="1"/>
  <c r="K147" i="49"/>
  <c r="L147" i="49" s="1"/>
  <c r="K115" i="49"/>
  <c r="L115" i="49" s="1"/>
  <c r="K99" i="49"/>
  <c r="L99" i="49" s="1"/>
  <c r="K83" i="49"/>
  <c r="L83" i="49" s="1"/>
  <c r="K66" i="49"/>
  <c r="L66" i="49" s="1"/>
  <c r="K44" i="49"/>
  <c r="L44" i="49" s="1"/>
  <c r="K23" i="49"/>
  <c r="L23" i="49" s="1"/>
  <c r="K65" i="49"/>
  <c r="L65" i="49" s="1"/>
  <c r="K49" i="49"/>
  <c r="L49" i="49" s="1"/>
  <c r="K33" i="49"/>
  <c r="L33" i="49" s="1"/>
  <c r="K17" i="49"/>
  <c r="L17" i="49" s="1"/>
  <c r="K94" i="49"/>
  <c r="L94" i="49" s="1"/>
  <c r="K173" i="49"/>
  <c r="L173" i="49" s="1"/>
  <c r="K264" i="49"/>
  <c r="L264" i="49" s="1"/>
  <c r="K36" i="49"/>
  <c r="L36" i="49" s="1"/>
  <c r="K248" i="49"/>
  <c r="L248" i="49" s="1"/>
  <c r="K214" i="49"/>
  <c r="L214" i="49" s="1"/>
  <c r="K157" i="49"/>
  <c r="L157" i="49" s="1"/>
  <c r="K100" i="49"/>
  <c r="L100" i="49" s="1"/>
  <c r="K272" i="49"/>
  <c r="L272" i="49" s="1"/>
  <c r="K169" i="49"/>
  <c r="L169" i="49" s="1"/>
  <c r="K113" i="49"/>
  <c r="L113" i="49" s="1"/>
  <c r="K281" i="49"/>
  <c r="L281" i="49" s="1"/>
  <c r="K210" i="49"/>
  <c r="L210" i="49" s="1"/>
  <c r="K153" i="49"/>
  <c r="L153" i="49" s="1"/>
  <c r="K97" i="49"/>
  <c r="L97" i="49" s="1"/>
  <c r="K30" i="49"/>
  <c r="L30" i="49" s="1"/>
  <c r="K255" i="49"/>
  <c r="L255" i="49" s="1"/>
  <c r="K218" i="49"/>
  <c r="L218" i="49" s="1"/>
  <c r="K68" i="49"/>
  <c r="L68" i="49" s="1"/>
  <c r="K11" i="49"/>
  <c r="L11" i="49" s="1"/>
  <c r="K223" i="49"/>
  <c r="L223" i="49" s="1"/>
  <c r="K191" i="49"/>
  <c r="L191" i="49" s="1"/>
  <c r="K159" i="49"/>
  <c r="L159" i="49" s="1"/>
  <c r="K143" i="49"/>
  <c r="L143" i="49" s="1"/>
  <c r="K111" i="49"/>
  <c r="L111" i="49" s="1"/>
  <c r="K60" i="49"/>
  <c r="L60" i="49" s="1"/>
  <c r="K39" i="49"/>
  <c r="L39" i="49" s="1"/>
  <c r="K61" i="49"/>
  <c r="L61" i="49" s="1"/>
  <c r="K29" i="49"/>
  <c r="L29" i="49" s="1"/>
  <c r="K27" i="49"/>
  <c r="L27" i="49" s="1"/>
  <c r="K145" i="49"/>
  <c r="L145" i="49" s="1"/>
  <c r="L312" i="49"/>
  <c r="K109" i="49"/>
  <c r="L109" i="49" s="1"/>
  <c r="K300" i="49"/>
  <c r="L300" i="49" s="1"/>
  <c r="K236" i="49"/>
  <c r="L236" i="49" s="1"/>
  <c r="K93" i="49"/>
  <c r="L93" i="49" s="1"/>
  <c r="K24" i="49"/>
  <c r="L24" i="49" s="1"/>
  <c r="K309" i="49"/>
  <c r="L309" i="49" s="1"/>
  <c r="K266" i="49"/>
  <c r="L266" i="49" s="1"/>
  <c r="K220" i="49"/>
  <c r="L220" i="49" s="1"/>
  <c r="K162" i="49"/>
  <c r="L162" i="49" s="1"/>
  <c r="K105" i="49"/>
  <c r="L105" i="49" s="1"/>
  <c r="K42" i="49"/>
  <c r="L42" i="49" s="1"/>
  <c r="K297" i="49"/>
  <c r="L297" i="49" s="1"/>
  <c r="K254" i="49"/>
  <c r="L254" i="49" s="1"/>
  <c r="K204" i="49"/>
  <c r="L204" i="49" s="1"/>
  <c r="K146" i="49"/>
  <c r="L146" i="49" s="1"/>
  <c r="K89" i="49"/>
  <c r="L89" i="49" s="1"/>
  <c r="K20" i="49"/>
  <c r="L20" i="49" s="1"/>
  <c r="K299" i="49"/>
  <c r="L299" i="49" s="1"/>
  <c r="K267" i="49"/>
  <c r="L267" i="49" s="1"/>
  <c r="K234" i="49"/>
  <c r="L234" i="49" s="1"/>
  <c r="K213" i="49"/>
  <c r="L213" i="49" s="1"/>
  <c r="K170" i="49"/>
  <c r="L170" i="49" s="1"/>
  <c r="K85" i="49"/>
  <c r="L85" i="49" s="1"/>
  <c r="K32" i="49"/>
  <c r="L32" i="49" s="1"/>
  <c r="K219" i="49"/>
  <c r="L219" i="49" s="1"/>
  <c r="K171" i="49"/>
  <c r="L171" i="49" s="1"/>
  <c r="K25" i="49"/>
  <c r="L25" i="49" s="1"/>
  <c r="K152" i="49"/>
  <c r="L152" i="49" s="1"/>
  <c r="K317" i="49"/>
  <c r="L317" i="49" s="1"/>
  <c r="K116" i="49"/>
  <c r="L116" i="49" s="1"/>
  <c r="K306" i="49"/>
  <c r="L306" i="49" s="1"/>
  <c r="K216" i="49"/>
  <c r="L216" i="49" s="1"/>
  <c r="K102" i="49"/>
  <c r="L102" i="49" s="1"/>
  <c r="K258" i="49"/>
  <c r="L258" i="49" s="1"/>
  <c r="K194" i="49"/>
  <c r="L194" i="49" s="1"/>
  <c r="K81" i="49"/>
  <c r="L81" i="49" s="1"/>
  <c r="K316" i="49"/>
  <c r="L316" i="49" s="1"/>
  <c r="K294" i="49"/>
  <c r="L294" i="49" s="1"/>
  <c r="K273" i="49"/>
  <c r="L273" i="49" s="1"/>
  <c r="K252" i="49"/>
  <c r="L252" i="49" s="1"/>
  <c r="K228" i="49"/>
  <c r="L228" i="49" s="1"/>
  <c r="K200" i="49"/>
  <c r="L200" i="49" s="1"/>
  <c r="K172" i="49"/>
  <c r="L172" i="49" s="1"/>
  <c r="K142" i="49"/>
  <c r="L142" i="49" s="1"/>
  <c r="K86" i="49"/>
  <c r="L86" i="49" s="1"/>
  <c r="K52" i="49"/>
  <c r="L52" i="49" s="1"/>
  <c r="K15" i="49"/>
  <c r="L15" i="49" s="1"/>
  <c r="K282" i="49"/>
  <c r="L282" i="49" s="1"/>
  <c r="K261" i="49"/>
  <c r="L261" i="49" s="1"/>
  <c r="K240" i="49"/>
  <c r="L240" i="49" s="1"/>
  <c r="K212" i="49"/>
  <c r="L212" i="49" s="1"/>
  <c r="K184" i="49"/>
  <c r="L184" i="49" s="1"/>
  <c r="K98" i="49"/>
  <c r="L98" i="49" s="1"/>
  <c r="K70" i="49"/>
  <c r="L70" i="49" s="1"/>
  <c r="K31" i="49"/>
  <c r="L31" i="49" s="1"/>
  <c r="K313" i="49"/>
  <c r="L313" i="49" s="1"/>
  <c r="K270" i="49"/>
  <c r="L270" i="49" s="1"/>
  <c r="K249" i="49"/>
  <c r="L249" i="49" s="1"/>
  <c r="K225" i="49"/>
  <c r="L225" i="49" s="1"/>
  <c r="K168" i="49"/>
  <c r="L168" i="49" s="1"/>
  <c r="K140" i="49"/>
  <c r="L140" i="49" s="1"/>
  <c r="K110" i="49"/>
  <c r="L110" i="49" s="1"/>
  <c r="K82" i="49"/>
  <c r="L82" i="49" s="1"/>
  <c r="K48" i="49"/>
  <c r="L48" i="49" s="1"/>
  <c r="K10" i="49"/>
  <c r="L10" i="49" s="1"/>
  <c r="K311" i="49"/>
  <c r="L311" i="49" s="1"/>
  <c r="K295" i="49"/>
  <c r="L295" i="49" s="1"/>
  <c r="K279" i="49"/>
  <c r="L279" i="49" s="1"/>
  <c r="K263" i="49"/>
  <c r="L263" i="49" s="1"/>
  <c r="K247" i="49"/>
  <c r="L247" i="49" s="1"/>
  <c r="K229" i="49"/>
  <c r="L229" i="49" s="1"/>
  <c r="K186" i="49"/>
  <c r="L186" i="49" s="1"/>
  <c r="K165" i="49"/>
  <c r="L165" i="49" s="1"/>
  <c r="K101" i="49"/>
  <c r="L101" i="49" s="1"/>
  <c r="K80" i="49"/>
  <c r="L80" i="49" s="1"/>
  <c r="K54" i="49"/>
  <c r="L54" i="49" s="1"/>
  <c r="K26" i="49"/>
  <c r="L26" i="49" s="1"/>
  <c r="K215" i="49"/>
  <c r="L215" i="49" s="1"/>
  <c r="K199" i="49"/>
  <c r="L199" i="49" s="1"/>
  <c r="K183" i="49"/>
  <c r="L183" i="49" s="1"/>
  <c r="K167" i="49"/>
  <c r="L167" i="49" s="1"/>
  <c r="K103" i="49"/>
  <c r="L103" i="49" s="1"/>
  <c r="K87" i="49"/>
  <c r="L87" i="49" s="1"/>
  <c r="K71" i="49"/>
  <c r="L71" i="49" s="1"/>
  <c r="K50" i="49"/>
  <c r="L50" i="49" s="1"/>
  <c r="K28" i="49"/>
  <c r="L28" i="49" s="1"/>
  <c r="K69" i="49"/>
  <c r="L69" i="49" s="1"/>
  <c r="K53" i="49"/>
  <c r="L53" i="49" s="1"/>
  <c r="K37" i="49"/>
  <c r="L37" i="49" s="1"/>
  <c r="K21" i="49"/>
  <c r="L21" i="49" s="1"/>
  <c r="J324" i="49"/>
  <c r="G324" i="49"/>
  <c r="E164" i="33"/>
  <c r="E106" i="33"/>
  <c r="E248" i="33"/>
  <c r="E162" i="33"/>
  <c r="E46" i="33"/>
  <c r="E287" i="33"/>
  <c r="E195" i="33"/>
  <c r="E149" i="33"/>
  <c r="E83" i="33"/>
  <c r="E34" i="33"/>
  <c r="E210" i="33"/>
  <c r="E187" i="33"/>
  <c r="E74" i="33"/>
  <c r="E228" i="33"/>
  <c r="E78" i="33"/>
  <c r="E59" i="33"/>
  <c r="E51" i="33"/>
  <c r="E296" i="33"/>
  <c r="E125" i="33"/>
  <c r="E235" i="33"/>
  <c r="E18" i="33"/>
  <c r="E79" i="33"/>
  <c r="E200" i="33"/>
  <c r="E247" i="33"/>
  <c r="E47" i="33"/>
  <c r="E13" i="33"/>
  <c r="E90" i="33"/>
  <c r="E10" i="33"/>
  <c r="E211" i="33"/>
  <c r="E243" i="33"/>
  <c r="C323" i="12"/>
  <c r="G36" i="32"/>
  <c r="E36" i="33"/>
  <c r="E7" i="33"/>
  <c r="E6" i="33"/>
  <c r="L8" i="49" l="1"/>
  <c r="L324" i="49" s="1"/>
  <c r="K324" i="49"/>
  <c r="N324" i="49" s="1"/>
  <c r="G323" i="37"/>
  <c r="H322" i="37" s="1"/>
  <c r="G323" i="32"/>
  <c r="C323" i="33"/>
  <c r="E323" i="33" s="1"/>
  <c r="B58" i="40"/>
  <c r="B43" i="40" s="1"/>
  <c r="B45" i="40" s="1"/>
  <c r="H2" i="33" l="1"/>
  <c r="H57" i="33" s="1"/>
  <c r="G2" i="33"/>
  <c r="F61" i="33"/>
  <c r="P5" i="13"/>
  <c r="H290" i="37"/>
  <c r="H62" i="37"/>
  <c r="H267" i="37"/>
  <c r="H197" i="37"/>
  <c r="H262" i="37"/>
  <c r="H312" i="37"/>
  <c r="H315" i="37"/>
  <c r="H118" i="37"/>
  <c r="H233" i="37"/>
  <c r="H287" i="37"/>
  <c r="H126" i="37"/>
  <c r="H60" i="37"/>
  <c r="H195" i="37"/>
  <c r="H132" i="37"/>
  <c r="H137" i="37"/>
  <c r="H79" i="37"/>
  <c r="H178" i="37"/>
  <c r="H190" i="37"/>
  <c r="H99" i="37"/>
  <c r="H106" i="37"/>
  <c r="H212" i="37"/>
  <c r="H11" i="37"/>
  <c r="H318" i="37"/>
  <c r="H182" i="37"/>
  <c r="H305" i="37"/>
  <c r="H157" i="37"/>
  <c r="H237" i="37"/>
  <c r="H161" i="37"/>
  <c r="H205" i="37"/>
  <c r="H311" i="37"/>
  <c r="H254" i="37"/>
  <c r="H241" i="37"/>
  <c r="H252" i="37"/>
  <c r="H145" i="37"/>
  <c r="H186" i="37"/>
  <c r="H111" i="37"/>
  <c r="H235" i="37"/>
  <c r="H61" i="37"/>
  <c r="H151" i="37"/>
  <c r="H54" i="37"/>
  <c r="H323" i="37"/>
  <c r="H313" i="37"/>
  <c r="H256" i="37"/>
  <c r="H277" i="37"/>
  <c r="H251" i="37"/>
  <c r="H130" i="37"/>
  <c r="H184" i="37"/>
  <c r="H273" i="37"/>
  <c r="H310" i="37"/>
  <c r="H224" i="37"/>
  <c r="H158" i="37"/>
  <c r="H308" i="37"/>
  <c r="H200" i="37"/>
  <c r="H268" i="37"/>
  <c r="H141" i="37"/>
  <c r="H226" i="37"/>
  <c r="H92" i="37"/>
  <c r="H269" i="37"/>
  <c r="H304" i="37"/>
  <c r="H219" i="37"/>
  <c r="H154" i="37"/>
  <c r="H244" i="37"/>
  <c r="H296" i="37"/>
  <c r="H115" i="37"/>
  <c r="H278" i="37"/>
  <c r="H211" i="37"/>
  <c r="H109" i="37"/>
  <c r="H297" i="37"/>
  <c r="H294" i="37"/>
  <c r="H204" i="37"/>
  <c r="H97" i="37"/>
  <c r="H35" i="37"/>
  <c r="H82" i="37"/>
  <c r="H209" i="37"/>
  <c r="H36" i="37"/>
  <c r="H94" i="37"/>
  <c r="H264" i="37"/>
  <c r="H41" i="37"/>
  <c r="H143" i="37"/>
  <c r="H22" i="37"/>
  <c r="H98" i="37"/>
  <c r="H301" i="37"/>
  <c r="H299" i="37"/>
  <c r="H309" i="37"/>
  <c r="H272" i="37"/>
  <c r="H162" i="37"/>
  <c r="H231" i="37"/>
  <c r="H289" i="37"/>
  <c r="H225" i="37"/>
  <c r="H246" i="37"/>
  <c r="H174" i="37"/>
  <c r="H110" i="37"/>
  <c r="H223" i="37"/>
  <c r="H306" i="37"/>
  <c r="H169" i="37"/>
  <c r="H275" i="37"/>
  <c r="H117" i="37"/>
  <c r="H317" i="37"/>
  <c r="H221" i="37"/>
  <c r="H240" i="37"/>
  <c r="H170" i="37"/>
  <c r="H302" i="37"/>
  <c r="H152" i="37"/>
  <c r="H136" i="37"/>
  <c r="H72" i="37"/>
  <c r="H238" i="37"/>
  <c r="H183" i="37"/>
  <c r="H103" i="37"/>
  <c r="H245" i="37"/>
  <c r="H276" i="37"/>
  <c r="H236" i="37"/>
  <c r="H23" i="37"/>
  <c r="H66" i="37"/>
  <c r="H187" i="37"/>
  <c r="H24" i="37"/>
  <c r="H73" i="37"/>
  <c r="H188" i="37"/>
  <c r="H25" i="37"/>
  <c r="H113" i="37"/>
  <c r="H319" i="37"/>
  <c r="H70" i="37"/>
  <c r="H281" i="37"/>
  <c r="H214" i="37"/>
  <c r="H229" i="37"/>
  <c r="H210" i="37"/>
  <c r="H316" i="37"/>
  <c r="H314" i="37"/>
  <c r="H257" i="37"/>
  <c r="H288" i="37"/>
  <c r="H206" i="37"/>
  <c r="H142" i="37"/>
  <c r="H280" i="37"/>
  <c r="H179" i="37"/>
  <c r="H228" i="37"/>
  <c r="H120" i="37"/>
  <c r="H185" i="37"/>
  <c r="H76" i="37"/>
  <c r="H253" i="37"/>
  <c r="H283" i="37"/>
  <c r="H202" i="37"/>
  <c r="H122" i="37"/>
  <c r="H216" i="37"/>
  <c r="H258" i="37"/>
  <c r="H175" i="37"/>
  <c r="H134" i="37"/>
  <c r="H168" i="37"/>
  <c r="H250" i="37"/>
  <c r="H217" i="37"/>
  <c r="H146" i="37"/>
  <c r="H104" i="37"/>
  <c r="H64" i="37"/>
  <c r="H39" i="37"/>
  <c r="H119" i="37"/>
  <c r="H279" i="37"/>
  <c r="H40" i="37"/>
  <c r="H129" i="37"/>
  <c r="H298" i="37"/>
  <c r="H49" i="37"/>
  <c r="H218" i="37"/>
  <c r="H34" i="37"/>
  <c r="H127" i="37"/>
  <c r="F130" i="33"/>
  <c r="H138" i="37"/>
  <c r="H274" i="37"/>
  <c r="H173" i="37"/>
  <c r="H220" i="37"/>
  <c r="H213" i="37"/>
  <c r="H265" i="37"/>
  <c r="H102" i="37"/>
  <c r="H286" i="37"/>
  <c r="H300" i="37"/>
  <c r="H68" i="37"/>
  <c r="H261" i="37"/>
  <c r="H114" i="37"/>
  <c r="H176" i="37"/>
  <c r="H124" i="37"/>
  <c r="H19" i="37"/>
  <c r="H43" i="37"/>
  <c r="H100" i="37"/>
  <c r="H199" i="37"/>
  <c r="H12" i="37"/>
  <c r="H57" i="37"/>
  <c r="H101" i="37"/>
  <c r="H201" i="37"/>
  <c r="H17" i="37"/>
  <c r="H69" i="37"/>
  <c r="H153" i="37"/>
  <c r="H14" i="37"/>
  <c r="H65" i="37"/>
  <c r="H159" i="37"/>
  <c r="H263" i="37"/>
  <c r="H88" i="37"/>
  <c r="H198" i="37"/>
  <c r="H266" i="37"/>
  <c r="H147" i="37"/>
  <c r="H155" i="37"/>
  <c r="H165" i="37"/>
  <c r="H285" i="37"/>
  <c r="H166" i="37"/>
  <c r="H194" i="37"/>
  <c r="H163" i="37"/>
  <c r="H148" i="37"/>
  <c r="H156" i="37"/>
  <c r="H7" i="37"/>
  <c r="H27" i="37"/>
  <c r="H55" i="37"/>
  <c r="H87" i="37"/>
  <c r="H149" i="37"/>
  <c r="H260" i="37"/>
  <c r="H20" i="37"/>
  <c r="H44" i="37"/>
  <c r="H83" i="37"/>
  <c r="H140" i="37"/>
  <c r="H232" i="37"/>
  <c r="H9" i="37"/>
  <c r="H45" i="37"/>
  <c r="H90" i="37"/>
  <c r="H207" i="37"/>
  <c r="H320" i="37"/>
  <c r="H38" i="37"/>
  <c r="H91" i="37"/>
  <c r="H181" i="37"/>
  <c r="H222" i="37"/>
  <c r="H191" i="37"/>
  <c r="H95" i="37"/>
  <c r="H139" i="37"/>
  <c r="H56" i="37"/>
  <c r="H150" i="37"/>
  <c r="H295" i="37"/>
  <c r="H189" i="37"/>
  <c r="H248" i="37"/>
  <c r="H131" i="37"/>
  <c r="H203" i="37"/>
  <c r="H84" i="37"/>
  <c r="H249" i="37"/>
  <c r="H293" i="37"/>
  <c r="H230" i="37"/>
  <c r="H259" i="37"/>
  <c r="H239" i="37"/>
  <c r="H125" i="37"/>
  <c r="H193" i="37"/>
  <c r="H80" i="37"/>
  <c r="H15" i="37"/>
  <c r="H31" i="37"/>
  <c r="H47" i="37"/>
  <c r="H77" i="37"/>
  <c r="H108" i="37"/>
  <c r="H160" i="37"/>
  <c r="H243" i="37"/>
  <c r="H8" i="37"/>
  <c r="H28" i="37"/>
  <c r="H52" i="37"/>
  <c r="H78" i="37"/>
  <c r="H112" i="37"/>
  <c r="H177" i="37"/>
  <c r="H247" i="37"/>
  <c r="H321" i="37"/>
  <c r="H29" i="37"/>
  <c r="H63" i="37"/>
  <c r="H105" i="37"/>
  <c r="H167" i="37"/>
  <c r="H284" i="37"/>
  <c r="H18" i="37"/>
  <c r="H46" i="37"/>
  <c r="H86" i="37"/>
  <c r="H135" i="37"/>
  <c r="H242" i="37"/>
  <c r="F232" i="33"/>
  <c r="H13" i="37"/>
  <c r="H33" i="37"/>
  <c r="H58" i="37"/>
  <c r="H85" i="37"/>
  <c r="H123" i="37"/>
  <c r="H192" i="37"/>
  <c r="H270" i="37"/>
  <c r="H6" i="37"/>
  <c r="H30" i="37"/>
  <c r="H50" i="37"/>
  <c r="H75" i="37"/>
  <c r="H116" i="37"/>
  <c r="H171" i="37"/>
  <c r="H307" i="37"/>
  <c r="F218" i="33"/>
  <c r="F122" i="33"/>
  <c r="F215" i="33"/>
  <c r="H271" i="37"/>
  <c r="F133" i="33"/>
  <c r="F306" i="33"/>
  <c r="F298" i="33"/>
  <c r="F152" i="33"/>
  <c r="H208" i="37"/>
  <c r="H291" i="37"/>
  <c r="F209" i="33"/>
  <c r="F314" i="33"/>
  <c r="F196" i="33"/>
  <c r="F128" i="33"/>
  <c r="F89" i="33"/>
  <c r="F44" i="33"/>
  <c r="F318" i="33"/>
  <c r="F48" i="33"/>
  <c r="F114" i="33"/>
  <c r="F307" i="33"/>
  <c r="F293" i="33"/>
  <c r="F11" i="33"/>
  <c r="F19" i="33"/>
  <c r="F99" i="33"/>
  <c r="F309" i="33"/>
  <c r="F27" i="33"/>
  <c r="F242" i="33"/>
  <c r="F158" i="33"/>
  <c r="J2" i="33"/>
  <c r="J15" i="33" s="1"/>
  <c r="H51" i="37"/>
  <c r="H71" i="37"/>
  <c r="H93" i="37"/>
  <c r="H128" i="37"/>
  <c r="H172" i="37"/>
  <c r="H227" i="37"/>
  <c r="H292" i="37"/>
  <c r="H16" i="37"/>
  <c r="H32" i="37"/>
  <c r="H48" i="37"/>
  <c r="H67" i="37"/>
  <c r="H89" i="37"/>
  <c r="H121" i="37"/>
  <c r="H164" i="37"/>
  <c r="H215" i="37"/>
  <c r="H282" i="37"/>
  <c r="H5" i="37"/>
  <c r="H21" i="37"/>
  <c r="H37" i="37"/>
  <c r="H53" i="37"/>
  <c r="H74" i="37"/>
  <c r="H96" i="37"/>
  <c r="H133" i="37"/>
  <c r="H180" i="37"/>
  <c r="H234" i="37"/>
  <c r="H303" i="37"/>
  <c r="H10" i="37"/>
  <c r="H26" i="37"/>
  <c r="H42" i="37"/>
  <c r="H59" i="37"/>
  <c r="H81" i="37"/>
  <c r="H107" i="37"/>
  <c r="H144" i="37"/>
  <c r="H196" i="37"/>
  <c r="H255" i="37"/>
  <c r="F281" i="33"/>
  <c r="F251" i="33"/>
  <c r="F145" i="33"/>
  <c r="F153" i="33"/>
  <c r="F107" i="33"/>
  <c r="F217" i="33"/>
  <c r="F135" i="33"/>
  <c r="F51" i="33"/>
  <c r="F25" i="33"/>
  <c r="F79" i="33"/>
  <c r="F58" i="33"/>
  <c r="F149" i="33"/>
  <c r="F42" i="33"/>
  <c r="F100" i="33"/>
  <c r="F69" i="33"/>
  <c r="F282" i="33"/>
  <c r="F165" i="33"/>
  <c r="F178" i="33"/>
  <c r="F278" i="33"/>
  <c r="F81" i="33"/>
  <c r="F28" i="33"/>
  <c r="F86" i="33"/>
  <c r="F146" i="33"/>
  <c r="F101" i="33"/>
  <c r="F143" i="33"/>
  <c r="F60" i="33"/>
  <c r="F264" i="33"/>
  <c r="F249" i="33"/>
  <c r="F160" i="33"/>
  <c r="F187" i="33"/>
  <c r="F96" i="33"/>
  <c r="F304" i="33"/>
  <c r="F33" i="33"/>
  <c r="F273" i="33"/>
  <c r="F229" i="33"/>
  <c r="F140" i="33"/>
  <c r="F313" i="33"/>
  <c r="F211" i="33"/>
  <c r="F173" i="33"/>
  <c r="F35" i="33"/>
  <c r="F192" i="33"/>
  <c r="F167" i="33"/>
  <c r="F125" i="33"/>
  <c r="F184" i="33"/>
  <c r="F210" i="33"/>
  <c r="F66" i="33"/>
  <c r="F98" i="33"/>
  <c r="F157" i="33"/>
  <c r="F206" i="33"/>
  <c r="F54" i="33"/>
  <c r="F40" i="33"/>
  <c r="F168" i="33"/>
  <c r="F34" i="33"/>
  <c r="F305" i="33"/>
  <c r="F102" i="33"/>
  <c r="F271" i="33"/>
  <c r="F29" i="33"/>
  <c r="F56" i="33"/>
  <c r="F254" i="33"/>
  <c r="F72" i="33"/>
  <c r="F179" i="33"/>
  <c r="F193" i="33"/>
  <c r="F111" i="33"/>
  <c r="F284" i="33"/>
  <c r="F301" i="33"/>
  <c r="F289" i="33"/>
  <c r="F59" i="33"/>
  <c r="F292" i="33"/>
  <c r="F124" i="33"/>
  <c r="F280" i="33"/>
  <c r="F315" i="33"/>
  <c r="F311" i="33"/>
  <c r="F17" i="33"/>
  <c r="F188" i="33"/>
  <c r="F77" i="33"/>
  <c r="F261" i="33"/>
  <c r="F123" i="33"/>
  <c r="F23" i="33"/>
  <c r="F18" i="33"/>
  <c r="F169" i="33"/>
  <c r="F166" i="33"/>
  <c r="F105" i="33"/>
  <c r="F31" i="33"/>
  <c r="F117" i="33"/>
  <c r="F296" i="33"/>
  <c r="F243" i="33"/>
  <c r="F174" i="33"/>
  <c r="F274" i="33"/>
  <c r="F57" i="33"/>
  <c r="F87" i="33"/>
  <c r="F45" i="33"/>
  <c r="F212" i="33"/>
  <c r="F172" i="33"/>
  <c r="F175" i="33"/>
  <c r="F277" i="33"/>
  <c r="F115" i="33"/>
  <c r="F319" i="33"/>
  <c r="F320" i="33"/>
  <c r="F156" i="33"/>
  <c r="F110" i="33"/>
  <c r="F321" i="33"/>
  <c r="F214" i="33"/>
  <c r="F12" i="33"/>
  <c r="F161" i="33"/>
  <c r="F221" i="33"/>
  <c r="F137" i="33"/>
  <c r="F94" i="33"/>
  <c r="F38" i="33"/>
  <c r="F78" i="33"/>
  <c r="F41" i="33"/>
  <c r="F291" i="33"/>
  <c r="F235" i="33"/>
  <c r="F83" i="33"/>
  <c r="F24" i="33"/>
  <c r="F163" i="33"/>
  <c r="F219" i="33"/>
  <c r="F132" i="33"/>
  <c r="F37" i="33"/>
  <c r="F9" i="33"/>
  <c r="F231" i="33"/>
  <c r="F88" i="33"/>
  <c r="F95" i="33"/>
  <c r="F186" i="33"/>
  <c r="F200" i="33"/>
  <c r="F208" i="33"/>
  <c r="F230" i="33"/>
  <c r="F312" i="33"/>
  <c r="F310" i="33"/>
  <c r="F226" i="33"/>
  <c r="F150" i="33"/>
  <c r="F287" i="33"/>
  <c r="F52" i="33"/>
  <c r="F253" i="33"/>
  <c r="F303" i="33"/>
  <c r="F237" i="33"/>
  <c r="F316" i="33"/>
  <c r="F257" i="33"/>
  <c r="F276" i="33"/>
  <c r="F203" i="33"/>
  <c r="F136" i="33"/>
  <c r="F228" i="33"/>
  <c r="F223" i="33"/>
  <c r="F259" i="33"/>
  <c r="F155" i="33"/>
  <c r="F250" i="33"/>
  <c r="F154" i="33"/>
  <c r="F244" i="33"/>
  <c r="F322" i="33"/>
  <c r="F238" i="33"/>
  <c r="F32" i="33"/>
  <c r="F297" i="33"/>
  <c r="F121" i="33"/>
  <c r="F225" i="33"/>
  <c r="F97" i="33"/>
  <c r="F46" i="33"/>
  <c r="F151" i="33"/>
  <c r="F55" i="33"/>
  <c r="F39" i="33"/>
  <c r="F20" i="33"/>
  <c r="F131" i="33"/>
  <c r="F22" i="33"/>
  <c r="F109" i="33"/>
  <c r="F236" i="33"/>
  <c r="F73" i="33"/>
  <c r="F262" i="33"/>
  <c r="F82" i="33"/>
  <c r="F138" i="33"/>
  <c r="F272" i="33"/>
  <c r="F205" i="33"/>
  <c r="F15" i="33"/>
  <c r="F13" i="33"/>
  <c r="F49" i="33"/>
  <c r="F246" i="33"/>
  <c r="F233" i="33"/>
  <c r="F170" i="33"/>
  <c r="F201" i="33"/>
  <c r="F317" i="33"/>
  <c r="F8" i="33"/>
  <c r="F120" i="33"/>
  <c r="F252" i="33"/>
  <c r="F194" i="33"/>
  <c r="F204" i="33"/>
  <c r="F10" i="33"/>
  <c r="F139" i="33"/>
  <c r="F68" i="33"/>
  <c r="F295" i="33"/>
  <c r="F270" i="33"/>
  <c r="F267" i="33"/>
  <c r="F279" i="33"/>
  <c r="F74" i="33"/>
  <c r="F240" i="33"/>
  <c r="F182" i="33"/>
  <c r="F7" i="33"/>
  <c r="F241" i="33"/>
  <c r="F5" i="33"/>
  <c r="F300" i="33"/>
  <c r="F248" i="33"/>
  <c r="F294" i="33"/>
  <c r="F176" i="33"/>
  <c r="F144" i="33"/>
  <c r="F177" i="33"/>
  <c r="F75" i="33"/>
  <c r="F181" i="33"/>
  <c r="F116" i="33"/>
  <c r="F263" i="33"/>
  <c r="F283" i="33"/>
  <c r="F65" i="33"/>
  <c r="F103" i="33"/>
  <c r="F299" i="33"/>
  <c r="F113" i="33"/>
  <c r="F47" i="33"/>
  <c r="F189" i="33"/>
  <c r="F222" i="33"/>
  <c r="F64" i="33"/>
  <c r="F80" i="33"/>
  <c r="F247" i="33"/>
  <c r="F195" i="33"/>
  <c r="F183" i="33"/>
  <c r="F147" i="33"/>
  <c r="F227" i="33"/>
  <c r="F290" i="33"/>
  <c r="F26" i="33"/>
  <c r="F108" i="33"/>
  <c r="F127" i="33"/>
  <c r="F21" i="33"/>
  <c r="F308" i="33"/>
  <c r="F63" i="33"/>
  <c r="F285" i="33"/>
  <c r="F260" i="33"/>
  <c r="F159" i="33"/>
  <c r="F164" i="33"/>
  <c r="F36" i="33"/>
  <c r="F213" i="33"/>
  <c r="F162" i="33"/>
  <c r="F220" i="33"/>
  <c r="F62" i="33"/>
  <c r="F148" i="33"/>
  <c r="F255" i="33"/>
  <c r="F43" i="33"/>
  <c r="F53" i="33"/>
  <c r="F71" i="33"/>
  <c r="F30" i="33"/>
  <c r="F93" i="33"/>
  <c r="F141" i="33"/>
  <c r="F197" i="33"/>
  <c r="F302" i="33"/>
  <c r="F224" i="33"/>
  <c r="F207" i="33"/>
  <c r="F90" i="33"/>
  <c r="F171" i="33"/>
  <c r="F245" i="33"/>
  <c r="F104" i="33"/>
  <c r="F275" i="33"/>
  <c r="F234" i="33"/>
  <c r="F268" i="33"/>
  <c r="F119" i="33"/>
  <c r="F126" i="33"/>
  <c r="F239" i="33"/>
  <c r="F14" i="33"/>
  <c r="F288" i="33"/>
  <c r="F191" i="33"/>
  <c r="F269" i="33"/>
  <c r="F266" i="33"/>
  <c r="F76" i="33"/>
  <c r="F84" i="33"/>
  <c r="F256" i="33"/>
  <c r="F198" i="33"/>
  <c r="F16" i="33"/>
  <c r="F216" i="33"/>
  <c r="F118" i="33"/>
  <c r="F106" i="33"/>
  <c r="F92" i="33"/>
  <c r="F85" i="33"/>
  <c r="F258" i="33"/>
  <c r="F202" i="33"/>
  <c r="F265" i="33"/>
  <c r="F70" i="33"/>
  <c r="F129" i="33"/>
  <c r="F286" i="33"/>
  <c r="F185" i="33"/>
  <c r="F50" i="33"/>
  <c r="F142" i="33"/>
  <c r="F134" i="33"/>
  <c r="F112" i="33"/>
  <c r="I2" i="33"/>
  <c r="I16" i="33" s="1"/>
  <c r="F91" i="33"/>
  <c r="F180" i="33"/>
  <c r="F190" i="33"/>
  <c r="F67" i="33"/>
  <c r="F6" i="33"/>
  <c r="F199" i="33"/>
  <c r="G134" i="33"/>
  <c r="G216" i="33"/>
  <c r="G118" i="33"/>
  <c r="G240" i="33"/>
  <c r="G269" i="33"/>
  <c r="G50" i="33"/>
  <c r="G60" i="33"/>
  <c r="G185" i="33"/>
  <c r="G59" i="33"/>
  <c r="G292" i="33"/>
  <c r="G42" i="33"/>
  <c r="G128" i="33"/>
  <c r="G120" i="33"/>
  <c r="G289" i="33"/>
  <c r="G18" i="33"/>
  <c r="G58" i="33"/>
  <c r="G27" i="33"/>
  <c r="G90" i="33"/>
  <c r="G186" i="33"/>
  <c r="G224" i="33"/>
  <c r="G261" i="33"/>
  <c r="G242" i="33"/>
  <c r="G126" i="33"/>
  <c r="G129" i="33"/>
  <c r="G158" i="33"/>
  <c r="G14" i="33"/>
  <c r="G287" i="33"/>
  <c r="G101" i="33"/>
  <c r="G171" i="33"/>
  <c r="G111" i="33"/>
  <c r="G119" i="33"/>
  <c r="G143" i="33"/>
  <c r="G301" i="33"/>
  <c r="G268" i="33"/>
  <c r="G192" i="33"/>
  <c r="G150" i="33"/>
  <c r="G302" i="33"/>
  <c r="G194" i="33"/>
  <c r="G252" i="33"/>
  <c r="G104" i="33"/>
  <c r="G245" i="33"/>
  <c r="G49" i="33"/>
  <c r="G311" i="33"/>
  <c r="G221" i="33"/>
  <c r="G131" i="33"/>
  <c r="G107" i="33"/>
  <c r="G168" i="33"/>
  <c r="G239" i="33"/>
  <c r="G277" i="33"/>
  <c r="G306" i="33"/>
  <c r="G298" i="33"/>
  <c r="G82" i="33"/>
  <c r="G41" i="33"/>
  <c r="G102" i="33"/>
  <c r="G313" i="33"/>
  <c r="G78" i="33"/>
  <c r="G73" i="33"/>
  <c r="G217" i="33"/>
  <c r="G219" i="33"/>
  <c r="G56" i="33"/>
  <c r="G173" i="33"/>
  <c r="G163" i="33"/>
  <c r="G15" i="33"/>
  <c r="G28" i="33"/>
  <c r="G304" i="33"/>
  <c r="G319" i="33"/>
  <c r="G121" i="33"/>
  <c r="G153" i="33"/>
  <c r="G157" i="33"/>
  <c r="G297" i="33"/>
  <c r="G9" i="33"/>
  <c r="G30" i="33"/>
  <c r="G147" i="33"/>
  <c r="G39" i="33"/>
  <c r="G183" i="33"/>
  <c r="G40" i="33"/>
  <c r="G195" i="33"/>
  <c r="G321" i="33"/>
  <c r="G247" i="33"/>
  <c r="G89" i="33"/>
  <c r="G305" i="33"/>
  <c r="G236" i="33"/>
  <c r="G94" i="33"/>
  <c r="G218" i="33"/>
  <c r="G278" i="33"/>
  <c r="G137" i="33"/>
  <c r="G146" i="33"/>
  <c r="G197" i="33"/>
  <c r="G317" i="33"/>
  <c r="G141" i="33"/>
  <c r="G309" i="33"/>
  <c r="G93" i="33"/>
  <c r="G271" i="33"/>
  <c r="G164" i="33"/>
  <c r="G291" i="33"/>
  <c r="G103" i="33"/>
  <c r="G98" i="33"/>
  <c r="G53" i="33"/>
  <c r="G96" i="33"/>
  <c r="G172" i="33"/>
  <c r="G283" i="33"/>
  <c r="G322" i="33"/>
  <c r="G145" i="33"/>
  <c r="G263" i="33"/>
  <c r="G66" i="33"/>
  <c r="G80" i="33"/>
  <c r="G46" i="33"/>
  <c r="G156" i="33"/>
  <c r="G64" i="33"/>
  <c r="G122" i="33"/>
  <c r="G165" i="33"/>
  <c r="G222" i="33"/>
  <c r="G320" i="33"/>
  <c r="G225" i="33"/>
  <c r="G24" i="33"/>
  <c r="G162" i="33"/>
  <c r="G205" i="33"/>
  <c r="G17" i="33"/>
  <c r="G213" i="33"/>
  <c r="G19" i="33"/>
  <c r="G272" i="33"/>
  <c r="G36" i="33"/>
  <c r="G235" i="33"/>
  <c r="G315" i="33"/>
  <c r="G227" i="33"/>
  <c r="G12" i="33"/>
  <c r="G314" i="33"/>
  <c r="G188" i="33"/>
  <c r="G37" i="33"/>
  <c r="G196" i="33"/>
  <c r="G233" i="33"/>
  <c r="G86" i="33"/>
  <c r="G132" i="33"/>
  <c r="G254" i="33"/>
  <c r="G246" i="33"/>
  <c r="G35" i="33"/>
  <c r="G255" i="33"/>
  <c r="G160" i="33"/>
  <c r="G116" i="33"/>
  <c r="G187" i="33"/>
  <c r="G130" i="33"/>
  <c r="G181" i="33"/>
  <c r="G154" i="33"/>
  <c r="G87" i="33"/>
  <c r="G75" i="33"/>
  <c r="G210" i="33"/>
  <c r="G65" i="33"/>
  <c r="G193" i="33"/>
  <c r="G251" i="33"/>
  <c r="G144" i="33"/>
  <c r="G294" i="33"/>
  <c r="G209" i="33"/>
  <c r="G249" i="33"/>
  <c r="G259" i="33"/>
  <c r="G136" i="33"/>
  <c r="G280" i="33"/>
  <c r="G125" i="33"/>
  <c r="G228" i="33"/>
  <c r="G296" i="33"/>
  <c r="G248" i="33"/>
  <c r="G177" i="33"/>
  <c r="G281" i="33"/>
  <c r="G117" i="33"/>
  <c r="G184" i="33"/>
  <c r="G44" i="33"/>
  <c r="G155" i="33"/>
  <c r="G57" i="33"/>
  <c r="G100" i="33"/>
  <c r="G223" i="33"/>
  <c r="G318" i="33"/>
  <c r="G84" i="33"/>
  <c r="G85" i="33"/>
  <c r="G190" i="33"/>
  <c r="G92" i="33"/>
  <c r="G257" i="33"/>
  <c r="G264" i="33"/>
  <c r="G256" i="33"/>
  <c r="G258" i="33"/>
  <c r="G180" i="33"/>
  <c r="G199" i="33"/>
  <c r="G124" i="33"/>
  <c r="G316" i="33"/>
  <c r="G70" i="33"/>
  <c r="G202" i="33"/>
  <c r="G67" i="33"/>
  <c r="G16" i="33"/>
  <c r="G276" i="33"/>
  <c r="G91" i="33"/>
  <c r="G6" i="33"/>
  <c r="G61" i="33" l="1"/>
  <c r="G112" i="33"/>
  <c r="G303" i="33"/>
  <c r="G286" i="33"/>
  <c r="G253" i="33"/>
  <c r="G76" i="33"/>
  <c r="G142" i="33"/>
  <c r="G270" i="33"/>
  <c r="G200" i="33"/>
  <c r="G79" i="33"/>
  <c r="G279" i="33"/>
  <c r="G215" i="33"/>
  <c r="G169" i="33"/>
  <c r="G149" i="33"/>
  <c r="G288" i="33"/>
  <c r="G204" i="33"/>
  <c r="G226" i="33"/>
  <c r="G23" i="33"/>
  <c r="G95" i="33"/>
  <c r="G10" i="33"/>
  <c r="G230" i="33"/>
  <c r="G22" i="33"/>
  <c r="G293" i="33"/>
  <c r="G161" i="33"/>
  <c r="G299" i="33"/>
  <c r="G159" i="33"/>
  <c r="G260" i="33"/>
  <c r="G285" i="33"/>
  <c r="G63" i="33"/>
  <c r="G148" i="33"/>
  <c r="G62" i="33"/>
  <c r="G220" i="33"/>
  <c r="G189" i="33"/>
  <c r="G47" i="33"/>
  <c r="G113" i="33"/>
  <c r="G25" i="33"/>
  <c r="G214" i="33"/>
  <c r="G273" i="33"/>
  <c r="G151" i="33"/>
  <c r="G308" i="33"/>
  <c r="G127" i="33"/>
  <c r="G231" i="33"/>
  <c r="G211" i="33"/>
  <c r="G266" i="33"/>
  <c r="G166" i="33"/>
  <c r="G74" i="33"/>
  <c r="G191" i="33"/>
  <c r="G106" i="33"/>
  <c r="G237" i="33"/>
  <c r="G275" i="33"/>
  <c r="G232" i="33"/>
  <c r="G207" i="33"/>
  <c r="G310" i="33"/>
  <c r="G139" i="33"/>
  <c r="G52" i="33"/>
  <c r="G267" i="33"/>
  <c r="G234" i="33"/>
  <c r="G312" i="33"/>
  <c r="G295" i="33"/>
  <c r="G68" i="33"/>
  <c r="G208" i="33"/>
  <c r="G284" i="33"/>
  <c r="G123" i="33"/>
  <c r="G108" i="33"/>
  <c r="G26" i="33"/>
  <c r="G290" i="33"/>
  <c r="G38" i="33"/>
  <c r="G32" i="33"/>
  <c r="G81" i="33"/>
  <c r="G262" i="33"/>
  <c r="G11" i="33"/>
  <c r="G244" i="33"/>
  <c r="G13" i="33"/>
  <c r="G133" i="33"/>
  <c r="G51" i="33"/>
  <c r="G114" i="33"/>
  <c r="G115" i="33"/>
  <c r="G152" i="33"/>
  <c r="G72" i="33"/>
  <c r="G178" i="33"/>
  <c r="G55" i="33"/>
  <c r="G307" i="33"/>
  <c r="G110" i="33"/>
  <c r="G140" i="33"/>
  <c r="G109" i="33"/>
  <c r="G34" i="33"/>
  <c r="G88" i="33"/>
  <c r="G77" i="33"/>
  <c r="G201" i="33"/>
  <c r="G138" i="33"/>
  <c r="G282" i="33"/>
  <c r="G238" i="33"/>
  <c r="G48" i="33"/>
  <c r="G212" i="33"/>
  <c r="G33" i="33"/>
  <c r="G97" i="33"/>
  <c r="G206" i="33"/>
  <c r="G29" i="33"/>
  <c r="G83" i="33"/>
  <c r="G135" i="33"/>
  <c r="G229" i="33"/>
  <c r="G71" i="33"/>
  <c r="G54" i="33"/>
  <c r="G43" i="33"/>
  <c r="G99" i="33"/>
  <c r="G45" i="33"/>
  <c r="G69" i="33"/>
  <c r="G250" i="33"/>
  <c r="G176" i="33"/>
  <c r="G241" i="33"/>
  <c r="G174" i="33"/>
  <c r="G300" i="33"/>
  <c r="G243" i="33"/>
  <c r="G274" i="33"/>
  <c r="G167" i="33"/>
  <c r="G182" i="33"/>
  <c r="G265" i="33"/>
  <c r="G31" i="33"/>
  <c r="G105" i="33"/>
  <c r="G7" i="33"/>
  <c r="G203" i="33"/>
  <c r="G198" i="33"/>
  <c r="G170" i="33"/>
  <c r="G21" i="33"/>
  <c r="G8" i="33"/>
  <c r="G179" i="33"/>
  <c r="G20" i="33"/>
  <c r="G175" i="33"/>
  <c r="G5" i="33"/>
  <c r="H4" i="12"/>
  <c r="J309" i="33"/>
  <c r="J166" i="33"/>
  <c r="J187" i="33"/>
  <c r="J86" i="33"/>
  <c r="J270" i="33"/>
  <c r="J116" i="33"/>
  <c r="J139" i="33"/>
  <c r="J186" i="33"/>
  <c r="J171" i="33"/>
  <c r="J24" i="33"/>
  <c r="J55" i="33"/>
  <c r="J256" i="33"/>
  <c r="J279" i="33"/>
  <c r="J249" i="33"/>
  <c r="J53" i="33"/>
  <c r="J321" i="33"/>
  <c r="J167" i="33"/>
  <c r="J165" i="33"/>
  <c r="J129" i="33"/>
  <c r="J150" i="33"/>
  <c r="J37" i="33"/>
  <c r="J119" i="33"/>
  <c r="J314" i="33"/>
  <c r="J234" i="33"/>
  <c r="J130" i="33"/>
  <c r="J231" i="33"/>
  <c r="J149" i="33"/>
  <c r="J212" i="33"/>
  <c r="J293" i="33"/>
  <c r="J213" i="33"/>
  <c r="J152" i="33"/>
  <c r="J68" i="33"/>
  <c r="J101" i="33"/>
  <c r="J9" i="33"/>
  <c r="J38" i="33"/>
  <c r="J103" i="33"/>
  <c r="J11" i="33"/>
  <c r="J250" i="33"/>
  <c r="J251" i="33"/>
  <c r="J240" i="33"/>
  <c r="J229" i="33"/>
  <c r="J88" i="33"/>
  <c r="J117" i="33"/>
  <c r="J58" i="33"/>
  <c r="J39" i="33"/>
  <c r="J316" i="33"/>
  <c r="J298" i="33"/>
  <c r="J206" i="33"/>
  <c r="J295" i="33"/>
  <c r="J215" i="33"/>
  <c r="J276" i="33"/>
  <c r="J192" i="33"/>
  <c r="J277" i="33"/>
  <c r="J185" i="33"/>
  <c r="J132" i="33"/>
  <c r="J52" i="33"/>
  <c r="J73" i="33"/>
  <c r="J102" i="33"/>
  <c r="J22" i="33"/>
  <c r="J75" i="33"/>
  <c r="J312" i="33"/>
  <c r="J302" i="33"/>
  <c r="J266" i="33"/>
  <c r="J218" i="33"/>
  <c r="J175" i="33"/>
  <c r="J126" i="33"/>
  <c r="J263" i="33"/>
  <c r="J219" i="33"/>
  <c r="J183" i="33"/>
  <c r="J288" i="33"/>
  <c r="J244" i="33"/>
  <c r="J208" i="33"/>
  <c r="J141" i="33"/>
  <c r="J281" i="33"/>
  <c r="J245" i="33"/>
  <c r="J197" i="33"/>
  <c r="J153" i="33"/>
  <c r="J148" i="33"/>
  <c r="J100" i="33"/>
  <c r="J56" i="33"/>
  <c r="J20" i="33"/>
  <c r="J85" i="33"/>
  <c r="J41" i="33"/>
  <c r="J118" i="33"/>
  <c r="J70" i="33"/>
  <c r="J26" i="33"/>
  <c r="J135" i="33"/>
  <c r="J87" i="33"/>
  <c r="J43" i="33"/>
  <c r="J7" i="33"/>
  <c r="J317" i="33"/>
  <c r="J313" i="33"/>
  <c r="J282" i="33"/>
  <c r="J238" i="33"/>
  <c r="J202" i="33"/>
  <c r="J142" i="33"/>
  <c r="J283" i="33"/>
  <c r="J247" i="33"/>
  <c r="J199" i="33"/>
  <c r="J154" i="33"/>
  <c r="J272" i="33"/>
  <c r="J224" i="33"/>
  <c r="J180" i="33"/>
  <c r="J125" i="33"/>
  <c r="J261" i="33"/>
  <c r="J217" i="33"/>
  <c r="J181" i="33"/>
  <c r="J164" i="33"/>
  <c r="J120" i="33"/>
  <c r="J84" i="33"/>
  <c r="J36" i="33"/>
  <c r="J105" i="33"/>
  <c r="J69" i="33"/>
  <c r="J21" i="33"/>
  <c r="J90" i="33"/>
  <c r="J54" i="33"/>
  <c r="J6" i="33"/>
  <c r="J107" i="33"/>
  <c r="J71" i="33"/>
  <c r="J23" i="33"/>
  <c r="J319" i="33"/>
  <c r="J315" i="33"/>
  <c r="J318" i="33"/>
  <c r="J286" i="33"/>
  <c r="J254" i="33"/>
  <c r="J222" i="33"/>
  <c r="J190" i="33"/>
  <c r="J146" i="33"/>
  <c r="J299" i="33"/>
  <c r="J267" i="33"/>
  <c r="J235" i="33"/>
  <c r="J203" i="33"/>
  <c r="J170" i="33"/>
  <c r="J292" i="33"/>
  <c r="J260" i="33"/>
  <c r="J228" i="33"/>
  <c r="J196" i="33"/>
  <c r="J145" i="33"/>
  <c r="J297" i="33"/>
  <c r="J265" i="33"/>
  <c r="J233" i="33"/>
  <c r="J201" i="33"/>
  <c r="J169" i="33"/>
  <c r="J168" i="33"/>
  <c r="J136" i="33"/>
  <c r="J104" i="33"/>
  <c r="J72" i="33"/>
  <c r="J40" i="33"/>
  <c r="J8" i="33"/>
  <c r="J89" i="33"/>
  <c r="J57" i="33"/>
  <c r="J25" i="33"/>
  <c r="J106" i="33"/>
  <c r="J74" i="33"/>
  <c r="J42" i="33"/>
  <c r="J10" i="33"/>
  <c r="J123" i="33"/>
  <c r="J91" i="33"/>
  <c r="J59" i="33"/>
  <c r="J27" i="33"/>
  <c r="J311" i="33"/>
  <c r="J5" i="33"/>
  <c r="J307" i="33"/>
  <c r="J305" i="33"/>
  <c r="J310" i="33"/>
  <c r="J294" i="33"/>
  <c r="J278" i="33"/>
  <c r="J262" i="33"/>
  <c r="J246" i="33"/>
  <c r="J230" i="33"/>
  <c r="J214" i="33"/>
  <c r="J198" i="33"/>
  <c r="J182" i="33"/>
  <c r="J159" i="33"/>
  <c r="J138" i="33"/>
  <c r="J122" i="33"/>
  <c r="J291" i="33"/>
  <c r="J275" i="33"/>
  <c r="J259" i="33"/>
  <c r="J243" i="33"/>
  <c r="J227" i="33"/>
  <c r="J211" i="33"/>
  <c r="J195" i="33"/>
  <c r="J179" i="33"/>
  <c r="J162" i="33"/>
  <c r="J300" i="33"/>
  <c r="J284" i="33"/>
  <c r="J268" i="33"/>
  <c r="J252" i="33"/>
  <c r="J236" i="33"/>
  <c r="J220" i="33"/>
  <c r="J204" i="33"/>
  <c r="J188" i="33"/>
  <c r="J163" i="33"/>
  <c r="J137" i="33"/>
  <c r="J121" i="33"/>
  <c r="J289" i="33"/>
  <c r="J273" i="33"/>
  <c r="J257" i="33"/>
  <c r="J241" i="33"/>
  <c r="J225" i="33"/>
  <c r="J209" i="33"/>
  <c r="J193" i="33"/>
  <c r="J177" i="33"/>
  <c r="J161" i="33"/>
  <c r="J176" i="33"/>
  <c r="J160" i="33"/>
  <c r="J144" i="33"/>
  <c r="J128" i="33"/>
  <c r="J112" i="33"/>
  <c r="J96" i="33"/>
  <c r="J80" i="33"/>
  <c r="J64" i="33"/>
  <c r="J48" i="33"/>
  <c r="J32" i="33"/>
  <c r="J16" i="33"/>
  <c r="J113" i="33"/>
  <c r="J97" i="33"/>
  <c r="J81" i="33"/>
  <c r="J65" i="33"/>
  <c r="J49" i="33"/>
  <c r="J33" i="33"/>
  <c r="J17" i="33"/>
  <c r="J114" i="33"/>
  <c r="J98" i="33"/>
  <c r="J82" i="33"/>
  <c r="J66" i="33"/>
  <c r="J50" i="33"/>
  <c r="J34" i="33"/>
  <c r="J18" i="33"/>
  <c r="J147" i="33"/>
  <c r="J131" i="33"/>
  <c r="J115" i="33"/>
  <c r="J99" i="33"/>
  <c r="J83" i="33"/>
  <c r="J67" i="33"/>
  <c r="J51" i="33"/>
  <c r="J35" i="33"/>
  <c r="J19" i="33"/>
  <c r="J308" i="33"/>
  <c r="J320" i="33"/>
  <c r="J304" i="33"/>
  <c r="J322" i="33"/>
  <c r="J306" i="33"/>
  <c r="J290" i="33"/>
  <c r="J274" i="33"/>
  <c r="J258" i="33"/>
  <c r="J242" i="33"/>
  <c r="J226" i="33"/>
  <c r="J210" i="33"/>
  <c r="J194" i="33"/>
  <c r="J178" i="33"/>
  <c r="J151" i="33"/>
  <c r="J134" i="33"/>
  <c r="J303" i="33"/>
  <c r="J287" i="33"/>
  <c r="J271" i="33"/>
  <c r="J255" i="33"/>
  <c r="J239" i="33"/>
  <c r="J223" i="33"/>
  <c r="J207" i="33"/>
  <c r="J191" i="33"/>
  <c r="J173" i="33"/>
  <c r="J157" i="33"/>
  <c r="J296" i="33"/>
  <c r="J280" i="33"/>
  <c r="J264" i="33"/>
  <c r="J248" i="33"/>
  <c r="J232" i="33"/>
  <c r="J216" i="33"/>
  <c r="J200" i="33"/>
  <c r="J184" i="33"/>
  <c r="J155" i="33"/>
  <c r="J133" i="33"/>
  <c r="J301" i="33"/>
  <c r="J285" i="33"/>
  <c r="J269" i="33"/>
  <c r="J253" i="33"/>
  <c r="J237" i="33"/>
  <c r="J221" i="33"/>
  <c r="J205" i="33"/>
  <c r="J189" i="33"/>
  <c r="J174" i="33"/>
  <c r="J158" i="33"/>
  <c r="J172" i="33"/>
  <c r="J156" i="33"/>
  <c r="J140" i="33"/>
  <c r="J124" i="33"/>
  <c r="J108" i="33"/>
  <c r="J92" i="33"/>
  <c r="J76" i="33"/>
  <c r="J60" i="33"/>
  <c r="J44" i="33"/>
  <c r="J28" i="33"/>
  <c r="J12" i="33"/>
  <c r="J109" i="33"/>
  <c r="J93" i="33"/>
  <c r="J77" i="33"/>
  <c r="J61" i="33"/>
  <c r="J45" i="33"/>
  <c r="J29" i="33"/>
  <c r="J13" i="33"/>
  <c r="J110" i="33"/>
  <c r="J94" i="33"/>
  <c r="J78" i="33"/>
  <c r="J62" i="33"/>
  <c r="J46" i="33"/>
  <c r="J30" i="33"/>
  <c r="J14" i="33"/>
  <c r="J143" i="33"/>
  <c r="J127" i="33"/>
  <c r="J111" i="33"/>
  <c r="J95" i="33"/>
  <c r="J79" i="33"/>
  <c r="J63" i="33"/>
  <c r="J47" i="33"/>
  <c r="J31" i="33"/>
  <c r="I260" i="33"/>
  <c r="H19" i="33"/>
  <c r="H170" i="33"/>
  <c r="H44" i="33"/>
  <c r="H317" i="33"/>
  <c r="H191" i="33"/>
  <c r="H93" i="33"/>
  <c r="H212" i="33"/>
  <c r="I176" i="33"/>
  <c r="I89" i="33"/>
  <c r="H304" i="33"/>
  <c r="H283" i="33"/>
  <c r="H258" i="33"/>
  <c r="H225" i="33"/>
  <c r="I219" i="33"/>
  <c r="H128" i="33"/>
  <c r="H275" i="33"/>
  <c r="H107" i="33"/>
  <c r="H254" i="33"/>
  <c r="H82" i="33"/>
  <c r="H221" i="33"/>
  <c r="I217" i="33"/>
  <c r="I132" i="33"/>
  <c r="I47" i="33"/>
  <c r="H220" i="33"/>
  <c r="H48" i="33"/>
  <c r="H195" i="33"/>
  <c r="H27" i="33"/>
  <c r="H174" i="33"/>
  <c r="H321" i="33"/>
  <c r="H97" i="33"/>
  <c r="I261" i="33"/>
  <c r="I165" i="33"/>
  <c r="I91" i="33"/>
  <c r="H132" i="33"/>
  <c r="H111" i="33"/>
  <c r="H90" i="33"/>
  <c r="I306" i="33"/>
  <c r="I133" i="33"/>
  <c r="I48" i="33"/>
  <c r="H300" i="33"/>
  <c r="I305" i="33"/>
  <c r="H176" i="33"/>
  <c r="H92" i="33"/>
  <c r="H239" i="33"/>
  <c r="H155" i="33"/>
  <c r="H302" i="33"/>
  <c r="H218" i="33"/>
  <c r="H130" i="33"/>
  <c r="H281" i="33"/>
  <c r="H161" i="33"/>
  <c r="I285" i="33"/>
  <c r="I240" i="33"/>
  <c r="I197" i="33"/>
  <c r="I155" i="33"/>
  <c r="I112" i="33"/>
  <c r="I27" i="33"/>
  <c r="H256" i="33"/>
  <c r="H172" i="33"/>
  <c r="H84" i="33"/>
  <c r="H319" i="33"/>
  <c r="H235" i="33"/>
  <c r="H147" i="33"/>
  <c r="H63" i="33"/>
  <c r="H298" i="33"/>
  <c r="H210" i="33"/>
  <c r="H126" i="33"/>
  <c r="H42" i="33"/>
  <c r="H273" i="33"/>
  <c r="H157" i="33"/>
  <c r="H9" i="33"/>
  <c r="I282" i="33"/>
  <c r="I239" i="33"/>
  <c r="I196" i="33"/>
  <c r="I153" i="33"/>
  <c r="I111" i="33"/>
  <c r="I68" i="33"/>
  <c r="I25" i="33"/>
  <c r="H260" i="33"/>
  <c r="H5" i="33"/>
  <c r="H67" i="33"/>
  <c r="H46" i="33"/>
  <c r="H13" i="33"/>
  <c r="I69" i="33"/>
  <c r="H240" i="33"/>
  <c r="K240" i="33" s="1"/>
  <c r="H196" i="33"/>
  <c r="H112" i="33"/>
  <c r="H68" i="33"/>
  <c r="H303" i="33"/>
  <c r="H259" i="33"/>
  <c r="H91" i="33"/>
  <c r="H320" i="33"/>
  <c r="H276" i="33"/>
  <c r="H236" i="33"/>
  <c r="H192" i="33"/>
  <c r="H148" i="33"/>
  <c r="H108" i="33"/>
  <c r="H64" i="33"/>
  <c r="H20" i="33"/>
  <c r="H299" i="33"/>
  <c r="H255" i="33"/>
  <c r="H211" i="33"/>
  <c r="H171" i="33"/>
  <c r="H127" i="33"/>
  <c r="H83" i="33"/>
  <c r="H43" i="33"/>
  <c r="H318" i="33"/>
  <c r="H274" i="33"/>
  <c r="H234" i="33"/>
  <c r="H190" i="33"/>
  <c r="H146" i="33"/>
  <c r="H106" i="33"/>
  <c r="H62" i="33"/>
  <c r="H18" i="33"/>
  <c r="H297" i="33"/>
  <c r="H253" i="33"/>
  <c r="H189" i="33"/>
  <c r="H125" i="33"/>
  <c r="H53" i="33"/>
  <c r="I315" i="33"/>
  <c r="I294" i="33"/>
  <c r="I270" i="33"/>
  <c r="I249" i="33"/>
  <c r="I228" i="33"/>
  <c r="I207" i="33"/>
  <c r="I185" i="33"/>
  <c r="I164" i="33"/>
  <c r="I143" i="33"/>
  <c r="I121" i="33"/>
  <c r="I100" i="33"/>
  <c r="I79" i="33"/>
  <c r="I57" i="33"/>
  <c r="I36" i="33"/>
  <c r="I15" i="33"/>
  <c r="H284" i="33"/>
  <c r="H156" i="33"/>
  <c r="H28" i="33"/>
  <c r="H219" i="33"/>
  <c r="H175" i="33"/>
  <c r="H131" i="33"/>
  <c r="H47" i="33"/>
  <c r="H322" i="33"/>
  <c r="H282" i="33"/>
  <c r="H238" i="33"/>
  <c r="H194" i="33"/>
  <c r="H154" i="33"/>
  <c r="H110" i="33"/>
  <c r="H66" i="33"/>
  <c r="H26" i="33"/>
  <c r="H301" i="33"/>
  <c r="H257" i="33"/>
  <c r="H193" i="33"/>
  <c r="H129" i="33"/>
  <c r="I317" i="33"/>
  <c r="I295" i="33"/>
  <c r="I271" i="33"/>
  <c r="I251" i="33"/>
  <c r="I229" i="33"/>
  <c r="I208" i="33"/>
  <c r="I187" i="33"/>
  <c r="I166" i="33"/>
  <c r="I144" i="33"/>
  <c r="I123" i="33"/>
  <c r="I101" i="33"/>
  <c r="I80" i="33"/>
  <c r="I59" i="33"/>
  <c r="I37" i="33"/>
  <c r="I6" i="33"/>
  <c r="I10" i="33"/>
  <c r="I14" i="33"/>
  <c r="I18" i="33"/>
  <c r="I22" i="33"/>
  <c r="I26" i="33"/>
  <c r="I30" i="33"/>
  <c r="I34" i="33"/>
  <c r="I38" i="33"/>
  <c r="I42" i="33"/>
  <c r="I46" i="33"/>
  <c r="I50" i="33"/>
  <c r="I54" i="33"/>
  <c r="I58" i="33"/>
  <c r="I62" i="33"/>
  <c r="I66" i="33"/>
  <c r="I70" i="33"/>
  <c r="I74" i="33"/>
  <c r="I78" i="33"/>
  <c r="I82" i="33"/>
  <c r="I86" i="33"/>
  <c r="I90" i="33"/>
  <c r="I94" i="33"/>
  <c r="I98" i="33"/>
  <c r="I102" i="33"/>
  <c r="I106" i="33"/>
  <c r="I110" i="33"/>
  <c r="I114" i="33"/>
  <c r="I118" i="33"/>
  <c r="I122" i="33"/>
  <c r="I126" i="33"/>
  <c r="I130" i="33"/>
  <c r="I134" i="33"/>
  <c r="I138" i="33"/>
  <c r="I142" i="33"/>
  <c r="I146" i="33"/>
  <c r="I150" i="33"/>
  <c r="I154" i="33"/>
  <c r="I158" i="33"/>
  <c r="I162" i="33"/>
  <c r="I167" i="33"/>
  <c r="I171" i="33"/>
  <c r="I175" i="33"/>
  <c r="I178" i="33"/>
  <c r="I182" i="33"/>
  <c r="I186" i="33"/>
  <c r="I190" i="33"/>
  <c r="I194" i="33"/>
  <c r="I198" i="33"/>
  <c r="I202" i="33"/>
  <c r="I206" i="33"/>
  <c r="I210" i="33"/>
  <c r="I214" i="33"/>
  <c r="I218" i="33"/>
  <c r="I222" i="33"/>
  <c r="I226" i="33"/>
  <c r="I230" i="33"/>
  <c r="I234" i="33"/>
  <c r="I238" i="33"/>
  <c r="I242" i="33"/>
  <c r="I246" i="33"/>
  <c r="I250" i="33"/>
  <c r="I254" i="33"/>
  <c r="I258" i="33"/>
  <c r="I276" i="33"/>
  <c r="I265" i="33"/>
  <c r="I269" i="33"/>
  <c r="I273" i="33"/>
  <c r="I279" i="33"/>
  <c r="I284" i="33"/>
  <c r="I288" i="33"/>
  <c r="I292" i="33"/>
  <c r="I296" i="33"/>
  <c r="I300" i="33"/>
  <c r="I304" i="33"/>
  <c r="I308" i="33"/>
  <c r="I312" i="33"/>
  <c r="I316" i="33"/>
  <c r="I320" i="33"/>
  <c r="I275" i="33"/>
  <c r="I8" i="33"/>
  <c r="I13" i="33"/>
  <c r="I19" i="33"/>
  <c r="I24" i="33"/>
  <c r="I29" i="33"/>
  <c r="I35" i="33"/>
  <c r="I40" i="33"/>
  <c r="I45" i="33"/>
  <c r="I51" i="33"/>
  <c r="I56" i="33"/>
  <c r="I61" i="33"/>
  <c r="I67" i="33"/>
  <c r="I72" i="33"/>
  <c r="I77" i="33"/>
  <c r="I83" i="33"/>
  <c r="I88" i="33"/>
  <c r="I93" i="33"/>
  <c r="I104" i="33"/>
  <c r="I109" i="33"/>
  <c r="I115" i="33"/>
  <c r="I120" i="33"/>
  <c r="I125" i="33"/>
  <c r="I131" i="33"/>
  <c r="I136" i="33"/>
  <c r="I141" i="33"/>
  <c r="I147" i="33"/>
  <c r="I152" i="33"/>
  <c r="I157" i="33"/>
  <c r="I169" i="33"/>
  <c r="I184" i="33"/>
  <c r="I200" i="33"/>
  <c r="I221" i="33"/>
  <c r="I237" i="33"/>
  <c r="I253" i="33"/>
  <c r="I268" i="33"/>
  <c r="I287" i="33"/>
  <c r="I309" i="33"/>
  <c r="I322" i="33"/>
  <c r="I7" i="33"/>
  <c r="I12" i="33"/>
  <c r="I17" i="33"/>
  <c r="I23" i="33"/>
  <c r="I28" i="33"/>
  <c r="I33" i="33"/>
  <c r="I39" i="33"/>
  <c r="I44" i="33"/>
  <c r="I49" i="33"/>
  <c r="I55" i="33"/>
  <c r="I60" i="33"/>
  <c r="I65" i="33"/>
  <c r="I71" i="33"/>
  <c r="I76" i="33"/>
  <c r="I81" i="33"/>
  <c r="I87" i="33"/>
  <c r="I92" i="33"/>
  <c r="I97" i="33"/>
  <c r="I103" i="33"/>
  <c r="I108" i="33"/>
  <c r="I113" i="33"/>
  <c r="I119" i="33"/>
  <c r="I124" i="33"/>
  <c r="I129" i="33"/>
  <c r="I135" i="33"/>
  <c r="I140" i="33"/>
  <c r="I145" i="33"/>
  <c r="I151" i="33"/>
  <c r="I156" i="33"/>
  <c r="I161" i="33"/>
  <c r="I168" i="33"/>
  <c r="I173" i="33"/>
  <c r="I177" i="33"/>
  <c r="I183" i="33"/>
  <c r="I188" i="33"/>
  <c r="I193" i="33"/>
  <c r="I199" i="33"/>
  <c r="I204" i="33"/>
  <c r="I209" i="33"/>
  <c r="I215" i="33"/>
  <c r="I220" i="33"/>
  <c r="I225" i="33"/>
  <c r="I231" i="33"/>
  <c r="I236" i="33"/>
  <c r="I241" i="33"/>
  <c r="I247" i="33"/>
  <c r="I252" i="33"/>
  <c r="I257" i="33"/>
  <c r="I262" i="33"/>
  <c r="I267" i="33"/>
  <c r="I272" i="33"/>
  <c r="I280" i="33"/>
  <c r="I286" i="33"/>
  <c r="I291" i="33"/>
  <c r="I297" i="33"/>
  <c r="I302" i="33"/>
  <c r="I307" i="33"/>
  <c r="I313" i="33"/>
  <c r="I318" i="33"/>
  <c r="I283" i="33"/>
  <c r="I99" i="33"/>
  <c r="I163" i="33"/>
  <c r="I174" i="33"/>
  <c r="I179" i="33"/>
  <c r="I189" i="33"/>
  <c r="I195" i="33"/>
  <c r="I205" i="33"/>
  <c r="I211" i="33"/>
  <c r="I216" i="33"/>
  <c r="I227" i="33"/>
  <c r="I232" i="33"/>
  <c r="I243" i="33"/>
  <c r="I248" i="33"/>
  <c r="I259" i="33"/>
  <c r="I263" i="33"/>
  <c r="I274" i="33"/>
  <c r="I281" i="33"/>
  <c r="I293" i="33"/>
  <c r="I298" i="33"/>
  <c r="I303" i="33"/>
  <c r="I314" i="33"/>
  <c r="I319" i="33"/>
  <c r="H17" i="33"/>
  <c r="H33" i="33"/>
  <c r="H49" i="33"/>
  <c r="H65" i="33"/>
  <c r="H81" i="33"/>
  <c r="H89" i="33"/>
  <c r="H137" i="33"/>
  <c r="H201" i="33"/>
  <c r="H249" i="33"/>
  <c r="H21" i="33"/>
  <c r="H41" i="33"/>
  <c r="H61" i="33"/>
  <c r="H85" i="33"/>
  <c r="H101" i="33"/>
  <c r="K101" i="33" s="1"/>
  <c r="H117" i="33"/>
  <c r="H133" i="33"/>
  <c r="H149" i="33"/>
  <c r="H165" i="33"/>
  <c r="K165" i="33" s="1"/>
  <c r="H181" i="33"/>
  <c r="H197" i="33"/>
  <c r="H213" i="33"/>
  <c r="H229" i="33"/>
  <c r="H245" i="33"/>
  <c r="H261" i="33"/>
  <c r="H277" i="33"/>
  <c r="H293" i="33"/>
  <c r="H309" i="33"/>
  <c r="H6" i="33"/>
  <c r="H22" i="33"/>
  <c r="H38" i="33"/>
  <c r="H54" i="33"/>
  <c r="H70" i="33"/>
  <c r="H86" i="33"/>
  <c r="H102" i="33"/>
  <c r="H118" i="33"/>
  <c r="H134" i="33"/>
  <c r="H150" i="33"/>
  <c r="H166" i="33"/>
  <c r="K166" i="33" s="1"/>
  <c r="H182" i="33"/>
  <c r="H198" i="33"/>
  <c r="H214" i="33"/>
  <c r="H230" i="33"/>
  <c r="H246" i="33"/>
  <c r="H262" i="33"/>
  <c r="H278" i="33"/>
  <c r="H294" i="33"/>
  <c r="K294" i="33" s="1"/>
  <c r="H310" i="33"/>
  <c r="H7" i="33"/>
  <c r="H23" i="33"/>
  <c r="H39" i="33"/>
  <c r="H55" i="33"/>
  <c r="H71" i="33"/>
  <c r="H87" i="33"/>
  <c r="H103" i="33"/>
  <c r="H119" i="33"/>
  <c r="H135" i="33"/>
  <c r="H151" i="33"/>
  <c r="H167" i="33"/>
  <c r="H183" i="33"/>
  <c r="H199" i="33"/>
  <c r="H215" i="33"/>
  <c r="H231" i="33"/>
  <c r="H247" i="33"/>
  <c r="H263" i="33"/>
  <c r="H279" i="33"/>
  <c r="K279" i="33" s="1"/>
  <c r="H295" i="33"/>
  <c r="H311" i="33"/>
  <c r="H8" i="33"/>
  <c r="H24" i="33"/>
  <c r="H40" i="33"/>
  <c r="H56" i="33"/>
  <c r="H72" i="33"/>
  <c r="H88" i="33"/>
  <c r="H104" i="33"/>
  <c r="K104" i="33" s="1"/>
  <c r="H120" i="33"/>
  <c r="H136" i="33"/>
  <c r="H152" i="33"/>
  <c r="H168" i="33"/>
  <c r="H184" i="33"/>
  <c r="H200" i="33"/>
  <c r="H216" i="33"/>
  <c r="H232" i="33"/>
  <c r="H248" i="33"/>
  <c r="K248" i="33" s="1"/>
  <c r="H264" i="33"/>
  <c r="H280" i="33"/>
  <c r="H296" i="33"/>
  <c r="K296" i="33" s="1"/>
  <c r="H312" i="33"/>
  <c r="H25" i="33"/>
  <c r="H45" i="33"/>
  <c r="H69" i="33"/>
  <c r="H105" i="33"/>
  <c r="H121" i="33"/>
  <c r="H153" i="33"/>
  <c r="H169" i="33"/>
  <c r="H185" i="33"/>
  <c r="H217" i="33"/>
  <c r="H233" i="33"/>
  <c r="H292" i="33"/>
  <c r="H272" i="33"/>
  <c r="H228" i="33"/>
  <c r="H208" i="33"/>
  <c r="H164" i="33"/>
  <c r="H144" i="33"/>
  <c r="K144" i="33" s="1"/>
  <c r="H100" i="33"/>
  <c r="H80" i="33"/>
  <c r="H60" i="33"/>
  <c r="H16" i="33"/>
  <c r="K16" i="33" s="1"/>
  <c r="H315" i="33"/>
  <c r="H271" i="33"/>
  <c r="K271" i="33" s="1"/>
  <c r="H251" i="33"/>
  <c r="H207" i="33"/>
  <c r="H187" i="33"/>
  <c r="H143" i="33"/>
  <c r="H123" i="33"/>
  <c r="H99" i="33"/>
  <c r="H59" i="33"/>
  <c r="H35" i="33"/>
  <c r="H314" i="33"/>
  <c r="H270" i="33"/>
  <c r="H250" i="33"/>
  <c r="H226" i="33"/>
  <c r="H186" i="33"/>
  <c r="K186" i="33" s="1"/>
  <c r="H162" i="33"/>
  <c r="H122" i="33"/>
  <c r="H98" i="33"/>
  <c r="H58" i="33"/>
  <c r="K58" i="33" s="1"/>
  <c r="H34" i="33"/>
  <c r="H313" i="33"/>
  <c r="K313" i="33" s="1"/>
  <c r="H289" i="33"/>
  <c r="H241" i="33"/>
  <c r="H77" i="33"/>
  <c r="H308" i="33"/>
  <c r="H288" i="33"/>
  <c r="H268" i="33"/>
  <c r="H244" i="33"/>
  <c r="H224" i="33"/>
  <c r="H204" i="33"/>
  <c r="H180" i="33"/>
  <c r="H160" i="33"/>
  <c r="H140" i="33"/>
  <c r="H116" i="33"/>
  <c r="H96" i="33"/>
  <c r="H76" i="33"/>
  <c r="K76" i="33" s="1"/>
  <c r="H52" i="33"/>
  <c r="H32" i="33"/>
  <c r="H12" i="33"/>
  <c r="H307" i="33"/>
  <c r="K307" i="33" s="1"/>
  <c r="H287" i="33"/>
  <c r="K287" i="33" s="1"/>
  <c r="H267" i="33"/>
  <c r="H243" i="33"/>
  <c r="K243" i="33" s="1"/>
  <c r="H223" i="33"/>
  <c r="H203" i="33"/>
  <c r="H179" i="33"/>
  <c r="H159" i="33"/>
  <c r="H139" i="33"/>
  <c r="H115" i="33"/>
  <c r="H95" i="33"/>
  <c r="H75" i="33"/>
  <c r="H51" i="33"/>
  <c r="H31" i="33"/>
  <c r="H11" i="33"/>
  <c r="H306" i="33"/>
  <c r="H286" i="33"/>
  <c r="H266" i="33"/>
  <c r="H242" i="33"/>
  <c r="H222" i="33"/>
  <c r="H202" i="33"/>
  <c r="H178" i="33"/>
  <c r="H158" i="33"/>
  <c r="H138" i="33"/>
  <c r="H114" i="33"/>
  <c r="H94" i="33"/>
  <c r="H74" i="33"/>
  <c r="H50" i="33"/>
  <c r="H30" i="33"/>
  <c r="K30" i="33" s="1"/>
  <c r="H10" i="33"/>
  <c r="H305" i="33"/>
  <c r="K305" i="33" s="1"/>
  <c r="H285" i="33"/>
  <c r="H265" i="33"/>
  <c r="H237" i="33"/>
  <c r="H205" i="33"/>
  <c r="K205" i="33" s="1"/>
  <c r="H173" i="33"/>
  <c r="H141" i="33"/>
  <c r="H109" i="33"/>
  <c r="H73" i="33"/>
  <c r="H29" i="33"/>
  <c r="K29" i="33" s="1"/>
  <c r="I321" i="33"/>
  <c r="I310" i="33"/>
  <c r="I299" i="33"/>
  <c r="I289" i="33"/>
  <c r="I277" i="33"/>
  <c r="I264" i="33"/>
  <c r="I255" i="33"/>
  <c r="I244" i="33"/>
  <c r="I233" i="33"/>
  <c r="I223" i="33"/>
  <c r="I212" i="33"/>
  <c r="I201" i="33"/>
  <c r="I191" i="33"/>
  <c r="I180" i="33"/>
  <c r="I170" i="33"/>
  <c r="K170" i="33" s="1"/>
  <c r="I159" i="33"/>
  <c r="I148" i="33"/>
  <c r="I137" i="33"/>
  <c r="I127" i="33"/>
  <c r="I116" i="33"/>
  <c r="I105" i="33"/>
  <c r="I95" i="33"/>
  <c r="I84" i="33"/>
  <c r="I73" i="33"/>
  <c r="I63" i="33"/>
  <c r="I52" i="33"/>
  <c r="I41" i="33"/>
  <c r="I31" i="33"/>
  <c r="I20" i="33"/>
  <c r="I9" i="33"/>
  <c r="H316" i="33"/>
  <c r="H252" i="33"/>
  <c r="H188" i="33"/>
  <c r="H124" i="33"/>
  <c r="H36" i="33"/>
  <c r="H291" i="33"/>
  <c r="H227" i="33"/>
  <c r="H163" i="33"/>
  <c r="H79" i="33"/>
  <c r="H15" i="33"/>
  <c r="H290" i="33"/>
  <c r="H206" i="33"/>
  <c r="H142" i="33"/>
  <c r="K142" i="33" s="1"/>
  <c r="H78" i="33"/>
  <c r="H14" i="33"/>
  <c r="H269" i="33"/>
  <c r="H209" i="33"/>
  <c r="H177" i="33"/>
  <c r="H145" i="33"/>
  <c r="H113" i="33"/>
  <c r="H37" i="33"/>
  <c r="K37" i="33" s="1"/>
  <c r="I5" i="33"/>
  <c r="I311" i="33"/>
  <c r="I301" i="33"/>
  <c r="I290" i="33"/>
  <c r="I278" i="33"/>
  <c r="I266" i="33"/>
  <c r="I256" i="33"/>
  <c r="I245" i="33"/>
  <c r="I235" i="33"/>
  <c r="I224" i="33"/>
  <c r="I213" i="33"/>
  <c r="I203" i="33"/>
  <c r="I192" i="33"/>
  <c r="I181" i="33"/>
  <c r="I172" i="33"/>
  <c r="I160" i="33"/>
  <c r="I149" i="33"/>
  <c r="I139" i="33"/>
  <c r="I128" i="33"/>
  <c r="I117" i="33"/>
  <c r="I107" i="33"/>
  <c r="I96" i="33"/>
  <c r="I85" i="33"/>
  <c r="I75" i="33"/>
  <c r="I64" i="33"/>
  <c r="I53" i="33"/>
  <c r="I43" i="33"/>
  <c r="I32" i="33"/>
  <c r="I21" i="33"/>
  <c r="I11" i="33"/>
  <c r="K242" i="33" l="1"/>
  <c r="K55" i="33"/>
  <c r="K219" i="33"/>
  <c r="K95" i="33"/>
  <c r="K223" i="33"/>
  <c r="K163" i="33"/>
  <c r="K14" i="33"/>
  <c r="L14" i="33" s="1"/>
  <c r="M14" i="33" s="1"/>
  <c r="M15" i="49" s="1"/>
  <c r="K227" i="33"/>
  <c r="K20" i="33"/>
  <c r="L20" i="33" s="1"/>
  <c r="M20" i="33" s="1"/>
  <c r="M21" i="49" s="1"/>
  <c r="K34" i="33"/>
  <c r="K162" i="33"/>
  <c r="L162" i="33" s="1"/>
  <c r="M162" i="33" s="1"/>
  <c r="M163" i="49" s="1"/>
  <c r="K183" i="33"/>
  <c r="L183" i="33" s="1"/>
  <c r="M183" i="33" s="1"/>
  <c r="M184" i="49" s="1"/>
  <c r="K137" i="33"/>
  <c r="L137" i="33" s="1"/>
  <c r="M137" i="33" s="1"/>
  <c r="M138" i="49" s="1"/>
  <c r="K262" i="33"/>
  <c r="K199" i="33"/>
  <c r="L199" i="33" s="1"/>
  <c r="M199" i="33" s="1"/>
  <c r="M200" i="49" s="1"/>
  <c r="K200" i="33"/>
  <c r="L200" i="33" s="1"/>
  <c r="M200" i="33" s="1"/>
  <c r="M201" i="49" s="1"/>
  <c r="K109" i="33"/>
  <c r="L109" i="33" s="1"/>
  <c r="M109" i="33" s="1"/>
  <c r="M110" i="49" s="1"/>
  <c r="K61" i="33"/>
  <c r="K94" i="33"/>
  <c r="L94" i="33" s="1"/>
  <c r="M94" i="33" s="1"/>
  <c r="M95" i="49" s="1"/>
  <c r="K100" i="33"/>
  <c r="K259" i="33"/>
  <c r="L259" i="33" s="1"/>
  <c r="M259" i="33" s="1"/>
  <c r="M260" i="49" s="1"/>
  <c r="K157" i="33"/>
  <c r="K209" i="33"/>
  <c r="L209" i="33" s="1"/>
  <c r="M209" i="33" s="1"/>
  <c r="M210" i="49" s="1"/>
  <c r="K79" i="33"/>
  <c r="L79" i="33" s="1"/>
  <c r="M79" i="33" s="1"/>
  <c r="M80" i="49" s="1"/>
  <c r="K316" i="33"/>
  <c r="L316" i="33" s="1"/>
  <c r="M316" i="33" s="1"/>
  <c r="M317" i="49" s="1"/>
  <c r="K73" i="33"/>
  <c r="L73" i="33" s="1"/>
  <c r="M73" i="33" s="1"/>
  <c r="M74" i="49" s="1"/>
  <c r="K179" i="33"/>
  <c r="L179" i="33" s="1"/>
  <c r="M179" i="33" s="1"/>
  <c r="M180" i="49" s="1"/>
  <c r="K116" i="33"/>
  <c r="L116" i="33" s="1"/>
  <c r="M116" i="33" s="1"/>
  <c r="M117" i="49" s="1"/>
  <c r="K289" i="33"/>
  <c r="L289" i="33" s="1"/>
  <c r="M289" i="33" s="1"/>
  <c r="M290" i="49" s="1"/>
  <c r="K215" i="33"/>
  <c r="L215" i="33" s="1"/>
  <c r="M215" i="33" s="1"/>
  <c r="M216" i="49" s="1"/>
  <c r="K124" i="33"/>
  <c r="L124" i="33" s="1"/>
  <c r="M124" i="33" s="1"/>
  <c r="M125" i="49" s="1"/>
  <c r="K10" i="33"/>
  <c r="L10" i="33" s="1"/>
  <c r="M10" i="33" s="1"/>
  <c r="M11" i="49" s="1"/>
  <c r="K178" i="33"/>
  <c r="L178" i="33" s="1"/>
  <c r="M178" i="33" s="1"/>
  <c r="M179" i="49" s="1"/>
  <c r="K31" i="33"/>
  <c r="L31" i="33" s="1"/>
  <c r="M31" i="33" s="1"/>
  <c r="M32" i="49" s="1"/>
  <c r="K308" i="33"/>
  <c r="K122" i="33"/>
  <c r="K250" i="33"/>
  <c r="L250" i="33" s="1"/>
  <c r="M250" i="33" s="1"/>
  <c r="M251" i="49" s="1"/>
  <c r="K121" i="33"/>
  <c r="L121" i="33" s="1"/>
  <c r="M121" i="33" s="1"/>
  <c r="M122" i="49" s="1"/>
  <c r="K136" i="33"/>
  <c r="L136" i="33" s="1"/>
  <c r="M136" i="33" s="1"/>
  <c r="M137" i="49" s="1"/>
  <c r="K8" i="33"/>
  <c r="K134" i="33"/>
  <c r="L134" i="33" s="1"/>
  <c r="M134" i="33" s="1"/>
  <c r="M135" i="49" s="1"/>
  <c r="K70" i="33"/>
  <c r="L70" i="33" s="1"/>
  <c r="M70" i="33" s="1"/>
  <c r="M71" i="49" s="1"/>
  <c r="K6" i="33"/>
  <c r="L6" i="33" s="1"/>
  <c r="M6" i="33" s="1"/>
  <c r="M7" i="49" s="1"/>
  <c r="K261" i="33"/>
  <c r="K133" i="33"/>
  <c r="L133" i="33" s="1"/>
  <c r="M133" i="33" s="1"/>
  <c r="M134" i="49" s="1"/>
  <c r="K201" i="33"/>
  <c r="L201" i="33" s="1"/>
  <c r="M201" i="33" s="1"/>
  <c r="M202" i="49" s="1"/>
  <c r="K65" i="33"/>
  <c r="L65" i="33" s="1"/>
  <c r="M65" i="33" s="1"/>
  <c r="M66" i="49" s="1"/>
  <c r="K33" i="33"/>
  <c r="K171" i="33"/>
  <c r="L171" i="33" s="1"/>
  <c r="M171" i="33" s="1"/>
  <c r="M172" i="49" s="1"/>
  <c r="K192" i="33"/>
  <c r="K112" i="33"/>
  <c r="L112" i="33" s="1"/>
  <c r="M112" i="33" s="1"/>
  <c r="M113" i="49" s="1"/>
  <c r="K13" i="33"/>
  <c r="L13" i="33" s="1"/>
  <c r="M13" i="33" s="1"/>
  <c r="M14" i="49" s="1"/>
  <c r="K302" i="33"/>
  <c r="K176" i="33"/>
  <c r="L176" i="33" s="1"/>
  <c r="M176" i="33" s="1"/>
  <c r="M177" i="49" s="1"/>
  <c r="K234" i="33"/>
  <c r="K36" i="33"/>
  <c r="L36" i="33" s="1"/>
  <c r="M36" i="33" s="1"/>
  <c r="M37" i="49" s="1"/>
  <c r="K74" i="33"/>
  <c r="L74" i="33" s="1"/>
  <c r="M74" i="33" s="1"/>
  <c r="M75" i="49" s="1"/>
  <c r="K267" i="33"/>
  <c r="K35" i="33"/>
  <c r="L35" i="33" s="1"/>
  <c r="M35" i="33" s="1"/>
  <c r="M36" i="49" s="1"/>
  <c r="K143" i="33"/>
  <c r="K280" i="33"/>
  <c r="L280" i="33" s="1"/>
  <c r="M280" i="33" s="1"/>
  <c r="M281" i="49" s="1"/>
  <c r="K151" i="33"/>
  <c r="L151" i="33" s="1"/>
  <c r="M151" i="33" s="1"/>
  <c r="M152" i="49" s="1"/>
  <c r="K145" i="33"/>
  <c r="L145" i="33" s="1"/>
  <c r="M145" i="33" s="1"/>
  <c r="M146" i="49" s="1"/>
  <c r="K290" i="33"/>
  <c r="K188" i="33"/>
  <c r="L188" i="33" s="1"/>
  <c r="M188" i="33" s="1"/>
  <c r="M189" i="49" s="1"/>
  <c r="K141" i="33"/>
  <c r="L141" i="33" s="1"/>
  <c r="M141" i="33" s="1"/>
  <c r="M142" i="49" s="1"/>
  <c r="K265" i="33"/>
  <c r="L265" i="33" s="1"/>
  <c r="M265" i="33" s="1"/>
  <c r="M266" i="49" s="1"/>
  <c r="K114" i="33"/>
  <c r="K202" i="33"/>
  <c r="L202" i="33" s="1"/>
  <c r="M202" i="33" s="1"/>
  <c r="M203" i="49" s="1"/>
  <c r="K286" i="33"/>
  <c r="L286" i="33" s="1"/>
  <c r="M286" i="33" s="1"/>
  <c r="M287" i="49" s="1"/>
  <c r="K51" i="33"/>
  <c r="K160" i="33"/>
  <c r="K244" i="33"/>
  <c r="L244" i="33" s="1"/>
  <c r="M244" i="33" s="1"/>
  <c r="M245" i="49" s="1"/>
  <c r="K77" i="33"/>
  <c r="L77" i="33" s="1"/>
  <c r="M77" i="33" s="1"/>
  <c r="M78" i="49" s="1"/>
  <c r="K270" i="33"/>
  <c r="L270" i="33" s="1"/>
  <c r="M270" i="33" s="1"/>
  <c r="M271" i="49" s="1"/>
  <c r="K99" i="33"/>
  <c r="K207" i="33"/>
  <c r="L207" i="33" s="1"/>
  <c r="M207" i="33" s="1"/>
  <c r="M208" i="49" s="1"/>
  <c r="K272" i="33"/>
  <c r="K185" i="33"/>
  <c r="K312" i="33"/>
  <c r="K184" i="33"/>
  <c r="L184" i="33" s="1"/>
  <c r="M184" i="33" s="1"/>
  <c r="M185" i="49" s="1"/>
  <c r="K120" i="33"/>
  <c r="L120" i="33" s="1"/>
  <c r="M120" i="33" s="1"/>
  <c r="M121" i="49" s="1"/>
  <c r="K56" i="33"/>
  <c r="K247" i="33"/>
  <c r="K119" i="33"/>
  <c r="L119" i="33" s="1"/>
  <c r="M119" i="33" s="1"/>
  <c r="M120" i="49" s="1"/>
  <c r="K310" i="33"/>
  <c r="L310" i="33" s="1"/>
  <c r="M310" i="33" s="1"/>
  <c r="M311" i="49" s="1"/>
  <c r="K246" i="33"/>
  <c r="L246" i="33" s="1"/>
  <c r="M246" i="33" s="1"/>
  <c r="M247" i="49" s="1"/>
  <c r="K182" i="33"/>
  <c r="L182" i="33" s="1"/>
  <c r="M182" i="33" s="1"/>
  <c r="M183" i="49" s="1"/>
  <c r="K118" i="33"/>
  <c r="L118" i="33" s="1"/>
  <c r="M118" i="33" s="1"/>
  <c r="M119" i="49" s="1"/>
  <c r="K54" i="33"/>
  <c r="K309" i="33"/>
  <c r="L309" i="33" s="1"/>
  <c r="M309" i="33" s="1"/>
  <c r="M310" i="49" s="1"/>
  <c r="K245" i="33"/>
  <c r="K117" i="33"/>
  <c r="L117" i="33" s="1"/>
  <c r="M117" i="33" s="1"/>
  <c r="M118" i="49" s="1"/>
  <c r="K41" i="33"/>
  <c r="L41" i="33" s="1"/>
  <c r="M41" i="33" s="1"/>
  <c r="M42" i="49" s="1"/>
  <c r="K49" i="33"/>
  <c r="K189" i="33"/>
  <c r="L189" i="33" s="1"/>
  <c r="M189" i="33" s="1"/>
  <c r="M190" i="49" s="1"/>
  <c r="K177" i="33"/>
  <c r="L177" i="33" s="1"/>
  <c r="M177" i="33" s="1"/>
  <c r="M178" i="49" s="1"/>
  <c r="K135" i="33"/>
  <c r="L135" i="33" s="1"/>
  <c r="M135" i="33" s="1"/>
  <c r="M136" i="49" s="1"/>
  <c r="K113" i="33"/>
  <c r="K28" i="33"/>
  <c r="L28" i="33" s="1"/>
  <c r="M28" i="33" s="1"/>
  <c r="M29" i="49" s="1"/>
  <c r="K268" i="33"/>
  <c r="L268" i="33" s="1"/>
  <c r="M268" i="33" s="1"/>
  <c r="M269" i="49" s="1"/>
  <c r="K83" i="33"/>
  <c r="L83" i="33" s="1"/>
  <c r="M83" i="33" s="1"/>
  <c r="M84" i="49" s="1"/>
  <c r="K40" i="33"/>
  <c r="L40" i="33" s="1"/>
  <c r="M40" i="33" s="1"/>
  <c r="M41" i="49" s="1"/>
  <c r="K222" i="33"/>
  <c r="L222" i="33" s="1"/>
  <c r="M222" i="33" s="1"/>
  <c r="M223" i="49" s="1"/>
  <c r="K175" i="33"/>
  <c r="L175" i="33" s="1"/>
  <c r="M175" i="33" s="1"/>
  <c r="M176" i="49" s="1"/>
  <c r="K126" i="33"/>
  <c r="L126" i="33" s="1"/>
  <c r="M126" i="33" s="1"/>
  <c r="M127" i="49" s="1"/>
  <c r="K62" i="33"/>
  <c r="K301" i="33"/>
  <c r="L301" i="33" s="1"/>
  <c r="M301" i="33" s="1"/>
  <c r="M302" i="49" s="1"/>
  <c r="K154" i="33"/>
  <c r="L154" i="33" s="1"/>
  <c r="M154" i="33" s="1"/>
  <c r="M155" i="49" s="1"/>
  <c r="K322" i="33"/>
  <c r="L322" i="33" s="1"/>
  <c r="M322" i="33" s="1"/>
  <c r="M323" i="49" s="1"/>
  <c r="K15" i="33"/>
  <c r="L15" i="33" s="1"/>
  <c r="M15" i="33" s="1"/>
  <c r="M16" i="49" s="1"/>
  <c r="K125" i="33"/>
  <c r="L125" i="33" s="1"/>
  <c r="M125" i="33" s="1"/>
  <c r="M126" i="49" s="1"/>
  <c r="K18" i="33"/>
  <c r="L18" i="33" s="1"/>
  <c r="M18" i="33" s="1"/>
  <c r="M19" i="49" s="1"/>
  <c r="K43" i="33"/>
  <c r="L43" i="33" s="1"/>
  <c r="M43" i="33" s="1"/>
  <c r="M44" i="49" s="1"/>
  <c r="K211" i="33"/>
  <c r="L211" i="33" s="1"/>
  <c r="M211" i="33" s="1"/>
  <c r="M212" i="49" s="1"/>
  <c r="K64" i="33"/>
  <c r="L64" i="33" s="1"/>
  <c r="M64" i="33" s="1"/>
  <c r="M65" i="49" s="1"/>
  <c r="K236" i="33"/>
  <c r="L236" i="33" s="1"/>
  <c r="M236" i="33" s="1"/>
  <c r="M237" i="49" s="1"/>
  <c r="K196" i="33"/>
  <c r="L196" i="33" s="1"/>
  <c r="M196" i="33" s="1"/>
  <c r="M197" i="49" s="1"/>
  <c r="K210" i="33"/>
  <c r="L210" i="33" s="1"/>
  <c r="M210" i="33" s="1"/>
  <c r="M211" i="49" s="1"/>
  <c r="K235" i="33"/>
  <c r="L235" i="33" s="1"/>
  <c r="M235" i="33" s="1"/>
  <c r="M236" i="49" s="1"/>
  <c r="K256" i="33"/>
  <c r="L256" i="33" s="1"/>
  <c r="M256" i="33" s="1"/>
  <c r="M257" i="49" s="1"/>
  <c r="K155" i="33"/>
  <c r="L155" i="33" s="1"/>
  <c r="M155" i="33" s="1"/>
  <c r="M156" i="49" s="1"/>
  <c r="K306" i="33"/>
  <c r="L306" i="33" s="1"/>
  <c r="M306" i="33" s="1"/>
  <c r="M307" i="49" s="1"/>
  <c r="K91" i="33"/>
  <c r="L91" i="33" s="1"/>
  <c r="M91" i="33" s="1"/>
  <c r="M92" i="49" s="1"/>
  <c r="K48" i="33"/>
  <c r="L48" i="33" s="1"/>
  <c r="M48" i="33" s="1"/>
  <c r="M49" i="49" s="1"/>
  <c r="K217" i="33"/>
  <c r="L217" i="33" s="1"/>
  <c r="M217" i="33" s="1"/>
  <c r="M218" i="49" s="1"/>
  <c r="K107" i="33"/>
  <c r="L107" i="33" s="1"/>
  <c r="M107" i="33" s="1"/>
  <c r="M108" i="49" s="1"/>
  <c r="K225" i="33"/>
  <c r="K89" i="33"/>
  <c r="L89" i="33" s="1"/>
  <c r="M89" i="33" s="1"/>
  <c r="M90" i="49" s="1"/>
  <c r="K12" i="33"/>
  <c r="L12" i="33" s="1"/>
  <c r="M12" i="33" s="1"/>
  <c r="M13" i="49" s="1"/>
  <c r="K264" i="33"/>
  <c r="L264" i="33" s="1"/>
  <c r="M264" i="33" s="1"/>
  <c r="M265" i="49" s="1"/>
  <c r="K303" i="33"/>
  <c r="L303" i="33" s="1"/>
  <c r="M303" i="33" s="1"/>
  <c r="M304" i="49" s="1"/>
  <c r="K194" i="33"/>
  <c r="L194" i="33" s="1"/>
  <c r="M194" i="33" s="1"/>
  <c r="M195" i="49" s="1"/>
  <c r="K258" i="33"/>
  <c r="L258" i="33" s="1"/>
  <c r="M258" i="33" s="1"/>
  <c r="M259" i="49" s="1"/>
  <c r="K284" i="33"/>
  <c r="L284" i="33" s="1"/>
  <c r="M284" i="33" s="1"/>
  <c r="M285" i="49" s="1"/>
  <c r="K260" i="33"/>
  <c r="L260" i="33" s="1"/>
  <c r="M260" i="33" s="1"/>
  <c r="M261" i="49" s="1"/>
  <c r="K251" i="33"/>
  <c r="K311" i="33"/>
  <c r="L311" i="33" s="1"/>
  <c r="M311" i="33" s="1"/>
  <c r="M312" i="49" s="1"/>
  <c r="K181" i="33"/>
  <c r="L181" i="33" s="1"/>
  <c r="M181" i="33" s="1"/>
  <c r="M182" i="49" s="1"/>
  <c r="K158" i="33"/>
  <c r="L158" i="33" s="1"/>
  <c r="M158" i="33" s="1"/>
  <c r="M159" i="49" s="1"/>
  <c r="K11" i="33"/>
  <c r="L11" i="33" s="1"/>
  <c r="M11" i="33" s="1"/>
  <c r="M12" i="49" s="1"/>
  <c r="K32" i="33"/>
  <c r="L32" i="33" s="1"/>
  <c r="M32" i="33" s="1"/>
  <c r="M33" i="49" s="1"/>
  <c r="K269" i="33"/>
  <c r="L269" i="33" s="1"/>
  <c r="M269" i="33" s="1"/>
  <c r="M270" i="49" s="1"/>
  <c r="K206" i="33"/>
  <c r="K266" i="33"/>
  <c r="L266" i="33" s="1"/>
  <c r="M266" i="33" s="1"/>
  <c r="M267" i="49" s="1"/>
  <c r="K203" i="33"/>
  <c r="L203" i="33" s="1"/>
  <c r="M203" i="33" s="1"/>
  <c r="M204" i="49" s="1"/>
  <c r="K52" i="33"/>
  <c r="L52" i="33" s="1"/>
  <c r="M52" i="33" s="1"/>
  <c r="M53" i="49" s="1"/>
  <c r="K140" i="33"/>
  <c r="L140" i="33" s="1"/>
  <c r="M140" i="33" s="1"/>
  <c r="M141" i="49" s="1"/>
  <c r="K224" i="33"/>
  <c r="L224" i="33" s="1"/>
  <c r="M224" i="33" s="1"/>
  <c r="M225" i="49" s="1"/>
  <c r="K59" i="33"/>
  <c r="K25" i="33"/>
  <c r="L25" i="33" s="1"/>
  <c r="M25" i="33" s="1"/>
  <c r="M26" i="49" s="1"/>
  <c r="K72" i="33"/>
  <c r="L72" i="33" s="1"/>
  <c r="M72" i="33" s="1"/>
  <c r="M73" i="49" s="1"/>
  <c r="K71" i="33"/>
  <c r="L71" i="33" s="1"/>
  <c r="M71" i="33" s="1"/>
  <c r="M72" i="49" s="1"/>
  <c r="K7" i="33"/>
  <c r="L7" i="33" s="1"/>
  <c r="M7" i="33" s="1"/>
  <c r="M8" i="49" s="1"/>
  <c r="K197" i="33"/>
  <c r="L197" i="33" s="1"/>
  <c r="M197" i="33" s="1"/>
  <c r="M198" i="49" s="1"/>
  <c r="K257" i="33"/>
  <c r="L257" i="33" s="1"/>
  <c r="M257" i="33" s="1"/>
  <c r="M258" i="49" s="1"/>
  <c r="K110" i="33"/>
  <c r="L110" i="33" s="1"/>
  <c r="M110" i="33" s="1"/>
  <c r="M111" i="49" s="1"/>
  <c r="K53" i="33"/>
  <c r="L53" i="33" s="1"/>
  <c r="M53" i="33" s="1"/>
  <c r="M54" i="49" s="1"/>
  <c r="K297" i="33"/>
  <c r="K146" i="33"/>
  <c r="L146" i="33" s="1"/>
  <c r="M146" i="33" s="1"/>
  <c r="M147" i="49" s="1"/>
  <c r="K9" i="33"/>
  <c r="L9" i="33" s="1"/>
  <c r="M9" i="33" s="1"/>
  <c r="M10" i="49" s="1"/>
  <c r="K147" i="33"/>
  <c r="K161" i="33"/>
  <c r="L161" i="33" s="1"/>
  <c r="M161" i="33" s="1"/>
  <c r="M162" i="49" s="1"/>
  <c r="K132" i="33"/>
  <c r="L132" i="33" s="1"/>
  <c r="M132" i="33" s="1"/>
  <c r="M133" i="49" s="1"/>
  <c r="K97" i="33"/>
  <c r="L97" i="33" s="1"/>
  <c r="M97" i="33" s="1"/>
  <c r="M98" i="49" s="1"/>
  <c r="K195" i="33"/>
  <c r="L195" i="33" s="1"/>
  <c r="M195" i="33" s="1"/>
  <c r="M196" i="49" s="1"/>
  <c r="K254" i="33"/>
  <c r="L254" i="33" s="1"/>
  <c r="M254" i="33" s="1"/>
  <c r="M255" i="49" s="1"/>
  <c r="K304" i="33"/>
  <c r="L304" i="33" s="1"/>
  <c r="M304" i="33" s="1"/>
  <c r="M305" i="49" s="1"/>
  <c r="K139" i="33"/>
  <c r="L139" i="33" s="1"/>
  <c r="M139" i="33" s="1"/>
  <c r="M140" i="49" s="1"/>
  <c r="K105" i="33"/>
  <c r="L105" i="33" s="1"/>
  <c r="M105" i="33" s="1"/>
  <c r="M106" i="49" s="1"/>
  <c r="K190" i="33"/>
  <c r="L190" i="33" s="1"/>
  <c r="M190" i="33" s="1"/>
  <c r="M191" i="49" s="1"/>
  <c r="K46" i="33"/>
  <c r="L46" i="33" s="1"/>
  <c r="M46" i="33" s="1"/>
  <c r="M47" i="49" s="1"/>
  <c r="K281" i="33"/>
  <c r="L281" i="33" s="1"/>
  <c r="M281" i="33" s="1"/>
  <c r="M282" i="49" s="1"/>
  <c r="K321" i="33"/>
  <c r="K191" i="33"/>
  <c r="K19" i="33"/>
  <c r="L19" i="33" s="1"/>
  <c r="M19" i="33" s="1"/>
  <c r="M20" i="49" s="1"/>
  <c r="K180" i="33"/>
  <c r="L180" i="33" s="1"/>
  <c r="M180" i="33" s="1"/>
  <c r="M181" i="49" s="1"/>
  <c r="K273" i="33"/>
  <c r="L273" i="33" s="1"/>
  <c r="M273" i="33" s="1"/>
  <c r="M274" i="49" s="1"/>
  <c r="K275" i="33"/>
  <c r="L275" i="33" s="1"/>
  <c r="M275" i="33" s="1"/>
  <c r="M276" i="49" s="1"/>
  <c r="K78" i="33"/>
  <c r="K173" i="33"/>
  <c r="L173" i="33" s="1"/>
  <c r="M173" i="33" s="1"/>
  <c r="M174" i="49" s="1"/>
  <c r="K285" i="33"/>
  <c r="L285" i="33" s="1"/>
  <c r="M285" i="33" s="1"/>
  <c r="M286" i="49" s="1"/>
  <c r="K50" i="33"/>
  <c r="K138" i="33"/>
  <c r="L138" i="33" s="1"/>
  <c r="M138" i="33" s="1"/>
  <c r="M139" i="49" s="1"/>
  <c r="K75" i="33"/>
  <c r="K159" i="33"/>
  <c r="L159" i="33" s="1"/>
  <c r="M159" i="33" s="1"/>
  <c r="M160" i="49" s="1"/>
  <c r="K96" i="33"/>
  <c r="K241" i="33"/>
  <c r="K314" i="33"/>
  <c r="L314" i="33" s="1"/>
  <c r="M314" i="33" s="1"/>
  <c r="M315" i="49" s="1"/>
  <c r="K123" i="33"/>
  <c r="L123" i="33" s="1"/>
  <c r="M123" i="33" s="1"/>
  <c r="M124" i="49" s="1"/>
  <c r="K164" i="33"/>
  <c r="L164" i="33" s="1"/>
  <c r="M164" i="33" s="1"/>
  <c r="M165" i="49" s="1"/>
  <c r="K292" i="33"/>
  <c r="K232" i="33"/>
  <c r="L232" i="33" s="1"/>
  <c r="M232" i="33" s="1"/>
  <c r="M233" i="49" s="1"/>
  <c r="K295" i="33"/>
  <c r="L295" i="33" s="1"/>
  <c r="M295" i="33" s="1"/>
  <c r="M296" i="49" s="1"/>
  <c r="K231" i="33"/>
  <c r="L231" i="33" s="1"/>
  <c r="M231" i="33" s="1"/>
  <c r="M232" i="49" s="1"/>
  <c r="K39" i="33"/>
  <c r="L39" i="33" s="1"/>
  <c r="M39" i="33" s="1"/>
  <c r="M40" i="49" s="1"/>
  <c r="K229" i="33"/>
  <c r="L229" i="33" s="1"/>
  <c r="M229" i="33" s="1"/>
  <c r="M230" i="49" s="1"/>
  <c r="K21" i="33"/>
  <c r="L21" i="33" s="1"/>
  <c r="M21" i="33" s="1"/>
  <c r="M22" i="49" s="1"/>
  <c r="K129" i="33"/>
  <c r="L129" i="33" s="1"/>
  <c r="M129" i="33" s="1"/>
  <c r="M130" i="49" s="1"/>
  <c r="K26" i="33"/>
  <c r="K47" i="33"/>
  <c r="L47" i="33" s="1"/>
  <c r="M47" i="33" s="1"/>
  <c r="M48" i="49" s="1"/>
  <c r="K255" i="33"/>
  <c r="L255" i="33" s="1"/>
  <c r="M255" i="33" s="1"/>
  <c r="M256" i="49" s="1"/>
  <c r="K276" i="33"/>
  <c r="K67" i="33"/>
  <c r="L67" i="33" s="1"/>
  <c r="M67" i="33" s="1"/>
  <c r="M68" i="49" s="1"/>
  <c r="K319" i="33"/>
  <c r="L319" i="33" s="1"/>
  <c r="M319" i="33" s="1"/>
  <c r="M320" i="49" s="1"/>
  <c r="K130" i="33"/>
  <c r="L130" i="33" s="1"/>
  <c r="M130" i="33" s="1"/>
  <c r="M131" i="49" s="1"/>
  <c r="K239" i="33"/>
  <c r="K300" i="33"/>
  <c r="L300" i="33" s="1"/>
  <c r="M300" i="33" s="1"/>
  <c r="M301" i="49" s="1"/>
  <c r="K90" i="33"/>
  <c r="K220" i="33"/>
  <c r="L220" i="33" s="1"/>
  <c r="M220" i="33" s="1"/>
  <c r="M221" i="49" s="1"/>
  <c r="K221" i="33"/>
  <c r="L221" i="33" s="1"/>
  <c r="M221" i="33" s="1"/>
  <c r="M222" i="49" s="1"/>
  <c r="K317" i="33"/>
  <c r="L317" i="33" s="1"/>
  <c r="M317" i="33" s="1"/>
  <c r="M318" i="49" s="1"/>
  <c r="K204" i="33"/>
  <c r="L204" i="33" s="1"/>
  <c r="M204" i="33" s="1"/>
  <c r="M205" i="49" s="1"/>
  <c r="K288" i="33"/>
  <c r="L288" i="33" s="1"/>
  <c r="M288" i="33" s="1"/>
  <c r="M289" i="49" s="1"/>
  <c r="K98" i="33"/>
  <c r="L98" i="33" s="1"/>
  <c r="M98" i="33" s="1"/>
  <c r="M99" i="49" s="1"/>
  <c r="K226" i="33"/>
  <c r="L226" i="33" s="1"/>
  <c r="M226" i="33" s="1"/>
  <c r="M227" i="49" s="1"/>
  <c r="K80" i="33"/>
  <c r="L80" i="33" s="1"/>
  <c r="M80" i="33" s="1"/>
  <c r="M81" i="49" s="1"/>
  <c r="K208" i="33"/>
  <c r="L208" i="33" s="1"/>
  <c r="M208" i="33" s="1"/>
  <c r="M209" i="49" s="1"/>
  <c r="K233" i="33"/>
  <c r="L233" i="33" s="1"/>
  <c r="M233" i="33" s="1"/>
  <c r="M234" i="49" s="1"/>
  <c r="K153" i="33"/>
  <c r="L153" i="33" s="1"/>
  <c r="M153" i="33" s="1"/>
  <c r="M154" i="49" s="1"/>
  <c r="K45" i="33"/>
  <c r="K216" i="33"/>
  <c r="L216" i="33" s="1"/>
  <c r="M216" i="33" s="1"/>
  <c r="M217" i="49" s="1"/>
  <c r="K152" i="33"/>
  <c r="L152" i="33" s="1"/>
  <c r="M152" i="33" s="1"/>
  <c r="M153" i="49" s="1"/>
  <c r="K88" i="33"/>
  <c r="L88" i="33" s="1"/>
  <c r="M88" i="33" s="1"/>
  <c r="M89" i="49" s="1"/>
  <c r="K24" i="33"/>
  <c r="L24" i="33" s="1"/>
  <c r="M24" i="33" s="1"/>
  <c r="M25" i="49" s="1"/>
  <c r="K87" i="33"/>
  <c r="L87" i="33" s="1"/>
  <c r="M87" i="33" s="1"/>
  <c r="M88" i="49" s="1"/>
  <c r="K23" i="33"/>
  <c r="L23" i="33" s="1"/>
  <c r="M23" i="33" s="1"/>
  <c r="M24" i="49" s="1"/>
  <c r="K278" i="33"/>
  <c r="L278" i="33" s="1"/>
  <c r="M278" i="33" s="1"/>
  <c r="M279" i="49" s="1"/>
  <c r="K214" i="33"/>
  <c r="L214" i="33" s="1"/>
  <c r="M214" i="33" s="1"/>
  <c r="M215" i="49" s="1"/>
  <c r="K150" i="33"/>
  <c r="L150" i="33" s="1"/>
  <c r="M150" i="33" s="1"/>
  <c r="M151" i="49" s="1"/>
  <c r="K86" i="33"/>
  <c r="L86" i="33" s="1"/>
  <c r="M86" i="33" s="1"/>
  <c r="M87" i="49" s="1"/>
  <c r="K22" i="33"/>
  <c r="L22" i="33" s="1"/>
  <c r="M22" i="33" s="1"/>
  <c r="M23" i="49" s="1"/>
  <c r="K277" i="33"/>
  <c r="L277" i="33" s="1"/>
  <c r="M277" i="33" s="1"/>
  <c r="M278" i="49" s="1"/>
  <c r="K213" i="33"/>
  <c r="K149" i="33"/>
  <c r="L149" i="33" s="1"/>
  <c r="M149" i="33" s="1"/>
  <c r="M150" i="49" s="1"/>
  <c r="K85" i="33"/>
  <c r="K249" i="33"/>
  <c r="L249" i="33" s="1"/>
  <c r="M249" i="33" s="1"/>
  <c r="M250" i="49" s="1"/>
  <c r="K81" i="33"/>
  <c r="L81" i="33" s="1"/>
  <c r="M81" i="33" s="1"/>
  <c r="M82" i="49" s="1"/>
  <c r="K17" i="33"/>
  <c r="L17" i="33" s="1"/>
  <c r="M17" i="33" s="1"/>
  <c r="M18" i="49" s="1"/>
  <c r="K298" i="33"/>
  <c r="K263" i="33"/>
  <c r="L263" i="33" s="1"/>
  <c r="M263" i="33" s="1"/>
  <c r="M264" i="49" s="1"/>
  <c r="K174" i="33"/>
  <c r="K318" i="33"/>
  <c r="L318" i="33" s="1"/>
  <c r="M318" i="33" s="1"/>
  <c r="M319" i="49" s="1"/>
  <c r="K252" i="33"/>
  <c r="K168" i="33"/>
  <c r="L168" i="33" s="1"/>
  <c r="M168" i="33" s="1"/>
  <c r="M169" i="49" s="1"/>
  <c r="K103" i="33"/>
  <c r="L103" i="33" s="1"/>
  <c r="M103" i="33" s="1"/>
  <c r="M104" i="49" s="1"/>
  <c r="K60" i="33"/>
  <c r="L60" i="33" s="1"/>
  <c r="M60" i="33" s="1"/>
  <c r="M61" i="49" s="1"/>
  <c r="K237" i="33"/>
  <c r="L237" i="33" s="1"/>
  <c r="M237" i="33" s="1"/>
  <c r="M238" i="49" s="1"/>
  <c r="K169" i="33"/>
  <c r="L169" i="33" s="1"/>
  <c r="M169" i="33" s="1"/>
  <c r="M170" i="49" s="1"/>
  <c r="K93" i="33"/>
  <c r="L93" i="33" s="1"/>
  <c r="M93" i="33" s="1"/>
  <c r="M94" i="49" s="1"/>
  <c r="K230" i="33"/>
  <c r="L230" i="33" s="1"/>
  <c r="M230" i="33" s="1"/>
  <c r="M231" i="49" s="1"/>
  <c r="K198" i="33"/>
  <c r="L198" i="33" s="1"/>
  <c r="M198" i="33" s="1"/>
  <c r="M199" i="49" s="1"/>
  <c r="K167" i="33"/>
  <c r="L167" i="33" s="1"/>
  <c r="M167" i="33" s="1"/>
  <c r="M168" i="49" s="1"/>
  <c r="K102" i="33"/>
  <c r="L102" i="33" s="1"/>
  <c r="M102" i="33" s="1"/>
  <c r="M103" i="49" s="1"/>
  <c r="K38" i="33"/>
  <c r="L38" i="33" s="1"/>
  <c r="M38" i="33" s="1"/>
  <c r="M39" i="49" s="1"/>
  <c r="K187" i="33"/>
  <c r="L187" i="33" s="1"/>
  <c r="M187" i="33" s="1"/>
  <c r="M188" i="49" s="1"/>
  <c r="K193" i="33"/>
  <c r="L193" i="33" s="1"/>
  <c r="M193" i="33" s="1"/>
  <c r="M194" i="49" s="1"/>
  <c r="K66" i="33"/>
  <c r="L66" i="33" s="1"/>
  <c r="M66" i="33" s="1"/>
  <c r="M67" i="49" s="1"/>
  <c r="K238" i="33"/>
  <c r="L238" i="33" s="1"/>
  <c r="M238" i="33" s="1"/>
  <c r="M239" i="49" s="1"/>
  <c r="K131" i="33"/>
  <c r="L131" i="33" s="1"/>
  <c r="M131" i="33" s="1"/>
  <c r="M132" i="49" s="1"/>
  <c r="K156" i="33"/>
  <c r="L156" i="33" s="1"/>
  <c r="M156" i="33" s="1"/>
  <c r="M157" i="49" s="1"/>
  <c r="K57" i="33"/>
  <c r="L57" i="33" s="1"/>
  <c r="M57" i="33" s="1"/>
  <c r="M58" i="49" s="1"/>
  <c r="K228" i="33"/>
  <c r="L228" i="33" s="1"/>
  <c r="M228" i="33" s="1"/>
  <c r="M229" i="49" s="1"/>
  <c r="K315" i="33"/>
  <c r="L315" i="33" s="1"/>
  <c r="M315" i="33" s="1"/>
  <c r="M316" i="49" s="1"/>
  <c r="K253" i="33"/>
  <c r="L253" i="33" s="1"/>
  <c r="M253" i="33" s="1"/>
  <c r="M254" i="49" s="1"/>
  <c r="K106" i="33"/>
  <c r="L106" i="33" s="1"/>
  <c r="M106" i="33" s="1"/>
  <c r="M107" i="49" s="1"/>
  <c r="K274" i="33"/>
  <c r="L274" i="33" s="1"/>
  <c r="M274" i="33" s="1"/>
  <c r="M275" i="49" s="1"/>
  <c r="K127" i="33"/>
  <c r="L127" i="33" s="1"/>
  <c r="M127" i="33" s="1"/>
  <c r="M128" i="49" s="1"/>
  <c r="K299" i="33"/>
  <c r="L299" i="33" s="1"/>
  <c r="M299" i="33" s="1"/>
  <c r="M300" i="49" s="1"/>
  <c r="K148" i="33"/>
  <c r="L148" i="33" s="1"/>
  <c r="M148" i="33" s="1"/>
  <c r="M149" i="49" s="1"/>
  <c r="K320" i="33"/>
  <c r="L320" i="33" s="1"/>
  <c r="M320" i="33" s="1"/>
  <c r="M321" i="49" s="1"/>
  <c r="K68" i="33"/>
  <c r="L68" i="33" s="1"/>
  <c r="M68" i="33" s="1"/>
  <c r="M69" i="49" s="1"/>
  <c r="K69" i="33"/>
  <c r="L69" i="33" s="1"/>
  <c r="M69" i="33" s="1"/>
  <c r="M70" i="49" s="1"/>
  <c r="K282" i="33"/>
  <c r="L282" i="33" s="1"/>
  <c r="M282" i="33" s="1"/>
  <c r="M283" i="49" s="1"/>
  <c r="K42" i="33"/>
  <c r="L42" i="33" s="1"/>
  <c r="M42" i="33" s="1"/>
  <c r="M43" i="49" s="1"/>
  <c r="K63" i="33"/>
  <c r="L63" i="33" s="1"/>
  <c r="M63" i="33" s="1"/>
  <c r="M64" i="49" s="1"/>
  <c r="K84" i="33"/>
  <c r="L84" i="33" s="1"/>
  <c r="M84" i="33" s="1"/>
  <c r="M85" i="49" s="1"/>
  <c r="K218" i="33"/>
  <c r="K92" i="33"/>
  <c r="L92" i="33" s="1"/>
  <c r="M92" i="33" s="1"/>
  <c r="M93" i="49" s="1"/>
  <c r="K111" i="33"/>
  <c r="L111" i="33" s="1"/>
  <c r="M111" i="33" s="1"/>
  <c r="M112" i="49" s="1"/>
  <c r="K27" i="33"/>
  <c r="L27" i="33" s="1"/>
  <c r="M27" i="33" s="1"/>
  <c r="M28" i="49" s="1"/>
  <c r="K82" i="33"/>
  <c r="L82" i="33" s="1"/>
  <c r="M82" i="33" s="1"/>
  <c r="M83" i="49" s="1"/>
  <c r="K128" i="33"/>
  <c r="L128" i="33" s="1"/>
  <c r="M128" i="33" s="1"/>
  <c r="M129" i="49" s="1"/>
  <c r="K283" i="33"/>
  <c r="L283" i="33" s="1"/>
  <c r="M283" i="33" s="1"/>
  <c r="M284" i="49" s="1"/>
  <c r="K212" i="33"/>
  <c r="L212" i="33" s="1"/>
  <c r="M212" i="33" s="1"/>
  <c r="M213" i="49" s="1"/>
  <c r="K44" i="33"/>
  <c r="L44" i="33" s="1"/>
  <c r="M44" i="33" s="1"/>
  <c r="M45" i="49" s="1"/>
  <c r="K108" i="33"/>
  <c r="L108" i="33" s="1"/>
  <c r="M108" i="33" s="1"/>
  <c r="M109" i="49" s="1"/>
  <c r="K172" i="33"/>
  <c r="L172" i="33" s="1"/>
  <c r="M172" i="33" s="1"/>
  <c r="M173" i="49" s="1"/>
  <c r="K115" i="33"/>
  <c r="L115" i="33" s="1"/>
  <c r="M115" i="33" s="1"/>
  <c r="M116" i="49" s="1"/>
  <c r="K291" i="33"/>
  <c r="L291" i="33" s="1"/>
  <c r="M291" i="33" s="1"/>
  <c r="M292" i="49" s="1"/>
  <c r="K293" i="33"/>
  <c r="L293" i="33" s="1"/>
  <c r="M293" i="33" s="1"/>
  <c r="M294" i="49" s="1"/>
  <c r="L243" i="33"/>
  <c r="M243" i="33" s="1"/>
  <c r="M244" i="49" s="1"/>
  <c r="K5" i="33"/>
  <c r="L34" i="33"/>
  <c r="M34" i="33" s="1"/>
  <c r="M35" i="49" s="1"/>
  <c r="L58" i="33"/>
  <c r="M58" i="33" s="1"/>
  <c r="M59" i="49" s="1"/>
  <c r="L186" i="33"/>
  <c r="M186" i="33" s="1"/>
  <c r="M187" i="49" s="1"/>
  <c r="L205" i="33"/>
  <c r="M205" i="33" s="1"/>
  <c r="M206" i="49" s="1"/>
  <c r="L99" i="33"/>
  <c r="M99" i="33" s="1"/>
  <c r="M100" i="49" s="1"/>
  <c r="L248" i="33"/>
  <c r="M248" i="33" s="1"/>
  <c r="M249" i="49" s="1"/>
  <c r="L104" i="33"/>
  <c r="M104" i="33" s="1"/>
  <c r="M105" i="49" s="1"/>
  <c r="L240" i="33"/>
  <c r="M240" i="33" s="1"/>
  <c r="M241" i="49" s="1"/>
  <c r="L30" i="33"/>
  <c r="M30" i="33" s="1"/>
  <c r="M31" i="49" s="1"/>
  <c r="L307" i="33"/>
  <c r="M307" i="33" s="1"/>
  <c r="M308" i="49" s="1"/>
  <c r="L16" i="33"/>
  <c r="M16" i="33" s="1"/>
  <c r="M17" i="49" s="1"/>
  <c r="L49" i="33"/>
  <c r="M49" i="33" s="1"/>
  <c r="M50" i="49" s="1"/>
  <c r="L219" i="33"/>
  <c r="M219" i="33" s="1"/>
  <c r="M220" i="49" s="1"/>
  <c r="L287" i="33"/>
  <c r="M287" i="33" s="1"/>
  <c r="M288" i="49" s="1"/>
  <c r="L245" i="33"/>
  <c r="M245" i="33" s="1"/>
  <c r="M246" i="49" s="1"/>
  <c r="L142" i="33"/>
  <c r="M142" i="33" s="1"/>
  <c r="M143" i="49" s="1"/>
  <c r="L279" i="33"/>
  <c r="M279" i="33" s="1"/>
  <c r="M280" i="49" s="1"/>
  <c r="L163" i="33"/>
  <c r="M163" i="33" s="1"/>
  <c r="M164" i="49" s="1"/>
  <c r="L308" i="33"/>
  <c r="M308" i="33" s="1"/>
  <c r="M309" i="49" s="1"/>
  <c r="L313" i="33"/>
  <c r="M313" i="33" s="1"/>
  <c r="M314" i="49" s="1"/>
  <c r="L170" i="33"/>
  <c r="M170" i="33" s="1"/>
  <c r="M171" i="49" s="1"/>
  <c r="L242" i="33"/>
  <c r="M242" i="33" s="1"/>
  <c r="M243" i="49" s="1"/>
  <c r="L267" i="33"/>
  <c r="M267" i="33" s="1"/>
  <c r="M268" i="49" s="1"/>
  <c r="L45" i="33"/>
  <c r="M45" i="33" s="1"/>
  <c r="M46" i="49" s="1"/>
  <c r="L78" i="33"/>
  <c r="M78" i="33" s="1"/>
  <c r="M79" i="49" s="1"/>
  <c r="L227" i="33"/>
  <c r="M227" i="33" s="1"/>
  <c r="M228" i="49" s="1"/>
  <c r="L302" i="33"/>
  <c r="M302" i="33" s="1"/>
  <c r="M303" i="49" s="1"/>
  <c r="L157" i="33"/>
  <c r="M157" i="33" s="1"/>
  <c r="M158" i="49" s="1"/>
  <c r="L298" i="33"/>
  <c r="M298" i="33" s="1"/>
  <c r="M299" i="49" s="1"/>
  <c r="L174" i="33"/>
  <c r="M174" i="33" s="1"/>
  <c r="M175" i="49" s="1"/>
  <c r="L261" i="33"/>
  <c r="M261" i="33" s="1"/>
  <c r="M262" i="49" s="1"/>
  <c r="L75" i="33"/>
  <c r="M75" i="33" s="1"/>
  <c r="M76" i="49" s="1"/>
  <c r="L305" i="33"/>
  <c r="M305" i="33" s="1"/>
  <c r="M306" i="49" s="1"/>
  <c r="L59" i="33"/>
  <c r="M59" i="33" s="1"/>
  <c r="M60" i="49" s="1"/>
  <c r="L100" i="33"/>
  <c r="M100" i="33" s="1"/>
  <c r="M101" i="49" s="1"/>
  <c r="L61" i="33"/>
  <c r="M61" i="33" s="1"/>
  <c r="M62" i="49" s="1"/>
  <c r="L225" i="33"/>
  <c r="M225" i="33" s="1"/>
  <c r="M226" i="49" s="1"/>
  <c r="L33" i="33"/>
  <c r="M33" i="33" s="1"/>
  <c r="M34" i="49" s="1"/>
  <c r="L218" i="33"/>
  <c r="M218" i="33" s="1"/>
  <c r="M219" i="49" s="1"/>
  <c r="L191" i="33"/>
  <c r="M191" i="33" s="1"/>
  <c r="M192" i="49" s="1"/>
  <c r="L160" i="33"/>
  <c r="M160" i="33" s="1"/>
  <c r="M161" i="49" s="1"/>
  <c r="L144" i="33"/>
  <c r="M144" i="33" s="1"/>
  <c r="M145" i="49" s="1"/>
  <c r="L185" i="33"/>
  <c r="M185" i="33" s="1"/>
  <c r="M186" i="49" s="1"/>
  <c r="L165" i="33"/>
  <c r="M165" i="33" s="1"/>
  <c r="M166" i="49" s="1"/>
  <c r="L147" i="33"/>
  <c r="M147" i="33" s="1"/>
  <c r="M148" i="49" s="1"/>
  <c r="L90" i="33"/>
  <c r="M90" i="33" s="1"/>
  <c r="M91" i="49" s="1"/>
  <c r="L213" i="33"/>
  <c r="M213" i="33" s="1"/>
  <c r="M214" i="49" s="1"/>
  <c r="L239" i="33"/>
  <c r="M239" i="33" s="1"/>
  <c r="M240" i="49" s="1"/>
  <c r="L251" i="33"/>
  <c r="M251" i="33" s="1"/>
  <c r="M252" i="49" s="1"/>
  <c r="L294" i="33"/>
  <c r="M294" i="33" s="1"/>
  <c r="M295" i="49" s="1"/>
  <c r="L166" i="33"/>
  <c r="M166" i="33" s="1"/>
  <c r="M167" i="49" s="1"/>
  <c r="L101" i="33"/>
  <c r="M101" i="33" s="1"/>
  <c r="M102" i="49" s="1"/>
  <c r="L234" i="33"/>
  <c r="M234" i="33" s="1"/>
  <c r="M235" i="49" s="1"/>
  <c r="L26" i="33"/>
  <c r="M26" i="33" s="1"/>
  <c r="M27" i="49" s="1"/>
  <c r="L223" i="33"/>
  <c r="M223" i="33" s="1"/>
  <c r="M224" i="49" s="1"/>
  <c r="L76" i="33"/>
  <c r="M76" i="33" s="1"/>
  <c r="M77" i="49" s="1"/>
  <c r="L62" i="33"/>
  <c r="M62" i="33" s="1"/>
  <c r="M63" i="49" s="1"/>
  <c r="L37" i="33"/>
  <c r="M37" i="33" s="1"/>
  <c r="M38" i="49" s="1"/>
  <c r="L192" i="33"/>
  <c r="M192" i="33" s="1"/>
  <c r="M193" i="49" s="1"/>
  <c r="L241" i="33"/>
  <c r="M241" i="33" s="1"/>
  <c r="M242" i="49" s="1"/>
  <c r="L113" i="33"/>
  <c r="M113" i="33" s="1"/>
  <c r="M114" i="49" s="1"/>
  <c r="L206" i="33"/>
  <c r="M206" i="33" s="1"/>
  <c r="M207" i="49" s="1"/>
  <c r="L95" i="33"/>
  <c r="M95" i="33" s="1"/>
  <c r="M96" i="49" s="1"/>
  <c r="L143" i="33"/>
  <c r="M143" i="33" s="1"/>
  <c r="M144" i="49" s="1"/>
  <c r="L271" i="33"/>
  <c r="M271" i="33" s="1"/>
  <c r="M272" i="49" s="1"/>
  <c r="L85" i="33"/>
  <c r="M85" i="33" s="1"/>
  <c r="M86" i="49" s="1"/>
  <c r="L297" i="33"/>
  <c r="M297" i="33" s="1"/>
  <c r="M298" i="49" s="1"/>
  <c r="L272" i="33"/>
  <c r="M272" i="33" s="1"/>
  <c r="M273" i="49" s="1"/>
  <c r="L51" i="33"/>
  <c r="M51" i="33" s="1"/>
  <c r="M52" i="49" s="1"/>
  <c r="L8" i="33"/>
  <c r="M8" i="33" s="1"/>
  <c r="M9" i="49" s="1"/>
  <c r="L312" i="33"/>
  <c r="M312" i="33" s="1"/>
  <c r="M313" i="49" s="1"/>
  <c r="L296" i="33"/>
  <c r="M296" i="33" s="1"/>
  <c r="M297" i="49" s="1"/>
  <c r="L276" i="33"/>
  <c r="M276" i="33" s="1"/>
  <c r="M277" i="49" s="1"/>
  <c r="L54" i="33"/>
  <c r="M54" i="33" s="1"/>
  <c r="M55" i="49" s="1"/>
  <c r="L96" i="33"/>
  <c r="M96" i="33" s="1"/>
  <c r="M97" i="49" s="1"/>
  <c r="L290" i="33"/>
  <c r="M290" i="33" s="1"/>
  <c r="M291" i="49" s="1"/>
  <c r="L262" i="33"/>
  <c r="M262" i="33" s="1"/>
  <c r="M263" i="49" s="1"/>
  <c r="L114" i="33"/>
  <c r="M114" i="33" s="1"/>
  <c r="M115" i="49" s="1"/>
  <c r="L29" i="33"/>
  <c r="M29" i="33" s="1"/>
  <c r="M30" i="49" s="1"/>
  <c r="L50" i="33"/>
  <c r="M50" i="33" s="1"/>
  <c r="M51" i="49" s="1"/>
  <c r="L292" i="33"/>
  <c r="M292" i="33" s="1"/>
  <c r="M293" i="49" s="1"/>
  <c r="L56" i="33"/>
  <c r="M56" i="33" s="1"/>
  <c r="M57" i="49" s="1"/>
  <c r="L122" i="33"/>
  <c r="M122" i="33" s="1"/>
  <c r="M123" i="49" s="1"/>
  <c r="L247" i="33"/>
  <c r="M247" i="33" s="1"/>
  <c r="M248" i="49" s="1"/>
  <c r="L55" i="33"/>
  <c r="M55" i="33" s="1"/>
  <c r="M56" i="49" s="1"/>
  <c r="L252" i="33"/>
  <c r="M252" i="33" s="1"/>
  <c r="M253" i="49" s="1"/>
  <c r="E249" i="9" l="1"/>
  <c r="E218" i="9"/>
  <c r="E265" i="9"/>
  <c r="E63" i="9"/>
  <c r="E156" i="9"/>
  <c r="E64" i="9"/>
  <c r="E178" i="9"/>
  <c r="E292" i="9"/>
  <c r="E92" i="9"/>
  <c r="E15" i="9"/>
  <c r="E138" i="9"/>
  <c r="E28" i="9"/>
  <c r="L5" i="33"/>
  <c r="E192" i="9"/>
  <c r="E144" i="9"/>
  <c r="E211" i="9"/>
  <c r="E246" i="9"/>
  <c r="E55" i="9"/>
  <c r="E142" i="9"/>
  <c r="E25" i="9"/>
  <c r="E179" i="9"/>
  <c r="E139" i="9"/>
  <c r="E167" i="9"/>
  <c r="E105" i="9"/>
  <c r="E309" i="9"/>
  <c r="E90" i="9"/>
  <c r="E220" i="9"/>
  <c r="E202" i="9"/>
  <c r="E184" i="9"/>
  <c r="E254" i="9"/>
  <c r="E313" i="9"/>
  <c r="E225" i="9"/>
  <c r="E110" i="9"/>
  <c r="L321" i="33"/>
  <c r="M321" i="33" s="1"/>
  <c r="E248" i="9"/>
  <c r="E148" i="9"/>
  <c r="E36" i="9"/>
  <c r="E22" i="9"/>
  <c r="E121" i="9"/>
  <c r="E87" i="9"/>
  <c r="E293" i="9"/>
  <c r="E251" i="9"/>
  <c r="E314" i="9"/>
  <c r="E176" i="9"/>
  <c r="E201" i="9"/>
  <c r="E85" i="9"/>
  <c r="E123" i="9"/>
  <c r="E52" i="9"/>
  <c r="E285" i="9"/>
  <c r="E104" i="9"/>
  <c r="E169" i="9"/>
  <c r="E319" i="9"/>
  <c r="E210" i="9"/>
  <c r="E146" i="9"/>
  <c r="E266" i="9"/>
  <c r="E182" i="9"/>
  <c r="E23" i="9"/>
  <c r="E103" i="9"/>
  <c r="E51" i="9"/>
  <c r="E161" i="9"/>
  <c r="E94" i="9"/>
  <c r="E323" i="9"/>
  <c r="E273" i="9"/>
  <c r="E99" i="9"/>
  <c r="E159" i="9"/>
  <c r="E30" i="9"/>
  <c r="E232" i="9"/>
  <c r="E235" i="9"/>
  <c r="E260" i="9"/>
  <c r="E81" i="9"/>
  <c r="E216" i="9"/>
  <c r="E150" i="9"/>
  <c r="E65" i="9"/>
  <c r="E95" i="9"/>
  <c r="E117" i="9"/>
  <c r="E230" i="9"/>
  <c r="E113" i="9"/>
  <c r="E134" i="9"/>
  <c r="E196" i="9"/>
  <c r="E31" i="9"/>
  <c r="E136" i="9"/>
  <c r="E131" i="9"/>
  <c r="E183" i="9"/>
  <c r="E67" i="9"/>
  <c r="E48" i="9"/>
  <c r="E180" i="9"/>
  <c r="E50" i="9"/>
  <c r="E84" i="9"/>
  <c r="E53" i="9"/>
  <c r="E33" i="9"/>
  <c r="E312" i="9"/>
  <c r="E228" i="9"/>
  <c r="E328" i="9"/>
  <c r="E78" i="9"/>
  <c r="E217" i="9"/>
  <c r="E242" i="9"/>
  <c r="E272" i="9"/>
  <c r="E143" i="9"/>
  <c r="E72" i="9"/>
  <c r="E281" i="9"/>
  <c r="E62" i="9"/>
  <c r="E233" i="9"/>
  <c r="E132" i="9"/>
  <c r="E261" i="9"/>
  <c r="E206" i="9"/>
  <c r="E101" i="9"/>
  <c r="E74" i="9"/>
  <c r="E27" i="9"/>
  <c r="E41" i="9"/>
  <c r="E308" i="9"/>
  <c r="E204" i="9"/>
  <c r="E19" i="9"/>
  <c r="E274" i="9"/>
  <c r="E127" i="9"/>
  <c r="E60" i="9"/>
  <c r="E310" i="9"/>
  <c r="E205" i="9"/>
  <c r="E160" i="9"/>
  <c r="E80" i="9"/>
  <c r="E54" i="9"/>
  <c r="E29" i="9"/>
  <c r="E287" i="9"/>
  <c r="E197" i="9"/>
  <c r="E283" i="9"/>
  <c r="E39" i="9"/>
  <c r="E276" i="9"/>
  <c r="E240" i="9"/>
  <c r="E307" i="9"/>
  <c r="E304" i="9"/>
  <c r="E257" i="9"/>
  <c r="E203" i="9"/>
  <c r="E177" i="9"/>
  <c r="E70" i="9"/>
  <c r="E188" i="9"/>
  <c r="E311" i="9"/>
  <c r="E190" i="9"/>
  <c r="E244" i="9"/>
  <c r="E162" i="9"/>
  <c r="E163" i="9"/>
  <c r="E88" i="9"/>
  <c r="E295" i="9"/>
  <c r="E128" i="9"/>
  <c r="E40" i="9"/>
  <c r="E198" i="9"/>
  <c r="E315" i="9"/>
  <c r="E270" i="9"/>
  <c r="E320" i="9"/>
  <c r="E199" i="9"/>
  <c r="E294" i="9"/>
  <c r="E318" i="9"/>
  <c r="E231" i="9"/>
  <c r="E56" i="9"/>
  <c r="E299" i="9"/>
  <c r="E158" i="9"/>
  <c r="E245" i="9"/>
  <c r="E280" i="9"/>
  <c r="E79" i="9"/>
  <c r="E267" i="9"/>
  <c r="E278" i="9"/>
  <c r="E195" i="9"/>
  <c r="E290" i="9"/>
  <c r="E82" i="9"/>
  <c r="E259" i="9"/>
  <c r="E35" i="9"/>
  <c r="E46" i="9"/>
  <c r="E193" i="9"/>
  <c r="E166" i="9"/>
  <c r="E236" i="9"/>
  <c r="E224" i="9"/>
  <c r="E263" i="9"/>
  <c r="E21" i="9"/>
  <c r="E125" i="9"/>
  <c r="E214" i="9"/>
  <c r="E126" i="9"/>
  <c r="E86" i="9"/>
  <c r="E118" i="9"/>
  <c r="E212" i="9"/>
  <c r="E255" i="9"/>
  <c r="E296" i="9"/>
  <c r="E223" i="9"/>
  <c r="E262" i="9"/>
  <c r="E102" i="9"/>
  <c r="E154" i="9"/>
  <c r="E73" i="9"/>
  <c r="E34" i="9"/>
  <c r="E42" i="9"/>
  <c r="E191" i="9"/>
  <c r="E49" i="9"/>
  <c r="E291" i="9"/>
  <c r="E106" i="9"/>
  <c r="E325" i="9"/>
  <c r="E96" i="9"/>
  <c r="E24" i="9"/>
  <c r="E219" i="9"/>
  <c r="E16" i="9"/>
  <c r="E58" i="9"/>
  <c r="E97" i="9"/>
  <c r="E68" i="9"/>
  <c r="E241" i="9"/>
  <c r="E226" i="9"/>
  <c r="E300" i="9"/>
  <c r="E208" i="9"/>
  <c r="E153" i="9"/>
  <c r="E109" i="9"/>
  <c r="E209" i="9"/>
  <c r="E47" i="9"/>
  <c r="E171" i="9"/>
  <c r="E227" i="9"/>
  <c r="E324" i="9"/>
  <c r="E116" i="9"/>
  <c r="E151" i="9"/>
  <c r="E238" i="9"/>
  <c r="E130" i="9"/>
  <c r="E185" i="9"/>
  <c r="E221" i="9"/>
  <c r="E268" i="9"/>
  <c r="E77" i="9"/>
  <c r="E306" i="9"/>
  <c r="E111" i="9"/>
  <c r="E32" i="9"/>
  <c r="E76" i="9"/>
  <c r="E112" i="9"/>
  <c r="E172" i="9"/>
  <c r="E264" i="9"/>
  <c r="E289" i="9"/>
  <c r="E239" i="9"/>
  <c r="E284" i="9"/>
  <c r="E229" i="9"/>
  <c r="E215" i="9"/>
  <c r="E37" i="9"/>
  <c r="E69" i="9"/>
  <c r="E213" i="9"/>
  <c r="E175" i="9"/>
  <c r="E247" i="9"/>
  <c r="E168" i="9"/>
  <c r="E45" i="9"/>
  <c r="E243" i="9"/>
  <c r="E100" i="9"/>
  <c r="E302" i="9"/>
  <c r="E322" i="9"/>
  <c r="E181" i="9"/>
  <c r="E301" i="9"/>
  <c r="E279" i="9"/>
  <c r="E129" i="9"/>
  <c r="E89" i="9"/>
  <c r="E149" i="9"/>
  <c r="E288" i="9"/>
  <c r="E200" i="9"/>
  <c r="E316" i="9"/>
  <c r="E173" i="9"/>
  <c r="E250" i="9"/>
  <c r="E133" i="9"/>
  <c r="E269" i="9"/>
  <c r="E98" i="9"/>
  <c r="E57" i="9"/>
  <c r="E187" i="9"/>
  <c r="E107" i="9"/>
  <c r="E119" i="9"/>
  <c r="E286" i="9"/>
  <c r="E271" i="9"/>
  <c r="E326" i="9"/>
  <c r="E152" i="9"/>
  <c r="E258" i="9"/>
  <c r="E114" i="9"/>
  <c r="E75" i="9"/>
  <c r="E12" i="9"/>
  <c r="E115" i="9"/>
  <c r="E145" i="9"/>
  <c r="E194" i="9"/>
  <c r="E61" i="9"/>
  <c r="E135" i="9"/>
  <c r="E26" i="9"/>
  <c r="E124" i="9"/>
  <c r="E222" i="9"/>
  <c r="E147" i="9"/>
  <c r="E43" i="9"/>
  <c r="E38" i="9"/>
  <c r="E140" i="9"/>
  <c r="E155" i="9"/>
  <c r="E252" i="9"/>
  <c r="E277" i="9"/>
  <c r="E275" i="9"/>
  <c r="E17" i="9"/>
  <c r="E66" i="9"/>
  <c r="E14" i="9"/>
  <c r="E303" i="9"/>
  <c r="E165" i="9"/>
  <c r="E13" i="9"/>
  <c r="E157" i="9"/>
  <c r="E91" i="9"/>
  <c r="E122" i="9"/>
  <c r="E282" i="9"/>
  <c r="E253" i="9"/>
  <c r="E321" i="9"/>
  <c r="E297" i="9"/>
  <c r="E120" i="9"/>
  <c r="E59" i="9"/>
  <c r="E18" i="9"/>
  <c r="E20" i="9"/>
  <c r="E234" i="9"/>
  <c r="E93" i="9"/>
  <c r="E305" i="9"/>
  <c r="E137" i="9"/>
  <c r="E170" i="9"/>
  <c r="E141" i="9"/>
  <c r="E164" i="9"/>
  <c r="E298" i="9"/>
  <c r="E83" i="9"/>
  <c r="E207" i="9"/>
  <c r="E71" i="9"/>
  <c r="E174" i="9"/>
  <c r="E256" i="9"/>
  <c r="E317" i="9"/>
  <c r="E189" i="9"/>
  <c r="E186" i="9"/>
  <c r="E44" i="9"/>
  <c r="E237" i="9"/>
  <c r="E108" i="9"/>
  <c r="C134" i="11"/>
  <c r="E135" i="25"/>
  <c r="N134" i="33"/>
  <c r="C145" i="34"/>
  <c r="C65" i="11"/>
  <c r="N65" i="33"/>
  <c r="C76" i="34"/>
  <c r="E66" i="25"/>
  <c r="C136" i="11"/>
  <c r="C147" i="34"/>
  <c r="N136" i="33"/>
  <c r="E137" i="25"/>
  <c r="N233" i="33"/>
  <c r="E234" i="25"/>
  <c r="C244" i="34"/>
  <c r="C233" i="11"/>
  <c r="N87" i="33"/>
  <c r="E88" i="25"/>
  <c r="C98" i="34"/>
  <c r="C87" i="11"/>
  <c r="E101" i="25"/>
  <c r="C100" i="11"/>
  <c r="C111" i="34"/>
  <c r="N100" i="33"/>
  <c r="C160" i="34"/>
  <c r="C149" i="11"/>
  <c r="E150" i="25"/>
  <c r="N149" i="33"/>
  <c r="N294" i="33"/>
  <c r="E295" i="25"/>
  <c r="C294" i="11"/>
  <c r="C305" i="34"/>
  <c r="C137" i="11"/>
  <c r="C148" i="34"/>
  <c r="N137" i="33"/>
  <c r="E138" i="25"/>
  <c r="N252" i="33"/>
  <c r="C263" i="34"/>
  <c r="C252" i="11"/>
  <c r="E253" i="25"/>
  <c r="C142" i="11"/>
  <c r="N142" i="33"/>
  <c r="E143" i="25"/>
  <c r="C153" i="34"/>
  <c r="C151" i="11"/>
  <c r="N151" i="33"/>
  <c r="C162" i="34"/>
  <c r="E152" i="25"/>
  <c r="E76" i="25"/>
  <c r="N75" i="33"/>
  <c r="C75" i="11"/>
  <c r="C86" i="34"/>
  <c r="C259" i="34"/>
  <c r="E249" i="25"/>
  <c r="C248" i="11"/>
  <c r="N248" i="33"/>
  <c r="E226" i="25"/>
  <c r="N225" i="33"/>
  <c r="C236" i="34"/>
  <c r="C225" i="11"/>
  <c r="C120" i="11"/>
  <c r="E121" i="25"/>
  <c r="N120" i="33"/>
  <c r="C131" i="34"/>
  <c r="C126" i="11"/>
  <c r="N126" i="33"/>
  <c r="E127" i="25"/>
  <c r="C137" i="34"/>
  <c r="C36" i="11"/>
  <c r="C47" i="34"/>
  <c r="E37" i="25"/>
  <c r="N36" i="33"/>
  <c r="N133" i="33"/>
  <c r="C144" i="34"/>
  <c r="C133" i="11"/>
  <c r="E134" i="25"/>
  <c r="N50" i="33"/>
  <c r="E51" i="25"/>
  <c r="C50" i="11"/>
  <c r="C61" i="34"/>
  <c r="E282" i="25"/>
  <c r="C292" i="34"/>
  <c r="C281" i="11"/>
  <c r="N281" i="33"/>
  <c r="E304" i="25"/>
  <c r="C303" i="11"/>
  <c r="N303" i="33"/>
  <c r="C314" i="34"/>
  <c r="C85" i="11"/>
  <c r="C96" i="34"/>
  <c r="N85" i="33"/>
  <c r="E86" i="25"/>
  <c r="C306" i="34"/>
  <c r="C295" i="11"/>
  <c r="N295" i="33"/>
  <c r="E296" i="25"/>
  <c r="C35" i="11"/>
  <c r="N35" i="33"/>
  <c r="E36" i="25"/>
  <c r="C46" i="34"/>
  <c r="N237" i="33"/>
  <c r="C248" i="34"/>
  <c r="C237" i="11"/>
  <c r="E238" i="25"/>
  <c r="N117" i="33"/>
  <c r="C128" i="34"/>
  <c r="E118" i="25"/>
  <c r="C117" i="11"/>
  <c r="C278" i="11"/>
  <c r="E279" i="25"/>
  <c r="C289" i="34"/>
  <c r="N278" i="33"/>
  <c r="C202" i="34"/>
  <c r="C191" i="11"/>
  <c r="N191" i="33"/>
  <c r="E192" i="25"/>
  <c r="N302" i="33"/>
  <c r="C302" i="11"/>
  <c r="E303" i="25"/>
  <c r="C313" i="34"/>
  <c r="C188" i="34"/>
  <c r="E178" i="25"/>
  <c r="N177" i="33"/>
  <c r="C177" i="11"/>
  <c r="E89" i="25"/>
  <c r="N88" i="33"/>
  <c r="C88" i="11"/>
  <c r="C99" i="34"/>
  <c r="C283" i="11"/>
  <c r="C294" i="34"/>
  <c r="N283" i="33"/>
  <c r="E284" i="25"/>
  <c r="E247" i="25"/>
  <c r="C246" i="11"/>
  <c r="C257" i="34"/>
  <c r="N246" i="33"/>
  <c r="C318" i="34"/>
  <c r="N307" i="33"/>
  <c r="E308" i="25"/>
  <c r="C307" i="11"/>
  <c r="C49" i="11"/>
  <c r="C60" i="34"/>
  <c r="E50" i="25"/>
  <c r="N49" i="33"/>
  <c r="C299" i="11"/>
  <c r="N299" i="33"/>
  <c r="C310" i="34"/>
  <c r="E300" i="25"/>
  <c r="N80" i="33"/>
  <c r="C80" i="11"/>
  <c r="C91" i="34"/>
  <c r="E81" i="25"/>
  <c r="E278" i="25"/>
  <c r="N277" i="33"/>
  <c r="C288" i="34"/>
  <c r="C277" i="11"/>
  <c r="C247" i="34"/>
  <c r="N236" i="33"/>
  <c r="E237" i="25"/>
  <c r="C236" i="11"/>
  <c r="N124" i="33"/>
  <c r="C135" i="34"/>
  <c r="C124" i="11"/>
  <c r="E125" i="25"/>
  <c r="C284" i="34"/>
  <c r="N273" i="33"/>
  <c r="E274" i="25"/>
  <c r="C273" i="11"/>
  <c r="C83" i="34"/>
  <c r="N72" i="33"/>
  <c r="C72" i="11"/>
  <c r="E73" i="25"/>
  <c r="N64" i="33"/>
  <c r="C75" i="34"/>
  <c r="E65" i="25"/>
  <c r="C64" i="11"/>
  <c r="C205" i="11"/>
  <c r="N205" i="33"/>
  <c r="C216" i="34"/>
  <c r="E206" i="25"/>
  <c r="E18" i="25"/>
  <c r="N17" i="33"/>
  <c r="C28" i="34"/>
  <c r="C17" i="11"/>
  <c r="C304" i="34"/>
  <c r="E294" i="25"/>
  <c r="C293" i="11"/>
  <c r="N293" i="33"/>
  <c r="C31" i="34"/>
  <c r="N20" i="33"/>
  <c r="C20" i="11"/>
  <c r="E21" i="25"/>
  <c r="C271" i="11"/>
  <c r="C282" i="34"/>
  <c r="N271" i="33"/>
  <c r="E272" i="25"/>
  <c r="E117" i="25"/>
  <c r="C127" i="34"/>
  <c r="N116" i="33"/>
  <c r="C116" i="11"/>
  <c r="E109" i="25"/>
  <c r="N108" i="33"/>
  <c r="C108" i="11"/>
  <c r="C119" i="34"/>
  <c r="C315" i="34"/>
  <c r="E305" i="25"/>
  <c r="N304" i="33"/>
  <c r="C304" i="11"/>
  <c r="C306" i="11"/>
  <c r="N306" i="33"/>
  <c r="C317" i="34"/>
  <c r="E307" i="25"/>
  <c r="E123" i="25"/>
  <c r="C133" i="34"/>
  <c r="N122" i="33"/>
  <c r="C122" i="11"/>
  <c r="C33" i="11"/>
  <c r="E34" i="25"/>
  <c r="N33" i="33"/>
  <c r="C44" i="34"/>
  <c r="E205" i="25"/>
  <c r="N204" i="33"/>
  <c r="C204" i="11"/>
  <c r="C215" i="34"/>
  <c r="N179" i="33"/>
  <c r="C179" i="11"/>
  <c r="C190" i="34"/>
  <c r="E180" i="25"/>
  <c r="N319" i="33"/>
  <c r="C330" i="34"/>
  <c r="E320" i="25"/>
  <c r="C319" i="11"/>
  <c r="N30" i="33"/>
  <c r="C41" i="34"/>
  <c r="C30" i="11"/>
  <c r="E31" i="25"/>
  <c r="C134" i="34"/>
  <c r="E124" i="25"/>
  <c r="C123" i="11"/>
  <c r="N123" i="33"/>
  <c r="C41" i="11"/>
  <c r="N41" i="33"/>
  <c r="C52" i="34"/>
  <c r="E42" i="25"/>
  <c r="E80" i="25"/>
  <c r="N79" i="33"/>
  <c r="C79" i="11"/>
  <c r="C90" i="34"/>
  <c r="C68" i="34"/>
  <c r="C57" i="11"/>
  <c r="N57" i="33"/>
  <c r="E58" i="25"/>
  <c r="C84" i="11"/>
  <c r="N84" i="33"/>
  <c r="C95" i="34"/>
  <c r="E85" i="25"/>
  <c r="C97" i="11"/>
  <c r="N97" i="33"/>
  <c r="C108" i="34"/>
  <c r="E98" i="25"/>
  <c r="N81" i="33"/>
  <c r="E82" i="25"/>
  <c r="C81" i="11"/>
  <c r="C92" i="34"/>
  <c r="N276" i="33"/>
  <c r="C287" i="34"/>
  <c r="E277" i="25"/>
  <c r="C276" i="11"/>
  <c r="N266" i="33"/>
  <c r="C277" i="34"/>
  <c r="E267" i="25"/>
  <c r="C266" i="11"/>
  <c r="E185" i="25"/>
  <c r="N184" i="33"/>
  <c r="C195" i="34"/>
  <c r="C184" i="11"/>
  <c r="E35" i="25"/>
  <c r="C34" i="11"/>
  <c r="C45" i="34"/>
  <c r="N34" i="33"/>
  <c r="N215" i="33"/>
  <c r="E216" i="25"/>
  <c r="C215" i="11"/>
  <c r="C226" i="34"/>
  <c r="C179" i="34"/>
  <c r="C168" i="11"/>
  <c r="N168" i="33"/>
  <c r="E169" i="25"/>
  <c r="N270" i="33"/>
  <c r="C281" i="34"/>
  <c r="E271" i="25"/>
  <c r="C270" i="11"/>
  <c r="C251" i="34"/>
  <c r="E241" i="25"/>
  <c r="C240" i="11"/>
  <c r="N240" i="33"/>
  <c r="N93" i="33"/>
  <c r="E94" i="25"/>
  <c r="C93" i="11"/>
  <c r="C104" i="34"/>
  <c r="C203" i="34"/>
  <c r="E193" i="25"/>
  <c r="N192" i="33"/>
  <c r="C192" i="11"/>
  <c r="C274" i="11"/>
  <c r="E275" i="25"/>
  <c r="N274" i="33"/>
  <c r="C285" i="34"/>
  <c r="E113" i="25"/>
  <c r="N112" i="33"/>
  <c r="C112" i="11"/>
  <c r="C123" i="34"/>
  <c r="C84" i="34"/>
  <c r="E74" i="25"/>
  <c r="N73" i="33"/>
  <c r="C73" i="11"/>
  <c r="C83" i="11"/>
  <c r="E84" i="25"/>
  <c r="C94" i="34"/>
  <c r="N83" i="33"/>
  <c r="C269" i="11"/>
  <c r="N269" i="33"/>
  <c r="E270" i="25"/>
  <c r="C280" i="34"/>
  <c r="C163" i="11"/>
  <c r="N163" i="33"/>
  <c r="E164" i="25"/>
  <c r="C174" i="34"/>
  <c r="C154" i="34"/>
  <c r="N143" i="33"/>
  <c r="C143" i="11"/>
  <c r="E144" i="25"/>
  <c r="N131" i="33"/>
  <c r="C131" i="11"/>
  <c r="E132" i="25"/>
  <c r="C142" i="34"/>
  <c r="C309" i="11"/>
  <c r="N309" i="33"/>
  <c r="C320" i="34"/>
  <c r="E310" i="25"/>
  <c r="E59" i="25"/>
  <c r="N58" i="33"/>
  <c r="C58" i="11"/>
  <c r="C69" i="34"/>
  <c r="C209" i="11"/>
  <c r="C220" i="34"/>
  <c r="E210" i="25"/>
  <c r="N209" i="33"/>
  <c r="C282" i="11"/>
  <c r="N282" i="33"/>
  <c r="C293" i="34"/>
  <c r="E283" i="25"/>
  <c r="C90" i="11"/>
  <c r="N90" i="33"/>
  <c r="C101" i="34"/>
  <c r="E91" i="25"/>
  <c r="N272" i="33"/>
  <c r="E273" i="25"/>
  <c r="C272" i="11"/>
  <c r="C283" i="34"/>
  <c r="C172" i="34"/>
  <c r="E162" i="25"/>
  <c r="N161" i="33"/>
  <c r="C161" i="11"/>
  <c r="C89" i="34"/>
  <c r="C78" i="11"/>
  <c r="N78" i="33"/>
  <c r="E79" i="25"/>
  <c r="C229" i="11"/>
  <c r="C240" i="34"/>
  <c r="N229" i="33"/>
  <c r="E230" i="25"/>
  <c r="N219" i="33"/>
  <c r="E220" i="25"/>
  <c r="C230" i="34"/>
  <c r="C219" i="11"/>
  <c r="E239" i="25"/>
  <c r="N238" i="33"/>
  <c r="C249" i="34"/>
  <c r="C238" i="11"/>
  <c r="N102" i="33"/>
  <c r="C113" i="34"/>
  <c r="E103" i="25"/>
  <c r="C102" i="11"/>
  <c r="C273" i="34"/>
  <c r="E263" i="25"/>
  <c r="N262" i="33"/>
  <c r="C262" i="11"/>
  <c r="N13" i="33"/>
  <c r="C24" i="34"/>
  <c r="E14" i="25"/>
  <c r="C13" i="11"/>
  <c r="C165" i="34"/>
  <c r="N154" i="33"/>
  <c r="C154" i="11"/>
  <c r="E155" i="25"/>
  <c r="C183" i="34"/>
  <c r="N172" i="33"/>
  <c r="E173" i="25"/>
  <c r="C172" i="11"/>
  <c r="E318" i="25"/>
  <c r="N317" i="33"/>
  <c r="C328" i="34"/>
  <c r="C317" i="11"/>
  <c r="C326" i="34"/>
  <c r="C315" i="11"/>
  <c r="N315" i="33"/>
  <c r="E316" i="25"/>
  <c r="E55" i="25"/>
  <c r="N54" i="33"/>
  <c r="C65" i="34"/>
  <c r="C54" i="11"/>
  <c r="E265" i="25"/>
  <c r="C275" i="34"/>
  <c r="N264" i="33"/>
  <c r="C264" i="11"/>
  <c r="E190" i="25"/>
  <c r="C189" i="11"/>
  <c r="N189" i="33"/>
  <c r="C200" i="34"/>
  <c r="C33" i="34"/>
  <c r="E23" i="25"/>
  <c r="C22" i="11"/>
  <c r="N22" i="33"/>
  <c r="E141" i="25"/>
  <c r="C140" i="11"/>
  <c r="N140" i="33"/>
  <c r="C151" i="34"/>
  <c r="E212" i="25"/>
  <c r="N211" i="33"/>
  <c r="C222" i="34"/>
  <c r="C211" i="11"/>
  <c r="C105" i="34"/>
  <c r="N94" i="33"/>
  <c r="C94" i="11"/>
  <c r="E95" i="25"/>
  <c r="C302" i="34"/>
  <c r="N291" i="33"/>
  <c r="C291" i="11"/>
  <c r="E292" i="25"/>
  <c r="C56" i="34"/>
  <c r="C45" i="11"/>
  <c r="N45" i="33"/>
  <c r="E46" i="25"/>
  <c r="C211" i="34"/>
  <c r="N200" i="33"/>
  <c r="E201" i="25"/>
  <c r="C200" i="11"/>
  <c r="N301" i="33"/>
  <c r="C312" i="34"/>
  <c r="C301" i="11"/>
  <c r="E302" i="25"/>
  <c r="E19" i="25"/>
  <c r="C18" i="11"/>
  <c r="N18" i="33"/>
  <c r="C29" i="34"/>
  <c r="N314" i="33"/>
  <c r="C314" i="11"/>
  <c r="C325" i="34"/>
  <c r="E315" i="25"/>
  <c r="C295" i="34"/>
  <c r="E285" i="25"/>
  <c r="C284" i="11"/>
  <c r="N284" i="33"/>
  <c r="E196" i="25"/>
  <c r="N195" i="33"/>
  <c r="C206" i="34"/>
  <c r="C195" i="11"/>
  <c r="N95" i="33"/>
  <c r="C106" i="34"/>
  <c r="E96" i="25"/>
  <c r="C95" i="11"/>
  <c r="C82" i="34"/>
  <c r="C71" i="11"/>
  <c r="N71" i="33"/>
  <c r="E72" i="25"/>
  <c r="N60" i="33"/>
  <c r="C60" i="11"/>
  <c r="E61" i="25"/>
  <c r="C71" i="34"/>
  <c r="N310" i="33"/>
  <c r="E311" i="25"/>
  <c r="C321" i="34"/>
  <c r="C310" i="11"/>
  <c r="N6" i="33"/>
  <c r="C17" i="34"/>
  <c r="E7" i="25"/>
  <c r="C6" i="11"/>
  <c r="N99" i="33"/>
  <c r="C110" i="34"/>
  <c r="E100" i="25"/>
  <c r="C99" i="11"/>
  <c r="N182" i="33"/>
  <c r="C182" i="11"/>
  <c r="C193" i="34"/>
  <c r="E183" i="25"/>
  <c r="N201" i="33"/>
  <c r="E202" i="25"/>
  <c r="C212" i="34"/>
  <c r="C201" i="11"/>
  <c r="C42" i="11"/>
  <c r="N42" i="33"/>
  <c r="C53" i="34"/>
  <c r="E43" i="25"/>
  <c r="N105" i="33"/>
  <c r="C116" i="34"/>
  <c r="E106" i="25"/>
  <c r="C105" i="11"/>
  <c r="E110" i="25"/>
  <c r="C120" i="34"/>
  <c r="N109" i="33"/>
  <c r="C109" i="11"/>
  <c r="E281" i="25"/>
  <c r="N280" i="33"/>
  <c r="C280" i="11"/>
  <c r="C291" i="34"/>
  <c r="E140" i="25"/>
  <c r="N139" i="33"/>
  <c r="C150" i="34"/>
  <c r="C139" i="11"/>
  <c r="N253" i="33"/>
  <c r="C253" i="11"/>
  <c r="C264" i="34"/>
  <c r="E254" i="25"/>
  <c r="E242" i="25"/>
  <c r="N241" i="33"/>
  <c r="C241" i="11"/>
  <c r="C252" i="34"/>
  <c r="E186" i="25"/>
  <c r="C196" i="34"/>
  <c r="N185" i="33"/>
  <c r="C185" i="11"/>
  <c r="C279" i="34"/>
  <c r="N268" i="33"/>
  <c r="C268" i="11"/>
  <c r="E269" i="25"/>
  <c r="N214" i="33"/>
  <c r="C214" i="11"/>
  <c r="E215" i="25"/>
  <c r="C225" i="34"/>
  <c r="N150" i="33"/>
  <c r="C150" i="11"/>
  <c r="C161" i="34"/>
  <c r="E151" i="25"/>
  <c r="C217" i="11"/>
  <c r="N217" i="33"/>
  <c r="E218" i="25"/>
  <c r="C228" i="34"/>
  <c r="C199" i="34"/>
  <c r="N188" i="33"/>
  <c r="C188" i="11"/>
  <c r="E189" i="25"/>
  <c r="C68" i="11"/>
  <c r="C79" i="34"/>
  <c r="E69" i="25"/>
  <c r="N68" i="33"/>
  <c r="C185" i="34"/>
  <c r="E175" i="25"/>
  <c r="N174" i="33"/>
  <c r="C174" i="11"/>
  <c r="C276" i="34"/>
  <c r="N265" i="33"/>
  <c r="E266" i="25"/>
  <c r="C265" i="11"/>
  <c r="C40" i="34"/>
  <c r="C29" i="11"/>
  <c r="N29" i="33"/>
  <c r="E30" i="25"/>
  <c r="N221" i="33"/>
  <c r="C221" i="11"/>
  <c r="E222" i="25"/>
  <c r="C232" i="34"/>
  <c r="N26" i="33"/>
  <c r="C26" i="11"/>
  <c r="E27" i="25"/>
  <c r="C37" i="34"/>
  <c r="C267" i="34"/>
  <c r="C256" i="11"/>
  <c r="N256" i="33"/>
  <c r="E257" i="25"/>
  <c r="E17" i="25"/>
  <c r="C16" i="11"/>
  <c r="N16" i="33"/>
  <c r="C27" i="34"/>
  <c r="C244" i="11"/>
  <c r="N244" i="33"/>
  <c r="E245" i="25"/>
  <c r="C255" i="34"/>
  <c r="N31" i="33"/>
  <c r="C42" i="34"/>
  <c r="E32" i="25"/>
  <c r="C31" i="11"/>
  <c r="C164" i="11"/>
  <c r="E165" i="25"/>
  <c r="C175" i="34"/>
  <c r="N164" i="33"/>
  <c r="E139" i="25"/>
  <c r="C138" i="11"/>
  <c r="N138" i="33"/>
  <c r="C149" i="34"/>
  <c r="C40" i="11"/>
  <c r="N40" i="33"/>
  <c r="E41" i="25"/>
  <c r="C51" i="34"/>
  <c r="E97" i="25"/>
  <c r="N96" i="33"/>
  <c r="C96" i="11"/>
  <c r="C107" i="34"/>
  <c r="C67" i="34"/>
  <c r="N56" i="33"/>
  <c r="E57" i="25"/>
  <c r="C56" i="11"/>
  <c r="N21" i="33"/>
  <c r="E22" i="25"/>
  <c r="C32" i="34"/>
  <c r="C21" i="11"/>
  <c r="C322" i="34"/>
  <c r="N311" i="33"/>
  <c r="E312" i="25"/>
  <c r="C311" i="11"/>
  <c r="E115" i="25"/>
  <c r="C125" i="34"/>
  <c r="N114" i="33"/>
  <c r="C114" i="11"/>
  <c r="E44" i="25"/>
  <c r="N43" i="33"/>
  <c r="C54" i="34"/>
  <c r="C43" i="11"/>
  <c r="E214" i="25"/>
  <c r="C224" i="34"/>
  <c r="N213" i="33"/>
  <c r="C213" i="11"/>
  <c r="E9" i="25"/>
  <c r="C19" i="34"/>
  <c r="N8" i="33"/>
  <c r="C8" i="11"/>
  <c r="E54" i="25"/>
  <c r="C64" i="34"/>
  <c r="N53" i="33"/>
  <c r="C53" i="11"/>
  <c r="C9" i="11"/>
  <c r="C20" i="34"/>
  <c r="N9" i="33"/>
  <c r="E10" i="25"/>
  <c r="E149" i="25"/>
  <c r="C159" i="34"/>
  <c r="N148" i="33"/>
  <c r="C148" i="11"/>
  <c r="N55" i="33"/>
  <c r="C55" i="11"/>
  <c r="E56" i="25"/>
  <c r="C66" i="34"/>
  <c r="C12" i="11"/>
  <c r="E13" i="25"/>
  <c r="N12" i="33"/>
  <c r="C23" i="34"/>
  <c r="E63" i="25"/>
  <c r="C62" i="11"/>
  <c r="C73" i="34"/>
  <c r="N62" i="33"/>
  <c r="C167" i="34"/>
  <c r="C156" i="11"/>
  <c r="E157" i="25"/>
  <c r="N156" i="33"/>
  <c r="C324" i="34"/>
  <c r="C313" i="11"/>
  <c r="N313" i="33"/>
  <c r="E314" i="25"/>
  <c r="C140" i="34"/>
  <c r="N129" i="33"/>
  <c r="C129" i="11"/>
  <c r="E130" i="25"/>
  <c r="C70" i="11"/>
  <c r="C81" i="34"/>
  <c r="N70" i="33"/>
  <c r="E71" i="25"/>
  <c r="E188" i="25"/>
  <c r="C198" i="34"/>
  <c r="C187" i="11"/>
  <c r="N187" i="33"/>
  <c r="C305" i="11"/>
  <c r="N305" i="33"/>
  <c r="E306" i="25"/>
  <c r="C316" i="34"/>
  <c r="N14" i="33"/>
  <c r="E15" i="25"/>
  <c r="C14" i="11"/>
  <c r="C25" i="34"/>
  <c r="E11" i="25"/>
  <c r="N10" i="33"/>
  <c r="C21" i="34"/>
  <c r="C10" i="11"/>
  <c r="N98" i="33"/>
  <c r="E99" i="25"/>
  <c r="C98" i="11"/>
  <c r="C109" i="34"/>
  <c r="C194" i="34"/>
  <c r="N183" i="33"/>
  <c r="E184" i="25"/>
  <c r="C183" i="11"/>
  <c r="N224" i="33"/>
  <c r="C224" i="11"/>
  <c r="C235" i="34"/>
  <c r="E225" i="25"/>
  <c r="E229" i="25"/>
  <c r="N228" i="33"/>
  <c r="C228" i="11"/>
  <c r="C239" i="34"/>
  <c r="E298" i="25"/>
  <c r="N297" i="33"/>
  <c r="C297" i="11"/>
  <c r="C308" i="34"/>
  <c r="N320" i="33"/>
  <c r="E321" i="25"/>
  <c r="C320" i="11"/>
  <c r="C331" i="34"/>
  <c r="N115" i="33"/>
  <c r="C126" i="34"/>
  <c r="C115" i="11"/>
  <c r="E116" i="25"/>
  <c r="C138" i="34"/>
  <c r="N127" i="33"/>
  <c r="E128" i="25"/>
  <c r="C127" i="11"/>
  <c r="C329" i="34"/>
  <c r="N318" i="33"/>
  <c r="C318" i="11"/>
  <c r="E319" i="25"/>
  <c r="C158" i="11"/>
  <c r="E159" i="25"/>
  <c r="N158" i="33"/>
  <c r="C169" i="34"/>
  <c r="C230" i="11"/>
  <c r="N230" i="33"/>
  <c r="E231" i="25"/>
  <c r="C241" i="34"/>
  <c r="E148" i="25"/>
  <c r="N147" i="33"/>
  <c r="C158" i="34"/>
  <c r="C147" i="11"/>
  <c r="C118" i="34"/>
  <c r="N107" i="33"/>
  <c r="E108" i="25"/>
  <c r="C107" i="11"/>
  <c r="N155" i="33"/>
  <c r="E156" i="25"/>
  <c r="C155" i="11"/>
  <c r="C166" i="34"/>
  <c r="N59" i="33"/>
  <c r="C70" i="34"/>
  <c r="C59" i="11"/>
  <c r="E60" i="25"/>
  <c r="E142" i="25"/>
  <c r="N141" i="33"/>
  <c r="C141" i="11"/>
  <c r="C152" i="34"/>
  <c r="C157" i="11"/>
  <c r="E158" i="25"/>
  <c r="N157" i="33"/>
  <c r="C168" i="34"/>
  <c r="N121" i="33"/>
  <c r="C132" i="34"/>
  <c r="E122" i="25"/>
  <c r="C121" i="11"/>
  <c r="C121" i="34"/>
  <c r="N110" i="33"/>
  <c r="E111" i="25"/>
  <c r="C110" i="11"/>
  <c r="N258" i="33"/>
  <c r="C258" i="11"/>
  <c r="E259" i="25"/>
  <c r="C269" i="34"/>
  <c r="N145" i="33"/>
  <c r="E146" i="25"/>
  <c r="C145" i="11"/>
  <c r="C156" i="34"/>
  <c r="C176" i="11"/>
  <c r="C187" i="34"/>
  <c r="N176" i="33"/>
  <c r="E177" i="25"/>
  <c r="N37" i="33"/>
  <c r="C37" i="11"/>
  <c r="E38" i="25"/>
  <c r="C48" i="34"/>
  <c r="N263" i="33"/>
  <c r="C274" i="34"/>
  <c r="C263" i="11"/>
  <c r="E264" i="25"/>
  <c r="C201" i="34"/>
  <c r="C190" i="11"/>
  <c r="N190" i="33"/>
  <c r="E191" i="25"/>
  <c r="E232" i="25"/>
  <c r="C231" i="11"/>
  <c r="C242" i="34"/>
  <c r="N231" i="33"/>
  <c r="N74" i="33"/>
  <c r="E75" i="25"/>
  <c r="C85" i="34"/>
  <c r="C74" i="11"/>
  <c r="N63" i="33"/>
  <c r="C74" i="34"/>
  <c r="E64" i="25"/>
  <c r="C63" i="11"/>
  <c r="C88" i="34"/>
  <c r="N77" i="33"/>
  <c r="C77" i="11"/>
  <c r="E78" i="25"/>
  <c r="E286" i="25"/>
  <c r="C296" i="34"/>
  <c r="N285" i="33"/>
  <c r="C285" i="11"/>
  <c r="N308" i="33"/>
  <c r="C319" i="34"/>
  <c r="E309" i="25"/>
  <c r="C308" i="11"/>
  <c r="C46" i="11"/>
  <c r="C57" i="34"/>
  <c r="N46" i="33"/>
  <c r="E47" i="25"/>
  <c r="E25" i="25"/>
  <c r="C35" i="34"/>
  <c r="N24" i="33"/>
  <c r="C24" i="11"/>
  <c r="N86" i="33"/>
  <c r="E87" i="25"/>
  <c r="C97" i="34"/>
  <c r="C86" i="11"/>
  <c r="C157" i="34"/>
  <c r="N146" i="33"/>
  <c r="E147" i="25"/>
  <c r="C146" i="11"/>
  <c r="N316" i="33"/>
  <c r="C327" i="34"/>
  <c r="E317" i="25"/>
  <c r="C316" i="11"/>
  <c r="C32" i="11"/>
  <c r="N32" i="33"/>
  <c r="E33" i="25"/>
  <c r="C43" i="34"/>
  <c r="C203" i="11"/>
  <c r="N203" i="33"/>
  <c r="E204" i="25"/>
  <c r="C214" i="34"/>
  <c r="E255" i="25"/>
  <c r="C265" i="34"/>
  <c r="N254" i="33"/>
  <c r="C254" i="11"/>
  <c r="C59" i="34"/>
  <c r="E49" i="25"/>
  <c r="C48" i="11"/>
  <c r="N48" i="33"/>
  <c r="E26" i="25"/>
  <c r="C25" i="11"/>
  <c r="C36" i="34"/>
  <c r="N25" i="33"/>
  <c r="E228" i="25"/>
  <c r="N227" i="33"/>
  <c r="C227" i="11"/>
  <c r="C238" i="34"/>
  <c r="E52" i="25"/>
  <c r="N51" i="33"/>
  <c r="C62" i="34"/>
  <c r="C51" i="11"/>
  <c r="N162" i="33"/>
  <c r="C173" i="34"/>
  <c r="E163" i="25"/>
  <c r="C162" i="11"/>
  <c r="N197" i="33"/>
  <c r="C197" i="11"/>
  <c r="E198" i="25"/>
  <c r="C208" i="34"/>
  <c r="E131" i="25"/>
  <c r="C141" i="34"/>
  <c r="C130" i="11"/>
  <c r="N130" i="33"/>
  <c r="C181" i="11"/>
  <c r="N181" i="33"/>
  <c r="C192" i="34"/>
  <c r="E182" i="25"/>
  <c r="E171" i="25"/>
  <c r="C170" i="11"/>
  <c r="C181" i="34"/>
  <c r="N170" i="33"/>
  <c r="C242" i="11"/>
  <c r="E243" i="25"/>
  <c r="N242" i="33"/>
  <c r="C253" i="34"/>
  <c r="C143" i="34"/>
  <c r="N132" i="33"/>
  <c r="C132" i="11"/>
  <c r="E133" i="25"/>
  <c r="C119" i="11"/>
  <c r="N119" i="33"/>
  <c r="C130" i="34"/>
  <c r="E120" i="25"/>
  <c r="N226" i="33"/>
  <c r="C226" i="11"/>
  <c r="E227" i="25"/>
  <c r="C237" i="34"/>
  <c r="C49" i="34"/>
  <c r="N38" i="33"/>
  <c r="E39" i="25"/>
  <c r="C38" i="11"/>
  <c r="N322" i="33"/>
  <c r="E323" i="25"/>
  <c r="C322" i="11"/>
  <c r="C333" i="34"/>
  <c r="E48" i="25"/>
  <c r="N47" i="33"/>
  <c r="C47" i="11"/>
  <c r="C58" i="34"/>
  <c r="N171" i="33"/>
  <c r="C182" i="34"/>
  <c r="C171" i="11"/>
  <c r="E172" i="25"/>
  <c r="C50" i="34"/>
  <c r="N39" i="33"/>
  <c r="E40" i="25"/>
  <c r="C39" i="11"/>
  <c r="E293" i="25"/>
  <c r="N292" i="33"/>
  <c r="C303" i="34"/>
  <c r="C292" i="11"/>
  <c r="C30" i="34"/>
  <c r="N19" i="33"/>
  <c r="C19" i="11"/>
  <c r="E20" i="25"/>
  <c r="E313" i="25"/>
  <c r="C312" i="11"/>
  <c r="C323" i="34"/>
  <c r="N312" i="33"/>
  <c r="N91" i="33"/>
  <c r="C91" i="11"/>
  <c r="C102" i="34"/>
  <c r="E92" i="25"/>
  <c r="C208" i="11"/>
  <c r="C219" i="34"/>
  <c r="E209" i="25"/>
  <c r="N208" i="33"/>
  <c r="E176" i="25"/>
  <c r="C186" i="34"/>
  <c r="N175" i="33"/>
  <c r="C175" i="11"/>
  <c r="C300" i="34"/>
  <c r="E290" i="25"/>
  <c r="N289" i="33"/>
  <c r="C289" i="11"/>
  <c r="N128" i="33"/>
  <c r="C139" i="34"/>
  <c r="C128" i="11"/>
  <c r="E129" i="25"/>
  <c r="C125" i="11"/>
  <c r="N125" i="33"/>
  <c r="E126" i="25"/>
  <c r="C136" i="34"/>
  <c r="E200" i="25"/>
  <c r="C210" i="34"/>
  <c r="N199" i="33"/>
  <c r="C199" i="11"/>
  <c r="C23" i="11"/>
  <c r="N23" i="33"/>
  <c r="E24" i="25"/>
  <c r="C34" i="34"/>
  <c r="E136" i="25"/>
  <c r="N135" i="33"/>
  <c r="C135" i="11"/>
  <c r="C146" i="34"/>
  <c r="C243" i="34"/>
  <c r="E233" i="25"/>
  <c r="C232" i="11"/>
  <c r="N232" i="33"/>
  <c r="E102" i="25"/>
  <c r="C101" i="11"/>
  <c r="N101" i="33"/>
  <c r="C112" i="34"/>
  <c r="E112" i="25"/>
  <c r="N111" i="33"/>
  <c r="C111" i="11"/>
  <c r="C122" i="34"/>
  <c r="N196" i="33"/>
  <c r="C207" i="34"/>
  <c r="C196" i="11"/>
  <c r="E197" i="25"/>
  <c r="C223" i="11"/>
  <c r="C234" i="34"/>
  <c r="E224" i="25"/>
  <c r="N223" i="33"/>
  <c r="C202" i="11"/>
  <c r="C213" i="34"/>
  <c r="N202" i="33"/>
  <c r="E203" i="25"/>
  <c r="N152" i="33"/>
  <c r="C152" i="11"/>
  <c r="E153" i="25"/>
  <c r="C163" i="34"/>
  <c r="N239" i="33"/>
  <c r="E240" i="25"/>
  <c r="C250" i="34"/>
  <c r="C239" i="11"/>
  <c r="E223" i="25"/>
  <c r="N222" i="33"/>
  <c r="C222" i="11"/>
  <c r="C233" i="34"/>
  <c r="C198" i="11"/>
  <c r="E199" i="25"/>
  <c r="C209" i="34"/>
  <c r="N198" i="33"/>
  <c r="C124" i="34"/>
  <c r="N113" i="33"/>
  <c r="C113" i="11"/>
  <c r="E114" i="25"/>
  <c r="C286" i="34"/>
  <c r="N275" i="33"/>
  <c r="E276" i="25"/>
  <c r="C275" i="11"/>
  <c r="N66" i="33"/>
  <c r="C77" i="34"/>
  <c r="E67" i="25"/>
  <c r="C66" i="11"/>
  <c r="N255" i="33"/>
  <c r="C266" i="34"/>
  <c r="E256" i="25"/>
  <c r="C255" i="11"/>
  <c r="E248" i="25"/>
  <c r="N247" i="33"/>
  <c r="C258" i="34"/>
  <c r="C247" i="11"/>
  <c r="C217" i="34"/>
  <c r="C206" i="11"/>
  <c r="E207" i="25"/>
  <c r="N206" i="33"/>
  <c r="N27" i="33"/>
  <c r="C38" i="34"/>
  <c r="E28" i="25"/>
  <c r="C27" i="11"/>
  <c r="N245" i="33"/>
  <c r="C256" i="34"/>
  <c r="E246" i="25"/>
  <c r="C245" i="11"/>
  <c r="E280" i="25"/>
  <c r="C290" i="34"/>
  <c r="N279" i="33"/>
  <c r="C279" i="11"/>
  <c r="E211" i="25"/>
  <c r="N210" i="33"/>
  <c r="C210" i="11"/>
  <c r="C221" i="34"/>
  <c r="E70" i="25"/>
  <c r="C80" i="34"/>
  <c r="C69" i="11"/>
  <c r="N69" i="33"/>
  <c r="C22" i="34"/>
  <c r="N11" i="33"/>
  <c r="E12" i="25"/>
  <c r="C11" i="11"/>
  <c r="C272" i="34"/>
  <c r="C261" i="11"/>
  <c r="N261" i="33"/>
  <c r="E262" i="25"/>
  <c r="E235" i="25"/>
  <c r="C234" i="11"/>
  <c r="C245" i="34"/>
  <c r="N234" i="33"/>
  <c r="C207" i="11"/>
  <c r="N207" i="33"/>
  <c r="E208" i="25"/>
  <c r="C218" i="34"/>
  <c r="E258" i="25"/>
  <c r="N257" i="33"/>
  <c r="C257" i="11"/>
  <c r="C268" i="34"/>
  <c r="C89" i="11"/>
  <c r="N89" i="33"/>
  <c r="C100" i="34"/>
  <c r="E90" i="25"/>
  <c r="N298" i="33"/>
  <c r="C298" i="11"/>
  <c r="E299" i="25"/>
  <c r="C309" i="34"/>
  <c r="C173" i="11"/>
  <c r="N173" i="33"/>
  <c r="C184" i="34"/>
  <c r="E174" i="25"/>
  <c r="E195" i="25"/>
  <c r="C194" i="11"/>
  <c r="N194" i="33"/>
  <c r="C205" i="34"/>
  <c r="C260" i="11"/>
  <c r="C271" i="34"/>
  <c r="E261" i="25"/>
  <c r="N260" i="33"/>
  <c r="C204" i="34"/>
  <c r="N193" i="33"/>
  <c r="E194" i="25"/>
  <c r="C193" i="11"/>
  <c r="N76" i="33"/>
  <c r="E77" i="25"/>
  <c r="C87" i="34"/>
  <c r="C76" i="11"/>
  <c r="N61" i="33"/>
  <c r="E62" i="25"/>
  <c r="C61" i="11"/>
  <c r="C72" i="34"/>
  <c r="E268" i="25"/>
  <c r="C267" i="11"/>
  <c r="N267" i="33"/>
  <c r="C278" i="34"/>
  <c r="C300" i="11"/>
  <c r="C311" i="34"/>
  <c r="E301" i="25"/>
  <c r="N300" i="33"/>
  <c r="E16" i="25"/>
  <c r="N15" i="33"/>
  <c r="C26" i="34"/>
  <c r="C15" i="11"/>
  <c r="E154" i="25"/>
  <c r="C153" i="11"/>
  <c r="N153" i="33"/>
  <c r="C164" i="34"/>
  <c r="N249" i="33"/>
  <c r="C260" i="34"/>
  <c r="E250" i="25"/>
  <c r="C249" i="11"/>
  <c r="E252" i="25"/>
  <c r="C262" i="34"/>
  <c r="C251" i="11"/>
  <c r="N251" i="33"/>
  <c r="C307" i="34"/>
  <c r="N296" i="33"/>
  <c r="C296" i="11"/>
  <c r="E297" i="25"/>
  <c r="N118" i="33"/>
  <c r="E119" i="25"/>
  <c r="C129" i="34"/>
  <c r="C118" i="11"/>
  <c r="C169" i="11"/>
  <c r="C180" i="34"/>
  <c r="E170" i="25"/>
  <c r="N169" i="33"/>
  <c r="C178" i="11"/>
  <c r="N178" i="33"/>
  <c r="E179" i="25"/>
  <c r="C189" i="34"/>
  <c r="N288" i="33"/>
  <c r="C299" i="34"/>
  <c r="E289" i="25"/>
  <c r="C288" i="11"/>
  <c r="E168" i="25"/>
  <c r="N167" i="33"/>
  <c r="C167" i="11"/>
  <c r="C178" i="34"/>
  <c r="E291" i="25"/>
  <c r="C301" i="34"/>
  <c r="N290" i="33"/>
  <c r="C290" i="11"/>
  <c r="C250" i="11"/>
  <c r="N250" i="33"/>
  <c r="E251" i="25"/>
  <c r="C261" i="34"/>
  <c r="C227" i="34"/>
  <c r="E217" i="25"/>
  <c r="C216" i="11"/>
  <c r="N216" i="33"/>
  <c r="C114" i="34"/>
  <c r="C103" i="11"/>
  <c r="E104" i="25"/>
  <c r="N103" i="33"/>
  <c r="C176" i="34"/>
  <c r="N165" i="33"/>
  <c r="C165" i="11"/>
  <c r="E166" i="25"/>
  <c r="N235" i="33"/>
  <c r="E236" i="25"/>
  <c r="C246" i="34"/>
  <c r="C235" i="11"/>
  <c r="C191" i="34"/>
  <c r="E181" i="25"/>
  <c r="C180" i="11"/>
  <c r="N180" i="33"/>
  <c r="C160" i="11"/>
  <c r="E161" i="25"/>
  <c r="C171" i="34"/>
  <c r="N160" i="33"/>
  <c r="C78" i="34"/>
  <c r="C67" i="11"/>
  <c r="N67" i="33"/>
  <c r="E68" i="25"/>
  <c r="N287" i="33"/>
  <c r="C287" i="11"/>
  <c r="C298" i="34"/>
  <c r="E288" i="25"/>
  <c r="N159" i="33"/>
  <c r="C159" i="11"/>
  <c r="C170" i="34"/>
  <c r="E160" i="25"/>
  <c r="E107" i="25"/>
  <c r="N106" i="33"/>
  <c r="C117" i="34"/>
  <c r="C106" i="11"/>
  <c r="N7" i="33"/>
  <c r="E8" i="25"/>
  <c r="C18" i="34"/>
  <c r="C7" i="11"/>
  <c r="C155" i="34"/>
  <c r="C144" i="11"/>
  <c r="E145" i="25"/>
  <c r="N144" i="33"/>
  <c r="C197" i="34"/>
  <c r="N186" i="33"/>
  <c r="E187" i="25"/>
  <c r="C186" i="11"/>
  <c r="C166" i="11"/>
  <c r="N166" i="33"/>
  <c r="E167" i="25"/>
  <c r="C177" i="34"/>
  <c r="C229" i="34"/>
  <c r="N218" i="33"/>
  <c r="E219" i="25"/>
  <c r="C218" i="11"/>
  <c r="N28" i="33"/>
  <c r="C28" i="11"/>
  <c r="C39" i="34"/>
  <c r="E29" i="25"/>
  <c r="N220" i="33"/>
  <c r="C231" i="34"/>
  <c r="E221" i="25"/>
  <c r="C220" i="11"/>
  <c r="C243" i="11"/>
  <c r="E244" i="25"/>
  <c r="C254" i="34"/>
  <c r="N243" i="33"/>
  <c r="E105" i="25"/>
  <c r="N104" i="33"/>
  <c r="C104" i="11"/>
  <c r="C115" i="34"/>
  <c r="E287" i="25"/>
  <c r="C286" i="11"/>
  <c r="C297" i="34"/>
  <c r="N286" i="33"/>
  <c r="C63" i="34"/>
  <c r="E53" i="25"/>
  <c r="N52" i="33"/>
  <c r="C52" i="11"/>
  <c r="C212" i="11"/>
  <c r="N212" i="33"/>
  <c r="C223" i="34"/>
  <c r="E213" i="25"/>
  <c r="E83" i="25"/>
  <c r="N82" i="33"/>
  <c r="C93" i="34"/>
  <c r="C82" i="11"/>
  <c r="C44" i="11"/>
  <c r="E45" i="25"/>
  <c r="N44" i="33"/>
  <c r="C55" i="34"/>
  <c r="E260" i="25"/>
  <c r="C270" i="34"/>
  <c r="N259" i="33"/>
  <c r="C259" i="11"/>
  <c r="N92" i="33"/>
  <c r="E93" i="25"/>
  <c r="C92" i="11"/>
  <c r="C103" i="34"/>
  <c r="L52" i="11" l="1"/>
  <c r="H52" i="11"/>
  <c r="I52" i="11" s="1"/>
  <c r="H7" i="11"/>
  <c r="I7" i="11" s="1"/>
  <c r="L7" i="11"/>
  <c r="H235" i="11"/>
  <c r="L235" i="11"/>
  <c r="M235" i="11" s="1"/>
  <c r="H15" i="11"/>
  <c r="I15" i="11" s="1"/>
  <c r="L15" i="11"/>
  <c r="M15" i="11" s="1"/>
  <c r="L76" i="11"/>
  <c r="M76" i="11" s="1"/>
  <c r="H76" i="11"/>
  <c r="I76" i="11" s="1"/>
  <c r="H279" i="11"/>
  <c r="I279" i="11" s="1"/>
  <c r="L279" i="11"/>
  <c r="M279" i="11" s="1"/>
  <c r="L245" i="11"/>
  <c r="M245" i="11" s="1"/>
  <c r="H245" i="11"/>
  <c r="I245" i="11" s="1"/>
  <c r="L27" i="11"/>
  <c r="M27" i="11" s="1"/>
  <c r="H27" i="11"/>
  <c r="I27" i="11" s="1"/>
  <c r="H247" i="11"/>
  <c r="L247" i="11"/>
  <c r="M247" i="11" s="1"/>
  <c r="H255" i="11"/>
  <c r="I255" i="11" s="1"/>
  <c r="L255" i="11"/>
  <c r="M255" i="11" s="1"/>
  <c r="H275" i="11"/>
  <c r="L275" i="11"/>
  <c r="M275" i="11" s="1"/>
  <c r="H239" i="11"/>
  <c r="I239" i="11" s="1"/>
  <c r="L239" i="11"/>
  <c r="M239" i="11" s="1"/>
  <c r="H199" i="11"/>
  <c r="I199" i="11" s="1"/>
  <c r="L199" i="11"/>
  <c r="M199" i="11" s="1"/>
  <c r="L289" i="11"/>
  <c r="M289" i="11" s="1"/>
  <c r="H289" i="11"/>
  <c r="I289" i="11" s="1"/>
  <c r="L175" i="11"/>
  <c r="H175" i="11"/>
  <c r="I175" i="11" s="1"/>
  <c r="L292" i="11"/>
  <c r="M292" i="11" s="1"/>
  <c r="H292" i="11"/>
  <c r="I292" i="11" s="1"/>
  <c r="H39" i="11"/>
  <c r="L39" i="11"/>
  <c r="M39" i="11" s="1"/>
  <c r="H38" i="11"/>
  <c r="I38" i="11" s="1"/>
  <c r="L38" i="11"/>
  <c r="M38" i="11" s="1"/>
  <c r="L162" i="11"/>
  <c r="H162" i="11"/>
  <c r="I162" i="11" s="1"/>
  <c r="H51" i="11"/>
  <c r="I51" i="11" s="1"/>
  <c r="L51" i="11"/>
  <c r="M51" i="11" s="1"/>
  <c r="H254" i="11"/>
  <c r="L254" i="11"/>
  <c r="M254" i="11" s="1"/>
  <c r="L316" i="11"/>
  <c r="M316" i="11" s="1"/>
  <c r="H316" i="11"/>
  <c r="I316" i="11" s="1"/>
  <c r="L146" i="11"/>
  <c r="M146" i="11" s="1"/>
  <c r="H146" i="11"/>
  <c r="I146" i="11" s="1"/>
  <c r="H86" i="11"/>
  <c r="I86" i="11" s="1"/>
  <c r="L86" i="11"/>
  <c r="M86" i="11" s="1"/>
  <c r="L24" i="11"/>
  <c r="M24" i="11" s="1"/>
  <c r="H24" i="11"/>
  <c r="I24" i="11" s="1"/>
  <c r="L308" i="11"/>
  <c r="M308" i="11" s="1"/>
  <c r="H308" i="11"/>
  <c r="I308" i="11" s="1"/>
  <c r="L285" i="11"/>
  <c r="H285" i="11"/>
  <c r="I285" i="11" s="1"/>
  <c r="L63" i="11"/>
  <c r="M63" i="11" s="1"/>
  <c r="H63" i="11"/>
  <c r="I63" i="11" s="1"/>
  <c r="L74" i="11"/>
  <c r="H74" i="11"/>
  <c r="I74" i="11" s="1"/>
  <c r="L110" i="11"/>
  <c r="M110" i="11" s="1"/>
  <c r="H110" i="11"/>
  <c r="I110" i="11" s="1"/>
  <c r="H121" i="11"/>
  <c r="I121" i="11" s="1"/>
  <c r="L121" i="11"/>
  <c r="M121" i="11" s="1"/>
  <c r="H107" i="11"/>
  <c r="I107" i="11" s="1"/>
  <c r="L107" i="11"/>
  <c r="M107" i="11" s="1"/>
  <c r="H147" i="11"/>
  <c r="L147" i="11"/>
  <c r="M147" i="11" s="1"/>
  <c r="L127" i="11"/>
  <c r="M127" i="11" s="1"/>
  <c r="H127" i="11"/>
  <c r="I127" i="11" s="1"/>
  <c r="H183" i="11"/>
  <c r="I183" i="11" s="1"/>
  <c r="L183" i="11"/>
  <c r="M183" i="11" s="1"/>
  <c r="L10" i="11"/>
  <c r="M10" i="11" s="1"/>
  <c r="H10" i="11"/>
  <c r="I10" i="11" s="1"/>
  <c r="L148" i="11"/>
  <c r="M148" i="11" s="1"/>
  <c r="H148" i="11"/>
  <c r="I148" i="11" s="1"/>
  <c r="L53" i="11"/>
  <c r="M53" i="11" s="1"/>
  <c r="H53" i="11"/>
  <c r="I53" i="11" s="1"/>
  <c r="L8" i="11"/>
  <c r="H8" i="11"/>
  <c r="I8" i="11" s="1"/>
  <c r="L213" i="11"/>
  <c r="M213" i="11" s="1"/>
  <c r="H213" i="11"/>
  <c r="I213" i="11" s="1"/>
  <c r="H43" i="11"/>
  <c r="I43" i="11" s="1"/>
  <c r="L43" i="11"/>
  <c r="M43" i="11" s="1"/>
  <c r="L114" i="11"/>
  <c r="M114" i="11" s="1"/>
  <c r="H114" i="11"/>
  <c r="I114" i="11" s="1"/>
  <c r="H311" i="11"/>
  <c r="I311" i="11" s="1"/>
  <c r="L311" i="11"/>
  <c r="M311" i="11" s="1"/>
  <c r="H21" i="11"/>
  <c r="I21" i="11" s="1"/>
  <c r="L21" i="11"/>
  <c r="M21" i="11" s="1"/>
  <c r="L56" i="11"/>
  <c r="M56" i="11" s="1"/>
  <c r="H56" i="11"/>
  <c r="I56" i="11" s="1"/>
  <c r="L31" i="11"/>
  <c r="M31" i="11" s="1"/>
  <c r="H31" i="11"/>
  <c r="I31" i="11" s="1"/>
  <c r="L265" i="11"/>
  <c r="H265" i="11"/>
  <c r="I265" i="11" s="1"/>
  <c r="L174" i="11"/>
  <c r="M174" i="11" s="1"/>
  <c r="H174" i="11"/>
  <c r="I174" i="11" s="1"/>
  <c r="H185" i="11"/>
  <c r="I185" i="11" s="1"/>
  <c r="L185" i="11"/>
  <c r="M185" i="11" s="1"/>
  <c r="H139" i="11"/>
  <c r="I139" i="11" s="1"/>
  <c r="L139" i="11"/>
  <c r="M139" i="11" s="1"/>
  <c r="L109" i="11"/>
  <c r="H109" i="11"/>
  <c r="I109" i="11" s="1"/>
  <c r="H105" i="11"/>
  <c r="I105" i="11" s="1"/>
  <c r="L105" i="11"/>
  <c r="M105" i="11" s="1"/>
  <c r="L201" i="11"/>
  <c r="H201" i="11"/>
  <c r="I201" i="11" s="1"/>
  <c r="H99" i="11"/>
  <c r="I99" i="11" s="1"/>
  <c r="L99" i="11"/>
  <c r="M99" i="11" s="1"/>
  <c r="L6" i="11"/>
  <c r="M6" i="11" s="1"/>
  <c r="H6" i="11"/>
  <c r="I6" i="11" s="1"/>
  <c r="L310" i="11"/>
  <c r="M310" i="11" s="1"/>
  <c r="H310" i="11"/>
  <c r="I310" i="11" s="1"/>
  <c r="L95" i="11"/>
  <c r="M95" i="11" s="1"/>
  <c r="H95" i="11"/>
  <c r="I95" i="11" s="1"/>
  <c r="H195" i="11"/>
  <c r="I195" i="11" s="1"/>
  <c r="L195" i="11"/>
  <c r="M195" i="11" s="1"/>
  <c r="H200" i="11"/>
  <c r="I200" i="11" s="1"/>
  <c r="L200" i="11"/>
  <c r="M200" i="11" s="1"/>
  <c r="H211" i="11"/>
  <c r="I211" i="11" s="1"/>
  <c r="L211" i="11"/>
  <c r="M211" i="11" s="1"/>
  <c r="H264" i="11"/>
  <c r="I264" i="11" s="1"/>
  <c r="L264" i="11"/>
  <c r="M264" i="11" s="1"/>
  <c r="H54" i="11"/>
  <c r="I54" i="11" s="1"/>
  <c r="L54" i="11"/>
  <c r="M54" i="11" s="1"/>
  <c r="L317" i="11"/>
  <c r="M317" i="11" s="1"/>
  <c r="H317" i="11"/>
  <c r="I317" i="11" s="1"/>
  <c r="L172" i="11"/>
  <c r="M172" i="11" s="1"/>
  <c r="H172" i="11"/>
  <c r="I172" i="11" s="1"/>
  <c r="L13" i="11"/>
  <c r="M13" i="11" s="1"/>
  <c r="H13" i="11"/>
  <c r="I13" i="11" s="1"/>
  <c r="H262" i="11"/>
  <c r="I262" i="11" s="1"/>
  <c r="L262" i="11"/>
  <c r="M262" i="11" s="1"/>
  <c r="H102" i="11"/>
  <c r="L102" i="11"/>
  <c r="M102" i="11" s="1"/>
  <c r="H238" i="11"/>
  <c r="I238" i="11" s="1"/>
  <c r="L238" i="11"/>
  <c r="M238" i="11" s="1"/>
  <c r="H219" i="11"/>
  <c r="L219" i="11"/>
  <c r="M219" i="11" s="1"/>
  <c r="H161" i="11"/>
  <c r="I161" i="11" s="1"/>
  <c r="L161" i="11"/>
  <c r="M161" i="11" s="1"/>
  <c r="H73" i="11"/>
  <c r="I73" i="11" s="1"/>
  <c r="L73" i="11"/>
  <c r="M73" i="11" s="1"/>
  <c r="L192" i="11"/>
  <c r="M192" i="11" s="1"/>
  <c r="H192" i="11"/>
  <c r="I192" i="11" s="1"/>
  <c r="H270" i="11"/>
  <c r="L270" i="11"/>
  <c r="M270" i="11" s="1"/>
  <c r="L184" i="11"/>
  <c r="M184" i="11" s="1"/>
  <c r="H184" i="11"/>
  <c r="I184" i="11" s="1"/>
  <c r="H266" i="11"/>
  <c r="L266" i="11"/>
  <c r="M266" i="11" s="1"/>
  <c r="L276" i="11"/>
  <c r="M276" i="11" s="1"/>
  <c r="H276" i="11"/>
  <c r="I276" i="11" s="1"/>
  <c r="H319" i="11"/>
  <c r="I319" i="11" s="1"/>
  <c r="L319" i="11"/>
  <c r="M319" i="11" s="1"/>
  <c r="L122" i="11"/>
  <c r="M122" i="11" s="1"/>
  <c r="H122" i="11"/>
  <c r="I122" i="11" s="1"/>
  <c r="H304" i="11"/>
  <c r="L304" i="11"/>
  <c r="L116" i="11"/>
  <c r="M116" i="11" s="1"/>
  <c r="H116" i="11"/>
  <c r="I116" i="11" s="1"/>
  <c r="L17" i="11"/>
  <c r="M17" i="11" s="1"/>
  <c r="H17" i="11"/>
  <c r="I17" i="11" s="1"/>
  <c r="L64" i="11"/>
  <c r="M64" i="11" s="1"/>
  <c r="H64" i="11"/>
  <c r="I64" i="11" s="1"/>
  <c r="L273" i="11"/>
  <c r="M273" i="11" s="1"/>
  <c r="H273" i="11"/>
  <c r="I273" i="11" s="1"/>
  <c r="L236" i="11"/>
  <c r="M236" i="11" s="1"/>
  <c r="H236" i="11"/>
  <c r="I236" i="11" s="1"/>
  <c r="L277" i="11"/>
  <c r="H277" i="11"/>
  <c r="I277" i="11" s="1"/>
  <c r="H307" i="11"/>
  <c r="I307" i="11" s="1"/>
  <c r="L307" i="11"/>
  <c r="M307" i="11" s="1"/>
  <c r="H177" i="11"/>
  <c r="L177" i="11"/>
  <c r="M177" i="11" s="1"/>
  <c r="L117" i="11"/>
  <c r="M117" i="11" s="1"/>
  <c r="H117" i="11"/>
  <c r="I117" i="11" s="1"/>
  <c r="L225" i="11"/>
  <c r="M225" i="11" s="1"/>
  <c r="H225" i="11"/>
  <c r="H87" i="11"/>
  <c r="I87" i="11" s="1"/>
  <c r="L87" i="11"/>
  <c r="M87" i="11" s="1"/>
  <c r="L233" i="11"/>
  <c r="M233" i="11" s="1"/>
  <c r="H233" i="11"/>
  <c r="I233" i="11" s="1"/>
  <c r="L92" i="11"/>
  <c r="M92" i="11" s="1"/>
  <c r="H92" i="11"/>
  <c r="I92" i="11" s="1"/>
  <c r="L104" i="11"/>
  <c r="M104" i="11" s="1"/>
  <c r="H104" i="11"/>
  <c r="I104" i="11" s="1"/>
  <c r="L180" i="11"/>
  <c r="M180" i="11" s="1"/>
  <c r="H180" i="11"/>
  <c r="I180" i="11" s="1"/>
  <c r="L165" i="11"/>
  <c r="M165" i="11" s="1"/>
  <c r="H165" i="11"/>
  <c r="I165" i="11" s="1"/>
  <c r="H216" i="11"/>
  <c r="I216" i="11" s="1"/>
  <c r="L216" i="11"/>
  <c r="M216" i="11" s="1"/>
  <c r="H167" i="11"/>
  <c r="I167" i="11" s="1"/>
  <c r="L167" i="11"/>
  <c r="M167" i="11" s="1"/>
  <c r="H296" i="11"/>
  <c r="I296" i="11" s="1"/>
  <c r="L296" i="11"/>
  <c r="M296" i="11" s="1"/>
  <c r="H251" i="11"/>
  <c r="I251" i="11" s="1"/>
  <c r="L251" i="11"/>
  <c r="M251" i="11" s="1"/>
  <c r="L61" i="11"/>
  <c r="M61" i="11" s="1"/>
  <c r="H61" i="11"/>
  <c r="I61" i="11" s="1"/>
  <c r="L257" i="11"/>
  <c r="M257" i="11" s="1"/>
  <c r="H257" i="11"/>
  <c r="I257" i="11" s="1"/>
  <c r="L69" i="11"/>
  <c r="M69" i="11" s="1"/>
  <c r="H69" i="11"/>
  <c r="I69" i="11" s="1"/>
  <c r="L210" i="11"/>
  <c r="H210" i="11"/>
  <c r="I210" i="11" s="1"/>
  <c r="H113" i="11"/>
  <c r="I113" i="11" s="1"/>
  <c r="L113" i="11"/>
  <c r="M113" i="11" s="1"/>
  <c r="H222" i="11"/>
  <c r="L222" i="11"/>
  <c r="M222" i="11" s="1"/>
  <c r="L196" i="11"/>
  <c r="M196" i="11" s="1"/>
  <c r="H196" i="11"/>
  <c r="I196" i="11" s="1"/>
  <c r="L111" i="11"/>
  <c r="H111" i="11"/>
  <c r="I111" i="11" s="1"/>
  <c r="H232" i="11"/>
  <c r="I232" i="11" s="1"/>
  <c r="L232" i="11"/>
  <c r="M232" i="11" s="1"/>
  <c r="H135" i="11"/>
  <c r="L135" i="11"/>
  <c r="M135" i="11" s="1"/>
  <c r="L128" i="11"/>
  <c r="M128" i="11" s="1"/>
  <c r="H128" i="11"/>
  <c r="I128" i="11" s="1"/>
  <c r="L19" i="11"/>
  <c r="M19" i="11" s="1"/>
  <c r="H19" i="11"/>
  <c r="I19" i="11" s="1"/>
  <c r="H171" i="11"/>
  <c r="I171" i="11" s="1"/>
  <c r="L171" i="11"/>
  <c r="M171" i="11" s="1"/>
  <c r="L47" i="11"/>
  <c r="M47" i="11" s="1"/>
  <c r="H47" i="11"/>
  <c r="I47" i="11" s="1"/>
  <c r="H322" i="11"/>
  <c r="I322" i="11" s="1"/>
  <c r="L322" i="11"/>
  <c r="M322" i="11" s="1"/>
  <c r="L132" i="11"/>
  <c r="H132" i="11"/>
  <c r="I132" i="11" s="1"/>
  <c r="L130" i="11"/>
  <c r="M130" i="11" s="1"/>
  <c r="H130" i="11"/>
  <c r="I130" i="11" s="1"/>
  <c r="H227" i="11"/>
  <c r="I227" i="11" s="1"/>
  <c r="L227" i="11"/>
  <c r="M227" i="11" s="1"/>
  <c r="L48" i="11"/>
  <c r="M48" i="11" s="1"/>
  <c r="H48" i="11"/>
  <c r="I48" i="11" s="1"/>
  <c r="L77" i="11"/>
  <c r="M77" i="11" s="1"/>
  <c r="H77" i="11"/>
  <c r="I77" i="11" s="1"/>
  <c r="H263" i="11"/>
  <c r="I263" i="11" s="1"/>
  <c r="L263" i="11"/>
  <c r="M263" i="11" s="1"/>
  <c r="H145" i="11"/>
  <c r="L145" i="11"/>
  <c r="M145" i="11" s="1"/>
  <c r="L141" i="11"/>
  <c r="M141" i="11" s="1"/>
  <c r="H141" i="11"/>
  <c r="I141" i="11" s="1"/>
  <c r="H59" i="11"/>
  <c r="L59" i="11"/>
  <c r="M59" i="11" s="1"/>
  <c r="H155" i="11"/>
  <c r="I155" i="11" s="1"/>
  <c r="L155" i="11"/>
  <c r="M155" i="11" s="1"/>
  <c r="H318" i="11"/>
  <c r="I318" i="11" s="1"/>
  <c r="L318" i="11"/>
  <c r="M318" i="11" s="1"/>
  <c r="H115" i="11"/>
  <c r="I115" i="11" s="1"/>
  <c r="L115" i="11"/>
  <c r="M115" i="11" s="1"/>
  <c r="H320" i="11"/>
  <c r="I320" i="11" s="1"/>
  <c r="L320" i="11"/>
  <c r="M320" i="11" s="1"/>
  <c r="L297" i="11"/>
  <c r="M297" i="11" s="1"/>
  <c r="H297" i="11"/>
  <c r="I297" i="11" s="1"/>
  <c r="L228" i="11"/>
  <c r="M228" i="11" s="1"/>
  <c r="H228" i="11"/>
  <c r="I228" i="11" s="1"/>
  <c r="L98" i="11"/>
  <c r="M98" i="11" s="1"/>
  <c r="H98" i="11"/>
  <c r="I98" i="11" s="1"/>
  <c r="L14" i="11"/>
  <c r="H14" i="11"/>
  <c r="I14" i="11" s="1"/>
  <c r="H187" i="11"/>
  <c r="I187" i="11" s="1"/>
  <c r="L187" i="11"/>
  <c r="M187" i="11" s="1"/>
  <c r="H129" i="11"/>
  <c r="L129" i="11"/>
  <c r="M129" i="11" s="1"/>
  <c r="L96" i="11"/>
  <c r="M96" i="11" s="1"/>
  <c r="H96" i="11"/>
  <c r="I96" i="11" s="1"/>
  <c r="L188" i="11"/>
  <c r="H188" i="11"/>
  <c r="I188" i="11" s="1"/>
  <c r="L268" i="11"/>
  <c r="M268" i="11" s="1"/>
  <c r="H268" i="11"/>
  <c r="I268" i="11" s="1"/>
  <c r="L241" i="11"/>
  <c r="H241" i="11"/>
  <c r="I241" i="11" s="1"/>
  <c r="H280" i="11"/>
  <c r="I280" i="11" s="1"/>
  <c r="L280" i="11"/>
  <c r="M280" i="11" s="1"/>
  <c r="L284" i="11"/>
  <c r="M284" i="11" s="1"/>
  <c r="H284" i="11"/>
  <c r="I284" i="11" s="1"/>
  <c r="L301" i="11"/>
  <c r="M301" i="11" s="1"/>
  <c r="H301" i="11"/>
  <c r="I301" i="11" s="1"/>
  <c r="H291" i="11"/>
  <c r="L291" i="11"/>
  <c r="M291" i="11" s="1"/>
  <c r="H94" i="11"/>
  <c r="I94" i="11" s="1"/>
  <c r="L94" i="11"/>
  <c r="M94" i="11" s="1"/>
  <c r="L22" i="11"/>
  <c r="H22" i="11"/>
  <c r="I22" i="11" s="1"/>
  <c r="L154" i="11"/>
  <c r="M154" i="11" s="1"/>
  <c r="H154" i="11"/>
  <c r="I154" i="11" s="1"/>
  <c r="H272" i="11"/>
  <c r="I272" i="11" s="1"/>
  <c r="L272" i="11"/>
  <c r="M272" i="11" s="1"/>
  <c r="L58" i="11"/>
  <c r="M58" i="11" s="1"/>
  <c r="H58" i="11"/>
  <c r="I58" i="11" s="1"/>
  <c r="L143" i="11"/>
  <c r="H143" i="11"/>
  <c r="I143" i="11" s="1"/>
  <c r="L112" i="11"/>
  <c r="M112" i="11" s="1"/>
  <c r="H112" i="11"/>
  <c r="I112" i="11" s="1"/>
  <c r="L93" i="11"/>
  <c r="H93" i="11"/>
  <c r="I93" i="11" s="1"/>
  <c r="H240" i="11"/>
  <c r="I240" i="11" s="1"/>
  <c r="L240" i="11"/>
  <c r="M240" i="11" s="1"/>
  <c r="H215" i="11"/>
  <c r="L215" i="11"/>
  <c r="M215" i="11" s="1"/>
  <c r="H81" i="11"/>
  <c r="I81" i="11" s="1"/>
  <c r="L81" i="11"/>
  <c r="M81" i="11" s="1"/>
  <c r="L79" i="11"/>
  <c r="M79" i="11" s="1"/>
  <c r="H79" i="11"/>
  <c r="I79" i="11" s="1"/>
  <c r="H123" i="11"/>
  <c r="I123" i="11" s="1"/>
  <c r="L123" i="11"/>
  <c r="M123" i="11" s="1"/>
  <c r="H30" i="11"/>
  <c r="I30" i="11" s="1"/>
  <c r="L30" i="11"/>
  <c r="M30" i="11" s="1"/>
  <c r="L204" i="11"/>
  <c r="M204" i="11" s="1"/>
  <c r="H204" i="11"/>
  <c r="I204" i="11" s="1"/>
  <c r="L108" i="11"/>
  <c r="H108" i="11"/>
  <c r="L20" i="11"/>
  <c r="M20" i="11" s="1"/>
  <c r="H20" i="11"/>
  <c r="I20" i="11" s="1"/>
  <c r="L293" i="11"/>
  <c r="M293" i="11" s="1"/>
  <c r="H293" i="11"/>
  <c r="I293" i="11" s="1"/>
  <c r="L72" i="11"/>
  <c r="M72" i="11" s="1"/>
  <c r="H72" i="11"/>
  <c r="I72" i="11" s="1"/>
  <c r="L124" i="11"/>
  <c r="H124" i="11"/>
  <c r="I124" i="11" s="1"/>
  <c r="L88" i="11"/>
  <c r="M88" i="11" s="1"/>
  <c r="H88" i="11"/>
  <c r="I88" i="11" s="1"/>
  <c r="L237" i="11"/>
  <c r="H237" i="11"/>
  <c r="I237" i="11" s="1"/>
  <c r="L281" i="11"/>
  <c r="M281" i="11" s="1"/>
  <c r="H281" i="11"/>
  <c r="I281" i="11" s="1"/>
  <c r="L50" i="11"/>
  <c r="H50" i="11"/>
  <c r="I50" i="11" s="1"/>
  <c r="L133" i="11"/>
  <c r="M133" i="11" s="1"/>
  <c r="H133" i="11"/>
  <c r="I133" i="11" s="1"/>
  <c r="H248" i="11"/>
  <c r="I248" i="11" s="1"/>
  <c r="L248" i="11"/>
  <c r="M248" i="11" s="1"/>
  <c r="H75" i="11"/>
  <c r="I75" i="11" s="1"/>
  <c r="L75" i="11"/>
  <c r="M75" i="11" s="1"/>
  <c r="L252" i="11"/>
  <c r="H252" i="11"/>
  <c r="I252" i="11" s="1"/>
  <c r="L294" i="11"/>
  <c r="M294" i="11" s="1"/>
  <c r="H294" i="11"/>
  <c r="I294" i="11" s="1"/>
  <c r="H259" i="11"/>
  <c r="I259" i="11" s="1"/>
  <c r="L259" i="11"/>
  <c r="M259" i="11" s="1"/>
  <c r="L82" i="11"/>
  <c r="M82" i="11" s="1"/>
  <c r="H82" i="11"/>
  <c r="I82" i="11" s="1"/>
  <c r="L220" i="11"/>
  <c r="H220" i="11"/>
  <c r="I220" i="11" s="1"/>
  <c r="H218" i="11"/>
  <c r="I218" i="11" s="1"/>
  <c r="L218" i="11"/>
  <c r="M218" i="11" s="1"/>
  <c r="L186" i="11"/>
  <c r="H186" i="11"/>
  <c r="I186" i="11" s="1"/>
  <c r="L106" i="11"/>
  <c r="M106" i="11" s="1"/>
  <c r="H106" i="11"/>
  <c r="I106" i="11" s="1"/>
  <c r="L290" i="11"/>
  <c r="M290" i="11" s="1"/>
  <c r="H290" i="11"/>
  <c r="I290" i="11" s="1"/>
  <c r="H288" i="11"/>
  <c r="I288" i="11" s="1"/>
  <c r="L288" i="11"/>
  <c r="M288" i="11" s="1"/>
  <c r="H118" i="11"/>
  <c r="I118" i="11" s="1"/>
  <c r="L118" i="11"/>
  <c r="M118" i="11" s="1"/>
  <c r="L249" i="11"/>
  <c r="M249" i="11" s="1"/>
  <c r="H249" i="11"/>
  <c r="I249" i="11" s="1"/>
  <c r="H193" i="11"/>
  <c r="L193" i="11"/>
  <c r="M193" i="11" s="1"/>
  <c r="L11" i="11"/>
  <c r="M11" i="11" s="1"/>
  <c r="H11" i="11"/>
  <c r="I11" i="11" s="1"/>
  <c r="L66" i="11"/>
  <c r="H66" i="11"/>
  <c r="H286" i="11"/>
  <c r="I286" i="11" s="1"/>
  <c r="L286" i="11"/>
  <c r="M286" i="11" s="1"/>
  <c r="L28" i="11"/>
  <c r="M28" i="11" s="1"/>
  <c r="H28" i="11"/>
  <c r="I28" i="11" s="1"/>
  <c r="L144" i="11"/>
  <c r="M144" i="11" s="1"/>
  <c r="H144" i="11"/>
  <c r="I144" i="11" s="1"/>
  <c r="L159" i="11"/>
  <c r="H159" i="11"/>
  <c r="I159" i="11" s="1"/>
  <c r="H287" i="11"/>
  <c r="I287" i="11" s="1"/>
  <c r="L287" i="11"/>
  <c r="M287" i="11" s="1"/>
  <c r="H67" i="11"/>
  <c r="I67" i="11" s="1"/>
  <c r="L67" i="11"/>
  <c r="M67" i="11" s="1"/>
  <c r="H103" i="11"/>
  <c r="I103" i="11" s="1"/>
  <c r="L103" i="11"/>
  <c r="M103" i="11" s="1"/>
  <c r="H153" i="11"/>
  <c r="L153" i="11"/>
  <c r="M153" i="11" s="1"/>
  <c r="H267" i="11"/>
  <c r="I267" i="11" s="1"/>
  <c r="L267" i="11"/>
  <c r="M267" i="11" s="1"/>
  <c r="L194" i="11"/>
  <c r="M194" i="11" s="1"/>
  <c r="H194" i="11"/>
  <c r="I194" i="11" s="1"/>
  <c r="H298" i="11"/>
  <c r="I298" i="11" s="1"/>
  <c r="L298" i="11"/>
  <c r="M298" i="11" s="1"/>
  <c r="H234" i="11"/>
  <c r="I234" i="11" s="1"/>
  <c r="L234" i="11"/>
  <c r="M234" i="11" s="1"/>
  <c r="L261" i="11"/>
  <c r="M261" i="11" s="1"/>
  <c r="H261" i="11"/>
  <c r="I261" i="11" s="1"/>
  <c r="H206" i="11"/>
  <c r="I206" i="11" s="1"/>
  <c r="L206" i="11"/>
  <c r="M206" i="11" s="1"/>
  <c r="L152" i="11"/>
  <c r="M152" i="11" s="1"/>
  <c r="H152" i="11"/>
  <c r="I152" i="11" s="1"/>
  <c r="L101" i="11"/>
  <c r="M101" i="11" s="1"/>
  <c r="H101" i="11"/>
  <c r="I101" i="11" s="1"/>
  <c r="H91" i="11"/>
  <c r="I91" i="11" s="1"/>
  <c r="L91" i="11"/>
  <c r="M91" i="11" s="1"/>
  <c r="H312" i="11"/>
  <c r="I312" i="11" s="1"/>
  <c r="L312" i="11"/>
  <c r="M312" i="11" s="1"/>
  <c r="H226" i="11"/>
  <c r="I226" i="11" s="1"/>
  <c r="L226" i="11"/>
  <c r="M226" i="11" s="1"/>
  <c r="L170" i="11"/>
  <c r="M170" i="11" s="1"/>
  <c r="H170" i="11"/>
  <c r="I170" i="11" s="1"/>
  <c r="L197" i="11"/>
  <c r="M197" i="11" s="1"/>
  <c r="H197" i="11"/>
  <c r="I197" i="11" s="1"/>
  <c r="H25" i="11"/>
  <c r="L25" i="11"/>
  <c r="M25" i="11" s="1"/>
  <c r="H231" i="11"/>
  <c r="I231" i="11" s="1"/>
  <c r="L231" i="11"/>
  <c r="M231" i="11" s="1"/>
  <c r="H190" i="11"/>
  <c r="L190" i="11"/>
  <c r="M190" i="11" s="1"/>
  <c r="L37" i="11"/>
  <c r="M37" i="11" s="1"/>
  <c r="H37" i="11"/>
  <c r="I37" i="11" s="1"/>
  <c r="H258" i="11"/>
  <c r="I258" i="11" s="1"/>
  <c r="L258" i="11"/>
  <c r="M258" i="11" s="1"/>
  <c r="H224" i="11"/>
  <c r="I224" i="11" s="1"/>
  <c r="L224" i="11"/>
  <c r="M224" i="11" s="1"/>
  <c r="L313" i="11"/>
  <c r="M313" i="11" s="1"/>
  <c r="H313" i="11"/>
  <c r="I313" i="11" s="1"/>
  <c r="L156" i="11"/>
  <c r="M156" i="11" s="1"/>
  <c r="H156" i="11"/>
  <c r="I156" i="11" s="1"/>
  <c r="H62" i="11"/>
  <c r="L62" i="11"/>
  <c r="M62" i="11" s="1"/>
  <c r="H55" i="11"/>
  <c r="I55" i="11" s="1"/>
  <c r="L55" i="11"/>
  <c r="M55" i="11" s="1"/>
  <c r="L138" i="11"/>
  <c r="M138" i="11" s="1"/>
  <c r="H138" i="11"/>
  <c r="I138" i="11" s="1"/>
  <c r="L16" i="11"/>
  <c r="M16" i="11" s="1"/>
  <c r="H16" i="11"/>
  <c r="I16" i="11" s="1"/>
  <c r="H256" i="11"/>
  <c r="L256" i="11"/>
  <c r="M256" i="11" s="1"/>
  <c r="L26" i="11"/>
  <c r="M26" i="11" s="1"/>
  <c r="H26" i="11"/>
  <c r="I26" i="11" s="1"/>
  <c r="L221" i="11"/>
  <c r="M221" i="11" s="1"/>
  <c r="H221" i="11"/>
  <c r="I221" i="11" s="1"/>
  <c r="L29" i="11"/>
  <c r="M29" i="11" s="1"/>
  <c r="H29" i="11"/>
  <c r="I29" i="11" s="1"/>
  <c r="H150" i="11"/>
  <c r="I150" i="11" s="1"/>
  <c r="L150" i="11"/>
  <c r="M150" i="11" s="1"/>
  <c r="H214" i="11"/>
  <c r="I214" i="11" s="1"/>
  <c r="L214" i="11"/>
  <c r="M214" i="11" s="1"/>
  <c r="L253" i="11"/>
  <c r="M253" i="11" s="1"/>
  <c r="H253" i="11"/>
  <c r="I253" i="11" s="1"/>
  <c r="H182" i="11"/>
  <c r="I182" i="11" s="1"/>
  <c r="L182" i="11"/>
  <c r="M182" i="11" s="1"/>
  <c r="L60" i="11"/>
  <c r="H60" i="11"/>
  <c r="I60" i="11" s="1"/>
  <c r="H71" i="11"/>
  <c r="I71" i="11" s="1"/>
  <c r="L71" i="11"/>
  <c r="M71" i="11" s="1"/>
  <c r="H314" i="11"/>
  <c r="L314" i="11"/>
  <c r="M314" i="11" s="1"/>
  <c r="L18" i="11"/>
  <c r="M18" i="11" s="1"/>
  <c r="H18" i="11"/>
  <c r="I18" i="11" s="1"/>
  <c r="L45" i="11"/>
  <c r="M45" i="11" s="1"/>
  <c r="H45" i="11"/>
  <c r="I45" i="11" s="1"/>
  <c r="L140" i="11"/>
  <c r="M140" i="11" s="1"/>
  <c r="H140" i="11"/>
  <c r="I140" i="11" s="1"/>
  <c r="L189" i="11"/>
  <c r="H189" i="11"/>
  <c r="I189" i="11" s="1"/>
  <c r="H315" i="11"/>
  <c r="I315" i="11" s="1"/>
  <c r="L315" i="11"/>
  <c r="M315" i="11" s="1"/>
  <c r="L78" i="11"/>
  <c r="M78" i="11" s="1"/>
  <c r="H78" i="11"/>
  <c r="I78" i="11" s="1"/>
  <c r="H131" i="11"/>
  <c r="I131" i="11" s="1"/>
  <c r="L131" i="11"/>
  <c r="M131" i="11" s="1"/>
  <c r="L168" i="11"/>
  <c r="M168" i="11" s="1"/>
  <c r="H168" i="11"/>
  <c r="I168" i="11" s="1"/>
  <c r="L34" i="11"/>
  <c r="M34" i="11" s="1"/>
  <c r="H34" i="11"/>
  <c r="I34" i="11" s="1"/>
  <c r="H57" i="11"/>
  <c r="I57" i="11" s="1"/>
  <c r="L57" i="11"/>
  <c r="M57" i="11" s="1"/>
  <c r="H179" i="11"/>
  <c r="I179" i="11" s="1"/>
  <c r="L179" i="11"/>
  <c r="M179" i="11" s="1"/>
  <c r="L80" i="11"/>
  <c r="H80" i="11"/>
  <c r="I80" i="11" s="1"/>
  <c r="H246" i="11"/>
  <c r="I246" i="11" s="1"/>
  <c r="L246" i="11"/>
  <c r="M246" i="11" s="1"/>
  <c r="H302" i="11"/>
  <c r="I302" i="11" s="1"/>
  <c r="L302" i="11"/>
  <c r="M302" i="11" s="1"/>
  <c r="L191" i="11"/>
  <c r="M191" i="11" s="1"/>
  <c r="H191" i="11"/>
  <c r="I191" i="11" s="1"/>
  <c r="H295" i="11"/>
  <c r="L295" i="11"/>
  <c r="M295" i="11" s="1"/>
  <c r="H303" i="11"/>
  <c r="I303" i="11" s="1"/>
  <c r="L303" i="11"/>
  <c r="M303" i="11" s="1"/>
  <c r="L149" i="11"/>
  <c r="M149" i="11" s="1"/>
  <c r="H149" i="11"/>
  <c r="I149" i="11" s="1"/>
  <c r="L100" i="11"/>
  <c r="M100" i="11" s="1"/>
  <c r="H100" i="11"/>
  <c r="I100" i="11" s="1"/>
  <c r="L44" i="11"/>
  <c r="H44" i="11"/>
  <c r="I44" i="11" s="1"/>
  <c r="L212" i="11"/>
  <c r="M212" i="11" s="1"/>
  <c r="H212" i="11"/>
  <c r="I212" i="11" s="1"/>
  <c r="H243" i="11"/>
  <c r="L243" i="11"/>
  <c r="M243" i="11" s="1"/>
  <c r="H166" i="11"/>
  <c r="I166" i="11" s="1"/>
  <c r="L166" i="11"/>
  <c r="M166" i="11" s="1"/>
  <c r="L160" i="11"/>
  <c r="M160" i="11" s="1"/>
  <c r="H160" i="11"/>
  <c r="I160" i="11" s="1"/>
  <c r="H250" i="11"/>
  <c r="I250" i="11" s="1"/>
  <c r="L250" i="11"/>
  <c r="M250" i="11" s="1"/>
  <c r="L178" i="11"/>
  <c r="M178" i="11" s="1"/>
  <c r="H178" i="11"/>
  <c r="I178" i="11" s="1"/>
  <c r="H169" i="11"/>
  <c r="I169" i="11" s="1"/>
  <c r="L169" i="11"/>
  <c r="M169" i="11" s="1"/>
  <c r="L300" i="11"/>
  <c r="H300" i="11"/>
  <c r="I300" i="11" s="1"/>
  <c r="L260" i="11"/>
  <c r="M260" i="11" s="1"/>
  <c r="H260" i="11"/>
  <c r="I260" i="11" s="1"/>
  <c r="L173" i="11"/>
  <c r="M173" i="11" s="1"/>
  <c r="H173" i="11"/>
  <c r="I173" i="11" s="1"/>
  <c r="H89" i="11"/>
  <c r="I89" i="11" s="1"/>
  <c r="L89" i="11"/>
  <c r="M89" i="11" s="1"/>
  <c r="H207" i="11"/>
  <c r="L207" i="11"/>
  <c r="M207" i="11" s="1"/>
  <c r="H198" i="11"/>
  <c r="I198" i="11" s="1"/>
  <c r="L198" i="11"/>
  <c r="M198" i="11" s="1"/>
  <c r="H202" i="11"/>
  <c r="L202" i="11"/>
  <c r="M202" i="11" s="1"/>
  <c r="H223" i="11"/>
  <c r="I223" i="11" s="1"/>
  <c r="L223" i="11"/>
  <c r="M223" i="11" s="1"/>
  <c r="L23" i="11"/>
  <c r="M23" i="11" s="1"/>
  <c r="H23" i="11"/>
  <c r="I23" i="11" s="1"/>
  <c r="L125" i="11"/>
  <c r="M125" i="11" s="1"/>
  <c r="H125" i="11"/>
  <c r="I125" i="11" s="1"/>
  <c r="H208" i="11"/>
  <c r="I208" i="11" s="1"/>
  <c r="L208" i="11"/>
  <c r="M208" i="11" s="1"/>
  <c r="H119" i="11"/>
  <c r="I119" i="11" s="1"/>
  <c r="L119" i="11"/>
  <c r="M119" i="11" s="1"/>
  <c r="L242" i="11"/>
  <c r="H242" i="11"/>
  <c r="I242" i="11" s="1"/>
  <c r="L181" i="11"/>
  <c r="M181" i="11" s="1"/>
  <c r="H181" i="11"/>
  <c r="I181" i="11" s="1"/>
  <c r="H203" i="11"/>
  <c r="I203" i="11" s="1"/>
  <c r="L203" i="11"/>
  <c r="M203" i="11" s="1"/>
  <c r="L32" i="11"/>
  <c r="M32" i="11" s="1"/>
  <c r="H32" i="11"/>
  <c r="I32" i="11" s="1"/>
  <c r="L46" i="11"/>
  <c r="H46" i="11"/>
  <c r="I46" i="11" s="1"/>
  <c r="L176" i="11"/>
  <c r="M176" i="11" s="1"/>
  <c r="H176" i="11"/>
  <c r="I176" i="11" s="1"/>
  <c r="L157" i="11"/>
  <c r="M157" i="11" s="1"/>
  <c r="H157" i="11"/>
  <c r="I157" i="11" s="1"/>
  <c r="H230" i="11"/>
  <c r="I230" i="11" s="1"/>
  <c r="L230" i="11"/>
  <c r="M230" i="11" s="1"/>
  <c r="H158" i="11"/>
  <c r="L158" i="11"/>
  <c r="M158" i="11" s="1"/>
  <c r="L305" i="11"/>
  <c r="M305" i="11" s="1"/>
  <c r="H305" i="11"/>
  <c r="I305" i="11" s="1"/>
  <c r="H70" i="11"/>
  <c r="I70" i="11" s="1"/>
  <c r="L70" i="11"/>
  <c r="M70" i="11" s="1"/>
  <c r="L12" i="11"/>
  <c r="M12" i="11" s="1"/>
  <c r="H12" i="11"/>
  <c r="I12" i="11" s="1"/>
  <c r="H9" i="11"/>
  <c r="L9" i="11"/>
  <c r="M9" i="11" s="1"/>
  <c r="L40" i="11"/>
  <c r="M40" i="11" s="1"/>
  <c r="H40" i="11"/>
  <c r="I40" i="11" s="1"/>
  <c r="L164" i="11"/>
  <c r="M164" i="11" s="1"/>
  <c r="H164" i="11"/>
  <c r="I164" i="11" s="1"/>
  <c r="L244" i="11"/>
  <c r="M244" i="11" s="1"/>
  <c r="H244" i="11"/>
  <c r="I244" i="11" s="1"/>
  <c r="L68" i="11"/>
  <c r="M68" i="11" s="1"/>
  <c r="H68" i="11"/>
  <c r="I68" i="11" s="1"/>
  <c r="L217" i="11"/>
  <c r="M217" i="11" s="1"/>
  <c r="H217" i="11"/>
  <c r="I217" i="11" s="1"/>
  <c r="L42" i="11"/>
  <c r="H42" i="11"/>
  <c r="I42" i="11" s="1"/>
  <c r="L229" i="11"/>
  <c r="M229" i="11" s="1"/>
  <c r="H229" i="11"/>
  <c r="I229" i="11" s="1"/>
  <c r="L90" i="11"/>
  <c r="M90" i="11" s="1"/>
  <c r="H90" i="11"/>
  <c r="I90" i="11" s="1"/>
  <c r="H282" i="11"/>
  <c r="I282" i="11" s="1"/>
  <c r="L282" i="11"/>
  <c r="M282" i="11" s="1"/>
  <c r="L209" i="11"/>
  <c r="H209" i="11"/>
  <c r="I209" i="11" s="1"/>
  <c r="L309" i="11"/>
  <c r="M309" i="11" s="1"/>
  <c r="H309" i="11"/>
  <c r="I309" i="11" s="1"/>
  <c r="H163" i="11"/>
  <c r="I163" i="11" s="1"/>
  <c r="L163" i="11"/>
  <c r="M163" i="11" s="1"/>
  <c r="L269" i="11"/>
  <c r="M269" i="11" s="1"/>
  <c r="H269" i="11"/>
  <c r="I269" i="11" s="1"/>
  <c r="H83" i="11"/>
  <c r="L83" i="11"/>
  <c r="M83" i="11" s="1"/>
  <c r="H274" i="11"/>
  <c r="I274" i="11" s="1"/>
  <c r="L274" i="11"/>
  <c r="M274" i="11" s="1"/>
  <c r="H97" i="11"/>
  <c r="I97" i="11" s="1"/>
  <c r="L97" i="11"/>
  <c r="M97" i="11" s="1"/>
  <c r="L84" i="11"/>
  <c r="M84" i="11" s="1"/>
  <c r="H84" i="11"/>
  <c r="I84" i="11" s="1"/>
  <c r="H41" i="11"/>
  <c r="L41" i="11"/>
  <c r="M41" i="11" s="1"/>
  <c r="H33" i="11"/>
  <c r="I33" i="11" s="1"/>
  <c r="L33" i="11"/>
  <c r="M33" i="11" s="1"/>
  <c r="L306" i="11"/>
  <c r="M306" i="11" s="1"/>
  <c r="H306" i="11"/>
  <c r="I306" i="11" s="1"/>
  <c r="H271" i="11"/>
  <c r="I271" i="11" s="1"/>
  <c r="L271" i="11"/>
  <c r="M271" i="11" s="1"/>
  <c r="L205" i="11"/>
  <c r="H205" i="11"/>
  <c r="I205" i="11" s="1"/>
  <c r="H299" i="11"/>
  <c r="I299" i="11" s="1"/>
  <c r="L299" i="11"/>
  <c r="M299" i="11" s="1"/>
  <c r="H49" i="11"/>
  <c r="I49" i="11" s="1"/>
  <c r="L49" i="11"/>
  <c r="M49" i="11" s="1"/>
  <c r="H283" i="11"/>
  <c r="I283" i="11" s="1"/>
  <c r="L283" i="11"/>
  <c r="M283" i="11" s="1"/>
  <c r="H278" i="11"/>
  <c r="L278" i="11"/>
  <c r="M278" i="11" s="1"/>
  <c r="H35" i="11"/>
  <c r="I35" i="11" s="1"/>
  <c r="L35" i="11"/>
  <c r="M35" i="11" s="1"/>
  <c r="L85" i="11"/>
  <c r="H85" i="11"/>
  <c r="I85" i="11" s="1"/>
  <c r="L36" i="11"/>
  <c r="M36" i="11" s="1"/>
  <c r="H36" i="11"/>
  <c r="I36" i="11" s="1"/>
  <c r="H126" i="11"/>
  <c r="I126" i="11" s="1"/>
  <c r="L126" i="11"/>
  <c r="M126" i="11" s="1"/>
  <c r="L120" i="11"/>
  <c r="M120" i="11" s="1"/>
  <c r="H120" i="11"/>
  <c r="I120" i="11" s="1"/>
  <c r="H151" i="11"/>
  <c r="I151" i="11" s="1"/>
  <c r="L151" i="11"/>
  <c r="M151" i="11" s="1"/>
  <c r="L142" i="11"/>
  <c r="M142" i="11" s="1"/>
  <c r="H142" i="11"/>
  <c r="I142" i="11" s="1"/>
  <c r="H137" i="11"/>
  <c r="I137" i="11" s="1"/>
  <c r="L137" i="11"/>
  <c r="M137" i="11" s="1"/>
  <c r="L136" i="11"/>
  <c r="M136" i="11" s="1"/>
  <c r="H136" i="11"/>
  <c r="I136" i="11" s="1"/>
  <c r="H65" i="11"/>
  <c r="L65" i="11"/>
  <c r="M65" i="11" s="1"/>
  <c r="H134" i="11"/>
  <c r="I134" i="11" s="1"/>
  <c r="L134" i="11"/>
  <c r="M134" i="11" s="1"/>
  <c r="E11" i="9"/>
  <c r="C332" i="34"/>
  <c r="M322" i="49"/>
  <c r="M5" i="33"/>
  <c r="M6" i="49" s="1"/>
  <c r="C321" i="11"/>
  <c r="L323" i="33"/>
  <c r="C6" i="9" s="1"/>
  <c r="C7" i="9" s="1"/>
  <c r="E322" i="25"/>
  <c r="N321" i="33"/>
  <c r="D321" i="37" s="1"/>
  <c r="E327" i="9"/>
  <c r="D82" i="37"/>
  <c r="D212" i="37"/>
  <c r="M52" i="11"/>
  <c r="D286" i="37"/>
  <c r="D104" i="37"/>
  <c r="D243" i="37"/>
  <c r="M220" i="11"/>
  <c r="D218" i="37"/>
  <c r="D166" i="37"/>
  <c r="M186" i="11"/>
  <c r="D186" i="37"/>
  <c r="D144" i="37"/>
  <c r="D106" i="37"/>
  <c r="M159" i="11"/>
  <c r="D160" i="37"/>
  <c r="D180" i="37"/>
  <c r="I235" i="11"/>
  <c r="D165" i="37"/>
  <c r="D103" i="37"/>
  <c r="D216" i="37"/>
  <c r="D250" i="37"/>
  <c r="D167" i="37"/>
  <c r="D178" i="37"/>
  <c r="D169" i="37"/>
  <c r="D296" i="37"/>
  <c r="D251" i="37"/>
  <c r="I153" i="11"/>
  <c r="D15" i="37"/>
  <c r="D300" i="37"/>
  <c r="I193" i="11"/>
  <c r="D193" i="37"/>
  <c r="D260" i="37"/>
  <c r="D173" i="37"/>
  <c r="D89" i="37"/>
  <c r="D257" i="37"/>
  <c r="D207" i="37"/>
  <c r="D234" i="37"/>
  <c r="D11" i="37"/>
  <c r="D69" i="37"/>
  <c r="D210" i="37"/>
  <c r="D206" i="37"/>
  <c r="I247" i="11"/>
  <c r="D247" i="37"/>
  <c r="M66" i="11"/>
  <c r="I66" i="11"/>
  <c r="I275" i="11"/>
  <c r="D275" i="37"/>
  <c r="D113" i="37"/>
  <c r="D198" i="37"/>
  <c r="D222" i="37"/>
  <c r="D223" i="37"/>
  <c r="D111" i="37"/>
  <c r="D232" i="37"/>
  <c r="D135" i="37"/>
  <c r="D23" i="37"/>
  <c r="D128" i="37"/>
  <c r="D289" i="37"/>
  <c r="D175" i="37"/>
  <c r="D91" i="37"/>
  <c r="D171" i="37"/>
  <c r="D322" i="37"/>
  <c r="D226" i="37"/>
  <c r="M132" i="11"/>
  <c r="D242" i="37"/>
  <c r="M242" i="11"/>
  <c r="D197" i="37"/>
  <c r="D162" i="37"/>
  <c r="D254" i="37"/>
  <c r="D316" i="37"/>
  <c r="D86" i="37"/>
  <c r="D24" i="37"/>
  <c r="D46" i="37"/>
  <c r="M46" i="11"/>
  <c r="D308" i="37"/>
  <c r="D285" i="37"/>
  <c r="D63" i="37"/>
  <c r="D74" i="37"/>
  <c r="D190" i="37"/>
  <c r="D263" i="37"/>
  <c r="D37" i="37"/>
  <c r="D176" i="37"/>
  <c r="I145" i="11"/>
  <c r="D145" i="37"/>
  <c r="D258" i="37"/>
  <c r="D121" i="37"/>
  <c r="D157" i="37"/>
  <c r="I59" i="11"/>
  <c r="D59" i="37"/>
  <c r="D155" i="37"/>
  <c r="D158" i="37"/>
  <c r="I158" i="11"/>
  <c r="D115" i="37"/>
  <c r="D320" i="37"/>
  <c r="D224" i="37"/>
  <c r="D98" i="37"/>
  <c r="M14" i="11"/>
  <c r="D14" i="37"/>
  <c r="D70" i="37"/>
  <c r="I129" i="11"/>
  <c r="D313" i="37"/>
  <c r="D12" i="37"/>
  <c r="D55" i="37"/>
  <c r="D148" i="37"/>
  <c r="D9" i="37"/>
  <c r="I9" i="11"/>
  <c r="D53" i="37"/>
  <c r="D8" i="37"/>
  <c r="D213" i="37"/>
  <c r="D114" i="37"/>
  <c r="D21" i="37"/>
  <c r="D138" i="37"/>
  <c r="D31" i="37"/>
  <c r="D16" i="37"/>
  <c r="D256" i="37"/>
  <c r="D26" i="37"/>
  <c r="D221" i="37"/>
  <c r="D29" i="37"/>
  <c r="D174" i="37"/>
  <c r="M188" i="11"/>
  <c r="D150" i="37"/>
  <c r="D214" i="37"/>
  <c r="D185" i="37"/>
  <c r="M241" i="11"/>
  <c r="D253" i="37"/>
  <c r="D109" i="37"/>
  <c r="D105" i="37"/>
  <c r="M42" i="11"/>
  <c r="D201" i="37"/>
  <c r="D182" i="37"/>
  <c r="D99" i="37"/>
  <c r="D6" i="37"/>
  <c r="D310" i="37"/>
  <c r="D60" i="37"/>
  <c r="D71" i="37"/>
  <c r="D95" i="37"/>
  <c r="D314" i="37"/>
  <c r="D18" i="37"/>
  <c r="D301" i="37"/>
  <c r="D45" i="37"/>
  <c r="I291" i="11"/>
  <c r="D140" i="37"/>
  <c r="M22" i="11"/>
  <c r="D189" i="37"/>
  <c r="D264" i="37"/>
  <c r="D315" i="37"/>
  <c r="D13" i="37"/>
  <c r="D262" i="37"/>
  <c r="D102" i="37"/>
  <c r="D219" i="37"/>
  <c r="D229" i="37"/>
  <c r="D78" i="37"/>
  <c r="D161" i="37"/>
  <c r="D272" i="37"/>
  <c r="M209" i="11"/>
  <c r="D131" i="37"/>
  <c r="M143" i="11"/>
  <c r="I83" i="11"/>
  <c r="D73" i="37"/>
  <c r="D274" i="37"/>
  <c r="D192" i="37"/>
  <c r="M93" i="11"/>
  <c r="D93" i="37"/>
  <c r="D270" i="37"/>
  <c r="D168" i="37"/>
  <c r="I215" i="11"/>
  <c r="D215" i="37"/>
  <c r="D266" i="37"/>
  <c r="D276" i="37"/>
  <c r="D81" i="37"/>
  <c r="D57" i="37"/>
  <c r="I41" i="11"/>
  <c r="D30" i="37"/>
  <c r="D319" i="37"/>
  <c r="D179" i="37"/>
  <c r="D33" i="37"/>
  <c r="D122" i="37"/>
  <c r="D304" i="37"/>
  <c r="I108" i="11"/>
  <c r="M108" i="11"/>
  <c r="D116" i="37"/>
  <c r="D271" i="37"/>
  <c r="M205" i="11"/>
  <c r="D64" i="37"/>
  <c r="M124" i="11"/>
  <c r="D124" i="37"/>
  <c r="D80" i="37"/>
  <c r="D283" i="37"/>
  <c r="D177" i="37"/>
  <c r="D302" i="37"/>
  <c r="D191" i="37"/>
  <c r="I278" i="11"/>
  <c r="D117" i="37"/>
  <c r="M237" i="11"/>
  <c r="D237" i="37"/>
  <c r="D295" i="37"/>
  <c r="D85" i="37"/>
  <c r="M85" i="11"/>
  <c r="D303" i="37"/>
  <c r="M50" i="11"/>
  <c r="D50" i="37"/>
  <c r="D133" i="37"/>
  <c r="D120" i="37"/>
  <c r="D151" i="37"/>
  <c r="D142" i="37"/>
  <c r="D149" i="37"/>
  <c r="D100" i="37"/>
  <c r="D65" i="37"/>
  <c r="D92" i="37"/>
  <c r="D259" i="37"/>
  <c r="D44" i="37"/>
  <c r="M44" i="11"/>
  <c r="D52" i="37"/>
  <c r="I243" i="11"/>
  <c r="D220" i="37"/>
  <c r="D28" i="37"/>
  <c r="D7" i="37"/>
  <c r="D159" i="37"/>
  <c r="D287" i="37"/>
  <c r="D67" i="37"/>
  <c r="D235" i="37"/>
  <c r="D290" i="37"/>
  <c r="D288" i="37"/>
  <c r="D118" i="37"/>
  <c r="D249" i="37"/>
  <c r="D153" i="37"/>
  <c r="M300" i="11"/>
  <c r="D267" i="37"/>
  <c r="D61" i="37"/>
  <c r="D76" i="37"/>
  <c r="D194" i="37"/>
  <c r="D298" i="37"/>
  <c r="I207" i="11"/>
  <c r="D261" i="37"/>
  <c r="M210" i="11"/>
  <c r="D279" i="37"/>
  <c r="D245" i="37"/>
  <c r="D27" i="37"/>
  <c r="D255" i="37"/>
  <c r="D66" i="37"/>
  <c r="I222" i="11"/>
  <c r="D239" i="37"/>
  <c r="D152" i="37"/>
  <c r="D202" i="37"/>
  <c r="I202" i="11"/>
  <c r="D196" i="37"/>
  <c r="M111" i="11"/>
  <c r="D101" i="37"/>
  <c r="I135" i="11"/>
  <c r="D199" i="37"/>
  <c r="D125" i="37"/>
  <c r="M175" i="11"/>
  <c r="D208" i="37"/>
  <c r="D312" i="37"/>
  <c r="D19" i="37"/>
  <c r="D292" i="37"/>
  <c r="I39" i="11"/>
  <c r="D39" i="37"/>
  <c r="D47" i="37"/>
  <c r="D38" i="37"/>
  <c r="D119" i="37"/>
  <c r="D132" i="37"/>
  <c r="D170" i="37"/>
  <c r="D181" i="37"/>
  <c r="D130" i="37"/>
  <c r="M162" i="11"/>
  <c r="D51" i="37"/>
  <c r="D227" i="37"/>
  <c r="D25" i="37"/>
  <c r="I25" i="11"/>
  <c r="D48" i="37"/>
  <c r="I254" i="11"/>
  <c r="D203" i="37"/>
  <c r="D32" i="37"/>
  <c r="D146" i="37"/>
  <c r="M285" i="11"/>
  <c r="D77" i="37"/>
  <c r="M74" i="11"/>
  <c r="D231" i="37"/>
  <c r="I190" i="11"/>
  <c r="D110" i="37"/>
  <c r="D141" i="37"/>
  <c r="D107" i="37"/>
  <c r="I147" i="11"/>
  <c r="D147" i="37"/>
  <c r="D230" i="37"/>
  <c r="D318" i="37"/>
  <c r="D127" i="37"/>
  <c r="D297" i="37"/>
  <c r="D228" i="37"/>
  <c r="D183" i="37"/>
  <c r="D10" i="37"/>
  <c r="D305" i="37"/>
  <c r="D187" i="37"/>
  <c r="D129" i="37"/>
  <c r="D156" i="37"/>
  <c r="D62" i="37"/>
  <c r="I62" i="11"/>
  <c r="M8" i="11"/>
  <c r="D43" i="37"/>
  <c r="D311" i="37"/>
  <c r="D56" i="37"/>
  <c r="D96" i="37"/>
  <c r="D40" i="37"/>
  <c r="D164" i="37"/>
  <c r="D244" i="37"/>
  <c r="I256" i="11"/>
  <c r="M265" i="11"/>
  <c r="D265" i="37"/>
  <c r="D68" i="37"/>
  <c r="D188" i="37"/>
  <c r="D217" i="37"/>
  <c r="D268" i="37"/>
  <c r="D241" i="37"/>
  <c r="D139" i="37"/>
  <c r="D280" i="37"/>
  <c r="M109" i="11"/>
  <c r="D42" i="37"/>
  <c r="M201" i="11"/>
  <c r="M60" i="11"/>
  <c r="D195" i="37"/>
  <c r="D284" i="37"/>
  <c r="I314" i="11"/>
  <c r="D200" i="37"/>
  <c r="D291" i="37"/>
  <c r="D94" i="37"/>
  <c r="D211" i="37"/>
  <c r="D22" i="37"/>
  <c r="M189" i="11"/>
  <c r="D54" i="37"/>
  <c r="D317" i="37"/>
  <c r="D172" i="37"/>
  <c r="D154" i="37"/>
  <c r="I102" i="11"/>
  <c r="D238" i="37"/>
  <c r="I219" i="11"/>
  <c r="D90" i="37"/>
  <c r="D282" i="37"/>
  <c r="D209" i="37"/>
  <c r="D58" i="37"/>
  <c r="D309" i="37"/>
  <c r="D143" i="37"/>
  <c r="D163" i="37"/>
  <c r="D269" i="37"/>
  <c r="D83" i="37"/>
  <c r="D112" i="37"/>
  <c r="D240" i="37"/>
  <c r="I270" i="11"/>
  <c r="D34" i="37"/>
  <c r="D184" i="37"/>
  <c r="I266" i="11"/>
  <c r="D97" i="37"/>
  <c r="D84" i="37"/>
  <c r="D79" i="37"/>
  <c r="D41" i="37"/>
  <c r="D123" i="37"/>
  <c r="D204" i="37"/>
  <c r="D306" i="37"/>
  <c r="I304" i="11"/>
  <c r="M304" i="11"/>
  <c r="D108" i="37"/>
  <c r="D20" i="37"/>
  <c r="D293" i="37"/>
  <c r="D17" i="37"/>
  <c r="D205" i="37"/>
  <c r="D72" i="37"/>
  <c r="D273" i="37"/>
  <c r="D236" i="37"/>
  <c r="M277" i="11"/>
  <c r="D277" i="37"/>
  <c r="M80" i="11"/>
  <c r="D299" i="37"/>
  <c r="D49" i="37"/>
  <c r="D307" i="37"/>
  <c r="D246" i="37"/>
  <c r="D88" i="37"/>
  <c r="I177" i="11"/>
  <c r="D278" i="37"/>
  <c r="D35" i="37"/>
  <c r="I295" i="11"/>
  <c r="D281" i="37"/>
  <c r="D36" i="37"/>
  <c r="D126" i="37"/>
  <c r="I225" i="11"/>
  <c r="D225" i="37"/>
  <c r="D248" i="37"/>
  <c r="D75" i="37"/>
  <c r="M252" i="11"/>
  <c r="D252" i="37"/>
  <c r="D137" i="37"/>
  <c r="D294" i="37"/>
  <c r="D87" i="37"/>
  <c r="D233" i="37"/>
  <c r="D136" i="37"/>
  <c r="I65" i="11"/>
  <c r="D134" i="37"/>
  <c r="L321" i="11" l="1"/>
  <c r="M321" i="11" s="1"/>
  <c r="H321" i="11"/>
  <c r="I321" i="11" s="1"/>
  <c r="E329" i="9"/>
  <c r="M323" i="33"/>
  <c r="N323" i="33" s="1"/>
  <c r="C16" i="34"/>
  <c r="C334" i="34" s="1"/>
  <c r="F15" i="34" s="1"/>
  <c r="N5" i="33"/>
  <c r="C5" i="11"/>
  <c r="E6" i="25"/>
  <c r="E324" i="25" s="1"/>
  <c r="M7" i="11"/>
  <c r="O294" i="33" l="1"/>
  <c r="O5" i="33"/>
  <c r="H5" i="11"/>
  <c r="L5" i="11"/>
  <c r="M324" i="49"/>
  <c r="N5" i="49" s="1"/>
  <c r="O141" i="33"/>
  <c r="O13" i="33"/>
  <c r="O138" i="33"/>
  <c r="O173" i="33"/>
  <c r="O243" i="33"/>
  <c r="O248" i="33"/>
  <c r="O192" i="33"/>
  <c r="O211" i="33"/>
  <c r="O320" i="33"/>
  <c r="O209" i="33"/>
  <c r="O149" i="33"/>
  <c r="O247" i="33"/>
  <c r="O130" i="33"/>
  <c r="O30" i="33"/>
  <c r="O32" i="33"/>
  <c r="O218" i="33"/>
  <c r="O222" i="33"/>
  <c r="O142" i="33"/>
  <c r="O197" i="33"/>
  <c r="O137" i="33"/>
  <c r="O235" i="33"/>
  <c r="O160" i="33"/>
  <c r="O21" i="33"/>
  <c r="O259" i="33"/>
  <c r="O34" i="33"/>
  <c r="O196" i="33"/>
  <c r="O154" i="33"/>
  <c r="O115" i="33"/>
  <c r="O257" i="33"/>
  <c r="O103" i="33"/>
  <c r="O24" i="33"/>
  <c r="O99" i="33"/>
  <c r="O57" i="33"/>
  <c r="O298" i="33"/>
  <c r="O228" i="33"/>
  <c r="O41" i="33"/>
  <c r="O60" i="33"/>
  <c r="O311" i="33"/>
  <c r="O95" i="33"/>
  <c r="O114" i="33"/>
  <c r="O187" i="33"/>
  <c r="O40" i="33"/>
  <c r="O69" i="33"/>
  <c r="O193" i="33"/>
  <c r="O190" i="33"/>
  <c r="O140" i="33"/>
  <c r="O237" i="33"/>
  <c r="O255" i="33"/>
  <c r="O244" i="33"/>
  <c r="O126" i="33"/>
  <c r="O215" i="33"/>
  <c r="O42" i="33"/>
  <c r="O61" i="33"/>
  <c r="O85" i="33"/>
  <c r="O36" i="33"/>
  <c r="O165" i="33"/>
  <c r="O82" i="33"/>
  <c r="O251" i="33"/>
  <c r="O111" i="33"/>
  <c r="O53" i="33"/>
  <c r="O315" i="33"/>
  <c r="O321" i="33"/>
  <c r="O76" i="33"/>
  <c r="O51" i="33"/>
  <c r="O268" i="33"/>
  <c r="O281" i="33"/>
  <c r="O29" i="33"/>
  <c r="O304" i="33"/>
  <c r="O84" i="33"/>
  <c r="O81" i="33"/>
  <c r="O322" i="33"/>
  <c r="O38" i="33"/>
  <c r="O258" i="33"/>
  <c r="O155" i="33"/>
  <c r="O178" i="33"/>
  <c r="O223" i="33"/>
  <c r="O180" i="33"/>
  <c r="O89" i="33"/>
  <c r="O171" i="33"/>
  <c r="O70" i="33"/>
  <c r="O310" i="33"/>
  <c r="O274" i="33"/>
  <c r="O177" i="33"/>
  <c r="O52" i="33"/>
  <c r="O292" i="33"/>
  <c r="O127" i="33"/>
  <c r="O200" i="33"/>
  <c r="O307" i="33"/>
  <c r="O46" i="33"/>
  <c r="O314" i="33"/>
  <c r="O27" i="33"/>
  <c r="O163" i="33"/>
  <c r="O74" i="33"/>
  <c r="O239" i="33"/>
  <c r="O8" i="33"/>
  <c r="O153" i="33"/>
  <c r="O236" i="33"/>
  <c r="O291" i="33"/>
  <c r="O55" i="33"/>
  <c r="O212" i="33"/>
  <c r="O300" i="33"/>
  <c r="O210" i="33"/>
  <c r="O186" i="33"/>
  <c r="O167" i="33"/>
  <c r="O206" i="33"/>
  <c r="O135" i="33"/>
  <c r="O157" i="33"/>
  <c r="O213" i="33"/>
  <c r="O18" i="33"/>
  <c r="O73" i="33"/>
  <c r="O319" i="33"/>
  <c r="O295" i="33"/>
  <c r="O288" i="33"/>
  <c r="O312" i="33"/>
  <c r="O231" i="33"/>
  <c r="O56" i="33"/>
  <c r="O317" i="33"/>
  <c r="O306" i="33"/>
  <c r="O233" i="33"/>
  <c r="O26" i="33"/>
  <c r="O264" i="33"/>
  <c r="O120" i="33"/>
  <c r="O68" i="33"/>
  <c r="O79" i="33"/>
  <c r="O98" i="33"/>
  <c r="O66" i="33"/>
  <c r="O88" i="33"/>
  <c r="O283" i="33"/>
  <c r="O267" i="33"/>
  <c r="O139" i="33"/>
  <c r="O117" i="33"/>
  <c r="O245" i="33"/>
  <c r="O129" i="33"/>
  <c r="O286" i="33"/>
  <c r="O169" i="33"/>
  <c r="O234" i="33"/>
  <c r="O232" i="33"/>
  <c r="O144" i="33"/>
  <c r="O250" i="33"/>
  <c r="O260" i="33"/>
  <c r="O113" i="33"/>
  <c r="D323" i="37"/>
  <c r="E25" i="37" s="1"/>
  <c r="F25" i="37" s="1"/>
  <c r="I25" i="37" s="1"/>
  <c r="G36" i="34" s="1"/>
  <c r="H36" i="34" s="1"/>
  <c r="O176" i="33"/>
  <c r="O12" i="33"/>
  <c r="O174" i="33"/>
  <c r="O301" i="33"/>
  <c r="O229" i="33"/>
  <c r="O266" i="33"/>
  <c r="O64" i="33"/>
  <c r="O50" i="33"/>
  <c r="O290" i="33"/>
  <c r="O261" i="33"/>
  <c r="O39" i="33"/>
  <c r="O110" i="33"/>
  <c r="O156" i="33"/>
  <c r="O284" i="33"/>
  <c r="O143" i="33"/>
  <c r="O20" i="33"/>
  <c r="O252" i="33"/>
  <c r="O148" i="33"/>
  <c r="O185" i="33"/>
  <c r="O272" i="33"/>
  <c r="O124" i="33"/>
  <c r="O47" i="33"/>
  <c r="O22" i="33"/>
  <c r="O278" i="33"/>
  <c r="O37" i="33"/>
  <c r="O302" i="33"/>
  <c r="O96" i="33"/>
  <c r="O91" i="33"/>
  <c r="O262" i="33"/>
  <c r="O220" i="33"/>
  <c r="O227" i="33"/>
  <c r="O205" i="33"/>
  <c r="O80" i="33"/>
  <c r="O226" i="33"/>
  <c r="O188" i="33"/>
  <c r="O7" i="33"/>
  <c r="D5" i="34"/>
  <c r="O58" i="33"/>
  <c r="O293" i="33"/>
  <c r="O308" i="33"/>
  <c r="O253" i="33"/>
  <c r="O65" i="33"/>
  <c r="O297" i="33"/>
  <c r="O299" i="33"/>
  <c r="O242" i="33"/>
  <c r="O168" i="33"/>
  <c r="O100" i="33"/>
  <c r="O199" i="33"/>
  <c r="O10" i="33"/>
  <c r="O72" i="33"/>
  <c r="O150" i="33"/>
  <c r="O43" i="33"/>
  <c r="O249" i="33"/>
  <c r="O309" i="33"/>
  <c r="O263" i="33"/>
  <c r="E4" i="9"/>
  <c r="D4" i="9" s="1"/>
  <c r="O25" i="33"/>
  <c r="O318" i="33"/>
  <c r="O62" i="33"/>
  <c r="O241" i="33"/>
  <c r="O238" i="33"/>
  <c r="O97" i="33"/>
  <c r="O17" i="33"/>
  <c r="O75" i="33"/>
  <c r="O254" i="33"/>
  <c r="O31" i="33"/>
  <c r="O182" i="33"/>
  <c r="O161" i="33"/>
  <c r="O33" i="33"/>
  <c r="O279" i="33"/>
  <c r="O119" i="33"/>
  <c r="O195" i="33"/>
  <c r="O240" i="33"/>
  <c r="O277" i="33"/>
  <c r="O128" i="33"/>
  <c r="O224" i="33"/>
  <c r="O276" i="33"/>
  <c r="O92" i="33"/>
  <c r="O230" i="33"/>
  <c r="O54" i="33"/>
  <c r="O87" i="33"/>
  <c r="O14" i="33"/>
  <c r="O219" i="33"/>
  <c r="O303" i="33"/>
  <c r="O67" i="33"/>
  <c r="O125" i="33"/>
  <c r="O77" i="33"/>
  <c r="O184" i="33"/>
  <c r="O246" i="33"/>
  <c r="O105" i="33"/>
  <c r="O107" i="33"/>
  <c r="O63" i="33"/>
  <c r="O152" i="33"/>
  <c r="O59" i="33"/>
  <c r="O108" i="33"/>
  <c r="O166" i="33"/>
  <c r="O296" i="33"/>
  <c r="O207" i="33"/>
  <c r="O275" i="33"/>
  <c r="O104" i="33"/>
  <c r="O106" i="33"/>
  <c r="O216" i="33"/>
  <c r="O15" i="33"/>
  <c r="O11" i="33"/>
  <c r="O198" i="33"/>
  <c r="O23" i="33"/>
  <c r="O285" i="33"/>
  <c r="O158" i="33"/>
  <c r="O9" i="33"/>
  <c r="O256" i="33"/>
  <c r="O71" i="33"/>
  <c r="O189" i="33"/>
  <c r="O78" i="33"/>
  <c r="O93" i="33"/>
  <c r="O271" i="33"/>
  <c r="O191" i="33"/>
  <c r="O133" i="33"/>
  <c r="O287" i="33"/>
  <c r="O194" i="33"/>
  <c r="O208" i="33"/>
  <c r="O132" i="33"/>
  <c r="O48" i="33"/>
  <c r="O147" i="33"/>
  <c r="O305" i="33"/>
  <c r="O164" i="33"/>
  <c r="O280" i="33"/>
  <c r="O172" i="33"/>
  <c r="O269" i="33"/>
  <c r="O204" i="33"/>
  <c r="O49" i="33"/>
  <c r="O225" i="33"/>
  <c r="O134" i="33"/>
  <c r="O313" i="33"/>
  <c r="O16" i="33"/>
  <c r="O109" i="33"/>
  <c r="O45" i="33"/>
  <c r="O131" i="33"/>
  <c r="O122" i="33"/>
  <c r="O44" i="33"/>
  <c r="O101" i="33"/>
  <c r="O265" i="33"/>
  <c r="O94" i="33"/>
  <c r="O83" i="33"/>
  <c r="O123" i="33"/>
  <c r="O35" i="33"/>
  <c r="O86" i="33"/>
  <c r="O121" i="33"/>
  <c r="O6" i="33"/>
  <c r="O179" i="33"/>
  <c r="O118" i="33"/>
  <c r="O181" i="33"/>
  <c r="O217" i="33"/>
  <c r="O112" i="33"/>
  <c r="O175" i="33"/>
  <c r="O145" i="33"/>
  <c r="O214" i="33"/>
  <c r="O116" i="33"/>
  <c r="O151" i="33"/>
  <c r="O159" i="33"/>
  <c r="O202" i="33"/>
  <c r="O170" i="33"/>
  <c r="O183" i="33"/>
  <c r="O282" i="33"/>
  <c r="O273" i="33"/>
  <c r="O136" i="33"/>
  <c r="O201" i="33"/>
  <c r="O146" i="33"/>
  <c r="O90" i="33"/>
  <c r="O270" i="33"/>
  <c r="O203" i="33"/>
  <c r="O316" i="33"/>
  <c r="O19" i="33"/>
  <c r="O28" i="33"/>
  <c r="G36" i="40"/>
  <c r="G38" i="40" s="1"/>
  <c r="O221" i="33"/>
  <c r="O162" i="33"/>
  <c r="O102" i="33"/>
  <c r="O289" i="33"/>
  <c r="D8" i="34"/>
  <c r="D6" i="34"/>
  <c r="C323" i="11"/>
  <c r="D5" i="37"/>
  <c r="N8" i="49" l="1"/>
  <c r="N7" i="49"/>
  <c r="N6" i="49"/>
  <c r="N105" i="49"/>
  <c r="O105" i="49" s="1"/>
  <c r="M105" i="25" s="1"/>
  <c r="E17" i="37"/>
  <c r="F17" i="37" s="1"/>
  <c r="I17" i="37" s="1"/>
  <c r="G28" i="34" s="1"/>
  <c r="H28" i="34" s="1"/>
  <c r="E162" i="37"/>
  <c r="F162" i="37" s="1"/>
  <c r="I162" i="37" s="1"/>
  <c r="G173" i="34" s="1"/>
  <c r="H173" i="34" s="1"/>
  <c r="E225" i="37"/>
  <c r="F225" i="37" s="1"/>
  <c r="I225" i="37" s="1"/>
  <c r="G236" i="34" s="1"/>
  <c r="H236" i="34" s="1"/>
  <c r="E239" i="37"/>
  <c r="F239" i="37" s="1"/>
  <c r="I239" i="37" s="1"/>
  <c r="G250" i="34" s="1"/>
  <c r="H250" i="34" s="1"/>
  <c r="E190" i="37"/>
  <c r="F190" i="37" s="1"/>
  <c r="I190" i="37" s="1"/>
  <c r="G201" i="34" s="1"/>
  <c r="H201" i="34" s="1"/>
  <c r="E126" i="37"/>
  <c r="F126" i="37" s="1"/>
  <c r="I126" i="37" s="1"/>
  <c r="G137" i="34" s="1"/>
  <c r="H137" i="34" s="1"/>
  <c r="E219" i="37"/>
  <c r="F219" i="37" s="1"/>
  <c r="I219" i="37" s="1"/>
  <c r="G230" i="34" s="1"/>
  <c r="H230" i="34" s="1"/>
  <c r="E15" i="37"/>
  <c r="F15" i="37" s="1"/>
  <c r="I15" i="37" s="1"/>
  <c r="G26" i="34" s="1"/>
  <c r="H26" i="34" s="1"/>
  <c r="E111" i="37"/>
  <c r="F111" i="37" s="1"/>
  <c r="I111" i="37" s="1"/>
  <c r="G122" i="34" s="1"/>
  <c r="H122" i="34" s="1"/>
  <c r="E321" i="37"/>
  <c r="F321" i="37" s="1"/>
  <c r="I321" i="37" s="1"/>
  <c r="G332" i="34" s="1"/>
  <c r="H332" i="34" s="1"/>
  <c r="E50" i="37"/>
  <c r="F50" i="37" s="1"/>
  <c r="I50" i="37" s="1"/>
  <c r="G61" i="34" s="1"/>
  <c r="H61" i="34" s="1"/>
  <c r="E291" i="37"/>
  <c r="F291" i="37" s="1"/>
  <c r="I291" i="37" s="1"/>
  <c r="G302" i="34" s="1"/>
  <c r="H302" i="34" s="1"/>
  <c r="E68" i="37"/>
  <c r="F68" i="37" s="1"/>
  <c r="I68" i="37" s="1"/>
  <c r="G79" i="34" s="1"/>
  <c r="H79" i="34" s="1"/>
  <c r="E149" i="37"/>
  <c r="F149" i="37" s="1"/>
  <c r="I149" i="37" s="1"/>
  <c r="G160" i="34" s="1"/>
  <c r="H160" i="34" s="1"/>
  <c r="E154" i="37"/>
  <c r="F154" i="37" s="1"/>
  <c r="I154" i="37" s="1"/>
  <c r="G165" i="34" s="1"/>
  <c r="H165" i="34" s="1"/>
  <c r="E263" i="37"/>
  <c r="F263" i="37" s="1"/>
  <c r="I263" i="37" s="1"/>
  <c r="G274" i="34" s="1"/>
  <c r="H274" i="34" s="1"/>
  <c r="E131" i="37"/>
  <c r="F131" i="37" s="1"/>
  <c r="I131" i="37" s="1"/>
  <c r="G142" i="34" s="1"/>
  <c r="H142" i="34" s="1"/>
  <c r="E97" i="37"/>
  <c r="F97" i="37" s="1"/>
  <c r="I97" i="37" s="1"/>
  <c r="G108" i="34" s="1"/>
  <c r="H108" i="34" s="1"/>
  <c r="E308" i="37"/>
  <c r="F308" i="37" s="1"/>
  <c r="I308" i="37" s="1"/>
  <c r="G319" i="34" s="1"/>
  <c r="H319" i="34" s="1"/>
  <c r="E48" i="37"/>
  <c r="F48" i="37" s="1"/>
  <c r="I48" i="37" s="1"/>
  <c r="G59" i="34" s="1"/>
  <c r="H59" i="34" s="1"/>
  <c r="E127" i="37"/>
  <c r="F127" i="37" s="1"/>
  <c r="I127" i="37" s="1"/>
  <c r="G138" i="34" s="1"/>
  <c r="H138" i="34" s="1"/>
  <c r="E231" i="37"/>
  <c r="F231" i="37" s="1"/>
  <c r="I231" i="37" s="1"/>
  <c r="G242" i="34" s="1"/>
  <c r="H242" i="34" s="1"/>
  <c r="E278" i="37"/>
  <c r="F278" i="37" s="1"/>
  <c r="I278" i="37" s="1"/>
  <c r="G289" i="34" s="1"/>
  <c r="H289" i="34" s="1"/>
  <c r="E43" i="37"/>
  <c r="F43" i="37" s="1"/>
  <c r="I43" i="37" s="1"/>
  <c r="G54" i="34" s="1"/>
  <c r="H54" i="34" s="1"/>
  <c r="E213" i="37"/>
  <c r="F213" i="37" s="1"/>
  <c r="I213" i="37" s="1"/>
  <c r="G224" i="34" s="1"/>
  <c r="H224" i="34" s="1"/>
  <c r="E45" i="37"/>
  <c r="F45" i="37" s="1"/>
  <c r="I45" i="37" s="1"/>
  <c r="G56" i="34" s="1"/>
  <c r="H56" i="34" s="1"/>
  <c r="E29" i="37"/>
  <c r="F29" i="37" s="1"/>
  <c r="I29" i="37" s="1"/>
  <c r="G40" i="34" s="1"/>
  <c r="H40" i="34" s="1"/>
  <c r="E180" i="37"/>
  <c r="F180" i="37" s="1"/>
  <c r="I180" i="37" s="1"/>
  <c r="G191" i="34" s="1"/>
  <c r="H191" i="34" s="1"/>
  <c r="E275" i="37"/>
  <c r="F275" i="37" s="1"/>
  <c r="I275" i="37" s="1"/>
  <c r="G286" i="34" s="1"/>
  <c r="H286" i="34" s="1"/>
  <c r="E316" i="37"/>
  <c r="F316" i="37" s="1"/>
  <c r="I316" i="37" s="1"/>
  <c r="G327" i="34" s="1"/>
  <c r="H327" i="34" s="1"/>
  <c r="E84" i="37"/>
  <c r="F84" i="37" s="1"/>
  <c r="I84" i="37" s="1"/>
  <c r="G95" i="34" s="1"/>
  <c r="H95" i="34" s="1"/>
  <c r="E203" i="37"/>
  <c r="F203" i="37" s="1"/>
  <c r="I203" i="37" s="1"/>
  <c r="G214" i="34" s="1"/>
  <c r="H214" i="34" s="1"/>
  <c r="E269" i="37"/>
  <c r="F269" i="37" s="1"/>
  <c r="I269" i="37" s="1"/>
  <c r="G280" i="34" s="1"/>
  <c r="H280" i="34" s="1"/>
  <c r="E109" i="37"/>
  <c r="F109" i="37" s="1"/>
  <c r="I109" i="37" s="1"/>
  <c r="G120" i="34" s="1"/>
  <c r="H120" i="34" s="1"/>
  <c r="E106" i="37"/>
  <c r="F106" i="37" s="1"/>
  <c r="I106" i="37" s="1"/>
  <c r="G117" i="34" s="1"/>
  <c r="H117" i="34" s="1"/>
  <c r="E250" i="37"/>
  <c r="F250" i="37" s="1"/>
  <c r="I250" i="37" s="1"/>
  <c r="G261" i="34" s="1"/>
  <c r="H261" i="34" s="1"/>
  <c r="E72" i="37"/>
  <c r="F72" i="37" s="1"/>
  <c r="I72" i="37" s="1"/>
  <c r="G83" i="34" s="1"/>
  <c r="H83" i="34" s="1"/>
  <c r="E216" i="37"/>
  <c r="F216" i="37" s="1"/>
  <c r="I216" i="37" s="1"/>
  <c r="G227" i="34" s="1"/>
  <c r="H227" i="34" s="1"/>
  <c r="E6" i="37"/>
  <c r="F6" i="37" s="1"/>
  <c r="I6" i="37" s="1"/>
  <c r="G17" i="34" s="1"/>
  <c r="H17" i="34" s="1"/>
  <c r="E178" i="37"/>
  <c r="F178" i="37" s="1"/>
  <c r="I178" i="37" s="1"/>
  <c r="G189" i="34" s="1"/>
  <c r="H189" i="34" s="1"/>
  <c r="E304" i="37"/>
  <c r="F304" i="37" s="1"/>
  <c r="I304" i="37" s="1"/>
  <c r="G315" i="34" s="1"/>
  <c r="H315" i="34" s="1"/>
  <c r="E150" i="37"/>
  <c r="F150" i="37" s="1"/>
  <c r="I150" i="37" s="1"/>
  <c r="G161" i="34" s="1"/>
  <c r="H161" i="34" s="1"/>
  <c r="E277" i="37"/>
  <c r="F277" i="37" s="1"/>
  <c r="I277" i="37" s="1"/>
  <c r="G288" i="34" s="1"/>
  <c r="H288" i="34" s="1"/>
  <c r="E173" i="37"/>
  <c r="F173" i="37" s="1"/>
  <c r="I173" i="37" s="1"/>
  <c r="G184" i="34" s="1"/>
  <c r="H184" i="34" s="1"/>
  <c r="E53" i="37"/>
  <c r="F53" i="37" s="1"/>
  <c r="I53" i="37" s="1"/>
  <c r="G64" i="34" s="1"/>
  <c r="H64" i="34" s="1"/>
  <c r="E62" i="37"/>
  <c r="F62" i="37" s="1"/>
  <c r="I62" i="37" s="1"/>
  <c r="G73" i="34" s="1"/>
  <c r="H73" i="34" s="1"/>
  <c r="E292" i="37"/>
  <c r="F292" i="37" s="1"/>
  <c r="I292" i="37" s="1"/>
  <c r="G303" i="34" s="1"/>
  <c r="H303" i="34" s="1"/>
  <c r="E207" i="37"/>
  <c r="F207" i="37" s="1"/>
  <c r="I207" i="37" s="1"/>
  <c r="G218" i="34" s="1"/>
  <c r="H218" i="34" s="1"/>
  <c r="E136" i="37"/>
  <c r="F136" i="37" s="1"/>
  <c r="I136" i="37" s="1"/>
  <c r="G147" i="34" s="1"/>
  <c r="H147" i="34" s="1"/>
  <c r="E30" i="37"/>
  <c r="F30" i="37" s="1"/>
  <c r="I30" i="37" s="1"/>
  <c r="G41" i="34" s="1"/>
  <c r="H41" i="34" s="1"/>
  <c r="E248" i="37"/>
  <c r="F248" i="37" s="1"/>
  <c r="I248" i="37" s="1"/>
  <c r="G259" i="34" s="1"/>
  <c r="H259" i="34" s="1"/>
  <c r="E174" i="37"/>
  <c r="F174" i="37" s="1"/>
  <c r="I174" i="37" s="1"/>
  <c r="G185" i="34" s="1"/>
  <c r="H185" i="34" s="1"/>
  <c r="E87" i="37"/>
  <c r="F87" i="37" s="1"/>
  <c r="I87" i="37" s="1"/>
  <c r="G98" i="34" s="1"/>
  <c r="H98" i="34" s="1"/>
  <c r="E290" i="37"/>
  <c r="F290" i="37" s="1"/>
  <c r="I290" i="37" s="1"/>
  <c r="G301" i="34" s="1"/>
  <c r="H301" i="34" s="1"/>
  <c r="E220" i="37"/>
  <c r="F220" i="37" s="1"/>
  <c r="I220" i="37" s="1"/>
  <c r="G231" i="34" s="1"/>
  <c r="H231" i="34" s="1"/>
  <c r="E146" i="37"/>
  <c r="F146" i="37" s="1"/>
  <c r="I146" i="37" s="1"/>
  <c r="G157" i="34" s="1"/>
  <c r="H157" i="34" s="1"/>
  <c r="E7" i="37"/>
  <c r="F7" i="37" s="1"/>
  <c r="I7" i="37" s="1"/>
  <c r="G18" i="34" s="1"/>
  <c r="H18" i="34" s="1"/>
  <c r="E262" i="37"/>
  <c r="F262" i="37" s="1"/>
  <c r="I262" i="37" s="1"/>
  <c r="G273" i="34" s="1"/>
  <c r="H273" i="34" s="1"/>
  <c r="E192" i="37"/>
  <c r="F192" i="37" s="1"/>
  <c r="I192" i="37" s="1"/>
  <c r="G203" i="34" s="1"/>
  <c r="H203" i="34" s="1"/>
  <c r="E91" i="37"/>
  <c r="F91" i="37" s="1"/>
  <c r="I91" i="37" s="1"/>
  <c r="G102" i="34" s="1"/>
  <c r="H102" i="34" s="1"/>
  <c r="E309" i="37"/>
  <c r="F309" i="37" s="1"/>
  <c r="I309" i="37" s="1"/>
  <c r="G320" i="34" s="1"/>
  <c r="H320" i="34" s="1"/>
  <c r="E257" i="37"/>
  <c r="F257" i="37" s="1"/>
  <c r="I257" i="37" s="1"/>
  <c r="G268" i="34" s="1"/>
  <c r="H268" i="34" s="1"/>
  <c r="E193" i="37"/>
  <c r="F193" i="37" s="1"/>
  <c r="I193" i="37" s="1"/>
  <c r="G204" i="34" s="1"/>
  <c r="H204" i="34" s="1"/>
  <c r="E141" i="37"/>
  <c r="F141" i="37" s="1"/>
  <c r="I141" i="37" s="1"/>
  <c r="G152" i="34" s="1"/>
  <c r="H152" i="34" s="1"/>
  <c r="E85" i="37"/>
  <c r="F85" i="37" s="1"/>
  <c r="I85" i="37" s="1"/>
  <c r="G96" i="34" s="1"/>
  <c r="H96" i="34" s="1"/>
  <c r="E24" i="37"/>
  <c r="F24" i="37" s="1"/>
  <c r="I24" i="37" s="1"/>
  <c r="G35" i="34" s="1"/>
  <c r="H35" i="34" s="1"/>
  <c r="E94" i="37"/>
  <c r="F94" i="37" s="1"/>
  <c r="I94" i="37" s="1"/>
  <c r="G105" i="34" s="1"/>
  <c r="H105" i="34" s="1"/>
  <c r="E42" i="37"/>
  <c r="F42" i="37" s="1"/>
  <c r="I42" i="37" s="1"/>
  <c r="G53" i="34" s="1"/>
  <c r="H53" i="34" s="1"/>
  <c r="E266" i="37"/>
  <c r="F266" i="37" s="1"/>
  <c r="I266" i="37" s="1"/>
  <c r="G277" i="34" s="1"/>
  <c r="H277" i="34" s="1"/>
  <c r="E196" i="37"/>
  <c r="F196" i="37" s="1"/>
  <c r="I196" i="37" s="1"/>
  <c r="G207" i="34" s="1"/>
  <c r="H207" i="34" s="1"/>
  <c r="E112" i="37"/>
  <c r="F112" i="37" s="1"/>
  <c r="I112" i="37" s="1"/>
  <c r="G123" i="34" s="1"/>
  <c r="H123" i="34" s="1"/>
  <c r="E302" i="37"/>
  <c r="F302" i="37" s="1"/>
  <c r="I302" i="37" s="1"/>
  <c r="G313" i="34" s="1"/>
  <c r="H313" i="34" s="1"/>
  <c r="E232" i="37"/>
  <c r="F232" i="37" s="1"/>
  <c r="I232" i="37" s="1"/>
  <c r="G243" i="34" s="1"/>
  <c r="H243" i="34" s="1"/>
  <c r="E163" i="37"/>
  <c r="F163" i="37" s="1"/>
  <c r="I163" i="37" s="1"/>
  <c r="G174" i="34" s="1"/>
  <c r="H174" i="34" s="1"/>
  <c r="E47" i="37"/>
  <c r="F47" i="37" s="1"/>
  <c r="I47" i="37" s="1"/>
  <c r="G58" i="34" s="1"/>
  <c r="H58" i="34" s="1"/>
  <c r="E274" i="37"/>
  <c r="F274" i="37" s="1"/>
  <c r="I274" i="37" s="1"/>
  <c r="G285" i="34" s="1"/>
  <c r="H285" i="34" s="1"/>
  <c r="E204" i="37"/>
  <c r="F204" i="37" s="1"/>
  <c r="I204" i="37" s="1"/>
  <c r="G215" i="34" s="1"/>
  <c r="H215" i="34" s="1"/>
  <c r="E108" i="37"/>
  <c r="F108" i="37" s="1"/>
  <c r="I108" i="37" s="1"/>
  <c r="G119" i="34" s="1"/>
  <c r="H119" i="34" s="1"/>
  <c r="E320" i="37"/>
  <c r="F320" i="37" s="1"/>
  <c r="I320" i="37" s="1"/>
  <c r="G331" i="34" s="1"/>
  <c r="H331" i="34" s="1"/>
  <c r="E246" i="37"/>
  <c r="F246" i="37" s="1"/>
  <c r="I246" i="37" s="1"/>
  <c r="G257" i="34" s="1"/>
  <c r="H257" i="34" s="1"/>
  <c r="E160" i="37"/>
  <c r="F160" i="37" s="1"/>
  <c r="I160" i="37" s="1"/>
  <c r="G171" i="34" s="1"/>
  <c r="H171" i="34" s="1"/>
  <c r="E67" i="37"/>
  <c r="F67" i="37" s="1"/>
  <c r="I67" i="37" s="1"/>
  <c r="G78" i="34" s="1"/>
  <c r="H78" i="34" s="1"/>
  <c r="E301" i="37"/>
  <c r="F301" i="37" s="1"/>
  <c r="I301" i="37" s="1"/>
  <c r="G312" i="34" s="1"/>
  <c r="H312" i="34" s="1"/>
  <c r="E237" i="37"/>
  <c r="F237" i="37" s="1"/>
  <c r="I237" i="37" s="1"/>
  <c r="G248" i="34" s="1"/>
  <c r="H248" i="34" s="1"/>
  <c r="E181" i="37"/>
  <c r="F181" i="37" s="1"/>
  <c r="I181" i="37" s="1"/>
  <c r="G192" i="34" s="1"/>
  <c r="H192" i="34" s="1"/>
  <c r="E129" i="37"/>
  <c r="F129" i="37" s="1"/>
  <c r="I129" i="37" s="1"/>
  <c r="G140" i="34" s="1"/>
  <c r="H140" i="34" s="1"/>
  <c r="E65" i="37"/>
  <c r="F65" i="37" s="1"/>
  <c r="I65" i="37" s="1"/>
  <c r="G76" i="34" s="1"/>
  <c r="H76" i="34" s="1"/>
  <c r="E138" i="37"/>
  <c r="F138" i="37" s="1"/>
  <c r="I138" i="37" s="1"/>
  <c r="G149" i="34" s="1"/>
  <c r="H149" i="34" s="1"/>
  <c r="E82" i="37"/>
  <c r="F82" i="37" s="1"/>
  <c r="I82" i="37" s="1"/>
  <c r="G93" i="34" s="1"/>
  <c r="H93" i="34" s="1"/>
  <c r="E37" i="37"/>
  <c r="F37" i="37" s="1"/>
  <c r="I37" i="37" s="1"/>
  <c r="G48" i="34" s="1"/>
  <c r="H48" i="34" s="1"/>
  <c r="E282" i="37"/>
  <c r="F282" i="37" s="1"/>
  <c r="I282" i="37" s="1"/>
  <c r="G293" i="34" s="1"/>
  <c r="H293" i="34" s="1"/>
  <c r="E223" i="37"/>
  <c r="F223" i="37" s="1"/>
  <c r="I223" i="37" s="1"/>
  <c r="G234" i="34" s="1"/>
  <c r="H234" i="34" s="1"/>
  <c r="E164" i="37"/>
  <c r="F164" i="37" s="1"/>
  <c r="I164" i="37" s="1"/>
  <c r="G175" i="34" s="1"/>
  <c r="H175" i="34" s="1"/>
  <c r="E96" i="37"/>
  <c r="F96" i="37" s="1"/>
  <c r="I96" i="37" s="1"/>
  <c r="G107" i="34" s="1"/>
  <c r="H107" i="34" s="1"/>
  <c r="E318" i="37"/>
  <c r="F318" i="37" s="1"/>
  <c r="I318" i="37" s="1"/>
  <c r="G329" i="34" s="1"/>
  <c r="H329" i="34" s="1"/>
  <c r="E259" i="37"/>
  <c r="F259" i="37" s="1"/>
  <c r="I259" i="37" s="1"/>
  <c r="G270" i="34" s="1"/>
  <c r="H270" i="34" s="1"/>
  <c r="E206" i="37"/>
  <c r="F206" i="37" s="1"/>
  <c r="I206" i="37" s="1"/>
  <c r="G217" i="34" s="1"/>
  <c r="H217" i="34" s="1"/>
  <c r="E147" i="37"/>
  <c r="F147" i="37" s="1"/>
  <c r="I147" i="37" s="1"/>
  <c r="G158" i="34" s="1"/>
  <c r="H158" i="34" s="1"/>
  <c r="E63" i="37"/>
  <c r="F63" i="37" s="1"/>
  <c r="I63" i="37" s="1"/>
  <c r="G74" i="34" s="1"/>
  <c r="H74" i="34" s="1"/>
  <c r="E306" i="37"/>
  <c r="F306" i="37" s="1"/>
  <c r="I306" i="37" s="1"/>
  <c r="G317" i="34" s="1"/>
  <c r="H317" i="34" s="1"/>
  <c r="E247" i="37"/>
  <c r="F247" i="37" s="1"/>
  <c r="I247" i="37" s="1"/>
  <c r="G258" i="34" s="1"/>
  <c r="H258" i="34" s="1"/>
  <c r="E188" i="37"/>
  <c r="F188" i="37" s="1"/>
  <c r="I188" i="37" s="1"/>
  <c r="G199" i="34" s="1"/>
  <c r="H199" i="34" s="1"/>
  <c r="E132" i="37"/>
  <c r="F132" i="37" s="1"/>
  <c r="I132" i="37" s="1"/>
  <c r="G143" i="34" s="1"/>
  <c r="H143" i="34" s="1"/>
  <c r="E44" i="37"/>
  <c r="F44" i="37" s="1"/>
  <c r="I44" i="37" s="1"/>
  <c r="G55" i="34" s="1"/>
  <c r="H55" i="34" s="1"/>
  <c r="E288" i="37"/>
  <c r="F288" i="37" s="1"/>
  <c r="I288" i="37" s="1"/>
  <c r="G299" i="34" s="1"/>
  <c r="H299" i="34" s="1"/>
  <c r="E235" i="37"/>
  <c r="F235" i="37" s="1"/>
  <c r="I235" i="37" s="1"/>
  <c r="G246" i="34" s="1"/>
  <c r="H246" i="34" s="1"/>
  <c r="E176" i="37"/>
  <c r="F176" i="37" s="1"/>
  <c r="I176" i="37" s="1"/>
  <c r="G187" i="34" s="1"/>
  <c r="H187" i="34" s="1"/>
  <c r="E107" i="37"/>
  <c r="F107" i="37" s="1"/>
  <c r="I107" i="37" s="1"/>
  <c r="G118" i="34" s="1"/>
  <c r="H118" i="34" s="1"/>
  <c r="E18" i="37"/>
  <c r="F18" i="37" s="1"/>
  <c r="I18" i="37" s="1"/>
  <c r="G29" i="34" s="1"/>
  <c r="H29" i="34" s="1"/>
  <c r="E289" i="37"/>
  <c r="F289" i="37" s="1"/>
  <c r="I289" i="37" s="1"/>
  <c r="G300" i="34" s="1"/>
  <c r="H300" i="34" s="1"/>
  <c r="E245" i="37"/>
  <c r="F245" i="37" s="1"/>
  <c r="I245" i="37" s="1"/>
  <c r="G256" i="34" s="1"/>
  <c r="H256" i="34" s="1"/>
  <c r="E205" i="37"/>
  <c r="F205" i="37" s="1"/>
  <c r="I205" i="37" s="1"/>
  <c r="G216" i="34" s="1"/>
  <c r="H216" i="34" s="1"/>
  <c r="E161" i="37"/>
  <c r="F161" i="37" s="1"/>
  <c r="I161" i="37" s="1"/>
  <c r="G172" i="34" s="1"/>
  <c r="H172" i="34" s="1"/>
  <c r="E117" i="37"/>
  <c r="F117" i="37" s="1"/>
  <c r="I117" i="37" s="1"/>
  <c r="G128" i="34" s="1"/>
  <c r="H128" i="34" s="1"/>
  <c r="E77" i="37"/>
  <c r="F77" i="37" s="1"/>
  <c r="I77" i="37" s="1"/>
  <c r="G88" i="34" s="1"/>
  <c r="H88" i="34" s="1"/>
  <c r="E31" i="37"/>
  <c r="F31" i="37" s="1"/>
  <c r="I31" i="37" s="1"/>
  <c r="G42" i="34" s="1"/>
  <c r="H42" i="34" s="1"/>
  <c r="E114" i="37"/>
  <c r="F114" i="37" s="1"/>
  <c r="I114" i="37" s="1"/>
  <c r="G125" i="34" s="1"/>
  <c r="H125" i="34" s="1"/>
  <c r="E74" i="37"/>
  <c r="F74" i="37" s="1"/>
  <c r="I74" i="37" s="1"/>
  <c r="G85" i="34" s="1"/>
  <c r="H85" i="34" s="1"/>
  <c r="E27" i="37"/>
  <c r="F27" i="37" s="1"/>
  <c r="I27" i="37" s="1"/>
  <c r="G38" i="34" s="1"/>
  <c r="H38" i="34" s="1"/>
  <c r="E314" i="37"/>
  <c r="F314" i="37" s="1"/>
  <c r="I314" i="37" s="1"/>
  <c r="G325" i="34" s="1"/>
  <c r="H325" i="34" s="1"/>
  <c r="E287" i="37"/>
  <c r="F287" i="37" s="1"/>
  <c r="I287" i="37" s="1"/>
  <c r="G298" i="34" s="1"/>
  <c r="H298" i="34" s="1"/>
  <c r="E260" i="37"/>
  <c r="F260" i="37" s="1"/>
  <c r="I260" i="37" s="1"/>
  <c r="G271" i="34" s="1"/>
  <c r="H271" i="34" s="1"/>
  <c r="E228" i="37"/>
  <c r="F228" i="37" s="1"/>
  <c r="I228" i="37" s="1"/>
  <c r="G239" i="34" s="1"/>
  <c r="H239" i="34" s="1"/>
  <c r="E202" i="37"/>
  <c r="F202" i="37" s="1"/>
  <c r="I202" i="37" s="1"/>
  <c r="G213" i="34" s="1"/>
  <c r="H213" i="34" s="1"/>
  <c r="E175" i="37"/>
  <c r="F175" i="37" s="1"/>
  <c r="I175" i="37" s="1"/>
  <c r="G186" i="34" s="1"/>
  <c r="H186" i="34" s="1"/>
  <c r="E143" i="37"/>
  <c r="F143" i="37" s="1"/>
  <c r="I143" i="37" s="1"/>
  <c r="G154" i="34" s="1"/>
  <c r="H154" i="34" s="1"/>
  <c r="E104" i="37"/>
  <c r="F104" i="37" s="1"/>
  <c r="I104" i="37" s="1"/>
  <c r="G115" i="34" s="1"/>
  <c r="H115" i="34" s="1"/>
  <c r="E64" i="37"/>
  <c r="F64" i="37" s="1"/>
  <c r="I64" i="37" s="1"/>
  <c r="G75" i="34" s="1"/>
  <c r="H75" i="34" s="1"/>
  <c r="E14" i="37"/>
  <c r="F14" i="37" s="1"/>
  <c r="I14" i="37" s="1"/>
  <c r="G25" i="34" s="1"/>
  <c r="H25" i="34" s="1"/>
  <c r="E296" i="37"/>
  <c r="F296" i="37" s="1"/>
  <c r="I296" i="37" s="1"/>
  <c r="G307" i="34" s="1"/>
  <c r="H307" i="34" s="1"/>
  <c r="E270" i="37"/>
  <c r="F270" i="37" s="1"/>
  <c r="I270" i="37" s="1"/>
  <c r="G281" i="34" s="1"/>
  <c r="H281" i="34" s="1"/>
  <c r="E238" i="37"/>
  <c r="F238" i="37" s="1"/>
  <c r="I238" i="37" s="1"/>
  <c r="G249" i="34" s="1"/>
  <c r="H249" i="34" s="1"/>
  <c r="E211" i="37"/>
  <c r="F211" i="37" s="1"/>
  <c r="I211" i="37" s="1"/>
  <c r="G222" i="34" s="1"/>
  <c r="H222" i="34" s="1"/>
  <c r="E184" i="37"/>
  <c r="F184" i="37" s="1"/>
  <c r="I184" i="37" s="1"/>
  <c r="G195" i="34" s="1"/>
  <c r="H195" i="34" s="1"/>
  <c r="E152" i="37"/>
  <c r="F152" i="37" s="1"/>
  <c r="I152" i="37" s="1"/>
  <c r="G163" i="34" s="1"/>
  <c r="H163" i="34" s="1"/>
  <c r="E119" i="37"/>
  <c r="F119" i="37" s="1"/>
  <c r="I119" i="37" s="1"/>
  <c r="G130" i="34" s="1"/>
  <c r="H130" i="34" s="1"/>
  <c r="E79" i="37"/>
  <c r="F79" i="37" s="1"/>
  <c r="I79" i="37" s="1"/>
  <c r="G90" i="34" s="1"/>
  <c r="H90" i="34" s="1"/>
  <c r="E28" i="37"/>
  <c r="F28" i="37" s="1"/>
  <c r="I28" i="37" s="1"/>
  <c r="G39" i="34" s="1"/>
  <c r="H39" i="34" s="1"/>
  <c r="E311" i="37"/>
  <c r="F311" i="37" s="1"/>
  <c r="I311" i="37" s="1"/>
  <c r="G322" i="34" s="1"/>
  <c r="H322" i="34" s="1"/>
  <c r="E284" i="37"/>
  <c r="F284" i="37" s="1"/>
  <c r="I284" i="37" s="1"/>
  <c r="G295" i="34" s="1"/>
  <c r="H295" i="34" s="1"/>
  <c r="E252" i="37"/>
  <c r="F252" i="37" s="1"/>
  <c r="I252" i="37" s="1"/>
  <c r="G263" i="34" s="1"/>
  <c r="H263" i="34" s="1"/>
  <c r="E226" i="37"/>
  <c r="F226" i="37" s="1"/>
  <c r="I226" i="37" s="1"/>
  <c r="G237" i="34" s="1"/>
  <c r="H237" i="34" s="1"/>
  <c r="E199" i="37"/>
  <c r="F199" i="37" s="1"/>
  <c r="I199" i="37" s="1"/>
  <c r="G210" i="34" s="1"/>
  <c r="H210" i="34" s="1"/>
  <c r="E167" i="37"/>
  <c r="F167" i="37" s="1"/>
  <c r="I167" i="37" s="1"/>
  <c r="G178" i="34" s="1"/>
  <c r="H178" i="34" s="1"/>
  <c r="E140" i="37"/>
  <c r="F140" i="37" s="1"/>
  <c r="I140" i="37" s="1"/>
  <c r="G151" i="34" s="1"/>
  <c r="H151" i="34" s="1"/>
  <c r="E100" i="37"/>
  <c r="F100" i="37" s="1"/>
  <c r="I100" i="37" s="1"/>
  <c r="G111" i="34" s="1"/>
  <c r="H111" i="34" s="1"/>
  <c r="E52" i="37"/>
  <c r="F52" i="37" s="1"/>
  <c r="I52" i="37" s="1"/>
  <c r="G63" i="34" s="1"/>
  <c r="H63" i="34" s="1"/>
  <c r="E11" i="37"/>
  <c r="F11" i="37" s="1"/>
  <c r="I11" i="37" s="1"/>
  <c r="G22" i="34" s="1"/>
  <c r="H22" i="34" s="1"/>
  <c r="E299" i="37"/>
  <c r="F299" i="37" s="1"/>
  <c r="I299" i="37" s="1"/>
  <c r="G310" i="34" s="1"/>
  <c r="H310" i="34" s="1"/>
  <c r="E267" i="37"/>
  <c r="F267" i="37" s="1"/>
  <c r="I267" i="37" s="1"/>
  <c r="G278" i="34" s="1"/>
  <c r="H278" i="34" s="1"/>
  <c r="E240" i="37"/>
  <c r="F240" i="37" s="1"/>
  <c r="I240" i="37" s="1"/>
  <c r="G251" i="34" s="1"/>
  <c r="H251" i="34" s="1"/>
  <c r="E214" i="37"/>
  <c r="F214" i="37" s="1"/>
  <c r="I214" i="37" s="1"/>
  <c r="G225" i="34" s="1"/>
  <c r="H225" i="34" s="1"/>
  <c r="E182" i="37"/>
  <c r="F182" i="37" s="1"/>
  <c r="I182" i="37" s="1"/>
  <c r="G193" i="34" s="1"/>
  <c r="H193" i="34" s="1"/>
  <c r="E155" i="37"/>
  <c r="F155" i="37" s="1"/>
  <c r="I155" i="37" s="1"/>
  <c r="G166" i="34" s="1"/>
  <c r="H166" i="34" s="1"/>
  <c r="E123" i="37"/>
  <c r="F123" i="37" s="1"/>
  <c r="I123" i="37" s="1"/>
  <c r="G134" i="34" s="1"/>
  <c r="H134" i="34" s="1"/>
  <c r="E75" i="37"/>
  <c r="F75" i="37" s="1"/>
  <c r="I75" i="37" s="1"/>
  <c r="G86" i="34" s="1"/>
  <c r="H86" i="34" s="1"/>
  <c r="E34" i="37"/>
  <c r="F34" i="37" s="1"/>
  <c r="I34" i="37" s="1"/>
  <c r="G45" i="34" s="1"/>
  <c r="H45" i="34" s="1"/>
  <c r="E317" i="37"/>
  <c r="F317" i="37" s="1"/>
  <c r="I317" i="37" s="1"/>
  <c r="G328" i="34" s="1"/>
  <c r="H328" i="34" s="1"/>
  <c r="E293" i="37"/>
  <c r="F293" i="37" s="1"/>
  <c r="I293" i="37" s="1"/>
  <c r="G304" i="34" s="1"/>
  <c r="H304" i="34" s="1"/>
  <c r="E273" i="37"/>
  <c r="F273" i="37" s="1"/>
  <c r="I273" i="37" s="1"/>
  <c r="G284" i="34" s="1"/>
  <c r="H284" i="34" s="1"/>
  <c r="E253" i="37"/>
  <c r="F253" i="37" s="1"/>
  <c r="I253" i="37" s="1"/>
  <c r="G264" i="34" s="1"/>
  <c r="H264" i="34" s="1"/>
  <c r="E229" i="37"/>
  <c r="F229" i="37" s="1"/>
  <c r="I229" i="37" s="1"/>
  <c r="G240" i="34" s="1"/>
  <c r="H240" i="34" s="1"/>
  <c r="E209" i="37"/>
  <c r="F209" i="37" s="1"/>
  <c r="I209" i="37" s="1"/>
  <c r="G220" i="34" s="1"/>
  <c r="H220" i="34" s="1"/>
  <c r="E189" i="37"/>
  <c r="F189" i="37" s="1"/>
  <c r="I189" i="37" s="1"/>
  <c r="G200" i="34" s="1"/>
  <c r="H200" i="34" s="1"/>
  <c r="E165" i="37"/>
  <c r="F165" i="37" s="1"/>
  <c r="I165" i="37" s="1"/>
  <c r="G176" i="34" s="1"/>
  <c r="H176" i="34" s="1"/>
  <c r="E145" i="37"/>
  <c r="F145" i="37" s="1"/>
  <c r="I145" i="37" s="1"/>
  <c r="G156" i="34" s="1"/>
  <c r="H156" i="34" s="1"/>
  <c r="E125" i="37"/>
  <c r="F125" i="37" s="1"/>
  <c r="I125" i="37" s="1"/>
  <c r="G136" i="34" s="1"/>
  <c r="H136" i="34" s="1"/>
  <c r="E101" i="37"/>
  <c r="F101" i="37" s="1"/>
  <c r="I101" i="37" s="1"/>
  <c r="G112" i="34" s="1"/>
  <c r="H112" i="34" s="1"/>
  <c r="E81" i="37"/>
  <c r="F81" i="37" s="1"/>
  <c r="I81" i="37" s="1"/>
  <c r="G92" i="34" s="1"/>
  <c r="H92" i="34" s="1"/>
  <c r="E61" i="37"/>
  <c r="F61" i="37" s="1"/>
  <c r="I61" i="37" s="1"/>
  <c r="G72" i="34" s="1"/>
  <c r="H72" i="34" s="1"/>
  <c r="E36" i="37"/>
  <c r="F36" i="37" s="1"/>
  <c r="I36" i="37" s="1"/>
  <c r="G47" i="34" s="1"/>
  <c r="H47" i="34" s="1"/>
  <c r="E19" i="37"/>
  <c r="F19" i="37" s="1"/>
  <c r="I19" i="37" s="1"/>
  <c r="G30" i="34" s="1"/>
  <c r="H30" i="34" s="1"/>
  <c r="E122" i="37"/>
  <c r="F122" i="37" s="1"/>
  <c r="I122" i="37" s="1"/>
  <c r="G133" i="34" s="1"/>
  <c r="H133" i="34" s="1"/>
  <c r="E98" i="37"/>
  <c r="F98" i="37" s="1"/>
  <c r="I98" i="37" s="1"/>
  <c r="G109" i="34" s="1"/>
  <c r="H109" i="34" s="1"/>
  <c r="E78" i="37"/>
  <c r="F78" i="37" s="1"/>
  <c r="I78" i="37" s="1"/>
  <c r="G89" i="34" s="1"/>
  <c r="H89" i="34" s="1"/>
  <c r="E58" i="37"/>
  <c r="F58" i="37" s="1"/>
  <c r="I58" i="37" s="1"/>
  <c r="G69" i="34" s="1"/>
  <c r="H69" i="34" s="1"/>
  <c r="E32" i="37"/>
  <c r="F32" i="37" s="1"/>
  <c r="I32" i="37" s="1"/>
  <c r="G43" i="34" s="1"/>
  <c r="H43" i="34" s="1"/>
  <c r="E33" i="37"/>
  <c r="F33" i="37" s="1"/>
  <c r="I33" i="37" s="1"/>
  <c r="G44" i="34" s="1"/>
  <c r="H44" i="34" s="1"/>
  <c r="E5" i="37"/>
  <c r="F5" i="37" s="1"/>
  <c r="I5" i="37" s="1"/>
  <c r="E9" i="37"/>
  <c r="F9" i="37" s="1"/>
  <c r="I9" i="37" s="1"/>
  <c r="G20" i="34" s="1"/>
  <c r="H20" i="34" s="1"/>
  <c r="E303" i="37"/>
  <c r="F303" i="37" s="1"/>
  <c r="I303" i="37" s="1"/>
  <c r="G314" i="34" s="1"/>
  <c r="H314" i="34" s="1"/>
  <c r="E271" i="37"/>
  <c r="F271" i="37" s="1"/>
  <c r="I271" i="37" s="1"/>
  <c r="G282" i="34" s="1"/>
  <c r="H282" i="34" s="1"/>
  <c r="E244" i="37"/>
  <c r="F244" i="37" s="1"/>
  <c r="I244" i="37" s="1"/>
  <c r="G255" i="34" s="1"/>
  <c r="H255" i="34" s="1"/>
  <c r="E218" i="37"/>
  <c r="F218" i="37" s="1"/>
  <c r="I218" i="37" s="1"/>
  <c r="G229" i="34" s="1"/>
  <c r="H229" i="34" s="1"/>
  <c r="E186" i="37"/>
  <c r="F186" i="37" s="1"/>
  <c r="I186" i="37" s="1"/>
  <c r="G197" i="34" s="1"/>
  <c r="H197" i="34" s="1"/>
  <c r="E159" i="37"/>
  <c r="F159" i="37" s="1"/>
  <c r="I159" i="37" s="1"/>
  <c r="G170" i="34" s="1"/>
  <c r="H170" i="34" s="1"/>
  <c r="E128" i="37"/>
  <c r="F128" i="37" s="1"/>
  <c r="I128" i="37" s="1"/>
  <c r="G139" i="34" s="1"/>
  <c r="H139" i="34" s="1"/>
  <c r="E80" i="37"/>
  <c r="F80" i="37" s="1"/>
  <c r="I80" i="37" s="1"/>
  <c r="G91" i="34" s="1"/>
  <c r="H91" i="34" s="1"/>
  <c r="E40" i="37"/>
  <c r="F40" i="37" s="1"/>
  <c r="I40" i="37" s="1"/>
  <c r="G51" i="34" s="1"/>
  <c r="H51" i="34" s="1"/>
  <c r="E312" i="37"/>
  <c r="F312" i="37" s="1"/>
  <c r="I312" i="37" s="1"/>
  <c r="G323" i="34" s="1"/>
  <c r="H323" i="34" s="1"/>
  <c r="E280" i="37"/>
  <c r="F280" i="37" s="1"/>
  <c r="I280" i="37" s="1"/>
  <c r="G291" i="34" s="1"/>
  <c r="H291" i="34" s="1"/>
  <c r="E254" i="37"/>
  <c r="F254" i="37" s="1"/>
  <c r="I254" i="37" s="1"/>
  <c r="G265" i="34" s="1"/>
  <c r="H265" i="34" s="1"/>
  <c r="E227" i="37"/>
  <c r="F227" i="37" s="1"/>
  <c r="I227" i="37" s="1"/>
  <c r="G238" i="34" s="1"/>
  <c r="H238" i="34" s="1"/>
  <c r="E195" i="37"/>
  <c r="F195" i="37" s="1"/>
  <c r="I195" i="37" s="1"/>
  <c r="G206" i="34" s="1"/>
  <c r="H206" i="34" s="1"/>
  <c r="E168" i="37"/>
  <c r="F168" i="37" s="1"/>
  <c r="I168" i="37" s="1"/>
  <c r="G179" i="34" s="1"/>
  <c r="H179" i="34" s="1"/>
  <c r="E142" i="37"/>
  <c r="F142" i="37" s="1"/>
  <c r="I142" i="37" s="1"/>
  <c r="G153" i="34" s="1"/>
  <c r="H153" i="34" s="1"/>
  <c r="E95" i="37"/>
  <c r="F95" i="37" s="1"/>
  <c r="I95" i="37" s="1"/>
  <c r="G106" i="34" s="1"/>
  <c r="H106" i="34" s="1"/>
  <c r="E55" i="37"/>
  <c r="F55" i="37" s="1"/>
  <c r="I55" i="37" s="1"/>
  <c r="G66" i="34" s="1"/>
  <c r="H66" i="34" s="1"/>
  <c r="E12" i="37"/>
  <c r="F12" i="37" s="1"/>
  <c r="I12" i="37" s="1"/>
  <c r="G23" i="34" s="1"/>
  <c r="H23" i="34" s="1"/>
  <c r="E295" i="37"/>
  <c r="F295" i="37" s="1"/>
  <c r="I295" i="37" s="1"/>
  <c r="G306" i="34" s="1"/>
  <c r="H306" i="34" s="1"/>
  <c r="E268" i="37"/>
  <c r="F268" i="37" s="1"/>
  <c r="I268" i="37" s="1"/>
  <c r="G279" i="34" s="1"/>
  <c r="H279" i="34" s="1"/>
  <c r="E242" i="37"/>
  <c r="F242" i="37" s="1"/>
  <c r="I242" i="37" s="1"/>
  <c r="G253" i="34" s="1"/>
  <c r="H253" i="34" s="1"/>
  <c r="E210" i="37"/>
  <c r="F210" i="37" s="1"/>
  <c r="I210" i="37" s="1"/>
  <c r="G221" i="34" s="1"/>
  <c r="H221" i="34" s="1"/>
  <c r="E183" i="37"/>
  <c r="F183" i="37" s="1"/>
  <c r="I183" i="37" s="1"/>
  <c r="G194" i="34" s="1"/>
  <c r="H194" i="34" s="1"/>
  <c r="E156" i="37"/>
  <c r="F156" i="37" s="1"/>
  <c r="I156" i="37" s="1"/>
  <c r="G167" i="34" s="1"/>
  <c r="H167" i="34" s="1"/>
  <c r="E116" i="37"/>
  <c r="F116" i="37" s="1"/>
  <c r="I116" i="37" s="1"/>
  <c r="G127" i="34" s="1"/>
  <c r="H127" i="34" s="1"/>
  <c r="E76" i="37"/>
  <c r="F76" i="37" s="1"/>
  <c r="I76" i="37" s="1"/>
  <c r="G87" i="34" s="1"/>
  <c r="H87" i="34" s="1"/>
  <c r="E35" i="37"/>
  <c r="F35" i="37" s="1"/>
  <c r="I35" i="37" s="1"/>
  <c r="G46" i="34" s="1"/>
  <c r="H46" i="34" s="1"/>
  <c r="E310" i="37"/>
  <c r="F310" i="37" s="1"/>
  <c r="I310" i="37" s="1"/>
  <c r="G321" i="34" s="1"/>
  <c r="H321" i="34" s="1"/>
  <c r="E283" i="37"/>
  <c r="F283" i="37" s="1"/>
  <c r="I283" i="37" s="1"/>
  <c r="G294" i="34" s="1"/>
  <c r="H294" i="34" s="1"/>
  <c r="E256" i="37"/>
  <c r="F256" i="37" s="1"/>
  <c r="I256" i="37" s="1"/>
  <c r="G267" i="34" s="1"/>
  <c r="H267" i="34" s="1"/>
  <c r="E224" i="37"/>
  <c r="F224" i="37" s="1"/>
  <c r="I224" i="37" s="1"/>
  <c r="G235" i="34" s="1"/>
  <c r="H235" i="34" s="1"/>
  <c r="E198" i="37"/>
  <c r="F198" i="37" s="1"/>
  <c r="I198" i="37" s="1"/>
  <c r="G209" i="34" s="1"/>
  <c r="H209" i="34" s="1"/>
  <c r="E171" i="37"/>
  <c r="F171" i="37" s="1"/>
  <c r="I171" i="37" s="1"/>
  <c r="G182" i="34" s="1"/>
  <c r="H182" i="34" s="1"/>
  <c r="E139" i="37"/>
  <c r="F139" i="37" s="1"/>
  <c r="I139" i="37" s="1"/>
  <c r="G150" i="34" s="1"/>
  <c r="H150" i="34" s="1"/>
  <c r="E99" i="37"/>
  <c r="F99" i="37" s="1"/>
  <c r="I99" i="37" s="1"/>
  <c r="G110" i="34" s="1"/>
  <c r="H110" i="34" s="1"/>
  <c r="E59" i="37"/>
  <c r="F59" i="37" s="1"/>
  <c r="I59" i="37" s="1"/>
  <c r="G70" i="34" s="1"/>
  <c r="H70" i="34" s="1"/>
  <c r="E10" i="37"/>
  <c r="F10" i="37" s="1"/>
  <c r="I10" i="37" s="1"/>
  <c r="G21" i="34" s="1"/>
  <c r="H21" i="34" s="1"/>
  <c r="E305" i="37"/>
  <c r="F305" i="37" s="1"/>
  <c r="I305" i="37" s="1"/>
  <c r="G316" i="34" s="1"/>
  <c r="H316" i="34" s="1"/>
  <c r="E285" i="37"/>
  <c r="F285" i="37" s="1"/>
  <c r="I285" i="37" s="1"/>
  <c r="G296" i="34" s="1"/>
  <c r="H296" i="34" s="1"/>
  <c r="E261" i="37"/>
  <c r="F261" i="37" s="1"/>
  <c r="I261" i="37" s="1"/>
  <c r="G272" i="34" s="1"/>
  <c r="H272" i="34" s="1"/>
  <c r="E241" i="37"/>
  <c r="F241" i="37" s="1"/>
  <c r="I241" i="37" s="1"/>
  <c r="G252" i="34" s="1"/>
  <c r="H252" i="34" s="1"/>
  <c r="E221" i="37"/>
  <c r="F221" i="37" s="1"/>
  <c r="I221" i="37" s="1"/>
  <c r="G232" i="34" s="1"/>
  <c r="H232" i="34" s="1"/>
  <c r="E197" i="37"/>
  <c r="F197" i="37" s="1"/>
  <c r="I197" i="37" s="1"/>
  <c r="G208" i="34" s="1"/>
  <c r="H208" i="34" s="1"/>
  <c r="E177" i="37"/>
  <c r="F177" i="37" s="1"/>
  <c r="I177" i="37" s="1"/>
  <c r="G188" i="34" s="1"/>
  <c r="H188" i="34" s="1"/>
  <c r="E157" i="37"/>
  <c r="F157" i="37" s="1"/>
  <c r="I157" i="37" s="1"/>
  <c r="G168" i="34" s="1"/>
  <c r="H168" i="34" s="1"/>
  <c r="E133" i="37"/>
  <c r="F133" i="37" s="1"/>
  <c r="I133" i="37" s="1"/>
  <c r="G144" i="34" s="1"/>
  <c r="H144" i="34" s="1"/>
  <c r="E113" i="37"/>
  <c r="F113" i="37" s="1"/>
  <c r="I113" i="37" s="1"/>
  <c r="G124" i="34" s="1"/>
  <c r="H124" i="34" s="1"/>
  <c r="E93" i="37"/>
  <c r="F93" i="37" s="1"/>
  <c r="I93" i="37" s="1"/>
  <c r="G104" i="34" s="1"/>
  <c r="H104" i="34" s="1"/>
  <c r="E69" i="37"/>
  <c r="F69" i="37" s="1"/>
  <c r="I69" i="37" s="1"/>
  <c r="G80" i="34" s="1"/>
  <c r="H80" i="34" s="1"/>
  <c r="E49" i="37"/>
  <c r="F49" i="37" s="1"/>
  <c r="I49" i="37" s="1"/>
  <c r="G60" i="34" s="1"/>
  <c r="H60" i="34" s="1"/>
  <c r="E26" i="37"/>
  <c r="F26" i="37" s="1"/>
  <c r="I26" i="37" s="1"/>
  <c r="G37" i="34" s="1"/>
  <c r="H37" i="34" s="1"/>
  <c r="E130" i="37"/>
  <c r="F130" i="37" s="1"/>
  <c r="I130" i="37" s="1"/>
  <c r="G141" i="34" s="1"/>
  <c r="H141" i="34" s="1"/>
  <c r="E110" i="37"/>
  <c r="F110" i="37" s="1"/>
  <c r="I110" i="37" s="1"/>
  <c r="G121" i="34" s="1"/>
  <c r="H121" i="34" s="1"/>
  <c r="E90" i="37"/>
  <c r="F90" i="37" s="1"/>
  <c r="I90" i="37" s="1"/>
  <c r="G101" i="34" s="1"/>
  <c r="H101" i="34" s="1"/>
  <c r="E66" i="37"/>
  <c r="F66" i="37" s="1"/>
  <c r="I66" i="37" s="1"/>
  <c r="G77" i="34" s="1"/>
  <c r="H77" i="34" s="1"/>
  <c r="E46" i="37"/>
  <c r="F46" i="37" s="1"/>
  <c r="I46" i="37" s="1"/>
  <c r="G57" i="34" s="1"/>
  <c r="H57" i="34" s="1"/>
  <c r="E22" i="37"/>
  <c r="F22" i="37" s="1"/>
  <c r="I22" i="37" s="1"/>
  <c r="G33" i="34" s="1"/>
  <c r="H33" i="34" s="1"/>
  <c r="E21" i="37"/>
  <c r="F21" i="37" s="1"/>
  <c r="I21" i="37" s="1"/>
  <c r="G32" i="34" s="1"/>
  <c r="H32" i="34" s="1"/>
  <c r="E319" i="37"/>
  <c r="F319" i="37" s="1"/>
  <c r="I319" i="37" s="1"/>
  <c r="G330" i="34" s="1"/>
  <c r="H330" i="34" s="1"/>
  <c r="E298" i="37"/>
  <c r="F298" i="37" s="1"/>
  <c r="I298" i="37" s="1"/>
  <c r="G309" i="34" s="1"/>
  <c r="H309" i="34" s="1"/>
  <c r="E276" i="37"/>
  <c r="F276" i="37" s="1"/>
  <c r="I276" i="37" s="1"/>
  <c r="G287" i="34" s="1"/>
  <c r="H287" i="34" s="1"/>
  <c r="E255" i="37"/>
  <c r="F255" i="37" s="1"/>
  <c r="I255" i="37" s="1"/>
  <c r="G266" i="34" s="1"/>
  <c r="H266" i="34" s="1"/>
  <c r="E234" i="37"/>
  <c r="F234" i="37" s="1"/>
  <c r="I234" i="37" s="1"/>
  <c r="G245" i="34" s="1"/>
  <c r="H245" i="34" s="1"/>
  <c r="E212" i="37"/>
  <c r="F212" i="37" s="1"/>
  <c r="I212" i="37" s="1"/>
  <c r="G223" i="34" s="1"/>
  <c r="H223" i="34" s="1"/>
  <c r="E191" i="37"/>
  <c r="F191" i="37" s="1"/>
  <c r="I191" i="37" s="1"/>
  <c r="G202" i="34" s="1"/>
  <c r="H202" i="34" s="1"/>
  <c r="E170" i="37"/>
  <c r="F170" i="37" s="1"/>
  <c r="I170" i="37" s="1"/>
  <c r="G181" i="34" s="1"/>
  <c r="H181" i="34" s="1"/>
  <c r="E148" i="37"/>
  <c r="F148" i="37" s="1"/>
  <c r="I148" i="37" s="1"/>
  <c r="G159" i="34" s="1"/>
  <c r="H159" i="34" s="1"/>
  <c r="E120" i="37"/>
  <c r="F120" i="37" s="1"/>
  <c r="I120" i="37" s="1"/>
  <c r="G131" i="34" s="1"/>
  <c r="H131" i="34" s="1"/>
  <c r="E88" i="37"/>
  <c r="F88" i="37" s="1"/>
  <c r="I88" i="37" s="1"/>
  <c r="G99" i="34" s="1"/>
  <c r="H99" i="34" s="1"/>
  <c r="E56" i="37"/>
  <c r="F56" i="37" s="1"/>
  <c r="I56" i="37" s="1"/>
  <c r="G67" i="34" s="1"/>
  <c r="H67" i="34" s="1"/>
  <c r="E13" i="37"/>
  <c r="F13" i="37" s="1"/>
  <c r="I13" i="37" s="1"/>
  <c r="G24" i="34" s="1"/>
  <c r="H24" i="34" s="1"/>
  <c r="E307" i="37"/>
  <c r="F307" i="37" s="1"/>
  <c r="I307" i="37" s="1"/>
  <c r="G318" i="34" s="1"/>
  <c r="H318" i="34" s="1"/>
  <c r="E286" i="37"/>
  <c r="F286" i="37" s="1"/>
  <c r="I286" i="37" s="1"/>
  <c r="G297" i="34" s="1"/>
  <c r="H297" i="34" s="1"/>
  <c r="E264" i="37"/>
  <c r="F264" i="37" s="1"/>
  <c r="I264" i="37" s="1"/>
  <c r="G275" i="34" s="1"/>
  <c r="H275" i="34" s="1"/>
  <c r="E243" i="37"/>
  <c r="F243" i="37" s="1"/>
  <c r="I243" i="37" s="1"/>
  <c r="G254" i="34" s="1"/>
  <c r="H254" i="34" s="1"/>
  <c r="E222" i="37"/>
  <c r="F222" i="37" s="1"/>
  <c r="I222" i="37" s="1"/>
  <c r="G233" i="34" s="1"/>
  <c r="H233" i="34" s="1"/>
  <c r="E200" i="37"/>
  <c r="F200" i="37" s="1"/>
  <c r="I200" i="37" s="1"/>
  <c r="G211" i="34" s="1"/>
  <c r="H211" i="34" s="1"/>
  <c r="E179" i="37"/>
  <c r="F179" i="37" s="1"/>
  <c r="I179" i="37" s="1"/>
  <c r="G190" i="34" s="1"/>
  <c r="H190" i="34" s="1"/>
  <c r="E158" i="37"/>
  <c r="F158" i="37" s="1"/>
  <c r="I158" i="37" s="1"/>
  <c r="G169" i="34" s="1"/>
  <c r="H169" i="34" s="1"/>
  <c r="E135" i="37"/>
  <c r="F135" i="37" s="1"/>
  <c r="I135" i="37" s="1"/>
  <c r="G146" i="34" s="1"/>
  <c r="H146" i="34" s="1"/>
  <c r="E103" i="37"/>
  <c r="F103" i="37" s="1"/>
  <c r="I103" i="37" s="1"/>
  <c r="G114" i="34" s="1"/>
  <c r="H114" i="34" s="1"/>
  <c r="E71" i="37"/>
  <c r="F71" i="37" s="1"/>
  <c r="I71" i="37" s="1"/>
  <c r="G82" i="34" s="1"/>
  <c r="H82" i="34" s="1"/>
  <c r="E39" i="37"/>
  <c r="F39" i="37" s="1"/>
  <c r="I39" i="37" s="1"/>
  <c r="G50" i="34" s="1"/>
  <c r="H50" i="34" s="1"/>
  <c r="E322" i="37"/>
  <c r="F322" i="37" s="1"/>
  <c r="I322" i="37" s="1"/>
  <c r="G333" i="34" s="1"/>
  <c r="H333" i="34" s="1"/>
  <c r="E300" i="37"/>
  <c r="F300" i="37" s="1"/>
  <c r="I300" i="37" s="1"/>
  <c r="G311" i="34" s="1"/>
  <c r="H311" i="34" s="1"/>
  <c r="E279" i="37"/>
  <c r="F279" i="37" s="1"/>
  <c r="I279" i="37" s="1"/>
  <c r="G290" i="34" s="1"/>
  <c r="H290" i="34" s="1"/>
  <c r="E258" i="37"/>
  <c r="F258" i="37" s="1"/>
  <c r="I258" i="37" s="1"/>
  <c r="G269" i="34" s="1"/>
  <c r="H269" i="34" s="1"/>
  <c r="E236" i="37"/>
  <c r="F236" i="37" s="1"/>
  <c r="I236" i="37" s="1"/>
  <c r="G247" i="34" s="1"/>
  <c r="H247" i="34" s="1"/>
  <c r="E215" i="37"/>
  <c r="F215" i="37" s="1"/>
  <c r="I215" i="37" s="1"/>
  <c r="G226" i="34" s="1"/>
  <c r="H226" i="34" s="1"/>
  <c r="E194" i="37"/>
  <c r="F194" i="37" s="1"/>
  <c r="I194" i="37" s="1"/>
  <c r="G205" i="34" s="1"/>
  <c r="H205" i="34" s="1"/>
  <c r="E172" i="37"/>
  <c r="F172" i="37" s="1"/>
  <c r="I172" i="37" s="1"/>
  <c r="G183" i="34" s="1"/>
  <c r="H183" i="34" s="1"/>
  <c r="E151" i="37"/>
  <c r="F151" i="37" s="1"/>
  <c r="I151" i="37" s="1"/>
  <c r="G162" i="34" s="1"/>
  <c r="H162" i="34" s="1"/>
  <c r="E124" i="37"/>
  <c r="F124" i="37" s="1"/>
  <c r="I124" i="37" s="1"/>
  <c r="G135" i="34" s="1"/>
  <c r="H135" i="34" s="1"/>
  <c r="E92" i="37"/>
  <c r="F92" i="37" s="1"/>
  <c r="I92" i="37" s="1"/>
  <c r="G103" i="34" s="1"/>
  <c r="H103" i="34" s="1"/>
  <c r="E60" i="37"/>
  <c r="F60" i="37" s="1"/>
  <c r="I60" i="37" s="1"/>
  <c r="G71" i="34" s="1"/>
  <c r="H71" i="34" s="1"/>
  <c r="E23" i="37"/>
  <c r="F23" i="37" s="1"/>
  <c r="I23" i="37" s="1"/>
  <c r="G34" i="34" s="1"/>
  <c r="H34" i="34" s="1"/>
  <c r="E315" i="37"/>
  <c r="F315" i="37" s="1"/>
  <c r="I315" i="37" s="1"/>
  <c r="G326" i="34" s="1"/>
  <c r="H326" i="34" s="1"/>
  <c r="E294" i="37"/>
  <c r="F294" i="37" s="1"/>
  <c r="I294" i="37" s="1"/>
  <c r="G305" i="34" s="1"/>
  <c r="H305" i="34" s="1"/>
  <c r="E272" i="37"/>
  <c r="F272" i="37" s="1"/>
  <c r="I272" i="37" s="1"/>
  <c r="G283" i="34" s="1"/>
  <c r="H283" i="34" s="1"/>
  <c r="E251" i="37"/>
  <c r="F251" i="37" s="1"/>
  <c r="I251" i="37" s="1"/>
  <c r="G262" i="34" s="1"/>
  <c r="H262" i="34" s="1"/>
  <c r="E230" i="37"/>
  <c r="F230" i="37" s="1"/>
  <c r="I230" i="37" s="1"/>
  <c r="G241" i="34" s="1"/>
  <c r="H241" i="34" s="1"/>
  <c r="E208" i="37"/>
  <c r="F208" i="37" s="1"/>
  <c r="I208" i="37" s="1"/>
  <c r="G219" i="34" s="1"/>
  <c r="H219" i="34" s="1"/>
  <c r="E187" i="37"/>
  <c r="F187" i="37" s="1"/>
  <c r="I187" i="37" s="1"/>
  <c r="G198" i="34" s="1"/>
  <c r="H198" i="34" s="1"/>
  <c r="E166" i="37"/>
  <c r="F166" i="37" s="1"/>
  <c r="I166" i="37" s="1"/>
  <c r="G177" i="34" s="1"/>
  <c r="H177" i="34" s="1"/>
  <c r="E144" i="37"/>
  <c r="F144" i="37" s="1"/>
  <c r="I144" i="37" s="1"/>
  <c r="G155" i="34" s="1"/>
  <c r="H155" i="34" s="1"/>
  <c r="E115" i="37"/>
  <c r="F115" i="37" s="1"/>
  <c r="I115" i="37" s="1"/>
  <c r="G126" i="34" s="1"/>
  <c r="H126" i="34" s="1"/>
  <c r="E83" i="37"/>
  <c r="F83" i="37" s="1"/>
  <c r="I83" i="37" s="1"/>
  <c r="G94" i="34" s="1"/>
  <c r="H94" i="34" s="1"/>
  <c r="E51" i="37"/>
  <c r="F51" i="37" s="1"/>
  <c r="I51" i="37" s="1"/>
  <c r="G62" i="34" s="1"/>
  <c r="H62" i="34" s="1"/>
  <c r="E8" i="37"/>
  <c r="F8" i="37" s="1"/>
  <c r="I8" i="37" s="1"/>
  <c r="G19" i="34" s="1"/>
  <c r="H19" i="34" s="1"/>
  <c r="E313" i="37"/>
  <c r="F313" i="37" s="1"/>
  <c r="I313" i="37" s="1"/>
  <c r="G324" i="34" s="1"/>
  <c r="H324" i="34" s="1"/>
  <c r="E297" i="37"/>
  <c r="F297" i="37" s="1"/>
  <c r="I297" i="37" s="1"/>
  <c r="G308" i="34" s="1"/>
  <c r="H308" i="34" s="1"/>
  <c r="E281" i="37"/>
  <c r="F281" i="37" s="1"/>
  <c r="I281" i="37" s="1"/>
  <c r="G292" i="34" s="1"/>
  <c r="H292" i="34" s="1"/>
  <c r="E265" i="37"/>
  <c r="F265" i="37" s="1"/>
  <c r="I265" i="37" s="1"/>
  <c r="G276" i="34" s="1"/>
  <c r="H276" i="34" s="1"/>
  <c r="E249" i="37"/>
  <c r="F249" i="37" s="1"/>
  <c r="I249" i="37" s="1"/>
  <c r="G260" i="34" s="1"/>
  <c r="H260" i="34" s="1"/>
  <c r="E233" i="37"/>
  <c r="F233" i="37" s="1"/>
  <c r="I233" i="37" s="1"/>
  <c r="G244" i="34" s="1"/>
  <c r="H244" i="34" s="1"/>
  <c r="E217" i="37"/>
  <c r="F217" i="37" s="1"/>
  <c r="I217" i="37" s="1"/>
  <c r="G228" i="34" s="1"/>
  <c r="H228" i="34" s="1"/>
  <c r="E201" i="37"/>
  <c r="F201" i="37" s="1"/>
  <c r="I201" i="37" s="1"/>
  <c r="G212" i="34" s="1"/>
  <c r="H212" i="34" s="1"/>
  <c r="E185" i="37"/>
  <c r="F185" i="37" s="1"/>
  <c r="I185" i="37" s="1"/>
  <c r="G196" i="34" s="1"/>
  <c r="H196" i="34" s="1"/>
  <c r="E169" i="37"/>
  <c r="F169" i="37" s="1"/>
  <c r="I169" i="37" s="1"/>
  <c r="G180" i="34" s="1"/>
  <c r="H180" i="34" s="1"/>
  <c r="E153" i="37"/>
  <c r="F153" i="37" s="1"/>
  <c r="I153" i="37" s="1"/>
  <c r="G164" i="34" s="1"/>
  <c r="H164" i="34" s="1"/>
  <c r="E137" i="37"/>
  <c r="F137" i="37" s="1"/>
  <c r="I137" i="37" s="1"/>
  <c r="G148" i="34" s="1"/>
  <c r="H148" i="34" s="1"/>
  <c r="E121" i="37"/>
  <c r="F121" i="37" s="1"/>
  <c r="I121" i="37" s="1"/>
  <c r="G132" i="34" s="1"/>
  <c r="H132" i="34" s="1"/>
  <c r="E105" i="37"/>
  <c r="F105" i="37" s="1"/>
  <c r="I105" i="37" s="1"/>
  <c r="G116" i="34" s="1"/>
  <c r="H116" i="34" s="1"/>
  <c r="E89" i="37"/>
  <c r="F89" i="37" s="1"/>
  <c r="I89" i="37" s="1"/>
  <c r="G100" i="34" s="1"/>
  <c r="H100" i="34" s="1"/>
  <c r="E73" i="37"/>
  <c r="F73" i="37" s="1"/>
  <c r="I73" i="37" s="1"/>
  <c r="G84" i="34" s="1"/>
  <c r="H84" i="34" s="1"/>
  <c r="E57" i="37"/>
  <c r="F57" i="37" s="1"/>
  <c r="I57" i="37" s="1"/>
  <c r="G68" i="34" s="1"/>
  <c r="H68" i="34" s="1"/>
  <c r="E41" i="37"/>
  <c r="F41" i="37" s="1"/>
  <c r="I41" i="37" s="1"/>
  <c r="G52" i="34" s="1"/>
  <c r="H52" i="34" s="1"/>
  <c r="E20" i="37"/>
  <c r="F20" i="37" s="1"/>
  <c r="I20" i="37" s="1"/>
  <c r="G31" i="34" s="1"/>
  <c r="H31" i="34" s="1"/>
  <c r="E134" i="37"/>
  <c r="F134" i="37" s="1"/>
  <c r="I134" i="37" s="1"/>
  <c r="G145" i="34" s="1"/>
  <c r="H145" i="34" s="1"/>
  <c r="E118" i="37"/>
  <c r="F118" i="37" s="1"/>
  <c r="I118" i="37" s="1"/>
  <c r="G129" i="34" s="1"/>
  <c r="H129" i="34" s="1"/>
  <c r="E102" i="37"/>
  <c r="F102" i="37" s="1"/>
  <c r="I102" i="37" s="1"/>
  <c r="G113" i="34" s="1"/>
  <c r="H113" i="34" s="1"/>
  <c r="E86" i="37"/>
  <c r="F86" i="37" s="1"/>
  <c r="I86" i="37" s="1"/>
  <c r="G97" i="34" s="1"/>
  <c r="H97" i="34" s="1"/>
  <c r="E70" i="37"/>
  <c r="F70" i="37" s="1"/>
  <c r="I70" i="37" s="1"/>
  <c r="G81" i="34" s="1"/>
  <c r="H81" i="34" s="1"/>
  <c r="E54" i="37"/>
  <c r="F54" i="37" s="1"/>
  <c r="I54" i="37" s="1"/>
  <c r="G65" i="34" s="1"/>
  <c r="H65" i="34" s="1"/>
  <c r="E38" i="37"/>
  <c r="F38" i="37" s="1"/>
  <c r="I38" i="37" s="1"/>
  <c r="G49" i="34" s="1"/>
  <c r="H49" i="34" s="1"/>
  <c r="E16" i="37"/>
  <c r="F16" i="37" s="1"/>
  <c r="I16" i="37" s="1"/>
  <c r="G27" i="34" s="1"/>
  <c r="H27" i="34" s="1"/>
  <c r="D5" i="9"/>
  <c r="D7" i="9"/>
  <c r="D6" i="9"/>
  <c r="I5" i="11"/>
  <c r="I323" i="11" s="1"/>
  <c r="K36" i="40" s="1"/>
  <c r="H323" i="11"/>
  <c r="M5" i="11"/>
  <c r="L323" i="11"/>
  <c r="M323" i="11" l="1"/>
  <c r="K37" i="40" s="1"/>
  <c r="F10" i="9"/>
  <c r="F325" i="9" s="1"/>
  <c r="G325" i="9" s="1"/>
  <c r="D319" i="39" s="1"/>
  <c r="F30" i="48"/>
  <c r="N264" i="49"/>
  <c r="O264" i="49" s="1"/>
  <c r="M264" i="25" s="1"/>
  <c r="N310" i="49"/>
  <c r="O310" i="49" s="1"/>
  <c r="M310" i="25" s="1"/>
  <c r="N15" i="49"/>
  <c r="O15" i="49" s="1"/>
  <c r="M15" i="25" s="1"/>
  <c r="N58" i="49"/>
  <c r="O58" i="49" s="1"/>
  <c r="M58" i="25" s="1"/>
  <c r="N113" i="49"/>
  <c r="O113" i="49" s="1"/>
  <c r="M113" i="25" s="1"/>
  <c r="N75" i="49"/>
  <c r="O75" i="49" s="1"/>
  <c r="M75" i="25" s="1"/>
  <c r="N215" i="49"/>
  <c r="O215" i="49" s="1"/>
  <c r="M215" i="25" s="1"/>
  <c r="N40" i="49"/>
  <c r="O40" i="49" s="1"/>
  <c r="M40" i="25" s="1"/>
  <c r="N193" i="49"/>
  <c r="O193" i="49" s="1"/>
  <c r="M193" i="25" s="1"/>
  <c r="N309" i="49"/>
  <c r="O309" i="49" s="1"/>
  <c r="M309" i="25" s="1"/>
  <c r="N184" i="49"/>
  <c r="O184" i="49" s="1"/>
  <c r="M184" i="25" s="1"/>
  <c r="N296" i="49"/>
  <c r="O296" i="49" s="1"/>
  <c r="M296" i="25" s="1"/>
  <c r="N281" i="49"/>
  <c r="O281" i="49" s="1"/>
  <c r="M281" i="25" s="1"/>
  <c r="N35" i="49"/>
  <c r="O35" i="49" s="1"/>
  <c r="M35" i="25" s="1"/>
  <c r="N164" i="49"/>
  <c r="O164" i="49" s="1"/>
  <c r="M164" i="25" s="1"/>
  <c r="N76" i="49"/>
  <c r="O76" i="49" s="1"/>
  <c r="M76" i="25" s="1"/>
  <c r="N253" i="49"/>
  <c r="O253" i="49" s="1"/>
  <c r="M253" i="25" s="1"/>
  <c r="N188" i="49"/>
  <c r="O188" i="49" s="1"/>
  <c r="M188" i="25" s="1"/>
  <c r="O7" i="49"/>
  <c r="M7" i="25" s="1"/>
  <c r="N182" i="49"/>
  <c r="O182" i="49" s="1"/>
  <c r="M182" i="25" s="1"/>
  <c r="N17" i="49"/>
  <c r="O17" i="49" s="1"/>
  <c r="M17" i="25" s="1"/>
  <c r="N124" i="49"/>
  <c r="O124" i="49" s="1"/>
  <c r="M124" i="25" s="1"/>
  <c r="N197" i="49"/>
  <c r="O197" i="49" s="1"/>
  <c r="M197" i="25" s="1"/>
  <c r="N110" i="49"/>
  <c r="O110" i="49" s="1"/>
  <c r="M110" i="25" s="1"/>
  <c r="N100" i="49"/>
  <c r="O100" i="49" s="1"/>
  <c r="M100" i="25" s="1"/>
  <c r="N66" i="49"/>
  <c r="O66" i="49" s="1"/>
  <c r="M66" i="25" s="1"/>
  <c r="N250" i="49"/>
  <c r="O250" i="49" s="1"/>
  <c r="M250" i="25" s="1"/>
  <c r="N22" i="49"/>
  <c r="O22" i="49" s="1"/>
  <c r="M22" i="25" s="1"/>
  <c r="N59" i="49"/>
  <c r="O59" i="49" s="1"/>
  <c r="M59" i="25" s="1"/>
  <c r="N186" i="49"/>
  <c r="O186" i="49" s="1"/>
  <c r="M186" i="25" s="1"/>
  <c r="N219" i="49"/>
  <c r="O219" i="49" s="1"/>
  <c r="M219" i="25" s="1"/>
  <c r="N278" i="49"/>
  <c r="O278" i="49" s="1"/>
  <c r="M278" i="25" s="1"/>
  <c r="N129" i="49"/>
  <c r="O129" i="49" s="1"/>
  <c r="M129" i="25" s="1"/>
  <c r="N99" i="49"/>
  <c r="O99" i="49" s="1"/>
  <c r="M99" i="25" s="1"/>
  <c r="N74" i="49"/>
  <c r="O74" i="49" s="1"/>
  <c r="M74" i="25" s="1"/>
  <c r="N231" i="49"/>
  <c r="O231" i="49" s="1"/>
  <c r="M231" i="25" s="1"/>
  <c r="N298" i="49"/>
  <c r="O298" i="49" s="1"/>
  <c r="M298" i="25" s="1"/>
  <c r="N18" i="49"/>
  <c r="O18" i="49" s="1"/>
  <c r="M18" i="25" s="1"/>
  <c r="N321" i="49"/>
  <c r="O321" i="49" s="1"/>
  <c r="M321" i="25" s="1"/>
  <c r="N156" i="49"/>
  <c r="O156" i="49" s="1"/>
  <c r="M156" i="25" s="1"/>
  <c r="N300" i="49"/>
  <c r="O300" i="49" s="1"/>
  <c r="M300" i="25" s="1"/>
  <c r="N167" i="49"/>
  <c r="O167" i="49" s="1"/>
  <c r="M167" i="25" s="1"/>
  <c r="N299" i="49"/>
  <c r="O299" i="49" s="1"/>
  <c r="M299" i="25" s="1"/>
  <c r="N171" i="49"/>
  <c r="O171" i="49" s="1"/>
  <c r="M171" i="25" s="1"/>
  <c r="N33" i="49"/>
  <c r="O33" i="49" s="1"/>
  <c r="M33" i="25" s="1"/>
  <c r="N97" i="49"/>
  <c r="O97" i="49" s="1"/>
  <c r="M97" i="25" s="1"/>
  <c r="N280" i="49"/>
  <c r="O280" i="49" s="1"/>
  <c r="M280" i="25" s="1"/>
  <c r="N118" i="49"/>
  <c r="O118" i="49" s="1"/>
  <c r="M118" i="25" s="1"/>
  <c r="N62" i="49"/>
  <c r="O62" i="49" s="1"/>
  <c r="M62" i="25" s="1"/>
  <c r="N183" i="49"/>
  <c r="O183" i="49" s="1"/>
  <c r="M183" i="25" s="1"/>
  <c r="N26" i="49"/>
  <c r="O26" i="49" s="1"/>
  <c r="M26" i="25" s="1"/>
  <c r="N191" i="49"/>
  <c r="O191" i="49" s="1"/>
  <c r="M191" i="25" s="1"/>
  <c r="N282" i="49"/>
  <c r="O282" i="49" s="1"/>
  <c r="M282" i="25" s="1"/>
  <c r="N141" i="49"/>
  <c r="O141" i="49" s="1"/>
  <c r="M141" i="25" s="1"/>
  <c r="N255" i="49"/>
  <c r="O255" i="49" s="1"/>
  <c r="M255" i="25" s="1"/>
  <c r="N80" i="49"/>
  <c r="O80" i="49" s="1"/>
  <c r="M80" i="25" s="1"/>
  <c r="N161" i="49"/>
  <c r="O161" i="49" s="1"/>
  <c r="M161" i="25" s="1"/>
  <c r="N71" i="49"/>
  <c r="O71" i="49" s="1"/>
  <c r="M71" i="25" s="1"/>
  <c r="N313" i="49"/>
  <c r="O313" i="49" s="1"/>
  <c r="M313" i="25" s="1"/>
  <c r="N263" i="49"/>
  <c r="O263" i="49" s="1"/>
  <c r="M263" i="25" s="1"/>
  <c r="N65" i="49"/>
  <c r="O65" i="49" s="1"/>
  <c r="M65" i="25" s="1"/>
  <c r="N297" i="49"/>
  <c r="O297" i="49" s="1"/>
  <c r="M297" i="25" s="1"/>
  <c r="N301" i="49"/>
  <c r="O301" i="49" s="1"/>
  <c r="M301" i="25" s="1"/>
  <c r="N228" i="49"/>
  <c r="O228" i="49" s="1"/>
  <c r="M228" i="25" s="1"/>
  <c r="N261" i="49"/>
  <c r="O261" i="49" s="1"/>
  <c r="M261" i="25" s="1"/>
  <c r="N311" i="49"/>
  <c r="O311" i="49" s="1"/>
  <c r="M311" i="25" s="1"/>
  <c r="N196" i="49"/>
  <c r="O196" i="49" s="1"/>
  <c r="M196" i="25" s="1"/>
  <c r="N132" i="49"/>
  <c r="O132" i="49" s="1"/>
  <c r="M132" i="25" s="1"/>
  <c r="N10" i="49"/>
  <c r="O10" i="49" s="1"/>
  <c r="M10" i="25" s="1"/>
  <c r="N57" i="49"/>
  <c r="O57" i="49" s="1"/>
  <c r="M57" i="25" s="1"/>
  <c r="N45" i="49"/>
  <c r="O45" i="49" s="1"/>
  <c r="M45" i="25" s="1"/>
  <c r="N322" i="49"/>
  <c r="O322" i="49" s="1"/>
  <c r="M322" i="25" s="1"/>
  <c r="N266" i="49"/>
  <c r="O266" i="49" s="1"/>
  <c r="M266" i="25" s="1"/>
  <c r="N64" i="49"/>
  <c r="O64" i="49" s="1"/>
  <c r="M64" i="25" s="1"/>
  <c r="N148" i="49"/>
  <c r="O148" i="49" s="1"/>
  <c r="M148" i="25" s="1"/>
  <c r="N315" i="49"/>
  <c r="O315" i="49" s="1"/>
  <c r="M315" i="25" s="1"/>
  <c r="N82" i="49"/>
  <c r="O82" i="49" s="1"/>
  <c r="M82" i="25" s="1"/>
  <c r="N319" i="49"/>
  <c r="O319" i="49" s="1"/>
  <c r="M319" i="25" s="1"/>
  <c r="N127" i="49"/>
  <c r="O127" i="49" s="1"/>
  <c r="M127" i="25" s="1"/>
  <c r="N165" i="49"/>
  <c r="O165" i="49" s="1"/>
  <c r="M165" i="25" s="1"/>
  <c r="N123" i="49"/>
  <c r="O123" i="49" s="1"/>
  <c r="M123" i="25" s="1"/>
  <c r="N316" i="49"/>
  <c r="O316" i="49" s="1"/>
  <c r="M316" i="25" s="1"/>
  <c r="N128" i="49"/>
  <c r="O128" i="49" s="1"/>
  <c r="M128" i="25" s="1"/>
  <c r="N287" i="49"/>
  <c r="O287" i="49" s="1"/>
  <c r="M287" i="25" s="1"/>
  <c r="N55" i="49"/>
  <c r="O55" i="49" s="1"/>
  <c r="M55" i="25" s="1"/>
  <c r="N269" i="49"/>
  <c r="O269" i="49" s="1"/>
  <c r="M269" i="25" s="1"/>
  <c r="N9" i="49"/>
  <c r="O9" i="49" s="1"/>
  <c r="M9" i="25" s="1"/>
  <c r="N77" i="49"/>
  <c r="O77" i="49" s="1"/>
  <c r="M77" i="25" s="1"/>
  <c r="N246" i="49"/>
  <c r="O246" i="49" s="1"/>
  <c r="M246" i="25" s="1"/>
  <c r="N16" i="49"/>
  <c r="O16" i="49" s="1"/>
  <c r="M16" i="25" s="1"/>
  <c r="N194" i="49"/>
  <c r="O194" i="49" s="1"/>
  <c r="M194" i="25" s="1"/>
  <c r="N19" i="49"/>
  <c r="O19" i="49" s="1"/>
  <c r="M19" i="25" s="1"/>
  <c r="N104" i="49"/>
  <c r="O104" i="49" s="1"/>
  <c r="M104" i="25" s="1"/>
  <c r="N155" i="49"/>
  <c r="O155" i="49" s="1"/>
  <c r="M155" i="25" s="1"/>
  <c r="N103" i="49"/>
  <c r="O103" i="49" s="1"/>
  <c r="M103" i="25" s="1"/>
  <c r="N204" i="49"/>
  <c r="O204" i="49" s="1"/>
  <c r="M204" i="25" s="1"/>
  <c r="N134" i="49"/>
  <c r="O134" i="49" s="1"/>
  <c r="M134" i="25" s="1"/>
  <c r="O8" i="49"/>
  <c r="M8" i="25" s="1"/>
  <c r="N201" i="49"/>
  <c r="O201" i="49" s="1"/>
  <c r="M201" i="25" s="1"/>
  <c r="N32" i="49"/>
  <c r="O32" i="49" s="1"/>
  <c r="M32" i="25" s="1"/>
  <c r="N98" i="49"/>
  <c r="O98" i="49" s="1"/>
  <c r="M98" i="25" s="1"/>
  <c r="N120" i="49"/>
  <c r="O120" i="49" s="1"/>
  <c r="M120" i="25" s="1"/>
  <c r="N38" i="49"/>
  <c r="O38" i="49" s="1"/>
  <c r="M38" i="25" s="1"/>
  <c r="N130" i="49"/>
  <c r="O130" i="49" s="1"/>
  <c r="M130" i="25" s="1"/>
  <c r="N241" i="49"/>
  <c r="O241" i="49" s="1"/>
  <c r="M241" i="25" s="1"/>
  <c r="N233" i="49"/>
  <c r="O233" i="49" s="1"/>
  <c r="M233" i="25" s="1"/>
  <c r="N91" i="49"/>
  <c r="O91" i="49" s="1"/>
  <c r="M91" i="25" s="1"/>
  <c r="N116" i="49"/>
  <c r="O116" i="49" s="1"/>
  <c r="M116" i="25" s="1"/>
  <c r="N240" i="49"/>
  <c r="O240" i="49" s="1"/>
  <c r="M240" i="25" s="1"/>
  <c r="N79" i="49"/>
  <c r="O79" i="49" s="1"/>
  <c r="M79" i="25" s="1"/>
  <c r="N34" i="49"/>
  <c r="O34" i="49" s="1"/>
  <c r="M34" i="25" s="1"/>
  <c r="N151" i="49"/>
  <c r="O151" i="49" s="1"/>
  <c r="M151" i="25" s="1"/>
  <c r="N248" i="49"/>
  <c r="O248" i="49" s="1"/>
  <c r="M248" i="25" s="1"/>
  <c r="N172" i="49"/>
  <c r="O172" i="49" s="1"/>
  <c r="M172" i="25" s="1"/>
  <c r="N157" i="49"/>
  <c r="O157" i="49" s="1"/>
  <c r="M157" i="25" s="1"/>
  <c r="N14" i="49"/>
  <c r="O14" i="49" s="1"/>
  <c r="M14" i="25" s="1"/>
  <c r="N308" i="49"/>
  <c r="O308" i="49" s="1"/>
  <c r="M308" i="25" s="1"/>
  <c r="N114" i="49"/>
  <c r="O114" i="49" s="1"/>
  <c r="M114" i="25" s="1"/>
  <c r="N265" i="49"/>
  <c r="O265" i="49" s="1"/>
  <c r="M265" i="25" s="1"/>
  <c r="N49" i="49"/>
  <c r="O49" i="49" s="1"/>
  <c r="M49" i="25" s="1"/>
  <c r="N303" i="49"/>
  <c r="O303" i="49" s="1"/>
  <c r="M303" i="25" s="1"/>
  <c r="N222" i="49"/>
  <c r="O222" i="49" s="1"/>
  <c r="M222" i="25" s="1"/>
  <c r="N85" i="49"/>
  <c r="O85" i="49" s="1"/>
  <c r="M85" i="25" s="1"/>
  <c r="N185" i="49"/>
  <c r="O185" i="49" s="1"/>
  <c r="M185" i="25" s="1"/>
  <c r="N86" i="49"/>
  <c r="O86" i="49" s="1"/>
  <c r="M86" i="25" s="1"/>
  <c r="N39" i="49"/>
  <c r="O39" i="49" s="1"/>
  <c r="M39" i="25" s="1"/>
  <c r="N294" i="49"/>
  <c r="O294" i="49" s="1"/>
  <c r="M294" i="25" s="1"/>
  <c r="N249" i="49"/>
  <c r="O249" i="49" s="1"/>
  <c r="M249" i="25" s="1"/>
  <c r="N143" i="49"/>
  <c r="O143" i="49" s="1"/>
  <c r="M143" i="25" s="1"/>
  <c r="N189" i="49"/>
  <c r="O189" i="49" s="1"/>
  <c r="M189" i="25" s="1"/>
  <c r="N21" i="49"/>
  <c r="O21" i="49" s="1"/>
  <c r="M21" i="25" s="1"/>
  <c r="N149" i="49"/>
  <c r="O149" i="49" s="1"/>
  <c r="M149" i="25" s="1"/>
  <c r="N256" i="49"/>
  <c r="O256" i="49" s="1"/>
  <c r="M256" i="25" s="1"/>
  <c r="N198" i="49"/>
  <c r="O198" i="49" s="1"/>
  <c r="M198" i="25" s="1"/>
  <c r="N122" i="49"/>
  <c r="O122" i="49" s="1"/>
  <c r="M122" i="25" s="1"/>
  <c r="N12" i="49"/>
  <c r="O12" i="49" s="1"/>
  <c r="M12" i="25" s="1"/>
  <c r="N95" i="49"/>
  <c r="O95" i="49" s="1"/>
  <c r="M95" i="25" s="1"/>
  <c r="N225" i="49"/>
  <c r="O225" i="49" s="1"/>
  <c r="M225" i="25" s="1"/>
  <c r="N146" i="49"/>
  <c r="O146" i="49" s="1"/>
  <c r="M146" i="25" s="1"/>
  <c r="N81" i="49"/>
  <c r="O81" i="49" s="1"/>
  <c r="M81" i="25" s="1"/>
  <c r="N211" i="49"/>
  <c r="O211" i="49" s="1"/>
  <c r="M211" i="25" s="1"/>
  <c r="N252" i="49"/>
  <c r="O252" i="49" s="1"/>
  <c r="M252" i="25" s="1"/>
  <c r="N125" i="49"/>
  <c r="O125" i="49" s="1"/>
  <c r="M125" i="25" s="1"/>
  <c r="N291" i="49"/>
  <c r="O291" i="49" s="1"/>
  <c r="M291" i="25" s="1"/>
  <c r="N159" i="49"/>
  <c r="O159" i="49" s="1"/>
  <c r="M159" i="25" s="1"/>
  <c r="N137" i="49"/>
  <c r="O137" i="49" s="1"/>
  <c r="M137" i="25" s="1"/>
  <c r="N181" i="49"/>
  <c r="O181" i="49" s="1"/>
  <c r="M181" i="25" s="1"/>
  <c r="N214" i="49"/>
  <c r="O214" i="49" s="1"/>
  <c r="M214" i="25" s="1"/>
  <c r="N295" i="49"/>
  <c r="O295" i="49" s="1"/>
  <c r="M295" i="25" s="1"/>
  <c r="N101" i="49"/>
  <c r="O101" i="49" s="1"/>
  <c r="M101" i="25" s="1"/>
  <c r="N30" i="49"/>
  <c r="O30" i="49" s="1"/>
  <c r="M30" i="25" s="1"/>
  <c r="N179" i="49"/>
  <c r="O179" i="49" s="1"/>
  <c r="M179" i="25" s="1"/>
  <c r="N174" i="49"/>
  <c r="O174" i="49" s="1"/>
  <c r="M174" i="25" s="1"/>
  <c r="N169" i="49"/>
  <c r="O169" i="49" s="1"/>
  <c r="M169" i="25" s="1"/>
  <c r="N262" i="49"/>
  <c r="O262" i="49" s="1"/>
  <c r="M262" i="25" s="1"/>
  <c r="N54" i="49"/>
  <c r="O54" i="49" s="1"/>
  <c r="M54" i="25" s="1"/>
  <c r="N36" i="49"/>
  <c r="O36" i="49" s="1"/>
  <c r="M36" i="25" s="1"/>
  <c r="N142" i="49"/>
  <c r="O142" i="49" s="1"/>
  <c r="M142" i="25" s="1"/>
  <c r="N48" i="49"/>
  <c r="O48" i="49" s="1"/>
  <c r="M48" i="25" s="1"/>
  <c r="N153" i="49"/>
  <c r="O153" i="49" s="1"/>
  <c r="M153" i="25" s="1"/>
  <c r="N92" i="49"/>
  <c r="O92" i="49" s="1"/>
  <c r="M92" i="25" s="1"/>
  <c r="N232" i="49"/>
  <c r="O232" i="49" s="1"/>
  <c r="M232" i="25" s="1"/>
  <c r="N20" i="49"/>
  <c r="O20" i="49" s="1"/>
  <c r="M20" i="25" s="1"/>
  <c r="N210" i="49"/>
  <c r="O210" i="49" s="1"/>
  <c r="M210" i="25" s="1"/>
  <c r="N108" i="49"/>
  <c r="O108" i="49" s="1"/>
  <c r="M108" i="25" s="1"/>
  <c r="N78" i="49"/>
  <c r="O78" i="49" s="1"/>
  <c r="M78" i="25" s="1"/>
  <c r="N218" i="49"/>
  <c r="O218" i="49" s="1"/>
  <c r="M218" i="25" s="1"/>
  <c r="N73" i="49"/>
  <c r="O73" i="49" s="1"/>
  <c r="M73" i="25" s="1"/>
  <c r="N212" i="49"/>
  <c r="O212" i="49" s="1"/>
  <c r="M212" i="25" s="1"/>
  <c r="N150" i="49"/>
  <c r="O150" i="49" s="1"/>
  <c r="M150" i="25" s="1"/>
  <c r="N320" i="49"/>
  <c r="O320" i="49" s="1"/>
  <c r="M320" i="25" s="1"/>
  <c r="N51" i="49"/>
  <c r="O51" i="49" s="1"/>
  <c r="M51" i="25" s="1"/>
  <c r="N119" i="49"/>
  <c r="O119" i="49" s="1"/>
  <c r="M119" i="25" s="1"/>
  <c r="N69" i="49"/>
  <c r="O69" i="49" s="1"/>
  <c r="M69" i="25" s="1"/>
  <c r="N115" i="49"/>
  <c r="O115" i="49" s="1"/>
  <c r="M115" i="25" s="1"/>
  <c r="N68" i="49"/>
  <c r="O68" i="49" s="1"/>
  <c r="M68" i="25" s="1"/>
  <c r="N200" i="49"/>
  <c r="O200" i="49" s="1"/>
  <c r="M200" i="25" s="1"/>
  <c r="N208" i="49"/>
  <c r="O208" i="49" s="1"/>
  <c r="M208" i="25" s="1"/>
  <c r="N305" i="49"/>
  <c r="O305" i="49" s="1"/>
  <c r="M305" i="25" s="1"/>
  <c r="N63" i="49"/>
  <c r="O63" i="49" s="1"/>
  <c r="M63" i="25" s="1"/>
  <c r="N190" i="49"/>
  <c r="O190" i="49" s="1"/>
  <c r="M190" i="25" s="1"/>
  <c r="N259" i="49"/>
  <c r="O259" i="49" s="1"/>
  <c r="M259" i="25" s="1"/>
  <c r="N168" i="49"/>
  <c r="O168" i="49" s="1"/>
  <c r="M168" i="25" s="1"/>
  <c r="N145" i="49"/>
  <c r="O145" i="49" s="1"/>
  <c r="M145" i="25" s="1"/>
  <c r="N131" i="49"/>
  <c r="O131" i="49" s="1"/>
  <c r="M131" i="25" s="1"/>
  <c r="N289" i="49"/>
  <c r="O289" i="49" s="1"/>
  <c r="M289" i="25" s="1"/>
  <c r="N13" i="49"/>
  <c r="O13" i="49" s="1"/>
  <c r="M13" i="25" s="1"/>
  <c r="N235" i="49"/>
  <c r="O235" i="49" s="1"/>
  <c r="M235" i="25" s="1"/>
  <c r="N67" i="49"/>
  <c r="O67" i="49" s="1"/>
  <c r="M67" i="25" s="1"/>
  <c r="N173" i="49"/>
  <c r="O173" i="49" s="1"/>
  <c r="M173" i="25" s="1"/>
  <c r="N162" i="49"/>
  <c r="O162" i="49" s="1"/>
  <c r="M162" i="25" s="1"/>
  <c r="N44" i="49"/>
  <c r="O44" i="49" s="1"/>
  <c r="M44" i="25" s="1"/>
  <c r="N304" i="49"/>
  <c r="O304" i="49" s="1"/>
  <c r="M304" i="25" s="1"/>
  <c r="N285" i="49"/>
  <c r="O285" i="49" s="1"/>
  <c r="M285" i="25" s="1"/>
  <c r="N286" i="49"/>
  <c r="O286" i="49" s="1"/>
  <c r="M286" i="25" s="1"/>
  <c r="N170" i="49"/>
  <c r="O170" i="49" s="1"/>
  <c r="M170" i="25" s="1"/>
  <c r="N268" i="49"/>
  <c r="O268" i="49" s="1"/>
  <c r="M268" i="25" s="1"/>
  <c r="N224" i="49"/>
  <c r="O224" i="49" s="1"/>
  <c r="M224" i="25" s="1"/>
  <c r="N117" i="49"/>
  <c r="O117" i="49" s="1"/>
  <c r="M117" i="25" s="1"/>
  <c r="N135" i="49"/>
  <c r="O135" i="49" s="1"/>
  <c r="M135" i="25" s="1"/>
  <c r="N111" i="49"/>
  <c r="O111" i="49" s="1"/>
  <c r="M111" i="25" s="1"/>
  <c r="N242" i="49"/>
  <c r="O242" i="49" s="1"/>
  <c r="M242" i="25" s="1"/>
  <c r="N23" i="49"/>
  <c r="O23" i="49" s="1"/>
  <c r="M23" i="25" s="1"/>
  <c r="N83" i="49"/>
  <c r="O83" i="49" s="1"/>
  <c r="M83" i="25" s="1"/>
  <c r="N37" i="49"/>
  <c r="O37" i="49" s="1"/>
  <c r="M37" i="25" s="1"/>
  <c r="N275" i="49"/>
  <c r="O275" i="49" s="1"/>
  <c r="M275" i="25" s="1"/>
  <c r="N180" i="49"/>
  <c r="O180" i="49" s="1"/>
  <c r="M180" i="25" s="1"/>
  <c r="N72" i="49"/>
  <c r="O72" i="49" s="1"/>
  <c r="M72" i="25" s="1"/>
  <c r="N28" i="49"/>
  <c r="O28" i="49" s="1"/>
  <c r="M28" i="25" s="1"/>
  <c r="N60" i="49"/>
  <c r="O60" i="49" s="1"/>
  <c r="M60" i="25" s="1"/>
  <c r="N29" i="49"/>
  <c r="O29" i="49" s="1"/>
  <c r="M29" i="25" s="1"/>
  <c r="N42" i="49"/>
  <c r="O42" i="49" s="1"/>
  <c r="M42" i="25" s="1"/>
  <c r="N306" i="49"/>
  <c r="O306" i="49" s="1"/>
  <c r="M306" i="25" s="1"/>
  <c r="N126" i="49"/>
  <c r="O126" i="49" s="1"/>
  <c r="M126" i="25" s="1"/>
  <c r="N229" i="49"/>
  <c r="O229" i="49" s="1"/>
  <c r="M229" i="25" s="1"/>
  <c r="N89" i="49"/>
  <c r="O89" i="49" s="1"/>
  <c r="M89" i="25" s="1"/>
  <c r="N244" i="49"/>
  <c r="O244" i="49" s="1"/>
  <c r="M244" i="25" s="1"/>
  <c r="N307" i="49"/>
  <c r="O307" i="49" s="1"/>
  <c r="M307" i="25" s="1"/>
  <c r="N203" i="49"/>
  <c r="O203" i="49" s="1"/>
  <c r="M203" i="25" s="1"/>
  <c r="N292" i="49"/>
  <c r="O292" i="49" s="1"/>
  <c r="M292" i="25" s="1"/>
  <c r="N209" i="49"/>
  <c r="O209" i="49" s="1"/>
  <c r="M209" i="25" s="1"/>
  <c r="N206" i="49"/>
  <c r="O206" i="49" s="1"/>
  <c r="M206" i="25" s="1"/>
  <c r="N109" i="49"/>
  <c r="O109" i="49" s="1"/>
  <c r="M109" i="25" s="1"/>
  <c r="N213" i="49"/>
  <c r="O213" i="49" s="1"/>
  <c r="M213" i="25" s="1"/>
  <c r="N27" i="49"/>
  <c r="O27" i="49" s="1"/>
  <c r="M27" i="25" s="1"/>
  <c r="N52" i="49"/>
  <c r="O52" i="49" s="1"/>
  <c r="M52" i="25" s="1"/>
  <c r="N226" i="49"/>
  <c r="O226" i="49" s="1"/>
  <c r="M226" i="25" s="1"/>
  <c r="N112" i="49"/>
  <c r="O112" i="49" s="1"/>
  <c r="M112" i="25" s="1"/>
  <c r="N217" i="49"/>
  <c r="O217" i="49" s="1"/>
  <c r="M217" i="25" s="1"/>
  <c r="N25" i="49"/>
  <c r="O25" i="49" s="1"/>
  <c r="M25" i="25" s="1"/>
  <c r="N56" i="49"/>
  <c r="O56" i="49" s="1"/>
  <c r="M56" i="25" s="1"/>
  <c r="N106" i="49"/>
  <c r="O106" i="49" s="1"/>
  <c r="M106" i="25" s="1"/>
  <c r="N312" i="49"/>
  <c r="O312" i="49" s="1"/>
  <c r="M312" i="25" s="1"/>
  <c r="N247" i="49"/>
  <c r="O247" i="49" s="1"/>
  <c r="M247" i="25" s="1"/>
  <c r="N221" i="49"/>
  <c r="O221" i="49" s="1"/>
  <c r="M221" i="25" s="1"/>
  <c r="N61" i="49"/>
  <c r="O61" i="49" s="1"/>
  <c r="M61" i="25" s="1"/>
  <c r="N140" i="49"/>
  <c r="O140" i="49" s="1"/>
  <c r="M140" i="25" s="1"/>
  <c r="N41" i="49"/>
  <c r="O41" i="49" s="1"/>
  <c r="M41" i="25" s="1"/>
  <c r="N70" i="49"/>
  <c r="O70" i="49" s="1"/>
  <c r="M70" i="25" s="1"/>
  <c r="N318" i="49"/>
  <c r="O318" i="49" s="1"/>
  <c r="M318" i="25" s="1"/>
  <c r="N274" i="49"/>
  <c r="O274" i="49" s="1"/>
  <c r="M274" i="25" s="1"/>
  <c r="N46" i="49"/>
  <c r="O46" i="49" s="1"/>
  <c r="M46" i="25" s="1"/>
  <c r="N199" i="49"/>
  <c r="O199" i="49" s="1"/>
  <c r="M199" i="25" s="1"/>
  <c r="N254" i="49"/>
  <c r="O254" i="49" s="1"/>
  <c r="M254" i="25" s="1"/>
  <c r="N154" i="49"/>
  <c r="O154" i="49" s="1"/>
  <c r="M154" i="25" s="1"/>
  <c r="N317" i="49"/>
  <c r="O317" i="49" s="1"/>
  <c r="M317" i="25" s="1"/>
  <c r="N50" i="49"/>
  <c r="O50" i="49" s="1"/>
  <c r="M50" i="25" s="1"/>
  <c r="N202" i="49"/>
  <c r="O202" i="49" s="1"/>
  <c r="M202" i="25" s="1"/>
  <c r="N258" i="49"/>
  <c r="O258" i="49" s="1"/>
  <c r="M258" i="25" s="1"/>
  <c r="N205" i="49"/>
  <c r="O205" i="49" s="1"/>
  <c r="M205" i="25" s="1"/>
  <c r="N323" i="49"/>
  <c r="O323" i="49" s="1"/>
  <c r="M323" i="25" s="1"/>
  <c r="N177" i="49"/>
  <c r="O177" i="49" s="1"/>
  <c r="M177" i="25" s="1"/>
  <c r="N87" i="49"/>
  <c r="O87" i="49" s="1"/>
  <c r="M87" i="25" s="1"/>
  <c r="N276" i="49"/>
  <c r="O276" i="49" s="1"/>
  <c r="M276" i="25" s="1"/>
  <c r="N94" i="49"/>
  <c r="O94" i="49" s="1"/>
  <c r="M94" i="25" s="1"/>
  <c r="N107" i="49"/>
  <c r="O107" i="49" s="1"/>
  <c r="M107" i="25" s="1"/>
  <c r="N88" i="49"/>
  <c r="O88" i="49" s="1"/>
  <c r="M88" i="25" s="1"/>
  <c r="N277" i="49"/>
  <c r="O277" i="49" s="1"/>
  <c r="M277" i="25" s="1"/>
  <c r="N236" i="49"/>
  <c r="O236" i="49" s="1"/>
  <c r="M236" i="25" s="1"/>
  <c r="N257" i="49"/>
  <c r="O257" i="49" s="1"/>
  <c r="M257" i="25" s="1"/>
  <c r="N314" i="49"/>
  <c r="O314" i="49" s="1"/>
  <c r="M314" i="25" s="1"/>
  <c r="N260" i="49"/>
  <c r="O260" i="49" s="1"/>
  <c r="M260" i="25" s="1"/>
  <c r="N24" i="49"/>
  <c r="O24" i="49" s="1"/>
  <c r="M24" i="25" s="1"/>
  <c r="N273" i="49"/>
  <c r="O273" i="49" s="1"/>
  <c r="M273" i="25" s="1"/>
  <c r="N163" i="49"/>
  <c r="O163" i="49" s="1"/>
  <c r="M163" i="25" s="1"/>
  <c r="N243" i="49"/>
  <c r="O243" i="49" s="1"/>
  <c r="M243" i="25" s="1"/>
  <c r="N267" i="49"/>
  <c r="O267" i="49" s="1"/>
  <c r="M267" i="25" s="1"/>
  <c r="N239" i="49"/>
  <c r="O239" i="49" s="1"/>
  <c r="M239" i="25" s="1"/>
  <c r="N47" i="49"/>
  <c r="O47" i="49" s="1"/>
  <c r="M47" i="25" s="1"/>
  <c r="N227" i="49"/>
  <c r="O227" i="49" s="1"/>
  <c r="M227" i="25" s="1"/>
  <c r="N176" i="49"/>
  <c r="O176" i="49" s="1"/>
  <c r="M176" i="25" s="1"/>
  <c r="N53" i="49"/>
  <c r="O53" i="49" s="1"/>
  <c r="M53" i="25" s="1"/>
  <c r="N31" i="49"/>
  <c r="O31" i="49" s="1"/>
  <c r="M31" i="25" s="1"/>
  <c r="N234" i="49"/>
  <c r="O234" i="49" s="1"/>
  <c r="M234" i="25" s="1"/>
  <c r="N220" i="49"/>
  <c r="O220" i="49" s="1"/>
  <c r="M220" i="25" s="1"/>
  <c r="N207" i="49"/>
  <c r="O207" i="49" s="1"/>
  <c r="M207" i="25" s="1"/>
  <c r="N238" i="49"/>
  <c r="O238" i="49" s="1"/>
  <c r="M238" i="25" s="1"/>
  <c r="N279" i="49"/>
  <c r="O279" i="49" s="1"/>
  <c r="M279" i="25" s="1"/>
  <c r="N187" i="49"/>
  <c r="O187" i="49" s="1"/>
  <c r="M187" i="25" s="1"/>
  <c r="B21" i="48"/>
  <c r="N152" i="49"/>
  <c r="O152" i="49" s="1"/>
  <c r="M152" i="25" s="1"/>
  <c r="N121" i="49"/>
  <c r="O121" i="49" s="1"/>
  <c r="M121" i="25" s="1"/>
  <c r="N284" i="49"/>
  <c r="O284" i="49" s="1"/>
  <c r="M284" i="25" s="1"/>
  <c r="N178" i="49"/>
  <c r="O178" i="49" s="1"/>
  <c r="M178" i="25" s="1"/>
  <c r="N283" i="49"/>
  <c r="O283" i="49" s="1"/>
  <c r="M283" i="25" s="1"/>
  <c r="N96" i="49"/>
  <c r="O96" i="49" s="1"/>
  <c r="M96" i="25" s="1"/>
  <c r="N223" i="49"/>
  <c r="O223" i="49" s="1"/>
  <c r="M223" i="25" s="1"/>
  <c r="N160" i="49"/>
  <c r="O160" i="49" s="1"/>
  <c r="M160" i="25" s="1"/>
  <c r="N144" i="49"/>
  <c r="O144" i="49" s="1"/>
  <c r="M144" i="25" s="1"/>
  <c r="N302" i="49"/>
  <c r="O302" i="49" s="1"/>
  <c r="M302" i="25" s="1"/>
  <c r="N43" i="49"/>
  <c r="O43" i="49" s="1"/>
  <c r="M43" i="25" s="1"/>
  <c r="N147" i="49"/>
  <c r="O147" i="49" s="1"/>
  <c r="M147" i="25" s="1"/>
  <c r="N102" i="49"/>
  <c r="O102" i="49" s="1"/>
  <c r="M102" i="25" s="1"/>
  <c r="N270" i="49"/>
  <c r="O270" i="49" s="1"/>
  <c r="M270" i="25" s="1"/>
  <c r="N293" i="49"/>
  <c r="O293" i="49" s="1"/>
  <c r="M293" i="25" s="1"/>
  <c r="N138" i="49"/>
  <c r="O138" i="49" s="1"/>
  <c r="M138" i="25" s="1"/>
  <c r="N158" i="49"/>
  <c r="O158" i="49" s="1"/>
  <c r="M158" i="25" s="1"/>
  <c r="N139" i="49"/>
  <c r="O139" i="49" s="1"/>
  <c r="M139" i="25" s="1"/>
  <c r="N230" i="49"/>
  <c r="O230" i="49" s="1"/>
  <c r="M230" i="25" s="1"/>
  <c r="N84" i="49"/>
  <c r="O84" i="49" s="1"/>
  <c r="M84" i="25" s="1"/>
  <c r="N166" i="49"/>
  <c r="O166" i="49" s="1"/>
  <c r="M166" i="25" s="1"/>
  <c r="N133" i="49"/>
  <c r="O133" i="49" s="1"/>
  <c r="M133" i="25" s="1"/>
  <c r="N237" i="49"/>
  <c r="O237" i="49" s="1"/>
  <c r="M237" i="25" s="1"/>
  <c r="N136" i="49"/>
  <c r="O136" i="49" s="1"/>
  <c r="M136" i="25" s="1"/>
  <c r="N245" i="49"/>
  <c r="O245" i="49" s="1"/>
  <c r="M245" i="25" s="1"/>
  <c r="N272" i="49"/>
  <c r="O272" i="49" s="1"/>
  <c r="M272" i="25" s="1"/>
  <c r="N11" i="49"/>
  <c r="O11" i="49" s="1"/>
  <c r="M11" i="25" s="1"/>
  <c r="N290" i="49"/>
  <c r="O290" i="49" s="1"/>
  <c r="M290" i="25" s="1"/>
  <c r="N195" i="49"/>
  <c r="O195" i="49" s="1"/>
  <c r="M195" i="25" s="1"/>
  <c r="N192" i="49"/>
  <c r="O192" i="49" s="1"/>
  <c r="M192" i="25" s="1"/>
  <c r="N93" i="49"/>
  <c r="O93" i="49" s="1"/>
  <c r="M93" i="25" s="1"/>
  <c r="N175" i="49"/>
  <c r="O175" i="49" s="1"/>
  <c r="M175" i="25" s="1"/>
  <c r="N288" i="49"/>
  <c r="O288" i="49" s="1"/>
  <c r="M288" i="25" s="1"/>
  <c r="N271" i="49"/>
  <c r="O271" i="49" s="1"/>
  <c r="M271" i="25" s="1"/>
  <c r="N216" i="49"/>
  <c r="O216" i="49" s="1"/>
  <c r="M216" i="25" s="1"/>
  <c r="N90" i="49"/>
  <c r="O90" i="49" s="1"/>
  <c r="M90" i="25" s="1"/>
  <c r="N251" i="49"/>
  <c r="O251" i="49" s="1"/>
  <c r="M251" i="25" s="1"/>
  <c r="F319" i="9"/>
  <c r="G319" i="9" s="1"/>
  <c r="D313" i="39" s="1"/>
  <c r="F183" i="9"/>
  <c r="G183" i="9" s="1"/>
  <c r="F65" i="9"/>
  <c r="G65" i="9" s="1"/>
  <c r="F281" i="9"/>
  <c r="G281" i="9" s="1"/>
  <c r="F159" i="9"/>
  <c r="G159" i="9" s="1"/>
  <c r="F321" i="9"/>
  <c r="G321" i="9" s="1"/>
  <c r="K38" i="40"/>
  <c r="H38" i="40" s="1"/>
  <c r="I323" i="37"/>
  <c r="F323" i="37"/>
  <c r="G16" i="34"/>
  <c r="H16" i="34" s="1"/>
  <c r="F244" i="9" l="1"/>
  <c r="G244" i="9" s="1"/>
  <c r="F230" i="9"/>
  <c r="G230" i="9" s="1"/>
  <c r="D224" i="39" s="1"/>
  <c r="F268" i="9"/>
  <c r="G268" i="9" s="1"/>
  <c r="D262" i="39" s="1"/>
  <c r="F296" i="9"/>
  <c r="G296" i="9" s="1"/>
  <c r="F291" i="25" s="1"/>
  <c r="F22" i="9"/>
  <c r="G22" i="9" s="1"/>
  <c r="F17" i="25" s="1"/>
  <c r="F189" i="9"/>
  <c r="G189" i="9" s="1"/>
  <c r="D183" i="12" s="1"/>
  <c r="F131" i="9"/>
  <c r="G131" i="9" s="1"/>
  <c r="D125" i="39" s="1"/>
  <c r="F56" i="9"/>
  <c r="G56" i="9" s="1"/>
  <c r="F51" i="25" s="1"/>
  <c r="F192" i="9"/>
  <c r="G192" i="9" s="1"/>
  <c r="D186" i="39" s="1"/>
  <c r="F257" i="9"/>
  <c r="G257" i="9" s="1"/>
  <c r="D251" i="39" s="1"/>
  <c r="F144" i="9"/>
  <c r="G144" i="9" s="1"/>
  <c r="D138" i="39" s="1"/>
  <c r="F254" i="9"/>
  <c r="G254" i="9" s="1"/>
  <c r="F249" i="25" s="1"/>
  <c r="F308" i="9"/>
  <c r="G308" i="9" s="1"/>
  <c r="F303" i="25" s="1"/>
  <c r="F82" i="9"/>
  <c r="G82" i="9" s="1"/>
  <c r="D76" i="12" s="1"/>
  <c r="F285" i="9"/>
  <c r="G285" i="9" s="1"/>
  <c r="D279" i="39" s="1"/>
  <c r="F113" i="9"/>
  <c r="G113" i="9" s="1"/>
  <c r="F108" i="25" s="1"/>
  <c r="F50" i="9"/>
  <c r="G50" i="9" s="1"/>
  <c r="D44" i="39" s="1"/>
  <c r="F256" i="9"/>
  <c r="G256" i="9" s="1"/>
  <c r="D250" i="12" s="1"/>
  <c r="F310" i="9"/>
  <c r="G310" i="9" s="1"/>
  <c r="D304" i="12" s="1"/>
  <c r="F149" i="9"/>
  <c r="G149" i="9" s="1"/>
  <c r="D143" i="39" s="1"/>
  <c r="F299" i="9"/>
  <c r="G299" i="9" s="1"/>
  <c r="D293" i="39" s="1"/>
  <c r="F15" i="9"/>
  <c r="G15" i="9" s="1"/>
  <c r="F10" i="25" s="1"/>
  <c r="F311" i="9"/>
  <c r="G311" i="9" s="1"/>
  <c r="F306" i="25" s="1"/>
  <c r="F186" i="9"/>
  <c r="G186" i="9" s="1"/>
  <c r="D180" i="12" s="1"/>
  <c r="F262" i="9"/>
  <c r="G262" i="9" s="1"/>
  <c r="F257" i="25" s="1"/>
  <c r="F137" i="9"/>
  <c r="G137" i="9" s="1"/>
  <c r="D131" i="39" s="1"/>
  <c r="F241" i="9"/>
  <c r="G241" i="9" s="1"/>
  <c r="D235" i="39" s="1"/>
  <c r="F245" i="9"/>
  <c r="G245" i="9" s="1"/>
  <c r="D239" i="12" s="1"/>
  <c r="F232" i="9"/>
  <c r="G232" i="9" s="1"/>
  <c r="F227" i="25" s="1"/>
  <c r="F328" i="9"/>
  <c r="G328" i="9" s="1"/>
  <c r="D322" i="39" s="1"/>
  <c r="F177" i="9"/>
  <c r="G177" i="9" s="1"/>
  <c r="F172" i="25" s="1"/>
  <c r="F175" i="9"/>
  <c r="G175" i="9" s="1"/>
  <c r="D169" i="39" s="1"/>
  <c r="F292" i="9"/>
  <c r="G292" i="9" s="1"/>
  <c r="D286" i="39" s="1"/>
  <c r="F203" i="9"/>
  <c r="G203" i="9" s="1"/>
  <c r="F198" i="25" s="1"/>
  <c r="F151" i="9"/>
  <c r="G151" i="9" s="1"/>
  <c r="D145" i="12" s="1"/>
  <c r="F313" i="9"/>
  <c r="G313" i="9" s="1"/>
  <c r="D307" i="12" s="1"/>
  <c r="F184" i="9"/>
  <c r="G184" i="9" s="1"/>
  <c r="F179" i="25" s="1"/>
  <c r="F152" i="9"/>
  <c r="G152" i="9" s="1"/>
  <c r="F147" i="25" s="1"/>
  <c r="F90" i="9"/>
  <c r="G90" i="9" s="1"/>
  <c r="D84" i="12" s="1"/>
  <c r="F185" i="9"/>
  <c r="G185" i="9" s="1"/>
  <c r="D179" i="39" s="1"/>
  <c r="F146" i="9"/>
  <c r="G146" i="9" s="1"/>
  <c r="F141" i="25" s="1"/>
  <c r="F181" i="9"/>
  <c r="G181" i="9" s="1"/>
  <c r="D175" i="12" s="1"/>
  <c r="F97" i="9"/>
  <c r="G97" i="9" s="1"/>
  <c r="D91" i="39" s="1"/>
  <c r="F103" i="9"/>
  <c r="G103" i="9" s="1"/>
  <c r="D97" i="39" s="1"/>
  <c r="F323" i="9"/>
  <c r="G323" i="9" s="1"/>
  <c r="D317" i="12" s="1"/>
  <c r="F205" i="9"/>
  <c r="G205" i="9" s="1"/>
  <c r="D199" i="39" s="1"/>
  <c r="F33" i="9"/>
  <c r="G33" i="9" s="1"/>
  <c r="D27" i="39" s="1"/>
  <c r="F202" i="9"/>
  <c r="G202" i="9" s="1"/>
  <c r="F197" i="25" s="1"/>
  <c r="F80" i="9"/>
  <c r="G80" i="9" s="1"/>
  <c r="D74" i="39" s="1"/>
  <c r="F247" i="9"/>
  <c r="G247" i="9" s="1"/>
  <c r="D241" i="12" s="1"/>
  <c r="F81" i="9"/>
  <c r="G81" i="9" s="1"/>
  <c r="D75" i="39" s="1"/>
  <c r="F47" i="9"/>
  <c r="G47" i="9" s="1"/>
  <c r="D41" i="39" s="1"/>
  <c r="F314" i="9"/>
  <c r="G314" i="9" s="1"/>
  <c r="D308" i="39" s="1"/>
  <c r="F297" i="9"/>
  <c r="G297" i="9" s="1"/>
  <c r="D291" i="39" s="1"/>
  <c r="F116" i="9"/>
  <c r="G116" i="9" s="1"/>
  <c r="F111" i="25" s="1"/>
  <c r="F304" i="9"/>
  <c r="G304" i="9" s="1"/>
  <c r="F299" i="25" s="1"/>
  <c r="F107" i="9"/>
  <c r="G107" i="9" s="1"/>
  <c r="F102" i="25" s="1"/>
  <c r="F134" i="9"/>
  <c r="G134" i="9" s="1"/>
  <c r="D128" i="12" s="1"/>
  <c r="F141" i="9"/>
  <c r="G141" i="9" s="1"/>
  <c r="D135" i="12" s="1"/>
  <c r="F99" i="9"/>
  <c r="G99" i="9" s="1"/>
  <c r="D93" i="39" s="1"/>
  <c r="F43" i="9"/>
  <c r="G43" i="9" s="1"/>
  <c r="F201" i="9"/>
  <c r="G201" i="9" s="1"/>
  <c r="D195" i="39" s="1"/>
  <c r="F120" i="9"/>
  <c r="G120" i="9" s="1"/>
  <c r="F190" i="9"/>
  <c r="G190" i="9" s="1"/>
  <c r="D184" i="39" s="1"/>
  <c r="F231" i="9"/>
  <c r="G231" i="9" s="1"/>
  <c r="F226" i="25" s="1"/>
  <c r="F242" i="9"/>
  <c r="G242" i="9" s="1"/>
  <c r="D236" i="39" s="1"/>
  <c r="F96" i="9"/>
  <c r="G96" i="9" s="1"/>
  <c r="F182" i="9"/>
  <c r="G182" i="9" s="1"/>
  <c r="D176" i="12" s="1"/>
  <c r="F130" i="9"/>
  <c r="G130" i="9" s="1"/>
  <c r="F125" i="25" s="1"/>
  <c r="F145" i="9"/>
  <c r="G145" i="9" s="1"/>
  <c r="F140" i="25" s="1"/>
  <c r="F164" i="9"/>
  <c r="G164" i="9" s="1"/>
  <c r="D158" i="39" s="1"/>
  <c r="F44" i="9"/>
  <c r="G44" i="9" s="1"/>
  <c r="F39" i="25" s="1"/>
  <c r="F289" i="9"/>
  <c r="G289" i="9" s="1"/>
  <c r="D283" i="12" s="1"/>
  <c r="F136" i="9"/>
  <c r="G136" i="9" s="1"/>
  <c r="F131" i="25" s="1"/>
  <c r="F11" i="9"/>
  <c r="F22" i="48" s="1"/>
  <c r="F24" i="48" s="1"/>
  <c r="F234" i="9"/>
  <c r="G234" i="9" s="1"/>
  <c r="D228" i="12" s="1"/>
  <c r="F124" i="9"/>
  <c r="G124" i="9" s="1"/>
  <c r="D118" i="39" s="1"/>
  <c r="F101" i="9"/>
  <c r="G101" i="9" s="1"/>
  <c r="D95" i="39" s="1"/>
  <c r="F121" i="9"/>
  <c r="G121" i="9" s="1"/>
  <c r="D115" i="39" s="1"/>
  <c r="F132" i="9"/>
  <c r="G132" i="9" s="1"/>
  <c r="F127" i="25" s="1"/>
  <c r="F21" i="9"/>
  <c r="G21" i="9" s="1"/>
  <c r="F16" i="25" s="1"/>
  <c r="F238" i="9"/>
  <c r="G238" i="9" s="1"/>
  <c r="D232" i="39" s="1"/>
  <c r="F13" i="9"/>
  <c r="G13" i="9" s="1"/>
  <c r="D7" i="39" s="1"/>
  <c r="F36" i="9"/>
  <c r="G36" i="9" s="1"/>
  <c r="D30" i="39" s="1"/>
  <c r="F246" i="9"/>
  <c r="G246" i="9" s="1"/>
  <c r="D240" i="39" s="1"/>
  <c r="F294" i="9"/>
  <c r="G294" i="9" s="1"/>
  <c r="D288" i="39" s="1"/>
  <c r="F123" i="9"/>
  <c r="G123" i="9" s="1"/>
  <c r="D117" i="12" s="1"/>
  <c r="F53" i="9"/>
  <c r="G53" i="9" s="1"/>
  <c r="F48" i="25" s="1"/>
  <c r="F193" i="9"/>
  <c r="G193" i="9" s="1"/>
  <c r="D187" i="12" s="1"/>
  <c r="F305" i="9"/>
  <c r="G305" i="9" s="1"/>
  <c r="F300" i="25" s="1"/>
  <c r="F171" i="9"/>
  <c r="G171" i="9" s="1"/>
  <c r="D165" i="39" s="1"/>
  <c r="F100" i="9"/>
  <c r="G100" i="9" s="1"/>
  <c r="F95" i="25" s="1"/>
  <c r="F187" i="9"/>
  <c r="G187" i="9" s="1"/>
  <c r="D181" i="39" s="1"/>
  <c r="F14" i="9"/>
  <c r="G14" i="9" s="1"/>
  <c r="D8" i="12" s="1"/>
  <c r="F108" i="9"/>
  <c r="G108" i="9" s="1"/>
  <c r="D102" i="39" s="1"/>
  <c r="F229" i="9"/>
  <c r="G229" i="9" s="1"/>
  <c r="D223" i="12" s="1"/>
  <c r="F260" i="9"/>
  <c r="G260" i="9" s="1"/>
  <c r="D254" i="39" s="1"/>
  <c r="F322" i="9"/>
  <c r="G322" i="9" s="1"/>
  <c r="D316" i="12" s="1"/>
  <c r="F139" i="9"/>
  <c r="G139" i="9" s="1"/>
  <c r="D133" i="12" s="1"/>
  <c r="F91" i="9"/>
  <c r="G91" i="9" s="1"/>
  <c r="D85" i="39" s="1"/>
  <c r="F196" i="9"/>
  <c r="G196" i="9" s="1"/>
  <c r="F58" i="9"/>
  <c r="G58" i="9" s="1"/>
  <c r="D52" i="39" s="1"/>
  <c r="F168" i="9"/>
  <c r="G168" i="9" s="1"/>
  <c r="D162" i="39" s="1"/>
  <c r="F228" i="9"/>
  <c r="G228" i="9" s="1"/>
  <c r="D222" i="12" s="1"/>
  <c r="F31" i="9"/>
  <c r="G31" i="9" s="1"/>
  <c r="D25" i="39" s="1"/>
  <c r="F226" i="9"/>
  <c r="G226" i="9" s="1"/>
  <c r="F221" i="25" s="1"/>
  <c r="F160" i="9"/>
  <c r="G160" i="9" s="1"/>
  <c r="F30" i="9"/>
  <c r="G30" i="9" s="1"/>
  <c r="D24" i="12" s="1"/>
  <c r="F286" i="9"/>
  <c r="G286" i="9" s="1"/>
  <c r="D280" i="39" s="1"/>
  <c r="F66" i="9"/>
  <c r="G66" i="9" s="1"/>
  <c r="F216" i="9"/>
  <c r="G216" i="9" s="1"/>
  <c r="F12" i="9"/>
  <c r="G12" i="9" s="1"/>
  <c r="D6" i="12" s="1"/>
  <c r="F253" i="9"/>
  <c r="G253" i="9" s="1"/>
  <c r="F282" i="9"/>
  <c r="G282" i="9" s="1"/>
  <c r="F277" i="25" s="1"/>
  <c r="F274" i="9"/>
  <c r="G274" i="9" s="1"/>
  <c r="D268" i="12" s="1"/>
  <c r="F318" i="9"/>
  <c r="G318" i="9" s="1"/>
  <c r="F313" i="25" s="1"/>
  <c r="F72" i="9"/>
  <c r="G72" i="9" s="1"/>
  <c r="F19" i="9"/>
  <c r="G19" i="9" s="1"/>
  <c r="D13" i="12" s="1"/>
  <c r="F243" i="9"/>
  <c r="G243" i="9" s="1"/>
  <c r="D237" i="12" s="1"/>
  <c r="F54" i="9"/>
  <c r="G54" i="9" s="1"/>
  <c r="F49" i="25" s="1"/>
  <c r="F88" i="9"/>
  <c r="G88" i="9" s="1"/>
  <c r="F70" i="9"/>
  <c r="G70" i="9" s="1"/>
  <c r="F65" i="25" s="1"/>
  <c r="F49" i="9"/>
  <c r="G49" i="9" s="1"/>
  <c r="F44" i="25" s="1"/>
  <c r="F298" i="9"/>
  <c r="G298" i="9" s="1"/>
  <c r="D292" i="39" s="1"/>
  <c r="F167" i="9"/>
  <c r="G167" i="9" s="1"/>
  <c r="F24" i="9"/>
  <c r="G24" i="9" s="1"/>
  <c r="F19" i="25" s="1"/>
  <c r="F148" i="9"/>
  <c r="G148" i="9" s="1"/>
  <c r="F143" i="25" s="1"/>
  <c r="F219" i="9"/>
  <c r="G219" i="9" s="1"/>
  <c r="F214" i="25" s="1"/>
  <c r="F223" i="9"/>
  <c r="G223" i="9" s="1"/>
  <c r="F218" i="25" s="1"/>
  <c r="F326" i="9"/>
  <c r="G326" i="9" s="1"/>
  <c r="F321" i="25" s="1"/>
  <c r="F220" i="9"/>
  <c r="G220" i="9" s="1"/>
  <c r="F102" i="9"/>
  <c r="G102" i="9" s="1"/>
  <c r="D96" i="12" s="1"/>
  <c r="F255" i="9"/>
  <c r="G255" i="9" s="1"/>
  <c r="D249" i="12" s="1"/>
  <c r="F283" i="9"/>
  <c r="G283" i="9" s="1"/>
  <c r="F278" i="25" s="1"/>
  <c r="F188" i="9"/>
  <c r="G188" i="9" s="1"/>
  <c r="D182" i="12" s="1"/>
  <c r="F26" i="9"/>
  <c r="G26" i="9" s="1"/>
  <c r="D20" i="39" s="1"/>
  <c r="F39" i="9"/>
  <c r="G39" i="9" s="1"/>
  <c r="D33" i="39" s="1"/>
  <c r="F180" i="9"/>
  <c r="G180" i="9" s="1"/>
  <c r="D174" i="12" s="1"/>
  <c r="F142" i="9"/>
  <c r="G142" i="9" s="1"/>
  <c r="F157" i="9"/>
  <c r="G157" i="9" s="1"/>
  <c r="D151" i="12" s="1"/>
  <c r="F153" i="9"/>
  <c r="G153" i="9" s="1"/>
  <c r="F143" i="9"/>
  <c r="G143" i="9" s="1"/>
  <c r="D137" i="39" s="1"/>
  <c r="F327" i="9"/>
  <c r="G327" i="9" s="1"/>
  <c r="D321" i="12" s="1"/>
  <c r="F41" i="9"/>
  <c r="G41" i="9" s="1"/>
  <c r="F36" i="25" s="1"/>
  <c r="F52" i="9"/>
  <c r="G52" i="9" s="1"/>
  <c r="D46" i="39" s="1"/>
  <c r="F68" i="9"/>
  <c r="G68" i="9" s="1"/>
  <c r="F63" i="25" s="1"/>
  <c r="F235" i="9"/>
  <c r="G235" i="9" s="1"/>
  <c r="F230" i="25" s="1"/>
  <c r="F284" i="9"/>
  <c r="G284" i="9" s="1"/>
  <c r="D278" i="39" s="1"/>
  <c r="F287" i="9"/>
  <c r="G287" i="9" s="1"/>
  <c r="D281" i="39" s="1"/>
  <c r="F217" i="9"/>
  <c r="G217" i="9" s="1"/>
  <c r="D211" i="12" s="1"/>
  <c r="F295" i="9"/>
  <c r="G295" i="9" s="1"/>
  <c r="D289" i="12" s="1"/>
  <c r="F109" i="9"/>
  <c r="G109" i="9" s="1"/>
  <c r="D103" i="12" s="1"/>
  <c r="F34" i="9"/>
  <c r="G34" i="9" s="1"/>
  <c r="D28" i="39" s="1"/>
  <c r="F315" i="9"/>
  <c r="G315" i="9" s="1"/>
  <c r="D309" i="12" s="1"/>
  <c r="F225" i="9"/>
  <c r="G225" i="9" s="1"/>
  <c r="F220" i="25" s="1"/>
  <c r="F211" i="9"/>
  <c r="G211" i="9" s="1"/>
  <c r="D205" i="39" s="1"/>
  <c r="F85" i="9"/>
  <c r="G85" i="9" s="1"/>
  <c r="D79" i="39" s="1"/>
  <c r="F76" i="9"/>
  <c r="G76" i="9" s="1"/>
  <c r="F71" i="25" s="1"/>
  <c r="F163" i="9"/>
  <c r="G163" i="9" s="1"/>
  <c r="D157" i="39" s="1"/>
  <c r="F32" i="9"/>
  <c r="G32" i="9" s="1"/>
  <c r="D26" i="12" s="1"/>
  <c r="F278" i="9"/>
  <c r="G278" i="9" s="1"/>
  <c r="D272" i="12" s="1"/>
  <c r="F29" i="9"/>
  <c r="G29" i="9" s="1"/>
  <c r="D23" i="12" s="1"/>
  <c r="F119" i="9"/>
  <c r="G119" i="9" s="1"/>
  <c r="F114" i="25" s="1"/>
  <c r="F172" i="9"/>
  <c r="G172" i="9" s="1"/>
  <c r="F167" i="25" s="1"/>
  <c r="F261" i="9"/>
  <c r="G261" i="9" s="1"/>
  <c r="F256" i="25" s="1"/>
  <c r="F208" i="9"/>
  <c r="G208" i="9" s="1"/>
  <c r="F203" i="25" s="1"/>
  <c r="F114" i="9"/>
  <c r="G114" i="9" s="1"/>
  <c r="D108" i="39" s="1"/>
  <c r="F87" i="9"/>
  <c r="G87" i="9" s="1"/>
  <c r="D81" i="39" s="1"/>
  <c r="F214" i="9"/>
  <c r="G214" i="9" s="1"/>
  <c r="F135" i="9"/>
  <c r="G135" i="9" s="1"/>
  <c r="D129" i="39" s="1"/>
  <c r="F62" i="9"/>
  <c r="G62" i="9" s="1"/>
  <c r="D56" i="39" s="1"/>
  <c r="F200" i="9"/>
  <c r="G200" i="9" s="1"/>
  <c r="D194" i="39" s="1"/>
  <c r="F221" i="9"/>
  <c r="G221" i="9" s="1"/>
  <c r="F216" i="25" s="1"/>
  <c r="F317" i="9"/>
  <c r="G317" i="9" s="1"/>
  <c r="D311" i="12" s="1"/>
  <c r="F237" i="9"/>
  <c r="G237" i="9" s="1"/>
  <c r="F232" i="25" s="1"/>
  <c r="F218" i="9"/>
  <c r="G218" i="9" s="1"/>
  <c r="F213" i="25" s="1"/>
  <c r="F212" i="9"/>
  <c r="G212" i="9" s="1"/>
  <c r="D206" i="39" s="1"/>
  <c r="F215" i="9"/>
  <c r="G215" i="9" s="1"/>
  <c r="D209" i="39" s="1"/>
  <c r="F64" i="9"/>
  <c r="G64" i="9" s="1"/>
  <c r="D58" i="12" s="1"/>
  <c r="F117" i="9"/>
  <c r="G117" i="9" s="1"/>
  <c r="D111" i="39" s="1"/>
  <c r="F199" i="9"/>
  <c r="G199" i="9" s="1"/>
  <c r="D193" i="39" s="1"/>
  <c r="F126" i="9"/>
  <c r="G126" i="9" s="1"/>
  <c r="D120" i="39" s="1"/>
  <c r="F210" i="9"/>
  <c r="G210" i="9" s="1"/>
  <c r="D204" i="12" s="1"/>
  <c r="F60" i="9"/>
  <c r="G60" i="9" s="1"/>
  <c r="D54" i="12" s="1"/>
  <c r="F165" i="9"/>
  <c r="G165" i="9" s="1"/>
  <c r="D159" i="39" s="1"/>
  <c r="F222" i="9"/>
  <c r="G222" i="9" s="1"/>
  <c r="F217" i="25" s="1"/>
  <c r="F195" i="9"/>
  <c r="G195" i="9" s="1"/>
  <c r="D189" i="12" s="1"/>
  <c r="F95" i="9"/>
  <c r="G95" i="9" s="1"/>
  <c r="F90" i="25" s="1"/>
  <c r="F179" i="9"/>
  <c r="G179" i="9" s="1"/>
  <c r="D173" i="12" s="1"/>
  <c r="F307" i="9"/>
  <c r="G307" i="9" s="1"/>
  <c r="D301" i="39" s="1"/>
  <c r="F169" i="9"/>
  <c r="G169" i="9" s="1"/>
  <c r="D163" i="39" s="1"/>
  <c r="F198" i="9"/>
  <c r="G198" i="9" s="1"/>
  <c r="F193" i="25" s="1"/>
  <c r="F61" i="9"/>
  <c r="G61" i="9" s="1"/>
  <c r="D55" i="39" s="1"/>
  <c r="F125" i="9"/>
  <c r="G125" i="9" s="1"/>
  <c r="D119" i="12" s="1"/>
  <c r="F251" i="9"/>
  <c r="G251" i="9" s="1"/>
  <c r="F246" i="25" s="1"/>
  <c r="F78" i="9"/>
  <c r="G78" i="9" s="1"/>
  <c r="D72" i="39" s="1"/>
  <c r="F38" i="9"/>
  <c r="G38" i="9" s="1"/>
  <c r="D32" i="12" s="1"/>
  <c r="F270" i="9"/>
  <c r="G270" i="9" s="1"/>
  <c r="F265" i="25" s="1"/>
  <c r="F209" i="9"/>
  <c r="G209" i="9" s="1"/>
  <c r="F320" i="9"/>
  <c r="G320" i="9" s="1"/>
  <c r="D314" i="12" s="1"/>
  <c r="F197" i="9"/>
  <c r="G197" i="9" s="1"/>
  <c r="F192" i="25" s="1"/>
  <c r="F104" i="9"/>
  <c r="G104" i="9" s="1"/>
  <c r="D98" i="12" s="1"/>
  <c r="F105" i="9"/>
  <c r="G105" i="9" s="1"/>
  <c r="D99" i="39" s="1"/>
  <c r="F272" i="9"/>
  <c r="G272" i="9" s="1"/>
  <c r="F267" i="25" s="1"/>
  <c r="F250" i="9"/>
  <c r="G250" i="9" s="1"/>
  <c r="F245" i="25" s="1"/>
  <c r="F73" i="9"/>
  <c r="G73" i="9" s="1"/>
  <c r="D67" i="39" s="1"/>
  <c r="F23" i="9"/>
  <c r="G23" i="9" s="1"/>
  <c r="F18" i="25" s="1"/>
  <c r="F77" i="9"/>
  <c r="G77" i="9" s="1"/>
  <c r="D71" i="39" s="1"/>
  <c r="F293" i="9"/>
  <c r="G293" i="9" s="1"/>
  <c r="D287" i="12" s="1"/>
  <c r="F40" i="9"/>
  <c r="G40" i="9" s="1"/>
  <c r="F35" i="25" s="1"/>
  <c r="F138" i="9"/>
  <c r="G138" i="9" s="1"/>
  <c r="D132" i="39" s="1"/>
  <c r="F51" i="9"/>
  <c r="G51" i="9" s="1"/>
  <c r="F46" i="25" s="1"/>
  <c r="F45" i="9"/>
  <c r="G45" i="9" s="1"/>
  <c r="F40" i="25" s="1"/>
  <c r="F110" i="9"/>
  <c r="G110" i="9" s="1"/>
  <c r="D104" i="39" s="1"/>
  <c r="F133" i="9"/>
  <c r="G133" i="9" s="1"/>
  <c r="D127" i="39" s="1"/>
  <c r="F156" i="9"/>
  <c r="G156" i="9" s="1"/>
  <c r="D150" i="12" s="1"/>
  <c r="F316" i="9"/>
  <c r="G316" i="9" s="1"/>
  <c r="F311" i="25" s="1"/>
  <c r="F271" i="9"/>
  <c r="G271" i="9" s="1"/>
  <c r="D265" i="12" s="1"/>
  <c r="F75" i="9"/>
  <c r="G75" i="9" s="1"/>
  <c r="F70" i="25" s="1"/>
  <c r="F106" i="9"/>
  <c r="G106" i="9" s="1"/>
  <c r="F101" i="25" s="1"/>
  <c r="F46" i="9"/>
  <c r="G46" i="9" s="1"/>
  <c r="D40" i="12" s="1"/>
  <c r="F204" i="9"/>
  <c r="G204" i="9" s="1"/>
  <c r="D198" i="39" s="1"/>
  <c r="F178" i="9"/>
  <c r="G178" i="9" s="1"/>
  <c r="F173" i="25" s="1"/>
  <c r="F18" i="9"/>
  <c r="G18" i="9" s="1"/>
  <c r="D12" i="39" s="1"/>
  <c r="F25" i="9"/>
  <c r="G25" i="9" s="1"/>
  <c r="D19" i="12" s="1"/>
  <c r="F276" i="9"/>
  <c r="G276" i="9" s="1"/>
  <c r="D270" i="39" s="1"/>
  <c r="F263" i="9"/>
  <c r="G263" i="9" s="1"/>
  <c r="F258" i="25" s="1"/>
  <c r="F140" i="9"/>
  <c r="G140" i="9" s="1"/>
  <c r="D134" i="39" s="1"/>
  <c r="F92" i="9"/>
  <c r="G92" i="9" s="1"/>
  <c r="F98" i="9"/>
  <c r="G98" i="9" s="1"/>
  <c r="D92" i="39" s="1"/>
  <c r="F264" i="9"/>
  <c r="G264" i="9" s="1"/>
  <c r="D258" i="39" s="1"/>
  <c r="F303" i="9"/>
  <c r="G303" i="9" s="1"/>
  <c r="D297" i="39" s="1"/>
  <c r="F150" i="9"/>
  <c r="G150" i="9" s="1"/>
  <c r="F145" i="25" s="1"/>
  <c r="F176" i="9"/>
  <c r="G176" i="9" s="1"/>
  <c r="D170" i="12" s="1"/>
  <c r="F16" i="9"/>
  <c r="G16" i="9" s="1"/>
  <c r="D10" i="12" s="1"/>
  <c r="F59" i="9"/>
  <c r="G59" i="9" s="1"/>
  <c r="F54" i="25" s="1"/>
  <c r="F89" i="9"/>
  <c r="G89" i="9" s="1"/>
  <c r="D83" i="12" s="1"/>
  <c r="F248" i="9"/>
  <c r="G248" i="9" s="1"/>
  <c r="D242" i="39" s="1"/>
  <c r="F158" i="9"/>
  <c r="G158" i="9" s="1"/>
  <c r="D152" i="12" s="1"/>
  <c r="F280" i="9"/>
  <c r="G280" i="9" s="1"/>
  <c r="D274" i="39" s="1"/>
  <c r="F306" i="9"/>
  <c r="G306" i="9" s="1"/>
  <c r="F239" i="9"/>
  <c r="G239" i="9" s="1"/>
  <c r="F234" i="25" s="1"/>
  <c r="F28" i="9"/>
  <c r="G28" i="9" s="1"/>
  <c r="F23" i="25" s="1"/>
  <c r="F249" i="9"/>
  <c r="G249" i="9" s="1"/>
  <c r="D243" i="39" s="1"/>
  <c r="F277" i="9"/>
  <c r="G277" i="9" s="1"/>
  <c r="D271" i="39" s="1"/>
  <c r="F240" i="9"/>
  <c r="G240" i="9" s="1"/>
  <c r="F235" i="25" s="1"/>
  <c r="F275" i="9"/>
  <c r="G275" i="9" s="1"/>
  <c r="D269" i="39" s="1"/>
  <c r="F265" i="9"/>
  <c r="G265" i="9" s="1"/>
  <c r="F260" i="25" s="1"/>
  <c r="F42" i="9"/>
  <c r="G42" i="9" s="1"/>
  <c r="F69" i="9"/>
  <c r="G69" i="9" s="1"/>
  <c r="F64" i="25" s="1"/>
  <c r="F67" i="9"/>
  <c r="G67" i="9" s="1"/>
  <c r="D61" i="39" s="1"/>
  <c r="F35" i="9"/>
  <c r="G35" i="9" s="1"/>
  <c r="D29" i="39" s="1"/>
  <c r="F290" i="9"/>
  <c r="G290" i="9" s="1"/>
  <c r="F86" i="9"/>
  <c r="G86" i="9" s="1"/>
  <c r="F81" i="25" s="1"/>
  <c r="F84" i="9"/>
  <c r="G84" i="9" s="1"/>
  <c r="D78" i="12" s="1"/>
  <c r="F93" i="9"/>
  <c r="G93" i="9" s="1"/>
  <c r="F88" i="25" s="1"/>
  <c r="F162" i="9"/>
  <c r="G162" i="9" s="1"/>
  <c r="D156" i="39" s="1"/>
  <c r="F122" i="9"/>
  <c r="G122" i="9" s="1"/>
  <c r="D116" i="39" s="1"/>
  <c r="F161" i="9"/>
  <c r="G161" i="9" s="1"/>
  <c r="F156" i="25" s="1"/>
  <c r="F57" i="9"/>
  <c r="G57" i="9" s="1"/>
  <c r="F52" i="25" s="1"/>
  <c r="F191" i="9"/>
  <c r="G191" i="9" s="1"/>
  <c r="F129" i="9"/>
  <c r="G129" i="9" s="1"/>
  <c r="D123" i="39" s="1"/>
  <c r="F291" i="9"/>
  <c r="G291" i="9" s="1"/>
  <c r="F20" i="9"/>
  <c r="G20" i="9" s="1"/>
  <c r="F15" i="25" s="1"/>
  <c r="F79" i="9"/>
  <c r="G79" i="9" s="1"/>
  <c r="F213" i="9"/>
  <c r="G213" i="9" s="1"/>
  <c r="D207" i="12" s="1"/>
  <c r="F74" i="9"/>
  <c r="G74" i="9" s="1"/>
  <c r="D68" i="39" s="1"/>
  <c r="F118" i="9"/>
  <c r="G118" i="9" s="1"/>
  <c r="F113" i="25" s="1"/>
  <c r="F154" i="9"/>
  <c r="G154" i="9" s="1"/>
  <c r="F301" i="9"/>
  <c r="G301" i="9" s="1"/>
  <c r="D295" i="12" s="1"/>
  <c r="F279" i="9"/>
  <c r="G279" i="9" s="1"/>
  <c r="D273" i="39" s="1"/>
  <c r="F312" i="9"/>
  <c r="G312" i="9" s="1"/>
  <c r="D306" i="12" s="1"/>
  <c r="F273" i="9"/>
  <c r="G273" i="9" s="1"/>
  <c r="D267" i="39" s="1"/>
  <c r="F170" i="9"/>
  <c r="G170" i="9" s="1"/>
  <c r="F165" i="25" s="1"/>
  <c r="F83" i="9"/>
  <c r="G83" i="9" s="1"/>
  <c r="F266" i="9"/>
  <c r="G266" i="9" s="1"/>
  <c r="D260" i="12" s="1"/>
  <c r="F115" i="9"/>
  <c r="G115" i="9" s="1"/>
  <c r="D109" i="12" s="1"/>
  <c r="F324" i="9"/>
  <c r="G324" i="9" s="1"/>
  <c r="F319" i="25" s="1"/>
  <c r="F111" i="9"/>
  <c r="G111" i="9" s="1"/>
  <c r="D105" i="12" s="1"/>
  <c r="F166" i="9"/>
  <c r="G166" i="9" s="1"/>
  <c r="F161" i="25" s="1"/>
  <c r="F128" i="9"/>
  <c r="G128" i="9" s="1"/>
  <c r="D122" i="39" s="1"/>
  <c r="F224" i="9"/>
  <c r="G224" i="9" s="1"/>
  <c r="D218" i="12" s="1"/>
  <c r="F94" i="9"/>
  <c r="G94" i="9" s="1"/>
  <c r="F89" i="25" s="1"/>
  <c r="F267" i="9"/>
  <c r="G267" i="9" s="1"/>
  <c r="D261" i="39" s="1"/>
  <c r="F302" i="9"/>
  <c r="G302" i="9" s="1"/>
  <c r="F259" i="9"/>
  <c r="G259" i="9" s="1"/>
  <c r="D253" i="39" s="1"/>
  <c r="F112" i="9"/>
  <c r="G112" i="9" s="1"/>
  <c r="D106" i="39" s="1"/>
  <c r="F258" i="9"/>
  <c r="G258" i="9" s="1"/>
  <c r="F253" i="25" s="1"/>
  <c r="F269" i="9"/>
  <c r="G269" i="9" s="1"/>
  <c r="F264" i="25" s="1"/>
  <c r="F206" i="9"/>
  <c r="G206" i="9" s="1"/>
  <c r="D200" i="12" s="1"/>
  <c r="F63" i="9"/>
  <c r="G63" i="9" s="1"/>
  <c r="D57" i="12" s="1"/>
  <c r="F147" i="9"/>
  <c r="G147" i="9" s="1"/>
  <c r="F142" i="25" s="1"/>
  <c r="F48" i="9"/>
  <c r="G48" i="9" s="1"/>
  <c r="D42" i="12" s="1"/>
  <c r="F37" i="9"/>
  <c r="G37" i="9" s="1"/>
  <c r="F32" i="25" s="1"/>
  <c r="F71" i="9"/>
  <c r="G71" i="9" s="1"/>
  <c r="F66" i="25" s="1"/>
  <c r="F27" i="9"/>
  <c r="G27" i="9" s="1"/>
  <c r="D21" i="39" s="1"/>
  <c r="F309" i="9"/>
  <c r="G309" i="9" s="1"/>
  <c r="F227" i="9"/>
  <c r="G227" i="9" s="1"/>
  <c r="F222" i="25" s="1"/>
  <c r="F155" i="9"/>
  <c r="G155" i="9" s="1"/>
  <c r="D149" i="39" s="1"/>
  <c r="F55" i="9"/>
  <c r="G55" i="9" s="1"/>
  <c r="F50" i="25" s="1"/>
  <c r="F194" i="9"/>
  <c r="G194" i="9" s="1"/>
  <c r="F189" i="25" s="1"/>
  <c r="F233" i="9"/>
  <c r="G233" i="9" s="1"/>
  <c r="D227" i="12" s="1"/>
  <c r="F173" i="9"/>
  <c r="G173" i="9" s="1"/>
  <c r="D167" i="12" s="1"/>
  <c r="F207" i="9"/>
  <c r="G207" i="9" s="1"/>
  <c r="D201" i="39" s="1"/>
  <c r="F252" i="9"/>
  <c r="G252" i="9" s="1"/>
  <c r="D246" i="39" s="1"/>
  <c r="F17" i="9"/>
  <c r="G17" i="9" s="1"/>
  <c r="F12" i="25" s="1"/>
  <c r="F288" i="9"/>
  <c r="G288" i="9" s="1"/>
  <c r="D282" i="12" s="1"/>
  <c r="F127" i="9"/>
  <c r="G127" i="9" s="1"/>
  <c r="D121" i="12" s="1"/>
  <c r="F236" i="9"/>
  <c r="G236" i="9" s="1"/>
  <c r="F231" i="25" s="1"/>
  <c r="F174" i="9"/>
  <c r="G174" i="9" s="1"/>
  <c r="D168" i="12" s="1"/>
  <c r="F300" i="9"/>
  <c r="G300" i="9" s="1"/>
  <c r="F295" i="25" s="1"/>
  <c r="O6" i="49"/>
  <c r="M6" i="25" s="1"/>
  <c r="M324" i="25" s="1"/>
  <c r="E48" i="48"/>
  <c r="F48" i="48" s="1"/>
  <c r="F50" i="48" s="1"/>
  <c r="D290" i="39"/>
  <c r="D319" i="12"/>
  <c r="F320" i="25"/>
  <c r="D140" i="12"/>
  <c r="F263" i="25"/>
  <c r="D313" i="12"/>
  <c r="D293" i="12"/>
  <c r="D248" i="39"/>
  <c r="F239" i="25"/>
  <c r="D238" i="39"/>
  <c r="D50" i="39"/>
  <c r="D50" i="12"/>
  <c r="D315" i="39"/>
  <c r="F316" i="25"/>
  <c r="D315" i="12"/>
  <c r="F154" i="25"/>
  <c r="D153" i="12"/>
  <c r="D153" i="39"/>
  <c r="F287" i="25"/>
  <c r="D186" i="12"/>
  <c r="D275" i="39"/>
  <c r="F276" i="25"/>
  <c r="D16" i="39"/>
  <c r="D256" i="39"/>
  <c r="F225" i="25"/>
  <c r="D224" i="12"/>
  <c r="F45" i="25"/>
  <c r="F60" i="25"/>
  <c r="D59" i="39"/>
  <c r="D59" i="12"/>
  <c r="D178" i="39"/>
  <c r="F178" i="25"/>
  <c r="D177" i="39"/>
  <c r="D177" i="12"/>
  <c r="F85" i="25"/>
  <c r="D275" i="12"/>
  <c r="F314" i="25"/>
  <c r="D226" i="39"/>
  <c r="D262" i="12"/>
  <c r="D238" i="12"/>
  <c r="C37" i="40"/>
  <c r="C38" i="40"/>
  <c r="G334" i="34"/>
  <c r="D248" i="12" l="1"/>
  <c r="F184" i="25"/>
  <c r="F181" i="25"/>
  <c r="F308" i="25"/>
  <c r="F305" i="25"/>
  <c r="F252" i="25"/>
  <c r="D305" i="12"/>
  <c r="D279" i="12"/>
  <c r="D304" i="39"/>
  <c r="D145" i="39"/>
  <c r="D91" i="12"/>
  <c r="D183" i="39"/>
  <c r="D175" i="39"/>
  <c r="D302" i="39"/>
  <c r="D226" i="12"/>
  <c r="D44" i="12"/>
  <c r="D178" i="12"/>
  <c r="D256" i="12"/>
  <c r="D16" i="12"/>
  <c r="D286" i="12"/>
  <c r="D140" i="39"/>
  <c r="D317" i="39"/>
  <c r="F294" i="25"/>
  <c r="F187" i="25"/>
  <c r="D302" i="12"/>
  <c r="D138" i="12"/>
  <c r="D171" i="12"/>
  <c r="F92" i="25"/>
  <c r="F139" i="25"/>
  <c r="D84" i="39"/>
  <c r="F251" i="25"/>
  <c r="D251" i="12"/>
  <c r="F280" i="25"/>
  <c r="D171" i="39"/>
  <c r="D235" i="12"/>
  <c r="D290" i="12"/>
  <c r="F146" i="25"/>
  <c r="D305" i="39"/>
  <c r="F236" i="25"/>
  <c r="D125" i="12"/>
  <c r="F126" i="25"/>
  <c r="F176" i="25"/>
  <c r="D143" i="12"/>
  <c r="D107" i="12"/>
  <c r="D9" i="39"/>
  <c r="D239" i="39"/>
  <c r="D250" i="39"/>
  <c r="D131" i="12"/>
  <c r="D197" i="12"/>
  <c r="F77" i="25"/>
  <c r="D9" i="12"/>
  <c r="D76" i="39"/>
  <c r="D107" i="39"/>
  <c r="F240" i="25"/>
  <c r="F323" i="25"/>
  <c r="F132" i="25"/>
  <c r="D180" i="39"/>
  <c r="D322" i="12"/>
  <c r="F144" i="25"/>
  <c r="D146" i="12"/>
  <c r="D199" i="12"/>
  <c r="D307" i="39"/>
  <c r="D146" i="39"/>
  <c r="F170" i="25"/>
  <c r="D179" i="12"/>
  <c r="D197" i="39"/>
  <c r="D169" i="12"/>
  <c r="F180" i="25"/>
  <c r="F200" i="25"/>
  <c r="D241" i="39"/>
  <c r="F177" i="25"/>
  <c r="F318" i="25"/>
  <c r="D97" i="12"/>
  <c r="F98" i="25"/>
  <c r="D184" i="12"/>
  <c r="F152" i="25"/>
  <c r="D89" i="12"/>
  <c r="D223" i="39"/>
  <c r="D134" i="12"/>
  <c r="F21" i="25"/>
  <c r="D126" i="12"/>
  <c r="F104" i="25"/>
  <c r="F30" i="25"/>
  <c r="D38" i="12"/>
  <c r="D212" i="39"/>
  <c r="F27" i="25"/>
  <c r="F75" i="25"/>
  <c r="F315" i="25"/>
  <c r="D35" i="12"/>
  <c r="F307" i="25"/>
  <c r="D47" i="12"/>
  <c r="F223" i="25"/>
  <c r="D312" i="12"/>
  <c r="F73" i="25"/>
  <c r="D274" i="12"/>
  <c r="D166" i="39"/>
  <c r="F244" i="25"/>
  <c r="D12" i="12"/>
  <c r="D48" i="12"/>
  <c r="D35" i="39"/>
  <c r="D213" i="39"/>
  <c r="D81" i="12"/>
  <c r="F151" i="25"/>
  <c r="D100" i="12"/>
  <c r="D6" i="39"/>
  <c r="D51" i="12"/>
  <c r="D201" i="12"/>
  <c r="D54" i="39"/>
  <c r="D194" i="12"/>
  <c r="F195" i="25"/>
  <c r="D126" i="39"/>
  <c r="D21" i="12"/>
  <c r="F279" i="25"/>
  <c r="D213" i="12"/>
  <c r="D103" i="39"/>
  <c r="F185" i="25"/>
  <c r="F135" i="25"/>
  <c r="F72" i="25"/>
  <c r="D297" i="12"/>
  <c r="D100" i="39"/>
  <c r="D150" i="39"/>
  <c r="D49" i="12"/>
  <c r="D47" i="39"/>
  <c r="F112" i="25"/>
  <c r="F97" i="25"/>
  <c r="D48" i="39"/>
  <c r="D228" i="39"/>
  <c r="F94" i="25"/>
  <c r="D192" i="12"/>
  <c r="D261" i="12"/>
  <c r="D20" i="12"/>
  <c r="F293" i="25"/>
  <c r="D96" i="39"/>
  <c r="D278" i="12"/>
  <c r="F206" i="25"/>
  <c r="F82" i="25"/>
  <c r="D30" i="12"/>
  <c r="D89" i="39"/>
  <c r="D212" i="12"/>
  <c r="D166" i="12"/>
  <c r="D29" i="12"/>
  <c r="F224" i="25"/>
  <c r="D222" i="39"/>
  <c r="D41" i="12"/>
  <c r="D53" i="39"/>
  <c r="F86" i="25"/>
  <c r="F25" i="25"/>
  <c r="D45" i="12"/>
  <c r="D243" i="12"/>
  <c r="F298" i="25"/>
  <c r="D266" i="39"/>
  <c r="D298" i="39"/>
  <c r="D38" i="39"/>
  <c r="D141" i="39"/>
  <c r="D292" i="12"/>
  <c r="D26" i="39"/>
  <c r="F31" i="25"/>
  <c r="D71" i="12"/>
  <c r="D112" i="12"/>
  <c r="D259" i="39"/>
  <c r="D24" i="39"/>
  <c r="D87" i="12"/>
  <c r="F7" i="25"/>
  <c r="D298" i="12"/>
  <c r="D85" i="12"/>
  <c r="D14" i="39"/>
  <c r="D94" i="12"/>
  <c r="F13" i="25"/>
  <c r="D314" i="39"/>
  <c r="D266" i="12"/>
  <c r="D94" i="39"/>
  <c r="D72" i="12"/>
  <c r="D74" i="12"/>
  <c r="D45" i="39"/>
  <c r="D176" i="39"/>
  <c r="D252" i="39"/>
  <c r="D151" i="39"/>
  <c r="F229" i="25"/>
  <c r="D93" i="12"/>
  <c r="D160" i="12"/>
  <c r="D192" i="39"/>
  <c r="D205" i="12"/>
  <c r="D111" i="12"/>
  <c r="D196" i="39"/>
  <c r="F275" i="25"/>
  <c r="D312" i="39"/>
  <c r="F55" i="25"/>
  <c r="D53" i="12"/>
  <c r="D27" i="12"/>
  <c r="F42" i="25"/>
  <c r="D75" i="12"/>
  <c r="D196" i="12"/>
  <c r="F28" i="25"/>
  <c r="F76" i="25"/>
  <c r="F242" i="25"/>
  <c r="F261" i="25"/>
  <c r="D51" i="39"/>
  <c r="F122" i="25"/>
  <c r="D276" i="12"/>
  <c r="F22" i="25"/>
  <c r="D309" i="39"/>
  <c r="F266" i="25"/>
  <c r="F271" i="25"/>
  <c r="D98" i="39"/>
  <c r="D242" i="12"/>
  <c r="D130" i="39"/>
  <c r="D216" i="39"/>
  <c r="F288" i="25"/>
  <c r="D209" i="12"/>
  <c r="F53" i="25"/>
  <c r="D95" i="12"/>
  <c r="F312" i="25"/>
  <c r="F96" i="25"/>
  <c r="F289" i="25"/>
  <c r="D195" i="12"/>
  <c r="F138" i="25"/>
  <c r="D236" i="12"/>
  <c r="F254" i="25"/>
  <c r="D311" i="39"/>
  <c r="F14" i="25"/>
  <c r="D63" i="39"/>
  <c r="F68" i="25"/>
  <c r="D157" i="12"/>
  <c r="D277" i="39"/>
  <c r="D70" i="39"/>
  <c r="F219" i="25"/>
  <c r="F296" i="25"/>
  <c r="F120" i="25"/>
  <c r="D129" i="12"/>
  <c r="F175" i="25"/>
  <c r="D34" i="39"/>
  <c r="D92" i="12"/>
  <c r="D227" i="39"/>
  <c r="D11" i="39"/>
  <c r="F196" i="25"/>
  <c r="D174" i="39"/>
  <c r="D70" i="12"/>
  <c r="F237" i="25"/>
  <c r="F24" i="25"/>
  <c r="F210" i="25"/>
  <c r="D64" i="39"/>
  <c r="F130" i="25"/>
  <c r="D216" i="12"/>
  <c r="F117" i="25"/>
  <c r="D52" i="12"/>
  <c r="D119" i="39"/>
  <c r="D233" i="39"/>
  <c r="D128" i="39"/>
  <c r="D316" i="39"/>
  <c r="D233" i="12"/>
  <c r="D116" i="12"/>
  <c r="F208" i="25"/>
  <c r="D299" i="39"/>
  <c r="D265" i="39"/>
  <c r="D34" i="12"/>
  <c r="D264" i="12"/>
  <c r="D299" i="12"/>
  <c r="D104" i="12"/>
  <c r="D234" i="12"/>
  <c r="F105" i="25"/>
  <c r="F317" i="25"/>
  <c r="D264" i="39"/>
  <c r="F99" i="25"/>
  <c r="D11" i="12"/>
  <c r="F93" i="25"/>
  <c r="D23" i="39"/>
  <c r="D18" i="39"/>
  <c r="F212" i="25"/>
  <c r="D139" i="12"/>
  <c r="F129" i="25"/>
  <c r="D288" i="12"/>
  <c r="D202" i="12"/>
  <c r="D31" i="39"/>
  <c r="D318" i="39"/>
  <c r="D295" i="39"/>
  <c r="D64" i="12"/>
  <c r="D120" i="12"/>
  <c r="D13" i="39"/>
  <c r="D63" i="12"/>
  <c r="D80" i="39"/>
  <c r="D270" i="12"/>
  <c r="D170" i="39"/>
  <c r="D276" i="39"/>
  <c r="D198" i="12"/>
  <c r="D220" i="39"/>
  <c r="F243" i="25"/>
  <c r="F292" i="25"/>
  <c r="F171" i="25"/>
  <c r="D62" i="12"/>
  <c r="D277" i="12"/>
  <c r="D137" i="12"/>
  <c r="D139" i="39"/>
  <c r="F310" i="25"/>
  <c r="D320" i="12"/>
  <c r="F201" i="25"/>
  <c r="D164" i="12"/>
  <c r="F121" i="25"/>
  <c r="F233" i="25"/>
  <c r="D291" i="12"/>
  <c r="D62" i="39"/>
  <c r="F9" i="25"/>
  <c r="F199" i="25"/>
  <c r="D220" i="12"/>
  <c r="D67" i="12"/>
  <c r="F302" i="25"/>
  <c r="D202" i="39"/>
  <c r="D18" i="12"/>
  <c r="D211" i="39"/>
  <c r="D39" i="39"/>
  <c r="D191" i="12"/>
  <c r="D301" i="12"/>
  <c r="D221" i="12"/>
  <c r="D318" i="12"/>
  <c r="D130" i="12"/>
  <c r="D232" i="12"/>
  <c r="D320" i="39"/>
  <c r="D80" i="12"/>
  <c r="D8" i="39"/>
  <c r="D273" i="12"/>
  <c r="D112" i="39"/>
  <c r="D121" i="39"/>
  <c r="D68" i="12"/>
  <c r="J4" i="11"/>
  <c r="N4" i="11"/>
  <c r="F59" i="25"/>
  <c r="D163" i="12"/>
  <c r="D229" i="12"/>
  <c r="F128" i="25"/>
  <c r="G11" i="9"/>
  <c r="F6" i="25" s="1"/>
  <c r="D101" i="12"/>
  <c r="F166" i="25"/>
  <c r="F259" i="25"/>
  <c r="D19" i="39"/>
  <c r="D173" i="39"/>
  <c r="D28" i="12"/>
  <c r="F57" i="25"/>
  <c r="F160" i="25"/>
  <c r="F283" i="25"/>
  <c r="F123" i="25"/>
  <c r="D17" i="39"/>
  <c r="D17" i="12"/>
  <c r="D144" i="39"/>
  <c r="F188" i="25"/>
  <c r="F159" i="25"/>
  <c r="D124" i="12"/>
  <c r="D152" i="39"/>
  <c r="D33" i="12"/>
  <c r="F47" i="25"/>
  <c r="D289" i="39"/>
  <c r="D79" i="12"/>
  <c r="D255" i="12"/>
  <c r="D231" i="39"/>
  <c r="F194" i="25"/>
  <c r="F190" i="25"/>
  <c r="D245" i="12"/>
  <c r="D40" i="39"/>
  <c r="F100" i="25"/>
  <c r="D110" i="12"/>
  <c r="D269" i="12"/>
  <c r="D188" i="12"/>
  <c r="D31" i="12"/>
  <c r="D218" i="39"/>
  <c r="F262" i="25"/>
  <c r="D221" i="39"/>
  <c r="D141" i="12"/>
  <c r="D200" i="39"/>
  <c r="D160" i="39"/>
  <c r="D260" i="39"/>
  <c r="D164" i="39"/>
  <c r="D306" i="39"/>
  <c r="D253" i="12"/>
  <c r="D123" i="12"/>
  <c r="D207" i="39"/>
  <c r="F228" i="25"/>
  <c r="D135" i="39"/>
  <c r="D219" i="12"/>
  <c r="D55" i="12"/>
  <c r="D215" i="12"/>
  <c r="D46" i="12"/>
  <c r="D281" i="12"/>
  <c r="F29" i="25"/>
  <c r="D219" i="39"/>
  <c r="F158" i="25"/>
  <c r="F273" i="25"/>
  <c r="D108" i="12"/>
  <c r="D215" i="39"/>
  <c r="D206" i="12"/>
  <c r="D58" i="39"/>
  <c r="F205" i="25"/>
  <c r="D159" i="12"/>
  <c r="F174" i="25"/>
  <c r="F56" i="25"/>
  <c r="F247" i="25"/>
  <c r="D246" i="12"/>
  <c r="D188" i="39"/>
  <c r="D310" i="12"/>
  <c r="F69" i="25"/>
  <c r="F272" i="25"/>
  <c r="D240" i="12"/>
  <c r="D69" i="12"/>
  <c r="D144" i="12"/>
  <c r="F20" i="25"/>
  <c r="D310" i="39"/>
  <c r="D132" i="12"/>
  <c r="D99" i="12"/>
  <c r="D7" i="12"/>
  <c r="D283" i="39"/>
  <c r="D225" i="12"/>
  <c r="D308" i="12"/>
  <c r="D101" i="39"/>
  <c r="D42" i="39"/>
  <c r="D106" i="12"/>
  <c r="D78" i="39"/>
  <c r="F84" i="25"/>
  <c r="D172" i="12"/>
  <c r="F136" i="25"/>
  <c r="F241" i="25"/>
  <c r="D69" i="39"/>
  <c r="D181" i="12"/>
  <c r="F281" i="25"/>
  <c r="D287" i="39"/>
  <c r="D113" i="39"/>
  <c r="D230" i="12"/>
  <c r="D168" i="39"/>
  <c r="D294" i="39"/>
  <c r="D294" i="12"/>
  <c r="D149" i="12"/>
  <c r="F150" i="25"/>
  <c r="D303" i="39"/>
  <c r="F304" i="25"/>
  <c r="F58" i="25"/>
  <c r="D57" i="39"/>
  <c r="D263" i="39"/>
  <c r="D263" i="12"/>
  <c r="D296" i="39"/>
  <c r="D296" i="12"/>
  <c r="D88" i="12"/>
  <c r="D88" i="39"/>
  <c r="D105" i="39"/>
  <c r="F106" i="25"/>
  <c r="F110" i="25"/>
  <c r="D109" i="39"/>
  <c r="D77" i="39"/>
  <c r="F78" i="25"/>
  <c r="F268" i="25"/>
  <c r="D267" i="12"/>
  <c r="F149" i="25"/>
  <c r="D148" i="39"/>
  <c r="D73" i="12"/>
  <c r="F74" i="25"/>
  <c r="D285" i="12"/>
  <c r="F286" i="25"/>
  <c r="F186" i="25"/>
  <c r="D185" i="39"/>
  <c r="F157" i="25"/>
  <c r="D156" i="12"/>
  <c r="D284" i="39"/>
  <c r="F285" i="25"/>
  <c r="F62" i="25"/>
  <c r="D61" i="12"/>
  <c r="D36" i="39"/>
  <c r="D36" i="12"/>
  <c r="D22" i="12"/>
  <c r="D22" i="39"/>
  <c r="D300" i="39"/>
  <c r="F301" i="25"/>
  <c r="F87" i="25"/>
  <c r="D86" i="12"/>
  <c r="D86" i="39"/>
  <c r="D257" i="12"/>
  <c r="D257" i="39"/>
  <c r="D244" i="39"/>
  <c r="D244" i="12"/>
  <c r="D203" i="39"/>
  <c r="D203" i="12"/>
  <c r="D32" i="39"/>
  <c r="F33" i="25"/>
  <c r="D208" i="39"/>
  <c r="D208" i="12"/>
  <c r="D147" i="12"/>
  <c r="D147" i="39"/>
  <c r="F148" i="25"/>
  <c r="F137" i="25"/>
  <c r="D136" i="12"/>
  <c r="F183" i="25"/>
  <c r="D182" i="39"/>
  <c r="D214" i="39"/>
  <c r="D214" i="12"/>
  <c r="D217" i="12"/>
  <c r="D217" i="39"/>
  <c r="D142" i="39"/>
  <c r="D142" i="12"/>
  <c r="D161" i="39"/>
  <c r="D161" i="12"/>
  <c r="F162" i="25"/>
  <c r="D43" i="39"/>
  <c r="D43" i="12"/>
  <c r="D82" i="39"/>
  <c r="F83" i="25"/>
  <c r="F238" i="25"/>
  <c r="D237" i="39"/>
  <c r="D66" i="39"/>
  <c r="F67" i="25"/>
  <c r="D66" i="12"/>
  <c r="F269" i="25"/>
  <c r="D268" i="39"/>
  <c r="D247" i="12"/>
  <c r="D247" i="39"/>
  <c r="D210" i="39"/>
  <c r="D210" i="12"/>
  <c r="F211" i="25"/>
  <c r="D154" i="12"/>
  <c r="D154" i="39"/>
  <c r="F155" i="25"/>
  <c r="D25" i="12"/>
  <c r="F26" i="25"/>
  <c r="D190" i="12"/>
  <c r="F191" i="25"/>
  <c r="F134" i="25"/>
  <c r="D133" i="39"/>
  <c r="F255" i="25"/>
  <c r="D254" i="12"/>
  <c r="F116" i="25"/>
  <c r="D115" i="12"/>
  <c r="F91" i="25"/>
  <c r="D90" i="12"/>
  <c r="F115" i="25"/>
  <c r="D114" i="39"/>
  <c r="D114" i="12"/>
  <c r="D37" i="39"/>
  <c r="D37" i="12"/>
  <c r="F38" i="25"/>
  <c r="F309" i="25"/>
  <c r="D165" i="12"/>
  <c r="F182" i="25"/>
  <c r="F103" i="25"/>
  <c r="D10" i="39"/>
  <c r="D190" i="39"/>
  <c r="D56" i="12"/>
  <c r="D229" i="39"/>
  <c r="D189" i="39"/>
  <c r="D193" i="12"/>
  <c r="F329" i="9"/>
  <c r="F282" i="25"/>
  <c r="F290" i="25"/>
  <c r="F80" i="25"/>
  <c r="D272" i="39"/>
  <c r="D255" i="39"/>
  <c r="F109" i="25"/>
  <c r="D231" i="12"/>
  <c r="F207" i="25"/>
  <c r="D204" i="39"/>
  <c r="F164" i="25"/>
  <c r="D245" i="39"/>
  <c r="F168" i="25"/>
  <c r="D282" i="39"/>
  <c r="D118" i="12"/>
  <c r="D15" i="39"/>
  <c r="D191" i="39"/>
  <c r="D73" i="39"/>
  <c r="F153" i="25"/>
  <c r="D90" i="39"/>
  <c r="F41" i="25"/>
  <c r="D127" i="12"/>
  <c r="F133" i="25"/>
  <c r="F118" i="25"/>
  <c r="F8" i="25"/>
  <c r="D187" i="39"/>
  <c r="F284" i="25"/>
  <c r="D158" i="12"/>
  <c r="D124" i="39"/>
  <c r="D225" i="39"/>
  <c r="D110" i="39"/>
  <c r="D258" i="12"/>
  <c r="F79" i="25"/>
  <c r="D155" i="39"/>
  <c r="D271" i="12"/>
  <c r="D65" i="12"/>
  <c r="D303" i="12"/>
  <c r="F43" i="25"/>
  <c r="F107" i="25"/>
  <c r="F297" i="25"/>
  <c r="D122" i="12"/>
  <c r="D77" i="12"/>
  <c r="F274" i="25"/>
  <c r="D148" i="12"/>
  <c r="D285" i="39"/>
  <c r="D284" i="12"/>
  <c r="F270" i="25"/>
  <c r="D300" i="12"/>
  <c r="D83" i="39"/>
  <c r="F11" i="25"/>
  <c r="D172" i="39"/>
  <c r="D39" i="12"/>
  <c r="F204" i="25"/>
  <c r="D15" i="12"/>
  <c r="F119" i="25"/>
  <c r="F37" i="25"/>
  <c r="D155" i="12"/>
  <c r="D117" i="39"/>
  <c r="D162" i="12"/>
  <c r="D280" i="12"/>
  <c r="D102" i="12"/>
  <c r="F163" i="25"/>
  <c r="D113" i="12"/>
  <c r="D65" i="39"/>
  <c r="D321" i="39"/>
  <c r="F250" i="25"/>
  <c r="D230" i="39"/>
  <c r="F34" i="25"/>
  <c r="F209" i="25"/>
  <c r="F322" i="25"/>
  <c r="D249" i="39"/>
  <c r="F248" i="25"/>
  <c r="F215" i="25"/>
  <c r="D185" i="12"/>
  <c r="D82" i="12"/>
  <c r="D167" i="39"/>
  <c r="D136" i="39"/>
  <c r="D49" i="39"/>
  <c r="D252" i="12"/>
  <c r="D14" i="12"/>
  <c r="D234" i="39"/>
  <c r="F124" i="25"/>
  <c r="D259" i="12"/>
  <c r="F202" i="25"/>
  <c r="D87" i="39"/>
  <c r="F169" i="25"/>
  <c r="O324" i="49"/>
  <c r="D60" i="12"/>
  <c r="F61" i="25"/>
  <c r="D60" i="39"/>
  <c r="D5" i="12"/>
  <c r="G15" i="34"/>
  <c r="H334" i="34"/>
  <c r="N65" i="11" l="1"/>
  <c r="N6" i="11"/>
  <c r="N232" i="11"/>
  <c r="N136" i="11"/>
  <c r="N304" i="11"/>
  <c r="N314" i="11"/>
  <c r="N278" i="11"/>
  <c r="N283" i="11"/>
  <c r="N119" i="11"/>
  <c r="N169" i="11"/>
  <c r="N179" i="11"/>
  <c r="N214" i="11"/>
  <c r="N267" i="11"/>
  <c r="N218" i="11"/>
  <c r="N280" i="11"/>
  <c r="N216" i="11"/>
  <c r="N195" i="11"/>
  <c r="N13" i="11"/>
  <c r="N150" i="11"/>
  <c r="N8" i="11"/>
  <c r="N251" i="11"/>
  <c r="N80" i="11"/>
  <c r="N24" i="11"/>
  <c r="N151" i="11"/>
  <c r="N9" i="11"/>
  <c r="N243" i="11"/>
  <c r="N190" i="11"/>
  <c r="N67" i="11"/>
  <c r="N291" i="11"/>
  <c r="N227" i="11"/>
  <c r="N266" i="11"/>
  <c r="N264" i="11"/>
  <c r="N183" i="11"/>
  <c r="N137" i="11"/>
  <c r="N177" i="11"/>
  <c r="N60" i="11"/>
  <c r="N114" i="11"/>
  <c r="N23" i="11"/>
  <c r="N233" i="11"/>
  <c r="N90" i="11"/>
  <c r="N225" i="11"/>
  <c r="N133" i="11"/>
  <c r="N106" i="11"/>
  <c r="N15" i="11"/>
  <c r="N201" i="11"/>
  <c r="N22" i="11"/>
  <c r="N82" i="11"/>
  <c r="N252" i="11"/>
  <c r="N20" i="11"/>
  <c r="N228" i="11"/>
  <c r="N255" i="11"/>
  <c r="N276" i="11"/>
  <c r="N110" i="11"/>
  <c r="N44" i="11"/>
  <c r="N58" i="11"/>
  <c r="N152" i="11"/>
  <c r="N145" i="11"/>
  <c r="N208" i="11"/>
  <c r="N249" i="11"/>
  <c r="N294" i="11"/>
  <c r="N109" i="11"/>
  <c r="N196" i="11"/>
  <c r="N205" i="11"/>
  <c r="N164" i="11"/>
  <c r="N242" i="11"/>
  <c r="N261" i="11"/>
  <c r="N317" i="11"/>
  <c r="N127" i="11"/>
  <c r="N281" i="11"/>
  <c r="N277" i="11"/>
  <c r="N262" i="11"/>
  <c r="N312" i="11"/>
  <c r="N134" i="11"/>
  <c r="N33" i="11"/>
  <c r="N198" i="11"/>
  <c r="N166" i="11"/>
  <c r="N315" i="11"/>
  <c r="N224" i="11"/>
  <c r="N286" i="11"/>
  <c r="N81" i="11"/>
  <c r="N155" i="11"/>
  <c r="N54" i="11"/>
  <c r="N107" i="11"/>
  <c r="N182" i="11"/>
  <c r="N29" i="11"/>
  <c r="N69" i="11"/>
  <c r="N248" i="11"/>
  <c r="N53" i="11"/>
  <c r="N93" i="11"/>
  <c r="N83" i="11"/>
  <c r="N158" i="11"/>
  <c r="N256" i="11"/>
  <c r="N206" i="11"/>
  <c r="N259" i="11"/>
  <c r="N318" i="11"/>
  <c r="N222" i="11"/>
  <c r="N219" i="11"/>
  <c r="N185" i="11"/>
  <c r="N254" i="11"/>
  <c r="N295" i="11"/>
  <c r="N307" i="11"/>
  <c r="N161" i="11"/>
  <c r="N105" i="11"/>
  <c r="N10" i="11"/>
  <c r="N86" i="11"/>
  <c r="N180" i="11"/>
  <c r="N40" i="11"/>
  <c r="N38" i="11"/>
  <c r="N167" i="11"/>
  <c r="N75" i="11"/>
  <c r="N85" i="11"/>
  <c r="N306" i="11"/>
  <c r="N143" i="11"/>
  <c r="N244" i="11"/>
  <c r="N320" i="11"/>
  <c r="N128" i="11"/>
  <c r="N247" i="11"/>
  <c r="N144" i="11"/>
  <c r="N34" i="11"/>
  <c r="N253" i="11"/>
  <c r="N63" i="11"/>
  <c r="N111" i="11"/>
  <c r="N92" i="11"/>
  <c r="N79" i="11"/>
  <c r="N154" i="11"/>
  <c r="N98" i="11"/>
  <c r="N11" i="11"/>
  <c r="N297" i="11"/>
  <c r="N263" i="11"/>
  <c r="N181" i="11"/>
  <c r="N125" i="11"/>
  <c r="N194" i="11"/>
  <c r="N290" i="11"/>
  <c r="N28" i="11"/>
  <c r="N273" i="11"/>
  <c r="N78" i="11"/>
  <c r="N26" i="11"/>
  <c r="N197" i="11"/>
  <c r="N210" i="11"/>
  <c r="N237" i="11"/>
  <c r="N204" i="11"/>
  <c r="N284" i="11"/>
  <c r="N96" i="11"/>
  <c r="N47" i="11"/>
  <c r="N186" i="11"/>
  <c r="N140" i="11"/>
  <c r="N74" i="11"/>
  <c r="N41" i="11"/>
  <c r="N64" i="11"/>
  <c r="N172" i="11"/>
  <c r="N212" i="11"/>
  <c r="N35" i="11"/>
  <c r="N282" i="11"/>
  <c r="N89" i="11"/>
  <c r="N303" i="11"/>
  <c r="N71" i="11"/>
  <c r="N226" i="11"/>
  <c r="N288" i="11"/>
  <c r="N240" i="11"/>
  <c r="N296" i="11"/>
  <c r="N211" i="11"/>
  <c r="N191" i="11"/>
  <c r="N139" i="11"/>
  <c r="N43" i="11"/>
  <c r="N257" i="11"/>
  <c r="N293" i="11"/>
  <c r="N313" i="11"/>
  <c r="N94" i="11"/>
  <c r="N163" i="11"/>
  <c r="N202" i="11"/>
  <c r="N62" i="11"/>
  <c r="N153" i="11"/>
  <c r="N215" i="11"/>
  <c r="N59" i="11"/>
  <c r="N319" i="11"/>
  <c r="N102" i="11"/>
  <c r="N311" i="11"/>
  <c r="N39" i="11"/>
  <c r="N117" i="11"/>
  <c r="N236" i="11"/>
  <c r="N45" i="11"/>
  <c r="N56" i="11"/>
  <c r="N147" i="11"/>
  <c r="N162" i="11"/>
  <c r="N299" i="11"/>
  <c r="N316" i="11"/>
  <c r="N91" i="11"/>
  <c r="N160" i="11"/>
  <c r="N120" i="11"/>
  <c r="N49" i="11"/>
  <c r="N30" i="11"/>
  <c r="N309" i="11"/>
  <c r="N12" i="11"/>
  <c r="N157" i="11"/>
  <c r="N199" i="11"/>
  <c r="N27" i="11"/>
  <c r="N220" i="11"/>
  <c r="N192" i="11"/>
  <c r="N265" i="11"/>
  <c r="N285" i="11"/>
  <c r="N300" i="11"/>
  <c r="N36" i="11"/>
  <c r="N84" i="11"/>
  <c r="N241" i="11"/>
  <c r="N32" i="11"/>
  <c r="N76" i="11"/>
  <c r="N230" i="11"/>
  <c r="N77" i="11"/>
  <c r="N132" i="11"/>
  <c r="N239" i="11"/>
  <c r="N193" i="11"/>
  <c r="N103" i="11"/>
  <c r="N122" i="11"/>
  <c r="N310" i="11"/>
  <c r="N213" i="11"/>
  <c r="N292" i="11"/>
  <c r="N173" i="11"/>
  <c r="N88" i="11"/>
  <c r="N209" i="11"/>
  <c r="N217" i="11"/>
  <c r="N46" i="11"/>
  <c r="N19" i="11"/>
  <c r="N52" i="11"/>
  <c r="N17" i="11"/>
  <c r="N258" i="11"/>
  <c r="N272" i="11"/>
  <c r="N51" i="11"/>
  <c r="N113" i="11"/>
  <c r="N126" i="11"/>
  <c r="N72" i="11"/>
  <c r="N274" i="11"/>
  <c r="N187" i="11"/>
  <c r="N176" i="11"/>
  <c r="N275" i="11"/>
  <c r="N279" i="11"/>
  <c r="N189" i="11"/>
  <c r="N138" i="11"/>
  <c r="N146" i="11"/>
  <c r="N178" i="11"/>
  <c r="N269" i="11"/>
  <c r="N188" i="11"/>
  <c r="N101" i="11"/>
  <c r="N141" i="11"/>
  <c r="N203" i="11"/>
  <c r="N171" i="11"/>
  <c r="N245" i="11"/>
  <c r="N235" i="11"/>
  <c r="N184" i="11"/>
  <c r="N156" i="11"/>
  <c r="N175" i="11"/>
  <c r="N104" i="11"/>
  <c r="N124" i="11"/>
  <c r="N68" i="11"/>
  <c r="N130" i="11"/>
  <c r="N66" i="11"/>
  <c r="N116" i="11"/>
  <c r="N16" i="11"/>
  <c r="N61" i="11"/>
  <c r="N142" i="11"/>
  <c r="N57" i="11"/>
  <c r="N31" i="11"/>
  <c r="N42" i="11"/>
  <c r="N271" i="11"/>
  <c r="N223" i="11"/>
  <c r="N250" i="11"/>
  <c r="N131" i="11"/>
  <c r="N55" i="11"/>
  <c r="N287" i="11"/>
  <c r="N123" i="11"/>
  <c r="N115" i="11"/>
  <c r="N238" i="11"/>
  <c r="N21" i="11"/>
  <c r="N95" i="11"/>
  <c r="N174" i="11"/>
  <c r="N37" i="11"/>
  <c r="N165" i="11"/>
  <c r="N221" i="11"/>
  <c r="N87" i="11"/>
  <c r="N97" i="11"/>
  <c r="N70" i="11"/>
  <c r="N302" i="11"/>
  <c r="N25" i="11"/>
  <c r="N118" i="11"/>
  <c r="N129" i="11"/>
  <c r="N135" i="11"/>
  <c r="N73" i="11"/>
  <c r="N200" i="11"/>
  <c r="N121" i="11"/>
  <c r="N246" i="11"/>
  <c r="N270" i="11"/>
  <c r="N99" i="11"/>
  <c r="N148" i="11"/>
  <c r="N231" i="11"/>
  <c r="N260" i="11"/>
  <c r="N229" i="11"/>
  <c r="N170" i="11"/>
  <c r="N207" i="11"/>
  <c r="N100" i="11"/>
  <c r="N50" i="11"/>
  <c r="N112" i="11"/>
  <c r="N268" i="11"/>
  <c r="N322" i="11"/>
  <c r="N298" i="11"/>
  <c r="N18" i="11"/>
  <c r="N289" i="11"/>
  <c r="N108" i="11"/>
  <c r="N14" i="11"/>
  <c r="N305" i="11"/>
  <c r="N48" i="11"/>
  <c r="N234" i="11"/>
  <c r="N159" i="11"/>
  <c r="N168" i="11"/>
  <c r="N308" i="11"/>
  <c r="N149" i="11"/>
  <c r="N301" i="11"/>
  <c r="N321" i="11"/>
  <c r="N7" i="11"/>
  <c r="N5" i="11"/>
  <c r="J9" i="11"/>
  <c r="J13" i="11"/>
  <c r="J17" i="11"/>
  <c r="J21" i="11"/>
  <c r="J25" i="11"/>
  <c r="J29" i="11"/>
  <c r="J33" i="11"/>
  <c r="J37" i="11"/>
  <c r="J41" i="11"/>
  <c r="J45" i="11"/>
  <c r="J49" i="11"/>
  <c r="J53" i="11"/>
  <c r="J57" i="11"/>
  <c r="J61" i="11"/>
  <c r="J65" i="11"/>
  <c r="J69" i="11"/>
  <c r="J73" i="11"/>
  <c r="J77" i="11"/>
  <c r="J81" i="11"/>
  <c r="J85" i="11"/>
  <c r="J89" i="11"/>
  <c r="J93" i="11"/>
  <c r="J97" i="11"/>
  <c r="J101" i="11"/>
  <c r="J105" i="11"/>
  <c r="J109" i="11"/>
  <c r="J113" i="11"/>
  <c r="J117" i="11"/>
  <c r="J121" i="11"/>
  <c r="J125" i="11"/>
  <c r="J129" i="11"/>
  <c r="J133" i="11"/>
  <c r="J137" i="11"/>
  <c r="J141" i="11"/>
  <c r="J145" i="11"/>
  <c r="J149" i="11"/>
  <c r="J153" i="11"/>
  <c r="J157" i="11"/>
  <c r="J161" i="11"/>
  <c r="J165" i="11"/>
  <c r="J169" i="11"/>
  <c r="J173" i="11"/>
  <c r="J177" i="11"/>
  <c r="J181" i="11"/>
  <c r="J185" i="11"/>
  <c r="J189" i="11"/>
  <c r="J193" i="11"/>
  <c r="J197" i="11"/>
  <c r="J201" i="11"/>
  <c r="J205" i="11"/>
  <c r="J209" i="11"/>
  <c r="J213" i="11"/>
  <c r="J217" i="11"/>
  <c r="J221" i="11"/>
  <c r="J225" i="11"/>
  <c r="J229" i="11"/>
  <c r="J233" i="11"/>
  <c r="J237" i="11"/>
  <c r="J241" i="11"/>
  <c r="J245" i="11"/>
  <c r="J249" i="11"/>
  <c r="J253" i="11"/>
  <c r="J257" i="11"/>
  <c r="J261" i="11"/>
  <c r="J265" i="11"/>
  <c r="J269" i="11"/>
  <c r="J273" i="11"/>
  <c r="J277" i="11"/>
  <c r="J281" i="11"/>
  <c r="J285" i="11"/>
  <c r="J289" i="11"/>
  <c r="J293" i="11"/>
  <c r="J297" i="11"/>
  <c r="J301" i="11"/>
  <c r="J6" i="11"/>
  <c r="J10" i="11"/>
  <c r="J14" i="11"/>
  <c r="J18" i="11"/>
  <c r="J22" i="11"/>
  <c r="J26" i="11"/>
  <c r="J30" i="11"/>
  <c r="J34" i="11"/>
  <c r="J38" i="11"/>
  <c r="J42" i="11"/>
  <c r="J46" i="11"/>
  <c r="J50" i="11"/>
  <c r="J54" i="11"/>
  <c r="J58" i="11"/>
  <c r="J62" i="11"/>
  <c r="J66" i="11"/>
  <c r="J70" i="11"/>
  <c r="J74" i="11"/>
  <c r="J78" i="11"/>
  <c r="J82" i="11"/>
  <c r="J86" i="11"/>
  <c r="J90" i="11"/>
  <c r="J94" i="11"/>
  <c r="J98" i="11"/>
  <c r="J102" i="11"/>
  <c r="J106" i="11"/>
  <c r="J110" i="11"/>
  <c r="J114" i="11"/>
  <c r="J118" i="11"/>
  <c r="J122" i="11"/>
  <c r="J126" i="11"/>
  <c r="J130" i="11"/>
  <c r="J134" i="11"/>
  <c r="J138" i="11"/>
  <c r="J142" i="11"/>
  <c r="J146" i="11"/>
  <c r="J150" i="11"/>
  <c r="J154" i="11"/>
  <c r="J158" i="11"/>
  <c r="J162" i="11"/>
  <c r="J166" i="11"/>
  <c r="J170" i="11"/>
  <c r="J174" i="11"/>
  <c r="J178" i="11"/>
  <c r="J182" i="11"/>
  <c r="J186" i="11"/>
  <c r="J190" i="11"/>
  <c r="J194" i="11"/>
  <c r="J198" i="11"/>
  <c r="J202" i="11"/>
  <c r="J206" i="11"/>
  <c r="J210" i="11"/>
  <c r="J214" i="11"/>
  <c r="J218" i="11"/>
  <c r="J222" i="11"/>
  <c r="J226" i="11"/>
  <c r="J230" i="11"/>
  <c r="J234" i="11"/>
  <c r="J238" i="11"/>
  <c r="J242" i="11"/>
  <c r="J246" i="11"/>
  <c r="J250" i="11"/>
  <c r="J254" i="11"/>
  <c r="J258" i="11"/>
  <c r="J262" i="11"/>
  <c r="J266" i="11"/>
  <c r="J270" i="11"/>
  <c r="J274" i="11"/>
  <c r="J278" i="11"/>
  <c r="J282" i="11"/>
  <c r="J286" i="11"/>
  <c r="J290" i="11"/>
  <c r="J294" i="11"/>
  <c r="J298" i="11"/>
  <c r="J302" i="11"/>
  <c r="J306" i="11"/>
  <c r="J310" i="11"/>
  <c r="J314" i="11"/>
  <c r="J318" i="11"/>
  <c r="J322" i="11"/>
  <c r="J7" i="11"/>
  <c r="J11" i="11"/>
  <c r="J15" i="11"/>
  <c r="J19" i="11"/>
  <c r="J23" i="11"/>
  <c r="J20" i="11"/>
  <c r="J31" i="11"/>
  <c r="J39" i="11"/>
  <c r="J47" i="11"/>
  <c r="J55" i="11"/>
  <c r="J63" i="11"/>
  <c r="J71" i="11"/>
  <c r="J79" i="11"/>
  <c r="J87" i="11"/>
  <c r="J95" i="11"/>
  <c r="J103" i="11"/>
  <c r="J111" i="11"/>
  <c r="J119" i="11"/>
  <c r="J135" i="11"/>
  <c r="J143" i="11"/>
  <c r="J151" i="11"/>
  <c r="J167" i="11"/>
  <c r="J183" i="11"/>
  <c r="J199" i="11"/>
  <c r="J223" i="11"/>
  <c r="J247" i="11"/>
  <c r="J263" i="11"/>
  <c r="J287" i="11"/>
  <c r="J303" i="11"/>
  <c r="J319" i="11"/>
  <c r="J24" i="11"/>
  <c r="J48" i="11"/>
  <c r="J64" i="11"/>
  <c r="J80" i="11"/>
  <c r="J104" i="11"/>
  <c r="J120" i="11"/>
  <c r="J136" i="11"/>
  <c r="J144" i="11"/>
  <c r="J160" i="11"/>
  <c r="J176" i="11"/>
  <c r="J192" i="11"/>
  <c r="J208" i="11"/>
  <c r="J224" i="11"/>
  <c r="J240" i="11"/>
  <c r="J256" i="11"/>
  <c r="J272" i="11"/>
  <c r="J288" i="11"/>
  <c r="J304" i="11"/>
  <c r="J315" i="11"/>
  <c r="J12" i="11"/>
  <c r="J35" i="11"/>
  <c r="J59" i="11"/>
  <c r="J75" i="11"/>
  <c r="J91" i="11"/>
  <c r="J99" i="11"/>
  <c r="J115" i="11"/>
  <c r="J131" i="11"/>
  <c r="J147" i="11"/>
  <c r="J163" i="11"/>
  <c r="J16" i="11"/>
  <c r="J28" i="11"/>
  <c r="J36" i="11"/>
  <c r="J44" i="11"/>
  <c r="J52" i="11"/>
  <c r="J60" i="11"/>
  <c r="J68" i="11"/>
  <c r="J76" i="11"/>
  <c r="J84" i="11"/>
  <c r="J92" i="11"/>
  <c r="J100" i="11"/>
  <c r="J108" i="11"/>
  <c r="J116" i="11"/>
  <c r="J124" i="11"/>
  <c r="J132" i="11"/>
  <c r="J140" i="11"/>
  <c r="J148" i="11"/>
  <c r="J156" i="11"/>
  <c r="J164" i="11"/>
  <c r="J172" i="11"/>
  <c r="J180" i="11"/>
  <c r="J188" i="11"/>
  <c r="O188" i="11" s="1"/>
  <c r="J196" i="11"/>
  <c r="J204" i="11"/>
  <c r="J212" i="11"/>
  <c r="J220" i="11"/>
  <c r="J228" i="11"/>
  <c r="J236" i="11"/>
  <c r="J244" i="11"/>
  <c r="J252" i="11"/>
  <c r="J260" i="11"/>
  <c r="J268" i="11"/>
  <c r="J276" i="11"/>
  <c r="J284" i="11"/>
  <c r="J292" i="11"/>
  <c r="J300" i="11"/>
  <c r="J307" i="11"/>
  <c r="J312" i="11"/>
  <c r="J317" i="11"/>
  <c r="J5" i="11"/>
  <c r="J127" i="11"/>
  <c r="J159" i="11"/>
  <c r="J175" i="11"/>
  <c r="J191" i="11"/>
  <c r="J207" i="11"/>
  <c r="J215" i="11"/>
  <c r="J231" i="11"/>
  <c r="J239" i="11"/>
  <c r="J255" i="11"/>
  <c r="J271" i="11"/>
  <c r="J279" i="11"/>
  <c r="J295" i="11"/>
  <c r="J308" i="11"/>
  <c r="J313" i="11"/>
  <c r="J8" i="11"/>
  <c r="J32" i="11"/>
  <c r="O32" i="11" s="1"/>
  <c r="J40" i="11"/>
  <c r="J56" i="11"/>
  <c r="J72" i="11"/>
  <c r="J88" i="11"/>
  <c r="J96" i="11"/>
  <c r="J112" i="11"/>
  <c r="J128" i="11"/>
  <c r="J152" i="11"/>
  <c r="J168" i="11"/>
  <c r="J184" i="11"/>
  <c r="J200" i="11"/>
  <c r="J216" i="11"/>
  <c r="J232" i="11"/>
  <c r="J248" i="11"/>
  <c r="J264" i="11"/>
  <c r="J280" i="11"/>
  <c r="J296" i="11"/>
  <c r="J309" i="11"/>
  <c r="J320" i="11"/>
  <c r="J27" i="11"/>
  <c r="J43" i="11"/>
  <c r="J51" i="11"/>
  <c r="J67" i="11"/>
  <c r="J83" i="11"/>
  <c r="J107" i="11"/>
  <c r="J123" i="11"/>
  <c r="J139" i="11"/>
  <c r="J155" i="11"/>
  <c r="J171" i="11"/>
  <c r="J219" i="11"/>
  <c r="J195" i="11"/>
  <c r="J227" i="11"/>
  <c r="J259" i="11"/>
  <c r="J291" i="11"/>
  <c r="O291" i="11" s="1"/>
  <c r="P291" i="11" s="1"/>
  <c r="F291" i="12" s="1"/>
  <c r="J316" i="11"/>
  <c r="J203" i="11"/>
  <c r="J235" i="11"/>
  <c r="J267" i="11"/>
  <c r="J299" i="11"/>
  <c r="J321" i="11"/>
  <c r="J179" i="11"/>
  <c r="J211" i="11"/>
  <c r="J243" i="11"/>
  <c r="J275" i="11"/>
  <c r="J305" i="11"/>
  <c r="O305" i="11" s="1"/>
  <c r="J187" i="11"/>
  <c r="J251" i="11"/>
  <c r="J283" i="11"/>
  <c r="J311" i="11"/>
  <c r="D5" i="39"/>
  <c r="E34" i="48"/>
  <c r="G329" i="9"/>
  <c r="D323" i="12" s="1"/>
  <c r="O302" i="11" l="1"/>
  <c r="O233" i="11"/>
  <c r="H234" i="25" s="1"/>
  <c r="O62" i="11"/>
  <c r="H63" i="25" s="1"/>
  <c r="O164" i="11"/>
  <c r="P164" i="11" s="1"/>
  <c r="O251" i="11"/>
  <c r="H252" i="25" s="1"/>
  <c r="O244" i="11"/>
  <c r="P244" i="11" s="1"/>
  <c r="O120" i="11"/>
  <c r="H121" i="25" s="1"/>
  <c r="O226" i="11"/>
  <c r="P226" i="11" s="1"/>
  <c r="F226" i="39" s="1"/>
  <c r="O121" i="11"/>
  <c r="H122" i="25" s="1"/>
  <c r="O217" i="11"/>
  <c r="P217" i="11" s="1"/>
  <c r="O94" i="11"/>
  <c r="P94" i="11" s="1"/>
  <c r="O295" i="11"/>
  <c r="H296" i="25" s="1"/>
  <c r="O285" i="11"/>
  <c r="H286" i="25" s="1"/>
  <c r="O276" i="11"/>
  <c r="P276" i="11" s="1"/>
  <c r="F276" i="39" s="1"/>
  <c r="O227" i="11"/>
  <c r="P227" i="11" s="1"/>
  <c r="F227" i="12" s="1"/>
  <c r="O174" i="11"/>
  <c r="P174" i="11" s="1"/>
  <c r="F174" i="39" s="1"/>
  <c r="O46" i="11"/>
  <c r="P46" i="11" s="1"/>
  <c r="O30" i="11"/>
  <c r="H31" i="25" s="1"/>
  <c r="O240" i="11"/>
  <c r="H241" i="25" s="1"/>
  <c r="O11" i="11"/>
  <c r="H12" i="25" s="1"/>
  <c r="O286" i="11"/>
  <c r="H287" i="25" s="1"/>
  <c r="O321" i="11"/>
  <c r="H322" i="25" s="1"/>
  <c r="O271" i="11"/>
  <c r="H272" i="25" s="1"/>
  <c r="O38" i="11"/>
  <c r="P38" i="11" s="1"/>
  <c r="O108" i="11"/>
  <c r="H109" i="25" s="1"/>
  <c r="O270" i="11"/>
  <c r="P270" i="11" s="1"/>
  <c r="O19" i="11"/>
  <c r="H20" i="25" s="1"/>
  <c r="O88" i="11"/>
  <c r="H89" i="25" s="1"/>
  <c r="O76" i="11"/>
  <c r="P76" i="11" s="1"/>
  <c r="F76" i="39" s="1"/>
  <c r="O98" i="11"/>
  <c r="P98" i="11" s="1"/>
  <c r="O268" i="11"/>
  <c r="H269" i="25" s="1"/>
  <c r="O63" i="11"/>
  <c r="P63" i="11" s="1"/>
  <c r="O93" i="11"/>
  <c r="P93" i="11" s="1"/>
  <c r="O183" i="11"/>
  <c r="P183" i="11" s="1"/>
  <c r="O54" i="11"/>
  <c r="P54" i="11" s="1"/>
  <c r="F54" i="39" s="1"/>
  <c r="O182" i="11"/>
  <c r="H183" i="25" s="1"/>
  <c r="O189" i="11"/>
  <c r="H190" i="25" s="1"/>
  <c r="O232" i="11"/>
  <c r="H233" i="25" s="1"/>
  <c r="O173" i="11"/>
  <c r="P173" i="11" s="1"/>
  <c r="O259" i="11"/>
  <c r="P259" i="11" s="1"/>
  <c r="O289" i="11"/>
  <c r="H290" i="25" s="1"/>
  <c r="O221" i="11"/>
  <c r="P221" i="11" s="1"/>
  <c r="O66" i="11"/>
  <c r="P66" i="11" s="1"/>
  <c r="O92" i="11"/>
  <c r="H93" i="25" s="1"/>
  <c r="O231" i="11"/>
  <c r="H232" i="25" s="1"/>
  <c r="O149" i="11"/>
  <c r="P149" i="11" s="1"/>
  <c r="F149" i="12" s="1"/>
  <c r="O187" i="11"/>
  <c r="P187" i="11" s="1"/>
  <c r="O49" i="11"/>
  <c r="P49" i="11" s="1"/>
  <c r="O313" i="11"/>
  <c r="P313" i="11" s="1"/>
  <c r="O198" i="11"/>
  <c r="H199" i="25" s="1"/>
  <c r="O157" i="11"/>
  <c r="P157" i="11" s="1"/>
  <c r="O308" i="11"/>
  <c r="H309" i="25" s="1"/>
  <c r="O178" i="11"/>
  <c r="H179" i="25" s="1"/>
  <c r="O250" i="11"/>
  <c r="P250" i="11" s="1"/>
  <c r="F250" i="12" s="1"/>
  <c r="O298" i="11"/>
  <c r="H299" i="25" s="1"/>
  <c r="O21" i="11"/>
  <c r="H22" i="25" s="1"/>
  <c r="O80" i="11"/>
  <c r="H81" i="25" s="1"/>
  <c r="O319" i="11"/>
  <c r="H320" i="25" s="1"/>
  <c r="O272" i="11"/>
  <c r="H273" i="25" s="1"/>
  <c r="O230" i="11"/>
  <c r="P230" i="11" s="1"/>
  <c r="O131" i="11"/>
  <c r="P131" i="11" s="1"/>
  <c r="O151" i="11"/>
  <c r="H152" i="25" s="1"/>
  <c r="O170" i="11"/>
  <c r="P170" i="11" s="1"/>
  <c r="O133" i="11"/>
  <c r="P133" i="11" s="1"/>
  <c r="O235" i="11"/>
  <c r="H236" i="25" s="1"/>
  <c r="O277" i="11"/>
  <c r="H278" i="25" s="1"/>
  <c r="O282" i="11"/>
  <c r="H283" i="25" s="1"/>
  <c r="O55" i="11"/>
  <c r="H56" i="25" s="1"/>
  <c r="O79" i="11"/>
  <c r="P79" i="11" s="1"/>
  <c r="O107" i="11"/>
  <c r="H108" i="25" s="1"/>
  <c r="O243" i="11"/>
  <c r="P243" i="11" s="1"/>
  <c r="O116" i="11"/>
  <c r="H117" i="25" s="1"/>
  <c r="O99" i="11"/>
  <c r="P99" i="11" s="1"/>
  <c r="F99" i="39" s="1"/>
  <c r="O117" i="11"/>
  <c r="P117" i="11" s="1"/>
  <c r="F117" i="12" s="1"/>
  <c r="O162" i="11"/>
  <c r="P162" i="11" s="1"/>
  <c r="O123" i="11"/>
  <c r="H124" i="25" s="1"/>
  <c r="O90" i="11"/>
  <c r="H91" i="25" s="1"/>
  <c r="O219" i="11"/>
  <c r="P219" i="11" s="1"/>
  <c r="O24" i="11"/>
  <c r="P24" i="11" s="1"/>
  <c r="O169" i="11"/>
  <c r="P169" i="11" s="1"/>
  <c r="O317" i="11"/>
  <c r="P317" i="11" s="1"/>
  <c r="O252" i="11"/>
  <c r="H253" i="25" s="1"/>
  <c r="O214" i="11"/>
  <c r="H215" i="25" s="1"/>
  <c r="O218" i="11"/>
  <c r="H219" i="25" s="1"/>
  <c r="O125" i="11"/>
  <c r="P125" i="11" s="1"/>
  <c r="O229" i="11"/>
  <c r="P229" i="11" s="1"/>
  <c r="F229" i="12" s="1"/>
  <c r="O196" i="11"/>
  <c r="P196" i="11" s="1"/>
  <c r="F196" i="39" s="1"/>
  <c r="O82" i="11"/>
  <c r="H83" i="25" s="1"/>
  <c r="O102" i="11"/>
  <c r="H103" i="25" s="1"/>
  <c r="O143" i="11"/>
  <c r="P143" i="11" s="1"/>
  <c r="O18" i="11"/>
  <c r="H19" i="25" s="1"/>
  <c r="O71" i="11"/>
  <c r="P71" i="11" s="1"/>
  <c r="O68" i="11"/>
  <c r="H69" i="25" s="1"/>
  <c r="O279" i="11"/>
  <c r="P279" i="11" s="1"/>
  <c r="O203" i="11"/>
  <c r="H204" i="25" s="1"/>
  <c r="O256" i="11"/>
  <c r="P256" i="11" s="1"/>
  <c r="O191" i="11"/>
  <c r="H192" i="25" s="1"/>
  <c r="O254" i="11"/>
  <c r="H255" i="25" s="1"/>
  <c r="O304" i="11"/>
  <c r="P304" i="11" s="1"/>
  <c r="O97" i="11"/>
  <c r="P97" i="11" s="1"/>
  <c r="O132" i="11"/>
  <c r="H133" i="25" s="1"/>
  <c r="O53" i="11"/>
  <c r="P53" i="11" s="1"/>
  <c r="F53" i="12" s="1"/>
  <c r="O248" i="11"/>
  <c r="P248" i="11" s="1"/>
  <c r="O239" i="11"/>
  <c r="P239" i="11" s="1"/>
  <c r="O158" i="11"/>
  <c r="P158" i="11" s="1"/>
  <c r="F158" i="39" s="1"/>
  <c r="O87" i="11"/>
  <c r="P87" i="11" s="1"/>
  <c r="O310" i="11"/>
  <c r="H311" i="25" s="1"/>
  <c r="O31" i="11"/>
  <c r="P31" i="11" s="1"/>
  <c r="O193" i="11"/>
  <c r="H194" i="25" s="1"/>
  <c r="O20" i="11"/>
  <c r="P20" i="11" s="1"/>
  <c r="O81" i="11"/>
  <c r="P81" i="11" s="1"/>
  <c r="O202" i="11"/>
  <c r="P202" i="11" s="1"/>
  <c r="O37" i="11"/>
  <c r="H38" i="25" s="1"/>
  <c r="O211" i="11"/>
  <c r="H212" i="25" s="1"/>
  <c r="O176" i="11"/>
  <c r="H177" i="25" s="1"/>
  <c r="O145" i="11"/>
  <c r="P145" i="11" s="1"/>
  <c r="O8" i="11"/>
  <c r="P8" i="11" s="1"/>
  <c r="O75" i="11"/>
  <c r="P75" i="11" s="1"/>
  <c r="F75" i="12" s="1"/>
  <c r="O100" i="11"/>
  <c r="H101" i="25" s="1"/>
  <c r="O263" i="11"/>
  <c r="H264" i="25" s="1"/>
  <c r="O119" i="11"/>
  <c r="H120" i="25" s="1"/>
  <c r="O142" i="11"/>
  <c r="P142" i="11" s="1"/>
  <c r="O89" i="11"/>
  <c r="H90" i="25" s="1"/>
  <c r="O180" i="11"/>
  <c r="H181" i="25" s="1"/>
  <c r="O303" i="11"/>
  <c r="P303" i="11" s="1"/>
  <c r="O314" i="11"/>
  <c r="P314" i="11" s="1"/>
  <c r="O290" i="11"/>
  <c r="H291" i="25" s="1"/>
  <c r="O60" i="11"/>
  <c r="P60" i="11" s="1"/>
  <c r="O44" i="11"/>
  <c r="H45" i="25" s="1"/>
  <c r="O146" i="11"/>
  <c r="H147" i="25" s="1"/>
  <c r="O74" i="11"/>
  <c r="P74" i="11" s="1"/>
  <c r="O179" i="11"/>
  <c r="H180" i="25" s="1"/>
  <c r="O210" i="11"/>
  <c r="H211" i="25" s="1"/>
  <c r="O50" i="11"/>
  <c r="H51" i="25" s="1"/>
  <c r="O197" i="11"/>
  <c r="H198" i="25" s="1"/>
  <c r="O322" i="11"/>
  <c r="H323" i="25" s="1"/>
  <c r="O200" i="11"/>
  <c r="P200" i="11" s="1"/>
  <c r="O307" i="11"/>
  <c r="H308" i="25" s="1"/>
  <c r="O61" i="11"/>
  <c r="P61" i="11" s="1"/>
  <c r="O25" i="11"/>
  <c r="P25" i="11" s="1"/>
  <c r="O318" i="11"/>
  <c r="P318" i="11" s="1"/>
  <c r="O114" i="11"/>
  <c r="P114" i="11" s="1"/>
  <c r="O320" i="11"/>
  <c r="P320" i="11" s="1"/>
  <c r="F320" i="12" s="1"/>
  <c r="O236" i="11"/>
  <c r="P236" i="11" s="1"/>
  <c r="O15" i="11"/>
  <c r="O160" i="11"/>
  <c r="P160" i="11" s="1"/>
  <c r="F160" i="12" s="1"/>
  <c r="O106" i="11"/>
  <c r="H107" i="25" s="1"/>
  <c r="O13" i="11"/>
  <c r="O266" i="11"/>
  <c r="P266" i="11" s="1"/>
  <c r="O39" i="11"/>
  <c r="H40" i="25" s="1"/>
  <c r="O181" i="11"/>
  <c r="H182" i="25" s="1"/>
  <c r="O253" i="11"/>
  <c r="H254" i="25" s="1"/>
  <c r="O69" i="11"/>
  <c r="P69" i="11" s="1"/>
  <c r="O10" i="11"/>
  <c r="O72" i="11"/>
  <c r="P72" i="11" s="1"/>
  <c r="F72" i="12" s="1"/>
  <c r="O152" i="11"/>
  <c r="H153" i="25" s="1"/>
  <c r="O301" i="11"/>
  <c r="P301" i="11" s="1"/>
  <c r="O194" i="11"/>
  <c r="H195" i="25" s="1"/>
  <c r="O312" i="11"/>
  <c r="H313" i="25" s="1"/>
  <c r="O296" i="11"/>
  <c r="H297" i="25" s="1"/>
  <c r="O287" i="11"/>
  <c r="H288" i="25" s="1"/>
  <c r="O139" i="11"/>
  <c r="H140" i="25" s="1"/>
  <c r="O103" i="11"/>
  <c r="P103" i="11" s="1"/>
  <c r="O306" i="11"/>
  <c r="H307" i="25" s="1"/>
  <c r="O6" i="11"/>
  <c r="O156" i="11"/>
  <c r="H157" i="25" s="1"/>
  <c r="O228" i="11"/>
  <c r="P228" i="11" s="1"/>
  <c r="O154" i="11"/>
  <c r="H155" i="25" s="1"/>
  <c r="O207" i="11"/>
  <c r="P207" i="11" s="1"/>
  <c r="F207" i="12" s="1"/>
  <c r="O267" i="11"/>
  <c r="P267" i="11" s="1"/>
  <c r="O22" i="11"/>
  <c r="P22" i="11" s="1"/>
  <c r="O138" i="11"/>
  <c r="P138" i="11" s="1"/>
  <c r="O184" i="11"/>
  <c r="P184" i="11" s="1"/>
  <c r="O293" i="11"/>
  <c r="P293" i="11" s="1"/>
  <c r="O186" i="11"/>
  <c r="P186" i="11" s="1"/>
  <c r="F186" i="39" s="1"/>
  <c r="O26" i="11"/>
  <c r="H27" i="25" s="1"/>
  <c r="O177" i="11"/>
  <c r="P177" i="11" s="1"/>
  <c r="O237" i="11"/>
  <c r="P237" i="11" s="1"/>
  <c r="O16" i="11"/>
  <c r="O278" i="11"/>
  <c r="H279" i="25" s="1"/>
  <c r="O147" i="11"/>
  <c r="P147" i="11" s="1"/>
  <c r="O91" i="11"/>
  <c r="P91" i="11" s="1"/>
  <c r="F91" i="12" s="1"/>
  <c r="O150" i="11"/>
  <c r="P150" i="11" s="1"/>
  <c r="O223" i="11"/>
  <c r="P223" i="11" s="1"/>
  <c r="O23" i="11"/>
  <c r="H24" i="25" s="1"/>
  <c r="O247" i="11"/>
  <c r="P247" i="11" s="1"/>
  <c r="F247" i="39" s="1"/>
  <c r="O12" i="11"/>
  <c r="O56" i="11"/>
  <c r="P56" i="11" s="1"/>
  <c r="O264" i="11"/>
  <c r="H265" i="25" s="1"/>
  <c r="O225" i="11"/>
  <c r="H226" i="25" s="1"/>
  <c r="O78" i="11"/>
  <c r="P78" i="11" s="1"/>
  <c r="F78" i="12" s="1"/>
  <c r="O77" i="11"/>
  <c r="P77" i="11" s="1"/>
  <c r="O222" i="11"/>
  <c r="H223" i="25" s="1"/>
  <c r="O220" i="11"/>
  <c r="P220" i="11" s="1"/>
  <c r="F220" i="39" s="1"/>
  <c r="O315" i="11"/>
  <c r="P315" i="11" s="1"/>
  <c r="O212" i="11"/>
  <c r="H213" i="25" s="1"/>
  <c r="O192" i="11"/>
  <c r="P192" i="11" s="1"/>
  <c r="O58" i="11"/>
  <c r="P58" i="11" s="1"/>
  <c r="O234" i="11"/>
  <c r="P234" i="11" s="1"/>
  <c r="O127" i="11"/>
  <c r="P127" i="11" s="1"/>
  <c r="F127" i="12" s="1"/>
  <c r="O155" i="11"/>
  <c r="H156" i="25" s="1"/>
  <c r="O126" i="11"/>
  <c r="P126" i="11" s="1"/>
  <c r="O140" i="11"/>
  <c r="H141" i="25" s="1"/>
  <c r="O67" i="11"/>
  <c r="P67" i="11" s="1"/>
  <c r="O118" i="11"/>
  <c r="H119" i="25" s="1"/>
  <c r="O205" i="11"/>
  <c r="H206" i="25" s="1"/>
  <c r="O5" i="11"/>
  <c r="O195" i="11"/>
  <c r="H196" i="25" s="1"/>
  <c r="O73" i="11"/>
  <c r="H74" i="25" s="1"/>
  <c r="O260" i="11"/>
  <c r="H261" i="25" s="1"/>
  <c r="O300" i="11"/>
  <c r="H301" i="25" s="1"/>
  <c r="O159" i="11"/>
  <c r="H160" i="25" s="1"/>
  <c r="O209" i="11"/>
  <c r="P209" i="11" s="1"/>
  <c r="O65" i="11"/>
  <c r="P65" i="11" s="1"/>
  <c r="O281" i="11"/>
  <c r="P281" i="11" s="1"/>
  <c r="O284" i="11"/>
  <c r="P284" i="11" s="1"/>
  <c r="O168" i="11"/>
  <c r="H169" i="25" s="1"/>
  <c r="O213" i="11"/>
  <c r="P213" i="11" s="1"/>
  <c r="O283" i="11"/>
  <c r="P283" i="11" s="1"/>
  <c r="F283" i="39" s="1"/>
  <c r="O101" i="11"/>
  <c r="P101" i="11" s="1"/>
  <c r="O105" i="11"/>
  <c r="H106" i="25" s="1"/>
  <c r="O86" i="11"/>
  <c r="H87" i="25" s="1"/>
  <c r="O204" i="11"/>
  <c r="P204" i="11" s="1"/>
  <c r="O242" i="11"/>
  <c r="H243" i="25" s="1"/>
  <c r="O167" i="11"/>
  <c r="P167" i="11" s="1"/>
  <c r="F167" i="12" s="1"/>
  <c r="O190" i="11"/>
  <c r="P190" i="11" s="1"/>
  <c r="F190" i="12" s="1"/>
  <c r="O165" i="11"/>
  <c r="P165" i="11" s="1"/>
  <c r="O274" i="11"/>
  <c r="P274" i="11" s="1"/>
  <c r="O288" i="11"/>
  <c r="H289" i="25" s="1"/>
  <c r="O14" i="11"/>
  <c r="O262" i="11"/>
  <c r="H263" i="25" s="1"/>
  <c r="O34" i="11"/>
  <c r="P34" i="11" s="1"/>
  <c r="O43" i="11"/>
  <c r="H44" i="25" s="1"/>
  <c r="O208" i="11"/>
  <c r="H209" i="25" s="1"/>
  <c r="O128" i="11"/>
  <c r="H129" i="25" s="1"/>
  <c r="O95" i="11"/>
  <c r="P95" i="11" s="1"/>
  <c r="O166" i="11"/>
  <c r="P166" i="11" s="1"/>
  <c r="F166" i="12" s="1"/>
  <c r="O241" i="11"/>
  <c r="H242" i="25" s="1"/>
  <c r="O216" i="11"/>
  <c r="H217" i="25" s="1"/>
  <c r="O42" i="11"/>
  <c r="P42" i="11" s="1"/>
  <c r="F42" i="39" s="1"/>
  <c r="O137" i="11"/>
  <c r="H138" i="25" s="1"/>
  <c r="O40" i="11"/>
  <c r="P40" i="11" s="1"/>
  <c r="O33" i="11"/>
  <c r="H34" i="25" s="1"/>
  <c r="O172" i="11"/>
  <c r="H173" i="25" s="1"/>
  <c r="O280" i="11"/>
  <c r="P280" i="11" s="1"/>
  <c r="F280" i="39" s="1"/>
  <c r="O109" i="11"/>
  <c r="P109" i="11" s="1"/>
  <c r="O135" i="11"/>
  <c r="P135" i="11" s="1"/>
  <c r="O199" i="11"/>
  <c r="P199" i="11" s="1"/>
  <c r="O28" i="11"/>
  <c r="P28" i="11" s="1"/>
  <c r="O257" i="11"/>
  <c r="P257" i="11" s="1"/>
  <c r="O297" i="11"/>
  <c r="H298" i="25" s="1"/>
  <c r="O124" i="11"/>
  <c r="P124" i="11" s="1"/>
  <c r="F124" i="39" s="1"/>
  <c r="O35" i="11"/>
  <c r="P35" i="11" s="1"/>
  <c r="O299" i="11"/>
  <c r="P299" i="11" s="1"/>
  <c r="O29" i="11"/>
  <c r="P29" i="11" s="1"/>
  <c r="O245" i="11"/>
  <c r="P245" i="11" s="1"/>
  <c r="F245" i="39" s="1"/>
  <c r="O111" i="11"/>
  <c r="H112" i="25" s="1"/>
  <c r="O153" i="11"/>
  <c r="H154" i="25" s="1"/>
  <c r="O122" i="11"/>
  <c r="H123" i="25" s="1"/>
  <c r="O51" i="11"/>
  <c r="P51" i="11" s="1"/>
  <c r="O52" i="11"/>
  <c r="P52" i="11" s="1"/>
  <c r="O7" i="11"/>
  <c r="O41" i="11"/>
  <c r="H42" i="25" s="1"/>
  <c r="O85" i="11"/>
  <c r="H86" i="25" s="1"/>
  <c r="O141" i="11"/>
  <c r="P141" i="11" s="1"/>
  <c r="F141" i="39" s="1"/>
  <c r="O83" i="11"/>
  <c r="P83" i="11" s="1"/>
  <c r="O130" i="11"/>
  <c r="P130" i="11" s="1"/>
  <c r="O246" i="11"/>
  <c r="P246" i="11" s="1"/>
  <c r="O104" i="11"/>
  <c r="H105" i="25" s="1"/>
  <c r="O249" i="11"/>
  <c r="P249" i="11" s="1"/>
  <c r="O206" i="11"/>
  <c r="P206" i="11" s="1"/>
  <c r="F206" i="39" s="1"/>
  <c r="O175" i="11"/>
  <c r="P175" i="11" s="1"/>
  <c r="O70" i="11"/>
  <c r="P70" i="11" s="1"/>
  <c r="F70" i="12" s="1"/>
  <c r="O258" i="11"/>
  <c r="H259" i="25" s="1"/>
  <c r="O265" i="11"/>
  <c r="P265" i="11" s="1"/>
  <c r="F265" i="12" s="1"/>
  <c r="J323" i="11"/>
  <c r="O292" i="11"/>
  <c r="P292" i="11" s="1"/>
  <c r="F292" i="12" s="1"/>
  <c r="O96" i="11"/>
  <c r="H97" i="25" s="1"/>
  <c r="O47" i="11"/>
  <c r="P47" i="11" s="1"/>
  <c r="F47" i="12" s="1"/>
  <c r="O9" i="11"/>
  <c r="O45" i="11"/>
  <c r="H46" i="25" s="1"/>
  <c r="O316" i="11"/>
  <c r="P316" i="11" s="1"/>
  <c r="F316" i="12" s="1"/>
  <c r="O113" i="11"/>
  <c r="H114" i="25" s="1"/>
  <c r="O57" i="11"/>
  <c r="H58" i="25" s="1"/>
  <c r="O255" i="11"/>
  <c r="H256" i="25" s="1"/>
  <c r="O110" i="11"/>
  <c r="H111" i="25" s="1"/>
  <c r="O59" i="11"/>
  <c r="P59" i="11" s="1"/>
  <c r="F59" i="39" s="1"/>
  <c r="O163" i="11"/>
  <c r="H164" i="25" s="1"/>
  <c r="O112" i="11"/>
  <c r="H113" i="25" s="1"/>
  <c r="O129" i="11"/>
  <c r="H130" i="25" s="1"/>
  <c r="O27" i="11"/>
  <c r="H28" i="25" s="1"/>
  <c r="O311" i="11"/>
  <c r="P311" i="11" s="1"/>
  <c r="N323" i="11"/>
  <c r="O148" i="11"/>
  <c r="H149" i="25" s="1"/>
  <c r="O144" i="11"/>
  <c r="H145" i="25" s="1"/>
  <c r="O309" i="11"/>
  <c r="P309" i="11" s="1"/>
  <c r="F309" i="12" s="1"/>
  <c r="O64" i="11"/>
  <c r="H65" i="25" s="1"/>
  <c r="O269" i="11"/>
  <c r="H270" i="25" s="1"/>
  <c r="O261" i="11"/>
  <c r="P261" i="11" s="1"/>
  <c r="O84" i="11"/>
  <c r="P84" i="11" s="1"/>
  <c r="O185" i="11"/>
  <c r="H186" i="25" s="1"/>
  <c r="O275" i="11"/>
  <c r="P275" i="11" s="1"/>
  <c r="O17" i="11"/>
  <c r="E33" i="48"/>
  <c r="F34" i="48" s="1"/>
  <c r="D323" i="39"/>
  <c r="O115" i="11"/>
  <c r="P115" i="11" s="1"/>
  <c r="F115" i="12" s="1"/>
  <c r="O36" i="11"/>
  <c r="P36" i="11" s="1"/>
  <c r="F36" i="12" s="1"/>
  <c r="O201" i="11"/>
  <c r="P201" i="11" s="1"/>
  <c r="F201" i="12" s="1"/>
  <c r="O136" i="11"/>
  <c r="P136" i="11" s="1"/>
  <c r="O273" i="11"/>
  <c r="H274" i="25" s="1"/>
  <c r="O238" i="11"/>
  <c r="H239" i="25" s="1"/>
  <c r="O48" i="11"/>
  <c r="P48" i="11" s="1"/>
  <c r="F48" i="12" s="1"/>
  <c r="O134" i="11"/>
  <c r="P134" i="11" s="1"/>
  <c r="O171" i="11"/>
  <c r="P171" i="11" s="1"/>
  <c r="O215" i="11"/>
  <c r="H216" i="25" s="1"/>
  <c r="O294" i="11"/>
  <c r="P294" i="11" s="1"/>
  <c r="O224" i="11"/>
  <c r="P224" i="11" s="1"/>
  <c r="O161" i="11"/>
  <c r="H162" i="25" s="1"/>
  <c r="F324" i="25"/>
  <c r="F291" i="39"/>
  <c r="P32" i="11"/>
  <c r="H33" i="25"/>
  <c r="H292" i="25"/>
  <c r="H189" i="25"/>
  <c r="P188" i="11"/>
  <c r="H303" i="25"/>
  <c r="P302" i="11"/>
  <c r="H165" i="25"/>
  <c r="P305" i="11"/>
  <c r="H306" i="25"/>
  <c r="P233" i="11" l="1"/>
  <c r="H99" i="25"/>
  <c r="P120" i="11"/>
  <c r="F120" i="39" s="1"/>
  <c r="P62" i="11"/>
  <c r="F62" i="39" s="1"/>
  <c r="P251" i="11"/>
  <c r="H47" i="25"/>
  <c r="P285" i="11"/>
  <c r="F285" i="12" s="1"/>
  <c r="H94" i="25"/>
  <c r="P121" i="11"/>
  <c r="P30" i="11"/>
  <c r="F30" i="39" s="1"/>
  <c r="P286" i="11"/>
  <c r="F286" i="39" s="1"/>
  <c r="H77" i="25"/>
  <c r="H184" i="25"/>
  <c r="H245" i="25"/>
  <c r="F276" i="12"/>
  <c r="H271" i="25"/>
  <c r="H218" i="25"/>
  <c r="P289" i="11"/>
  <c r="F289" i="12" s="1"/>
  <c r="H277" i="25"/>
  <c r="H55" i="25"/>
  <c r="P271" i="11"/>
  <c r="P19" i="11"/>
  <c r="F19" i="12" s="1"/>
  <c r="P240" i="11"/>
  <c r="F240" i="39" s="1"/>
  <c r="H95" i="25"/>
  <c r="F227" i="39"/>
  <c r="F54" i="12"/>
  <c r="H158" i="25"/>
  <c r="H175" i="25"/>
  <c r="P182" i="11"/>
  <c r="F182" i="12" s="1"/>
  <c r="P268" i="11"/>
  <c r="F268" i="39" s="1"/>
  <c r="H228" i="25"/>
  <c r="H174" i="25"/>
  <c r="H188" i="25"/>
  <c r="P295" i="11"/>
  <c r="F295" i="39" s="1"/>
  <c r="H227" i="25"/>
  <c r="F226" i="12"/>
  <c r="P11" i="11"/>
  <c r="F11" i="39" s="1"/>
  <c r="H64" i="25"/>
  <c r="P92" i="11"/>
  <c r="F92" i="39" s="1"/>
  <c r="H257" i="25"/>
  <c r="H39" i="25"/>
  <c r="P321" i="11"/>
  <c r="F321" i="39" s="1"/>
  <c r="F174" i="12"/>
  <c r="H260" i="25"/>
  <c r="P88" i="11"/>
  <c r="F88" i="12" s="1"/>
  <c r="P308" i="11"/>
  <c r="F308" i="39" s="1"/>
  <c r="H251" i="25"/>
  <c r="H50" i="25"/>
  <c r="P80" i="11"/>
  <c r="F80" i="12" s="1"/>
  <c r="H80" i="25"/>
  <c r="P178" i="11"/>
  <c r="F178" i="12" s="1"/>
  <c r="P108" i="11"/>
  <c r="F108" i="39" s="1"/>
  <c r="H132" i="25"/>
  <c r="H126" i="25"/>
  <c r="F76" i="12"/>
  <c r="F99" i="12"/>
  <c r="H10" i="25"/>
  <c r="H8" i="25"/>
  <c r="P14" i="11"/>
  <c r="F14" i="12" s="1"/>
  <c r="H11" i="25"/>
  <c r="H14" i="25"/>
  <c r="H18" i="25"/>
  <c r="P5" i="11"/>
  <c r="F5" i="39" s="1"/>
  <c r="P12" i="11"/>
  <c r="F12" i="12" s="1"/>
  <c r="P16" i="11"/>
  <c r="F16" i="39" s="1"/>
  <c r="P6" i="11"/>
  <c r="F6" i="39" s="1"/>
  <c r="H16" i="25"/>
  <c r="H9" i="25"/>
  <c r="P232" i="11"/>
  <c r="F232" i="39" s="1"/>
  <c r="P272" i="11"/>
  <c r="F272" i="12" s="1"/>
  <c r="H67" i="25"/>
  <c r="H171" i="25"/>
  <c r="P298" i="11"/>
  <c r="F298" i="39" s="1"/>
  <c r="F75" i="39"/>
  <c r="P151" i="11"/>
  <c r="F151" i="39" s="1"/>
  <c r="H150" i="25"/>
  <c r="F250" i="39"/>
  <c r="H314" i="25"/>
  <c r="P319" i="11"/>
  <c r="F319" i="39" s="1"/>
  <c r="P235" i="11"/>
  <c r="F235" i="39" s="1"/>
  <c r="H222" i="25"/>
  <c r="P119" i="11"/>
  <c r="F119" i="12" s="1"/>
  <c r="P189" i="11"/>
  <c r="F189" i="39" s="1"/>
  <c r="F149" i="39"/>
  <c r="P231" i="11"/>
  <c r="F231" i="39" s="1"/>
  <c r="P198" i="11"/>
  <c r="F198" i="12" s="1"/>
  <c r="P21" i="11"/>
  <c r="F21" i="39" s="1"/>
  <c r="H231" i="25"/>
  <c r="H134" i="25"/>
  <c r="P55" i="11"/>
  <c r="F55" i="39" s="1"/>
  <c r="P172" i="11"/>
  <c r="F172" i="39" s="1"/>
  <c r="H285" i="25"/>
  <c r="P277" i="11"/>
  <c r="F277" i="39" s="1"/>
  <c r="P26" i="11"/>
  <c r="F26" i="39" s="1"/>
  <c r="P306" i="11"/>
  <c r="F306" i="12" s="1"/>
  <c r="H295" i="25"/>
  <c r="P252" i="11"/>
  <c r="F252" i="39" s="1"/>
  <c r="H26" i="25"/>
  <c r="P282" i="11"/>
  <c r="F282" i="39" s="1"/>
  <c r="H220" i="25"/>
  <c r="H118" i="25"/>
  <c r="P214" i="11"/>
  <c r="F214" i="39" s="1"/>
  <c r="H25" i="25"/>
  <c r="P107" i="11"/>
  <c r="F107" i="12" s="1"/>
  <c r="H197" i="25"/>
  <c r="H249" i="25"/>
  <c r="H163" i="25"/>
  <c r="H244" i="25"/>
  <c r="P18" i="11"/>
  <c r="F18" i="12" s="1"/>
  <c r="F117" i="39"/>
  <c r="F196" i="12"/>
  <c r="P203" i="11"/>
  <c r="F203" i="12" s="1"/>
  <c r="H68" i="25"/>
  <c r="P85" i="11"/>
  <c r="F85" i="12" s="1"/>
  <c r="P322" i="11"/>
  <c r="F322" i="12" s="1"/>
  <c r="P278" i="11"/>
  <c r="F278" i="39" s="1"/>
  <c r="H96" i="25"/>
  <c r="P179" i="11"/>
  <c r="F179" i="12" s="1"/>
  <c r="P242" i="11"/>
  <c r="F242" i="12" s="1"/>
  <c r="H35" i="25"/>
  <c r="H78" i="25"/>
  <c r="H224" i="25"/>
  <c r="P123" i="11"/>
  <c r="F123" i="12" s="1"/>
  <c r="H237" i="25"/>
  <c r="H201" i="25"/>
  <c r="H32" i="25"/>
  <c r="H52" i="25"/>
  <c r="H102" i="25"/>
  <c r="H57" i="25"/>
  <c r="P90" i="11"/>
  <c r="F90" i="39" s="1"/>
  <c r="P159" i="11"/>
  <c r="F159" i="39" s="1"/>
  <c r="P253" i="11"/>
  <c r="F253" i="39" s="1"/>
  <c r="P116" i="11"/>
  <c r="F116" i="39" s="1"/>
  <c r="P287" i="11"/>
  <c r="F287" i="12" s="1"/>
  <c r="P155" i="11"/>
  <c r="F155" i="12" s="1"/>
  <c r="H275" i="25"/>
  <c r="P212" i="11"/>
  <c r="F212" i="12" s="1"/>
  <c r="P218" i="11"/>
  <c r="F218" i="39" s="1"/>
  <c r="P263" i="11"/>
  <c r="F263" i="39" s="1"/>
  <c r="H318" i="25"/>
  <c r="P44" i="11"/>
  <c r="F44" i="12" s="1"/>
  <c r="P82" i="11"/>
  <c r="F82" i="12" s="1"/>
  <c r="H100" i="25"/>
  <c r="H139" i="25"/>
  <c r="P102" i="11"/>
  <c r="F102" i="39" s="1"/>
  <c r="H185" i="25"/>
  <c r="H210" i="25"/>
  <c r="P9" i="11"/>
  <c r="F9" i="39" s="1"/>
  <c r="P152" i="11"/>
  <c r="F152" i="39" s="1"/>
  <c r="H72" i="25"/>
  <c r="H98" i="25"/>
  <c r="H203" i="25"/>
  <c r="H146" i="25"/>
  <c r="H170" i="25"/>
  <c r="P193" i="11"/>
  <c r="F193" i="12" s="1"/>
  <c r="P13" i="11"/>
  <c r="F13" i="39" s="1"/>
  <c r="P296" i="11"/>
  <c r="F296" i="12" s="1"/>
  <c r="P195" i="11"/>
  <c r="F195" i="12" s="1"/>
  <c r="P180" i="11"/>
  <c r="F180" i="12" s="1"/>
  <c r="H61" i="25"/>
  <c r="H128" i="25"/>
  <c r="P37" i="11"/>
  <c r="F37" i="12" s="1"/>
  <c r="P132" i="11"/>
  <c r="F132" i="39" s="1"/>
  <c r="H240" i="25"/>
  <c r="H267" i="25"/>
  <c r="H53" i="25"/>
  <c r="P15" i="11"/>
  <c r="F15" i="12" s="1"/>
  <c r="P154" i="11"/>
  <c r="F154" i="39" s="1"/>
  <c r="F127" i="39"/>
  <c r="H280" i="25"/>
  <c r="H302" i="25"/>
  <c r="P288" i="11"/>
  <c r="F288" i="12" s="1"/>
  <c r="H88" i="25"/>
  <c r="H144" i="25"/>
  <c r="P191" i="11"/>
  <c r="F191" i="12" s="1"/>
  <c r="H159" i="25"/>
  <c r="F53" i="39"/>
  <c r="H143" i="25"/>
  <c r="P118" i="11"/>
  <c r="F118" i="12" s="1"/>
  <c r="H66" i="25"/>
  <c r="P68" i="11"/>
  <c r="F68" i="39" s="1"/>
  <c r="H319" i="25"/>
  <c r="P23" i="11"/>
  <c r="F23" i="12" s="1"/>
  <c r="H148" i="25"/>
  <c r="P222" i="11"/>
  <c r="F222" i="12" s="1"/>
  <c r="H304" i="25"/>
  <c r="H41" i="25"/>
  <c r="P210" i="11"/>
  <c r="F210" i="39" s="1"/>
  <c r="P307" i="11"/>
  <c r="F307" i="12" s="1"/>
  <c r="P146" i="11"/>
  <c r="F146" i="39" s="1"/>
  <c r="P254" i="11"/>
  <c r="F254" i="39" s="1"/>
  <c r="F229" i="39"/>
  <c r="H54" i="25"/>
  <c r="H70" i="25"/>
  <c r="H178" i="25"/>
  <c r="H230" i="25"/>
  <c r="F158" i="12"/>
  <c r="P73" i="11"/>
  <c r="F73" i="39" s="1"/>
  <c r="H168" i="25"/>
  <c r="H208" i="25"/>
  <c r="H229" i="25"/>
  <c r="H321" i="25"/>
  <c r="H115" i="25"/>
  <c r="P128" i="11"/>
  <c r="F128" i="39" s="1"/>
  <c r="H315" i="25"/>
  <c r="P100" i="11"/>
  <c r="F100" i="39" s="1"/>
  <c r="H294" i="25"/>
  <c r="P300" i="11"/>
  <c r="F300" i="39" s="1"/>
  <c r="H305" i="25"/>
  <c r="P50" i="11"/>
  <c r="F50" i="12" s="1"/>
  <c r="P211" i="11"/>
  <c r="F211" i="39" s="1"/>
  <c r="F186" i="12"/>
  <c r="H23" i="25"/>
  <c r="H127" i="25"/>
  <c r="P262" i="11"/>
  <c r="F262" i="39" s="1"/>
  <c r="H62" i="25"/>
  <c r="P140" i="11"/>
  <c r="F140" i="12" s="1"/>
  <c r="P89" i="11"/>
  <c r="F89" i="12" s="1"/>
  <c r="P290" i="11"/>
  <c r="F290" i="39" s="1"/>
  <c r="H13" i="25"/>
  <c r="H282" i="25"/>
  <c r="P197" i="11"/>
  <c r="F197" i="12" s="1"/>
  <c r="H21" i="25"/>
  <c r="P181" i="11"/>
  <c r="F181" i="39" s="1"/>
  <c r="H17" i="25"/>
  <c r="H82" i="25"/>
  <c r="H235" i="25"/>
  <c r="H75" i="25"/>
  <c r="H151" i="25"/>
  <c r="P86" i="11"/>
  <c r="F86" i="12" s="1"/>
  <c r="H30" i="25"/>
  <c r="H6" i="25"/>
  <c r="H221" i="25"/>
  <c r="P205" i="11"/>
  <c r="F205" i="39" s="1"/>
  <c r="H316" i="25"/>
  <c r="H250" i="25"/>
  <c r="F247" i="12"/>
  <c r="P43" i="11"/>
  <c r="F43" i="12" s="1"/>
  <c r="P168" i="11"/>
  <c r="F168" i="12" s="1"/>
  <c r="H73" i="25"/>
  <c r="P176" i="11"/>
  <c r="F176" i="39" s="1"/>
  <c r="F160" i="39"/>
  <c r="H79" i="25"/>
  <c r="P312" i="11"/>
  <c r="F312" i="39" s="1"/>
  <c r="P297" i="11"/>
  <c r="F297" i="39" s="1"/>
  <c r="H104" i="25"/>
  <c r="H205" i="25"/>
  <c r="F72" i="39"/>
  <c r="F320" i="39"/>
  <c r="P39" i="11"/>
  <c r="F39" i="39" s="1"/>
  <c r="H187" i="25"/>
  <c r="P310" i="11"/>
  <c r="F310" i="39" s="1"/>
  <c r="P106" i="11"/>
  <c r="F106" i="12" s="1"/>
  <c r="H76" i="25"/>
  <c r="F78" i="39"/>
  <c r="P156" i="11"/>
  <c r="F156" i="39" s="1"/>
  <c r="P139" i="11"/>
  <c r="F139" i="12" s="1"/>
  <c r="P208" i="11"/>
  <c r="F208" i="39" s="1"/>
  <c r="F91" i="39"/>
  <c r="F220" i="12"/>
  <c r="H193" i="25"/>
  <c r="H238" i="25"/>
  <c r="P137" i="11"/>
  <c r="F137" i="12" s="1"/>
  <c r="P260" i="11"/>
  <c r="F260" i="39" s="1"/>
  <c r="P264" i="11"/>
  <c r="F264" i="39" s="1"/>
  <c r="H59" i="25"/>
  <c r="P111" i="11"/>
  <c r="F111" i="12" s="1"/>
  <c r="H268" i="25"/>
  <c r="P225" i="11"/>
  <c r="F225" i="12" s="1"/>
  <c r="P10" i="11"/>
  <c r="F10" i="39" s="1"/>
  <c r="P105" i="11"/>
  <c r="F105" i="12" s="1"/>
  <c r="H167" i="25"/>
  <c r="H7" i="25"/>
  <c r="F141" i="12"/>
  <c r="H248" i="25"/>
  <c r="H214" i="25"/>
  <c r="P194" i="11"/>
  <c r="F194" i="39" s="1"/>
  <c r="H92" i="25"/>
  <c r="H15" i="25"/>
  <c r="P104" i="11"/>
  <c r="F104" i="12" s="1"/>
  <c r="P7" i="11"/>
  <c r="F7" i="39" s="1"/>
  <c r="F280" i="12"/>
  <c r="H161" i="25"/>
  <c r="F167" i="39"/>
  <c r="F166" i="39"/>
  <c r="F207" i="39"/>
  <c r="P33" i="11"/>
  <c r="F33" i="12" s="1"/>
  <c r="P153" i="11"/>
  <c r="F153" i="39" s="1"/>
  <c r="H84" i="25"/>
  <c r="P122" i="11"/>
  <c r="F122" i="39" s="1"/>
  <c r="H136" i="25"/>
  <c r="P241" i="11"/>
  <c r="F241" i="39" s="1"/>
  <c r="H258" i="25"/>
  <c r="P113" i="11"/>
  <c r="F113" i="12" s="1"/>
  <c r="H110" i="25"/>
  <c r="H300" i="25"/>
  <c r="P216" i="11"/>
  <c r="F216" i="39" s="1"/>
  <c r="F206" i="12"/>
  <c r="H191" i="25"/>
  <c r="H284" i="25"/>
  <c r="F283" i="12"/>
  <c r="P258" i="11"/>
  <c r="F258" i="39" s="1"/>
  <c r="F190" i="39"/>
  <c r="H166" i="25"/>
  <c r="P17" i="11"/>
  <c r="F17" i="39" s="1"/>
  <c r="P41" i="11"/>
  <c r="F41" i="39" s="1"/>
  <c r="P27" i="11"/>
  <c r="F27" i="39" s="1"/>
  <c r="H207" i="25"/>
  <c r="F70" i="39"/>
  <c r="H312" i="25"/>
  <c r="H247" i="25"/>
  <c r="H36" i="25"/>
  <c r="H43" i="25"/>
  <c r="H142" i="25"/>
  <c r="F292" i="39"/>
  <c r="H29" i="25"/>
  <c r="H71" i="25"/>
  <c r="H281" i="25"/>
  <c r="F42" i="12"/>
  <c r="P144" i="11"/>
  <c r="F144" i="39" s="1"/>
  <c r="H176" i="25"/>
  <c r="H200" i="25"/>
  <c r="H131" i="25"/>
  <c r="F265" i="39"/>
  <c r="H246" i="25"/>
  <c r="F124" i="12"/>
  <c r="F48" i="39"/>
  <c r="F245" i="12"/>
  <c r="H125" i="25"/>
  <c r="H266" i="25"/>
  <c r="P163" i="11"/>
  <c r="F163" i="39" s="1"/>
  <c r="H48" i="25"/>
  <c r="F47" i="39"/>
  <c r="F36" i="39"/>
  <c r="P112" i="11"/>
  <c r="F112" i="12" s="1"/>
  <c r="H135" i="25"/>
  <c r="P185" i="11"/>
  <c r="F185" i="12" s="1"/>
  <c r="H276" i="25"/>
  <c r="P96" i="11"/>
  <c r="F96" i="39" s="1"/>
  <c r="H317" i="25"/>
  <c r="P129" i="11"/>
  <c r="F129" i="12" s="1"/>
  <c r="H293" i="25"/>
  <c r="P269" i="11"/>
  <c r="F269" i="39" s="1"/>
  <c r="H202" i="25"/>
  <c r="H310" i="25"/>
  <c r="P255" i="11"/>
  <c r="F255" i="12" s="1"/>
  <c r="H85" i="25"/>
  <c r="P57" i="11"/>
  <c r="F57" i="39" s="1"/>
  <c r="P64" i="11"/>
  <c r="F64" i="39" s="1"/>
  <c r="P45" i="11"/>
  <c r="F45" i="12" s="1"/>
  <c r="F201" i="39"/>
  <c r="F309" i="39"/>
  <c r="H262" i="25"/>
  <c r="P148" i="11"/>
  <c r="F148" i="12" s="1"/>
  <c r="P215" i="11"/>
  <c r="F215" i="39" s="1"/>
  <c r="P110" i="11"/>
  <c r="F110" i="39" s="1"/>
  <c r="F316" i="39"/>
  <c r="H60" i="25"/>
  <c r="F59" i="12"/>
  <c r="H37" i="25"/>
  <c r="P161" i="11"/>
  <c r="F161" i="12" s="1"/>
  <c r="P238" i="11"/>
  <c r="F238" i="39" s="1"/>
  <c r="H137" i="25"/>
  <c r="H225" i="25"/>
  <c r="P273" i="11"/>
  <c r="F273" i="12" s="1"/>
  <c r="F115" i="39"/>
  <c r="H116" i="25"/>
  <c r="H49" i="25"/>
  <c r="O323" i="11"/>
  <c r="C7" i="34" s="1"/>
  <c r="C9" i="34" s="1"/>
  <c r="H172" i="25"/>
  <c r="F138" i="12"/>
  <c r="F138" i="39"/>
  <c r="F130" i="39"/>
  <c r="F130" i="12"/>
  <c r="F35" i="12"/>
  <c r="F35" i="39"/>
  <c r="F32" i="39"/>
  <c r="F32" i="12"/>
  <c r="F109" i="39"/>
  <c r="F109" i="12"/>
  <c r="F299" i="39"/>
  <c r="F299" i="12"/>
  <c r="F40" i="12"/>
  <c r="F40" i="39"/>
  <c r="F249" i="12"/>
  <c r="F249" i="39"/>
  <c r="F77" i="12"/>
  <c r="F77" i="39"/>
  <c r="F188" i="39"/>
  <c r="F188" i="12"/>
  <c r="F304" i="12"/>
  <c r="F304" i="39"/>
  <c r="F34" i="12"/>
  <c r="F34" i="39"/>
  <c r="F60" i="39"/>
  <c r="F60" i="12"/>
  <c r="F275" i="39"/>
  <c r="F275" i="12"/>
  <c r="F209" i="39"/>
  <c r="F209" i="12"/>
  <c r="F213" i="39"/>
  <c r="F213" i="12"/>
  <c r="F49" i="39"/>
  <c r="F49" i="12"/>
  <c r="F87" i="39"/>
  <c r="F87" i="12"/>
  <c r="F221" i="39"/>
  <c r="F221" i="12"/>
  <c r="F81" i="12"/>
  <c r="F81" i="39"/>
  <c r="F233" i="39"/>
  <c r="F233" i="12"/>
  <c r="F134" i="12"/>
  <c r="F134" i="39"/>
  <c r="F202" i="12"/>
  <c r="F202" i="39"/>
  <c r="F74" i="39"/>
  <c r="F74" i="12"/>
  <c r="F314" i="12"/>
  <c r="F314" i="39"/>
  <c r="F38" i="12"/>
  <c r="F38" i="39"/>
  <c r="F28" i="39"/>
  <c r="F28" i="12"/>
  <c r="F311" i="12"/>
  <c r="F311" i="39"/>
  <c r="F236" i="12"/>
  <c r="F236" i="39"/>
  <c r="F223" i="39"/>
  <c r="F223" i="12"/>
  <c r="F46" i="12"/>
  <c r="F46" i="39"/>
  <c r="F162" i="39"/>
  <c r="F162" i="12"/>
  <c r="F266" i="12"/>
  <c r="F266" i="39"/>
  <c r="F121" i="12"/>
  <c r="F121" i="39"/>
  <c r="F182" i="39"/>
  <c r="F24" i="12"/>
  <c r="F24" i="39"/>
  <c r="F187" i="12"/>
  <c r="F187" i="39"/>
  <c r="F88" i="39"/>
  <c r="F56" i="12"/>
  <c r="F56" i="39"/>
  <c r="F143" i="39"/>
  <c r="F143" i="12"/>
  <c r="F244" i="39"/>
  <c r="F244" i="12"/>
  <c r="F286" i="12"/>
  <c r="F29" i="39"/>
  <c r="F29" i="12"/>
  <c r="F95" i="12"/>
  <c r="F95" i="39"/>
  <c r="F204" i="12"/>
  <c r="F204" i="39"/>
  <c r="F246" i="39"/>
  <c r="F246" i="12"/>
  <c r="F22" i="39"/>
  <c r="F22" i="12"/>
  <c r="F25" i="39"/>
  <c r="F25" i="12"/>
  <c r="F126" i="12"/>
  <c r="F126" i="39"/>
  <c r="F98" i="12"/>
  <c r="F98" i="39"/>
  <c r="F271" i="12"/>
  <c r="F271" i="39"/>
  <c r="F270" i="12"/>
  <c r="F270" i="39"/>
  <c r="F147" i="12"/>
  <c r="F147" i="39"/>
  <c r="F11" i="12"/>
  <c r="F259" i="39"/>
  <c r="F259" i="12"/>
  <c r="F136" i="12"/>
  <c r="F136" i="39"/>
  <c r="F228" i="12"/>
  <c r="F228" i="39"/>
  <c r="F243" i="12"/>
  <c r="F243" i="39"/>
  <c r="F61" i="39"/>
  <c r="F61" i="12"/>
  <c r="F71" i="12"/>
  <c r="F71" i="39"/>
  <c r="F97" i="39"/>
  <c r="F97" i="12"/>
  <c r="F114" i="39"/>
  <c r="F114" i="12"/>
  <c r="F142" i="39"/>
  <c r="F142" i="12"/>
  <c r="F224" i="12"/>
  <c r="F224" i="39"/>
  <c r="F294" i="39"/>
  <c r="F294" i="12"/>
  <c r="F318" i="39"/>
  <c r="F318" i="12"/>
  <c r="F120" i="12"/>
  <c r="F145" i="12"/>
  <c r="F145" i="39"/>
  <c r="F150" i="12"/>
  <c r="F150" i="39"/>
  <c r="F67" i="12"/>
  <c r="F67" i="39"/>
  <c r="F256" i="39"/>
  <c r="F256" i="12"/>
  <c r="F200" i="12"/>
  <c r="F200" i="39"/>
  <c r="F66" i="12"/>
  <c r="F66" i="39"/>
  <c r="F58" i="12"/>
  <c r="F58" i="39"/>
  <c r="F84" i="39"/>
  <c r="F84" i="12"/>
  <c r="F219" i="12"/>
  <c r="F219" i="39"/>
  <c r="F267" i="12"/>
  <c r="F267" i="39"/>
  <c r="F248" i="12"/>
  <c r="F248" i="39"/>
  <c r="F298" i="12"/>
  <c r="F69" i="12"/>
  <c r="F69" i="39"/>
  <c r="F257" i="12"/>
  <c r="F257" i="39"/>
  <c r="F274" i="12"/>
  <c r="F274" i="39"/>
  <c r="F239" i="39"/>
  <c r="F239" i="12"/>
  <c r="F165" i="12"/>
  <c r="F165" i="39"/>
  <c r="F305" i="39"/>
  <c r="F305" i="12"/>
  <c r="F20" i="12"/>
  <c r="F20" i="39"/>
  <c r="F313" i="39"/>
  <c r="F313" i="12"/>
  <c r="F192" i="39"/>
  <c r="F192" i="12"/>
  <c r="F31" i="12"/>
  <c r="F31" i="39"/>
  <c r="F217" i="12"/>
  <c r="F217" i="39"/>
  <c r="F261" i="12"/>
  <c r="F261" i="39"/>
  <c r="F237" i="39"/>
  <c r="F237" i="12"/>
  <c r="F79" i="12"/>
  <c r="F79" i="39"/>
  <c r="F234" i="39"/>
  <c r="F234" i="12"/>
  <c r="F103" i="39"/>
  <c r="F103" i="12"/>
  <c r="F83" i="39"/>
  <c r="F83" i="12"/>
  <c r="F51" i="39"/>
  <c r="F51" i="12"/>
  <c r="F169" i="39"/>
  <c r="F169" i="12"/>
  <c r="F101" i="39"/>
  <c r="F101" i="12"/>
  <c r="F133" i="39"/>
  <c r="F133" i="12"/>
  <c r="F135" i="39"/>
  <c r="F135" i="12"/>
  <c r="F65" i="12"/>
  <c r="F65" i="39"/>
  <c r="F173" i="39"/>
  <c r="F173" i="12"/>
  <c r="F63" i="12"/>
  <c r="F63" i="39"/>
  <c r="F302" i="12"/>
  <c r="F302" i="39"/>
  <c r="F175" i="12"/>
  <c r="F175" i="39"/>
  <c r="F199" i="39"/>
  <c r="F199" i="12"/>
  <c r="F279" i="39"/>
  <c r="F279" i="12"/>
  <c r="F157" i="12"/>
  <c r="F157" i="39"/>
  <c r="F301" i="12"/>
  <c r="F301" i="39"/>
  <c r="F183" i="12"/>
  <c r="F183" i="39"/>
  <c r="F281" i="12"/>
  <c r="F281" i="39"/>
  <c r="F251" i="12"/>
  <c r="F251" i="39"/>
  <c r="F52" i="12"/>
  <c r="F52" i="39"/>
  <c r="F303" i="12"/>
  <c r="F303" i="39"/>
  <c r="F164" i="39"/>
  <c r="F164" i="12"/>
  <c r="F284" i="39"/>
  <c r="F284" i="12"/>
  <c r="F131" i="12"/>
  <c r="F131" i="39"/>
  <c r="F8" i="12"/>
  <c r="F8" i="39"/>
  <c r="F230" i="12"/>
  <c r="F230" i="39"/>
  <c r="F94" i="12"/>
  <c r="F94" i="39"/>
  <c r="F170" i="12"/>
  <c r="F170" i="39"/>
  <c r="F93" i="39"/>
  <c r="F93" i="12"/>
  <c r="F293" i="39"/>
  <c r="F293" i="12"/>
  <c r="F317" i="12"/>
  <c r="F317" i="39"/>
  <c r="F177" i="12"/>
  <c r="F177" i="39"/>
  <c r="F184" i="39"/>
  <c r="F184" i="12"/>
  <c r="F315" i="12"/>
  <c r="F315" i="39"/>
  <c r="F125" i="12"/>
  <c r="F125" i="39"/>
  <c r="F171" i="39"/>
  <c r="F171" i="12"/>
  <c r="F30" i="12" l="1"/>
  <c r="F62" i="12"/>
  <c r="F240" i="12"/>
  <c r="F285" i="39"/>
  <c r="F5" i="12"/>
  <c r="F295" i="12"/>
  <c r="F289" i="39"/>
  <c r="F308" i="12"/>
  <c r="F108" i="12"/>
  <c r="F14" i="39"/>
  <c r="F19" i="39"/>
  <c r="F16" i="12"/>
  <c r="F195" i="39"/>
  <c r="F268" i="12"/>
  <c r="F319" i="12"/>
  <c r="F92" i="12"/>
  <c r="F232" i="12"/>
  <c r="F80" i="39"/>
  <c r="F321" i="12"/>
  <c r="F6" i="12"/>
  <c r="F178" i="39"/>
  <c r="F12" i="39"/>
  <c r="F272" i="39"/>
  <c r="F55" i="12"/>
  <c r="F189" i="12"/>
  <c r="F172" i="12"/>
  <c r="F235" i="12"/>
  <c r="F151" i="12"/>
  <c r="F21" i="12"/>
  <c r="F106" i="39"/>
  <c r="F90" i="12"/>
  <c r="F119" i="39"/>
  <c r="F198" i="39"/>
  <c r="F26" i="12"/>
  <c r="F231" i="12"/>
  <c r="F306" i="39"/>
  <c r="F205" i="12"/>
  <c r="F107" i="39"/>
  <c r="F277" i="12"/>
  <c r="F179" i="39"/>
  <c r="F287" i="39"/>
  <c r="F37" i="39"/>
  <c r="F214" i="12"/>
  <c r="F85" i="39"/>
  <c r="F218" i="12"/>
  <c r="F282" i="12"/>
  <c r="F82" i="39"/>
  <c r="F252" i="12"/>
  <c r="F210" i="12"/>
  <c r="F203" i="39"/>
  <c r="F18" i="39"/>
  <c r="F102" i="12"/>
  <c r="F296" i="39"/>
  <c r="F152" i="12"/>
  <c r="F212" i="39"/>
  <c r="F44" i="39"/>
  <c r="F123" i="39"/>
  <c r="F263" i="12"/>
  <c r="F193" i="39"/>
  <c r="F144" i="12"/>
  <c r="F116" i="12"/>
  <c r="F278" i="12"/>
  <c r="F15" i="39"/>
  <c r="F322" i="39"/>
  <c r="F155" i="39"/>
  <c r="F191" i="39"/>
  <c r="F180" i="39"/>
  <c r="F242" i="39"/>
  <c r="F253" i="12"/>
  <c r="F139" i="39"/>
  <c r="F9" i="12"/>
  <c r="F197" i="39"/>
  <c r="F132" i="12"/>
  <c r="F118" i="39"/>
  <c r="F168" i="39"/>
  <c r="F159" i="12"/>
  <c r="F13" i="12"/>
  <c r="F100" i="12"/>
  <c r="F288" i="39"/>
  <c r="F254" i="12"/>
  <c r="F41" i="12"/>
  <c r="F113" i="39"/>
  <c r="F39" i="12"/>
  <c r="F208" i="12"/>
  <c r="F23" i="39"/>
  <c r="F10" i="12"/>
  <c r="F154" i="12"/>
  <c r="F128" i="12"/>
  <c r="F225" i="39"/>
  <c r="F264" i="12"/>
  <c r="F153" i="12"/>
  <c r="F194" i="12"/>
  <c r="F146" i="12"/>
  <c r="F68" i="12"/>
  <c r="F140" i="39"/>
  <c r="F86" i="39"/>
  <c r="F222" i="39"/>
  <c r="F89" i="39"/>
  <c r="F73" i="12"/>
  <c r="F310" i="12"/>
  <c r="F307" i="39"/>
  <c r="F216" i="12"/>
  <c r="F50" i="39"/>
  <c r="F43" i="39"/>
  <c r="F7" i="12"/>
  <c r="F300" i="12"/>
  <c r="F105" i="39"/>
  <c r="F122" i="12"/>
  <c r="F262" i="12"/>
  <c r="F290" i="12"/>
  <c r="F211" i="12"/>
  <c r="F241" i="12"/>
  <c r="F260" i="12"/>
  <c r="F181" i="12"/>
  <c r="F104" i="39"/>
  <c r="F297" i="12"/>
  <c r="F312" i="12"/>
  <c r="F156" i="12"/>
  <c r="F176" i="12"/>
  <c r="F27" i="12"/>
  <c r="F33" i="39"/>
  <c r="F137" i="39"/>
  <c r="F111" i="39"/>
  <c r="F17" i="12"/>
  <c r="F258" i="12"/>
  <c r="F148" i="39"/>
  <c r="F185" i="39"/>
  <c r="F112" i="39"/>
  <c r="F96" i="12"/>
  <c r="F269" i="12"/>
  <c r="F163" i="12"/>
  <c r="F255" i="39"/>
  <c r="F57" i="12"/>
  <c r="F45" i="39"/>
  <c r="F161" i="39"/>
  <c r="F110" i="12"/>
  <c r="F129" i="39"/>
  <c r="P323" i="11"/>
  <c r="F323" i="39" s="1"/>
  <c r="F64" i="12"/>
  <c r="F215" i="12"/>
  <c r="F238" i="12"/>
  <c r="H324" i="25"/>
  <c r="F273" i="39"/>
  <c r="D7" i="34"/>
  <c r="D9" i="34" s="1"/>
  <c r="E15" i="34" l="1"/>
  <c r="F323" i="12"/>
  <c r="E21" i="34" l="1"/>
  <c r="I21" i="34" s="1"/>
  <c r="G11" i="25" s="1"/>
  <c r="E25" i="34"/>
  <c r="I25" i="34" s="1"/>
  <c r="G15" i="25" s="1"/>
  <c r="E29" i="34"/>
  <c r="I29" i="34" s="1"/>
  <c r="E18" i="39" s="1"/>
  <c r="G18" i="39" s="1"/>
  <c r="H18" i="39" s="1"/>
  <c r="I18" i="39" s="1"/>
  <c r="J18" i="39" s="1"/>
  <c r="I19" i="25" s="1"/>
  <c r="E33" i="34"/>
  <c r="I33" i="34" s="1"/>
  <c r="E22" i="12" s="1"/>
  <c r="G22" i="12" s="1"/>
  <c r="E37" i="34"/>
  <c r="I37" i="34" s="1"/>
  <c r="E26" i="12" s="1"/>
  <c r="G26" i="12" s="1"/>
  <c r="E41" i="34"/>
  <c r="I41" i="34" s="1"/>
  <c r="E30" i="12" s="1"/>
  <c r="G30" i="12" s="1"/>
  <c r="E45" i="34"/>
  <c r="I45" i="34" s="1"/>
  <c r="E49" i="34"/>
  <c r="I49" i="34" s="1"/>
  <c r="E38" i="39" s="1"/>
  <c r="G38" i="39" s="1"/>
  <c r="H38" i="39" s="1"/>
  <c r="I38" i="39" s="1"/>
  <c r="J38" i="39" s="1"/>
  <c r="I39" i="25" s="1"/>
  <c r="E53" i="34"/>
  <c r="I53" i="34" s="1"/>
  <c r="E42" i="12" s="1"/>
  <c r="G42" i="12" s="1"/>
  <c r="E57" i="34"/>
  <c r="I57" i="34" s="1"/>
  <c r="E46" i="12" s="1"/>
  <c r="G46" i="12" s="1"/>
  <c r="E61" i="34"/>
  <c r="I61" i="34" s="1"/>
  <c r="E50" i="12" s="1"/>
  <c r="G50" i="12" s="1"/>
  <c r="E65" i="34"/>
  <c r="I65" i="34" s="1"/>
  <c r="E54" i="12" s="1"/>
  <c r="G54" i="12" s="1"/>
  <c r="E69" i="34"/>
  <c r="I69" i="34" s="1"/>
  <c r="E58" i="39" s="1"/>
  <c r="G58" i="39" s="1"/>
  <c r="H58" i="39" s="1"/>
  <c r="I58" i="39" s="1"/>
  <c r="J58" i="39" s="1"/>
  <c r="I59" i="25" s="1"/>
  <c r="E73" i="34"/>
  <c r="I73" i="34" s="1"/>
  <c r="E62" i="12" s="1"/>
  <c r="G62" i="12" s="1"/>
  <c r="E77" i="34"/>
  <c r="I77" i="34" s="1"/>
  <c r="E81" i="34"/>
  <c r="I81" i="34" s="1"/>
  <c r="E70" i="12" s="1"/>
  <c r="G70" i="12" s="1"/>
  <c r="E85" i="34"/>
  <c r="I85" i="34" s="1"/>
  <c r="E74" i="12" s="1"/>
  <c r="G74" i="12" s="1"/>
  <c r="E89" i="34"/>
  <c r="I89" i="34" s="1"/>
  <c r="E78" i="39" s="1"/>
  <c r="G78" i="39" s="1"/>
  <c r="H78" i="39" s="1"/>
  <c r="I78" i="39" s="1"/>
  <c r="J78" i="39" s="1"/>
  <c r="I79" i="25" s="1"/>
  <c r="E93" i="34"/>
  <c r="I93" i="34" s="1"/>
  <c r="E82" i="39" s="1"/>
  <c r="G82" i="39" s="1"/>
  <c r="H82" i="39" s="1"/>
  <c r="I82" i="39" s="1"/>
  <c r="J82" i="39" s="1"/>
  <c r="I83" i="25" s="1"/>
  <c r="E97" i="34"/>
  <c r="I97" i="34" s="1"/>
  <c r="E86" i="39" s="1"/>
  <c r="G86" i="39" s="1"/>
  <c r="H86" i="39" s="1"/>
  <c r="I86" i="39" s="1"/>
  <c r="J86" i="39" s="1"/>
  <c r="I87" i="25" s="1"/>
  <c r="E101" i="34"/>
  <c r="I101" i="34" s="1"/>
  <c r="E90" i="39" s="1"/>
  <c r="G90" i="39" s="1"/>
  <c r="H90" i="39" s="1"/>
  <c r="I90" i="39" s="1"/>
  <c r="J90" i="39" s="1"/>
  <c r="I91" i="25" s="1"/>
  <c r="E105" i="34"/>
  <c r="I105" i="34" s="1"/>
  <c r="G95" i="25" s="1"/>
  <c r="E109" i="34"/>
  <c r="I109" i="34" s="1"/>
  <c r="E98" i="39" s="1"/>
  <c r="G98" i="39" s="1"/>
  <c r="H98" i="39" s="1"/>
  <c r="I98" i="39" s="1"/>
  <c r="J98" i="39" s="1"/>
  <c r="I99" i="25" s="1"/>
  <c r="E113" i="34"/>
  <c r="I113" i="34" s="1"/>
  <c r="E102" i="39" s="1"/>
  <c r="G102" i="39" s="1"/>
  <c r="H102" i="39" s="1"/>
  <c r="I102" i="39" s="1"/>
  <c r="J102" i="39" s="1"/>
  <c r="I103" i="25" s="1"/>
  <c r="E117" i="34"/>
  <c r="I117" i="34" s="1"/>
  <c r="G107" i="25" s="1"/>
  <c r="E121" i="34"/>
  <c r="I121" i="34" s="1"/>
  <c r="E110" i="12" s="1"/>
  <c r="G110" i="12" s="1"/>
  <c r="E125" i="34"/>
  <c r="I125" i="34" s="1"/>
  <c r="E114" i="12" s="1"/>
  <c r="G114" i="12" s="1"/>
  <c r="E129" i="34"/>
  <c r="I129" i="34" s="1"/>
  <c r="E118" i="12" s="1"/>
  <c r="G118" i="12" s="1"/>
  <c r="E133" i="34"/>
  <c r="I133" i="34" s="1"/>
  <c r="E122" i="39" s="1"/>
  <c r="G122" i="39" s="1"/>
  <c r="H122" i="39" s="1"/>
  <c r="I122" i="39" s="1"/>
  <c r="J122" i="39" s="1"/>
  <c r="I123" i="25" s="1"/>
  <c r="E137" i="34"/>
  <c r="I137" i="34" s="1"/>
  <c r="G127" i="25" s="1"/>
  <c r="E141" i="34"/>
  <c r="I141" i="34" s="1"/>
  <c r="E130" i="39" s="1"/>
  <c r="G130" i="39" s="1"/>
  <c r="H130" i="39" s="1"/>
  <c r="I130" i="39" s="1"/>
  <c r="J130" i="39" s="1"/>
  <c r="I131" i="25" s="1"/>
  <c r="E145" i="34"/>
  <c r="I145" i="34" s="1"/>
  <c r="E149" i="34"/>
  <c r="I149" i="34" s="1"/>
  <c r="E138" i="39" s="1"/>
  <c r="G138" i="39" s="1"/>
  <c r="H138" i="39" s="1"/>
  <c r="I138" i="39" s="1"/>
  <c r="J138" i="39" s="1"/>
  <c r="I139" i="25" s="1"/>
  <c r="E153" i="34"/>
  <c r="I153" i="34" s="1"/>
  <c r="G143" i="25" s="1"/>
  <c r="E157" i="34"/>
  <c r="I157" i="34" s="1"/>
  <c r="E146" i="12" s="1"/>
  <c r="G146" i="12" s="1"/>
  <c r="E161" i="34"/>
  <c r="I161" i="34" s="1"/>
  <c r="E165" i="34"/>
  <c r="I165" i="34" s="1"/>
  <c r="G155" i="25" s="1"/>
  <c r="E169" i="34"/>
  <c r="I169" i="34" s="1"/>
  <c r="E158" i="12" s="1"/>
  <c r="G158" i="12" s="1"/>
  <c r="E173" i="34"/>
  <c r="I173" i="34" s="1"/>
  <c r="E162" i="39" s="1"/>
  <c r="G162" i="39" s="1"/>
  <c r="H162" i="39" s="1"/>
  <c r="I162" i="39" s="1"/>
  <c r="J162" i="39" s="1"/>
  <c r="I163" i="25" s="1"/>
  <c r="E177" i="34"/>
  <c r="I177" i="34" s="1"/>
  <c r="E166" i="39" s="1"/>
  <c r="G166" i="39" s="1"/>
  <c r="H166" i="39" s="1"/>
  <c r="I166" i="39" s="1"/>
  <c r="J166" i="39" s="1"/>
  <c r="I167" i="25" s="1"/>
  <c r="E181" i="34"/>
  <c r="I181" i="34" s="1"/>
  <c r="G171" i="25" s="1"/>
  <c r="E185" i="34"/>
  <c r="I185" i="34" s="1"/>
  <c r="E174" i="39" s="1"/>
  <c r="G174" i="39" s="1"/>
  <c r="H174" i="39" s="1"/>
  <c r="I174" i="39" s="1"/>
  <c r="J174" i="39" s="1"/>
  <c r="I175" i="25" s="1"/>
  <c r="E189" i="34"/>
  <c r="I189" i="34" s="1"/>
  <c r="E178" i="39" s="1"/>
  <c r="G178" i="39" s="1"/>
  <c r="H178" i="39" s="1"/>
  <c r="I178" i="39" s="1"/>
  <c r="J178" i="39" s="1"/>
  <c r="I179" i="25" s="1"/>
  <c r="E193" i="34"/>
  <c r="I193" i="34" s="1"/>
  <c r="E182" i="39" s="1"/>
  <c r="G182" i="39" s="1"/>
  <c r="H182" i="39" s="1"/>
  <c r="I182" i="39" s="1"/>
  <c r="J182" i="39" s="1"/>
  <c r="I183" i="25" s="1"/>
  <c r="E197" i="34"/>
  <c r="I197" i="34" s="1"/>
  <c r="E186" i="39" s="1"/>
  <c r="G186" i="39" s="1"/>
  <c r="H186" i="39" s="1"/>
  <c r="I186" i="39" s="1"/>
  <c r="J186" i="39" s="1"/>
  <c r="I187" i="25" s="1"/>
  <c r="E201" i="34"/>
  <c r="I201" i="34" s="1"/>
  <c r="E190" i="39" s="1"/>
  <c r="G190" i="39" s="1"/>
  <c r="H190" i="39" s="1"/>
  <c r="I190" i="39" s="1"/>
  <c r="J190" i="39" s="1"/>
  <c r="I191" i="25" s="1"/>
  <c r="E205" i="34"/>
  <c r="I205" i="34" s="1"/>
  <c r="E209" i="34"/>
  <c r="I209" i="34" s="1"/>
  <c r="E213" i="34"/>
  <c r="I213" i="34" s="1"/>
  <c r="E202" i="12" s="1"/>
  <c r="G202" i="12" s="1"/>
  <c r="E217" i="34"/>
  <c r="I217" i="34" s="1"/>
  <c r="E206" i="12" s="1"/>
  <c r="G206" i="12" s="1"/>
  <c r="E221" i="34"/>
  <c r="I221" i="34" s="1"/>
  <c r="G211" i="25" s="1"/>
  <c r="E225" i="34"/>
  <c r="I225" i="34" s="1"/>
  <c r="E214" i="39" s="1"/>
  <c r="G214" i="39" s="1"/>
  <c r="H214" i="39" s="1"/>
  <c r="I214" i="39" s="1"/>
  <c r="J214" i="39" s="1"/>
  <c r="I215" i="25" s="1"/>
  <c r="E229" i="34"/>
  <c r="I229" i="34" s="1"/>
  <c r="E218" i="39" s="1"/>
  <c r="G218" i="39" s="1"/>
  <c r="H218" i="39" s="1"/>
  <c r="I218" i="39" s="1"/>
  <c r="J218" i="39" s="1"/>
  <c r="I219" i="25" s="1"/>
  <c r="E233" i="34"/>
  <c r="I233" i="34" s="1"/>
  <c r="E222" i="39" s="1"/>
  <c r="G222" i="39" s="1"/>
  <c r="H222" i="39" s="1"/>
  <c r="I222" i="39" s="1"/>
  <c r="J222" i="39" s="1"/>
  <c r="I223" i="25" s="1"/>
  <c r="E237" i="34"/>
  <c r="I237" i="34" s="1"/>
  <c r="G227" i="25" s="1"/>
  <c r="E241" i="34"/>
  <c r="I241" i="34" s="1"/>
  <c r="E230" i="12" s="1"/>
  <c r="G230" i="12" s="1"/>
  <c r="E245" i="34"/>
  <c r="I245" i="34" s="1"/>
  <c r="E234" i="12" s="1"/>
  <c r="G234" i="12" s="1"/>
  <c r="E249" i="34"/>
  <c r="I249" i="34" s="1"/>
  <c r="E238" i="39" s="1"/>
  <c r="G238" i="39" s="1"/>
  <c r="H238" i="39" s="1"/>
  <c r="I238" i="39" s="1"/>
  <c r="J238" i="39" s="1"/>
  <c r="I239" i="25" s="1"/>
  <c r="E253" i="34"/>
  <c r="I253" i="34" s="1"/>
  <c r="G243" i="25" s="1"/>
  <c r="E257" i="34"/>
  <c r="I257" i="34" s="1"/>
  <c r="E246" i="39" s="1"/>
  <c r="G246" i="39" s="1"/>
  <c r="H246" i="39" s="1"/>
  <c r="I246" i="39" s="1"/>
  <c r="J246" i="39" s="1"/>
  <c r="I247" i="25" s="1"/>
  <c r="E261" i="34"/>
  <c r="I261" i="34" s="1"/>
  <c r="E250" i="39" s="1"/>
  <c r="G250" i="39" s="1"/>
  <c r="H250" i="39" s="1"/>
  <c r="I250" i="39" s="1"/>
  <c r="J250" i="39" s="1"/>
  <c r="I251" i="25" s="1"/>
  <c r="E265" i="34"/>
  <c r="I265" i="34" s="1"/>
  <c r="E254" i="39" s="1"/>
  <c r="G254" i="39" s="1"/>
  <c r="H254" i="39" s="1"/>
  <c r="I254" i="39" s="1"/>
  <c r="J254" i="39" s="1"/>
  <c r="I255" i="25" s="1"/>
  <c r="E269" i="34"/>
  <c r="I269" i="34" s="1"/>
  <c r="E258" i="39" s="1"/>
  <c r="G258" i="39" s="1"/>
  <c r="H258" i="39" s="1"/>
  <c r="I258" i="39" s="1"/>
  <c r="J258" i="39" s="1"/>
  <c r="I259" i="25" s="1"/>
  <c r="E273" i="34"/>
  <c r="I273" i="34" s="1"/>
  <c r="E262" i="12" s="1"/>
  <c r="G262" i="12" s="1"/>
  <c r="E277" i="34"/>
  <c r="I277" i="34" s="1"/>
  <c r="E266" i="39" s="1"/>
  <c r="G266" i="39" s="1"/>
  <c r="H266" i="39" s="1"/>
  <c r="I266" i="39" s="1"/>
  <c r="J266" i="39" s="1"/>
  <c r="I267" i="25" s="1"/>
  <c r="E281" i="34"/>
  <c r="I281" i="34" s="1"/>
  <c r="E270" i="39" s="1"/>
  <c r="G270" i="39" s="1"/>
  <c r="H270" i="39" s="1"/>
  <c r="I270" i="39" s="1"/>
  <c r="J270" i="39" s="1"/>
  <c r="I271" i="25" s="1"/>
  <c r="E285" i="34"/>
  <c r="I285" i="34" s="1"/>
  <c r="G275" i="25" s="1"/>
  <c r="E289" i="34"/>
  <c r="I289" i="34" s="1"/>
  <c r="E278" i="39" s="1"/>
  <c r="G278" i="39" s="1"/>
  <c r="H278" i="39" s="1"/>
  <c r="I278" i="39" s="1"/>
  <c r="J278" i="39" s="1"/>
  <c r="I279" i="25" s="1"/>
  <c r="E293" i="34"/>
  <c r="I293" i="34" s="1"/>
  <c r="E282" i="12" s="1"/>
  <c r="G282" i="12" s="1"/>
  <c r="E297" i="34"/>
  <c r="I297" i="34" s="1"/>
  <c r="G287" i="25" s="1"/>
  <c r="E301" i="34"/>
  <c r="I301" i="34" s="1"/>
  <c r="E305" i="34"/>
  <c r="I305" i="34" s="1"/>
  <c r="E309" i="34"/>
  <c r="I309" i="34" s="1"/>
  <c r="G299" i="25" s="1"/>
  <c r="E313" i="34"/>
  <c r="I313" i="34" s="1"/>
  <c r="G303" i="25" s="1"/>
  <c r="E317" i="34"/>
  <c r="I317" i="34" s="1"/>
  <c r="E306" i="12" s="1"/>
  <c r="G306" i="12" s="1"/>
  <c r="E321" i="34"/>
  <c r="I321" i="34" s="1"/>
  <c r="E310" i="39" s="1"/>
  <c r="G310" i="39" s="1"/>
  <c r="H310" i="39" s="1"/>
  <c r="I310" i="39" s="1"/>
  <c r="J310" i="39" s="1"/>
  <c r="I311" i="25" s="1"/>
  <c r="E325" i="34"/>
  <c r="I325" i="34" s="1"/>
  <c r="E314" i="39" s="1"/>
  <c r="G314" i="39" s="1"/>
  <c r="H314" i="39" s="1"/>
  <c r="I314" i="39" s="1"/>
  <c r="J314" i="39" s="1"/>
  <c r="I315" i="25" s="1"/>
  <c r="E329" i="34"/>
  <c r="I329" i="34" s="1"/>
  <c r="E333" i="34"/>
  <c r="I333" i="34" s="1"/>
  <c r="E322" i="39" s="1"/>
  <c r="G322" i="39" s="1"/>
  <c r="H322" i="39" s="1"/>
  <c r="I322" i="39" s="1"/>
  <c r="J322" i="39" s="1"/>
  <c r="I323" i="25" s="1"/>
  <c r="E18" i="34"/>
  <c r="I18" i="34" s="1"/>
  <c r="E7" i="39" s="1"/>
  <c r="G7" i="39" s="1"/>
  <c r="H7" i="39" s="1"/>
  <c r="I7" i="39" s="1"/>
  <c r="J7" i="39" s="1"/>
  <c r="I8" i="25" s="1"/>
  <c r="E26" i="34"/>
  <c r="I26" i="34" s="1"/>
  <c r="E15" i="39" s="1"/>
  <c r="G15" i="39" s="1"/>
  <c r="H15" i="39" s="1"/>
  <c r="I15" i="39" s="1"/>
  <c r="J15" i="39" s="1"/>
  <c r="I16" i="25" s="1"/>
  <c r="E34" i="34"/>
  <c r="I34" i="34" s="1"/>
  <c r="E23" i="12" s="1"/>
  <c r="G23" i="12" s="1"/>
  <c r="E42" i="34"/>
  <c r="I42" i="34" s="1"/>
  <c r="E50" i="34"/>
  <c r="I50" i="34" s="1"/>
  <c r="E20" i="34"/>
  <c r="I20" i="34" s="1"/>
  <c r="G10" i="25" s="1"/>
  <c r="E24" i="34"/>
  <c r="I24" i="34" s="1"/>
  <c r="E13" i="12" s="1"/>
  <c r="G13" i="12" s="1"/>
  <c r="E28" i="34"/>
  <c r="I28" i="34" s="1"/>
  <c r="E17" i="12" s="1"/>
  <c r="G17" i="12" s="1"/>
  <c r="E32" i="34"/>
  <c r="I32" i="34" s="1"/>
  <c r="E21" i="12" s="1"/>
  <c r="G21" i="12" s="1"/>
  <c r="E36" i="34"/>
  <c r="I36" i="34" s="1"/>
  <c r="E25" i="12" s="1"/>
  <c r="G25" i="12" s="1"/>
  <c r="E40" i="34"/>
  <c r="I40" i="34" s="1"/>
  <c r="G30" i="25" s="1"/>
  <c r="E44" i="34"/>
  <c r="I44" i="34" s="1"/>
  <c r="E33" i="39" s="1"/>
  <c r="G33" i="39" s="1"/>
  <c r="H33" i="39" s="1"/>
  <c r="I33" i="39" s="1"/>
  <c r="J33" i="39" s="1"/>
  <c r="I34" i="25" s="1"/>
  <c r="E48" i="34"/>
  <c r="I48" i="34" s="1"/>
  <c r="E37" i="12" s="1"/>
  <c r="G37" i="12" s="1"/>
  <c r="E52" i="34"/>
  <c r="I52" i="34" s="1"/>
  <c r="E41" i="12" s="1"/>
  <c r="G41" i="12" s="1"/>
  <c r="E56" i="34"/>
  <c r="I56" i="34" s="1"/>
  <c r="G46" i="25" s="1"/>
  <c r="E60" i="34"/>
  <c r="I60" i="34" s="1"/>
  <c r="G50" i="25" s="1"/>
  <c r="E64" i="34"/>
  <c r="I64" i="34" s="1"/>
  <c r="E53" i="39" s="1"/>
  <c r="G53" i="39" s="1"/>
  <c r="H53" i="39" s="1"/>
  <c r="I53" i="39" s="1"/>
  <c r="J53" i="39" s="1"/>
  <c r="I54" i="25" s="1"/>
  <c r="E68" i="34"/>
  <c r="I68" i="34" s="1"/>
  <c r="E57" i="39" s="1"/>
  <c r="G57" i="39" s="1"/>
  <c r="H57" i="39" s="1"/>
  <c r="I57" i="39" s="1"/>
  <c r="J57" i="39" s="1"/>
  <c r="I58" i="25" s="1"/>
  <c r="E72" i="34"/>
  <c r="I72" i="34" s="1"/>
  <c r="E61" i="39" s="1"/>
  <c r="G61" i="39" s="1"/>
  <c r="H61" i="39" s="1"/>
  <c r="I61" i="39" s="1"/>
  <c r="J61" i="39" s="1"/>
  <c r="I62" i="25" s="1"/>
  <c r="E76" i="34"/>
  <c r="I76" i="34" s="1"/>
  <c r="E80" i="34"/>
  <c r="I80" i="34" s="1"/>
  <c r="E69" i="39" s="1"/>
  <c r="G69" i="39" s="1"/>
  <c r="H69" i="39" s="1"/>
  <c r="I69" i="39" s="1"/>
  <c r="J69" i="39" s="1"/>
  <c r="I70" i="25" s="1"/>
  <c r="E84" i="34"/>
  <c r="I84" i="34" s="1"/>
  <c r="G74" i="25" s="1"/>
  <c r="E88" i="34"/>
  <c r="I88" i="34" s="1"/>
  <c r="E77" i="12" s="1"/>
  <c r="G77" i="12" s="1"/>
  <c r="E92" i="34"/>
  <c r="I92" i="34" s="1"/>
  <c r="E96" i="34"/>
  <c r="I96" i="34" s="1"/>
  <c r="E85" i="12" s="1"/>
  <c r="G85" i="12" s="1"/>
  <c r="E100" i="34"/>
  <c r="I100" i="34" s="1"/>
  <c r="E89" i="12" s="1"/>
  <c r="G89" i="12" s="1"/>
  <c r="E104" i="34"/>
  <c r="I104" i="34" s="1"/>
  <c r="G94" i="25" s="1"/>
  <c r="E108" i="34"/>
  <c r="I108" i="34" s="1"/>
  <c r="G98" i="25" s="1"/>
  <c r="E112" i="34"/>
  <c r="I112" i="34" s="1"/>
  <c r="G102" i="25" s="1"/>
  <c r="E116" i="34"/>
  <c r="I116" i="34" s="1"/>
  <c r="E105" i="12" s="1"/>
  <c r="G105" i="12" s="1"/>
  <c r="E120" i="34"/>
  <c r="I120" i="34" s="1"/>
  <c r="G110" i="25" s="1"/>
  <c r="E124" i="34"/>
  <c r="I124" i="34" s="1"/>
  <c r="E128" i="34"/>
  <c r="I128" i="34" s="1"/>
  <c r="E117" i="12" s="1"/>
  <c r="G117" i="12" s="1"/>
  <c r="E132" i="34"/>
  <c r="I132" i="34" s="1"/>
  <c r="G122" i="25" s="1"/>
  <c r="E136" i="34"/>
  <c r="I136" i="34" s="1"/>
  <c r="G126" i="25" s="1"/>
  <c r="E140" i="34"/>
  <c r="I140" i="34" s="1"/>
  <c r="E129" i="12" s="1"/>
  <c r="G129" i="12" s="1"/>
  <c r="E144" i="34"/>
  <c r="I144" i="34" s="1"/>
  <c r="E133" i="39" s="1"/>
  <c r="G133" i="39" s="1"/>
  <c r="H133" i="39" s="1"/>
  <c r="I133" i="39" s="1"/>
  <c r="J133" i="39" s="1"/>
  <c r="I134" i="25" s="1"/>
  <c r="E148" i="34"/>
  <c r="I148" i="34" s="1"/>
  <c r="E137" i="12" s="1"/>
  <c r="G137" i="12" s="1"/>
  <c r="E152" i="34"/>
  <c r="I152" i="34" s="1"/>
  <c r="E141" i="39" s="1"/>
  <c r="G141" i="39" s="1"/>
  <c r="H141" i="39" s="1"/>
  <c r="I141" i="39" s="1"/>
  <c r="J141" i="39" s="1"/>
  <c r="I142" i="25" s="1"/>
  <c r="E156" i="34"/>
  <c r="I156" i="34" s="1"/>
  <c r="E145" i="12" s="1"/>
  <c r="G145" i="12" s="1"/>
  <c r="E160" i="34"/>
  <c r="I160" i="34" s="1"/>
  <c r="E149" i="39" s="1"/>
  <c r="G149" i="39" s="1"/>
  <c r="H149" i="39" s="1"/>
  <c r="I149" i="39" s="1"/>
  <c r="J149" i="39" s="1"/>
  <c r="I150" i="25" s="1"/>
  <c r="E164" i="34"/>
  <c r="I164" i="34" s="1"/>
  <c r="G154" i="25" s="1"/>
  <c r="E168" i="34"/>
  <c r="I168" i="34" s="1"/>
  <c r="E157" i="12" s="1"/>
  <c r="G157" i="12" s="1"/>
  <c r="E172" i="34"/>
  <c r="I172" i="34" s="1"/>
  <c r="E176" i="34"/>
  <c r="I176" i="34" s="1"/>
  <c r="E165" i="12" s="1"/>
  <c r="G165" i="12" s="1"/>
  <c r="E180" i="34"/>
  <c r="I180" i="34" s="1"/>
  <c r="E169" i="12" s="1"/>
  <c r="G169" i="12" s="1"/>
  <c r="E184" i="34"/>
  <c r="I184" i="34" s="1"/>
  <c r="E173" i="39" s="1"/>
  <c r="G173" i="39" s="1"/>
  <c r="H173" i="39" s="1"/>
  <c r="I173" i="39" s="1"/>
  <c r="J173" i="39" s="1"/>
  <c r="I174" i="25" s="1"/>
  <c r="E188" i="34"/>
  <c r="I188" i="34" s="1"/>
  <c r="E177" i="12" s="1"/>
  <c r="G177" i="12" s="1"/>
  <c r="E192" i="34"/>
  <c r="I192" i="34" s="1"/>
  <c r="G182" i="25" s="1"/>
  <c r="E196" i="34"/>
  <c r="I196" i="34" s="1"/>
  <c r="E185" i="39" s="1"/>
  <c r="G185" i="39" s="1"/>
  <c r="H185" i="39" s="1"/>
  <c r="I185" i="39" s="1"/>
  <c r="J185" i="39" s="1"/>
  <c r="I186" i="25" s="1"/>
  <c r="E200" i="34"/>
  <c r="I200" i="34" s="1"/>
  <c r="E189" i="39" s="1"/>
  <c r="G189" i="39" s="1"/>
  <c r="H189" i="39" s="1"/>
  <c r="I189" i="39" s="1"/>
  <c r="J189" i="39" s="1"/>
  <c r="I190" i="25" s="1"/>
  <c r="E204" i="34"/>
  <c r="I204" i="34" s="1"/>
  <c r="E193" i="12" s="1"/>
  <c r="G193" i="12" s="1"/>
  <c r="E208" i="34"/>
  <c r="I208" i="34" s="1"/>
  <c r="E212" i="34"/>
  <c r="I212" i="34" s="1"/>
  <c r="E201" i="12" s="1"/>
  <c r="G201" i="12" s="1"/>
  <c r="E216" i="34"/>
  <c r="I216" i="34" s="1"/>
  <c r="G206" i="25" s="1"/>
  <c r="E220" i="34"/>
  <c r="I220" i="34" s="1"/>
  <c r="E209" i="12" s="1"/>
  <c r="G209" i="12" s="1"/>
  <c r="E224" i="34"/>
  <c r="I224" i="34" s="1"/>
  <c r="E213" i="39" s="1"/>
  <c r="G213" i="39" s="1"/>
  <c r="H213" i="39" s="1"/>
  <c r="I213" i="39" s="1"/>
  <c r="J213" i="39" s="1"/>
  <c r="I214" i="25" s="1"/>
  <c r="E228" i="34"/>
  <c r="I228" i="34" s="1"/>
  <c r="E217" i="12" s="1"/>
  <c r="G217" i="12" s="1"/>
  <c r="E232" i="34"/>
  <c r="I232" i="34" s="1"/>
  <c r="G222" i="25" s="1"/>
  <c r="E236" i="34"/>
  <c r="I236" i="34" s="1"/>
  <c r="E225" i="12" s="1"/>
  <c r="G225" i="12" s="1"/>
  <c r="E240" i="34"/>
  <c r="I240" i="34" s="1"/>
  <c r="E229" i="12" s="1"/>
  <c r="G229" i="12" s="1"/>
  <c r="E244" i="34"/>
  <c r="I244" i="34" s="1"/>
  <c r="E233" i="12" s="1"/>
  <c r="G233" i="12" s="1"/>
  <c r="E248" i="34"/>
  <c r="I248" i="34" s="1"/>
  <c r="E237" i="39" s="1"/>
  <c r="G237" i="39" s="1"/>
  <c r="H237" i="39" s="1"/>
  <c r="I237" i="39" s="1"/>
  <c r="J237" i="39" s="1"/>
  <c r="I238" i="25" s="1"/>
  <c r="E252" i="34"/>
  <c r="I252" i="34" s="1"/>
  <c r="E241" i="12" s="1"/>
  <c r="G241" i="12" s="1"/>
  <c r="E256" i="34"/>
  <c r="I256" i="34" s="1"/>
  <c r="E260" i="34"/>
  <c r="I260" i="34" s="1"/>
  <c r="E249" i="39" s="1"/>
  <c r="G249" i="39" s="1"/>
  <c r="H249" i="39" s="1"/>
  <c r="I249" i="39" s="1"/>
  <c r="J249" i="39" s="1"/>
  <c r="I250" i="25" s="1"/>
  <c r="E264" i="34"/>
  <c r="I264" i="34" s="1"/>
  <c r="E253" i="12" s="1"/>
  <c r="G253" i="12" s="1"/>
  <c r="E268" i="34"/>
  <c r="I268" i="34" s="1"/>
  <c r="E257" i="39" s="1"/>
  <c r="G257" i="39" s="1"/>
  <c r="H257" i="39" s="1"/>
  <c r="I257" i="39" s="1"/>
  <c r="J257" i="39" s="1"/>
  <c r="I258" i="25" s="1"/>
  <c r="E272" i="34"/>
  <c r="I272" i="34" s="1"/>
  <c r="E276" i="34"/>
  <c r="I276" i="34" s="1"/>
  <c r="E265" i="12" s="1"/>
  <c r="G265" i="12" s="1"/>
  <c r="E280" i="34"/>
  <c r="I280" i="34" s="1"/>
  <c r="E269" i="39" s="1"/>
  <c r="G269" i="39" s="1"/>
  <c r="H269" i="39" s="1"/>
  <c r="I269" i="39" s="1"/>
  <c r="J269" i="39" s="1"/>
  <c r="I270" i="25" s="1"/>
  <c r="E284" i="34"/>
  <c r="I284" i="34" s="1"/>
  <c r="G274" i="25" s="1"/>
  <c r="E288" i="34"/>
  <c r="I288" i="34" s="1"/>
  <c r="E277" i="12" s="1"/>
  <c r="G277" i="12" s="1"/>
  <c r="E292" i="34"/>
  <c r="I292" i="34" s="1"/>
  <c r="E281" i="39" s="1"/>
  <c r="G281" i="39" s="1"/>
  <c r="H281" i="39" s="1"/>
  <c r="I281" i="39" s="1"/>
  <c r="J281" i="39" s="1"/>
  <c r="I282" i="25" s="1"/>
  <c r="E296" i="34"/>
  <c r="I296" i="34" s="1"/>
  <c r="E285" i="39" s="1"/>
  <c r="G285" i="39" s="1"/>
  <c r="H285" i="39" s="1"/>
  <c r="I285" i="39" s="1"/>
  <c r="J285" i="39" s="1"/>
  <c r="I286" i="25" s="1"/>
  <c r="E300" i="34"/>
  <c r="I300" i="34" s="1"/>
  <c r="E289" i="12" s="1"/>
  <c r="G289" i="12" s="1"/>
  <c r="E304" i="34"/>
  <c r="I304" i="34" s="1"/>
  <c r="E293" i="39" s="1"/>
  <c r="G293" i="39" s="1"/>
  <c r="H293" i="39" s="1"/>
  <c r="I293" i="39" s="1"/>
  <c r="J293" i="39" s="1"/>
  <c r="I294" i="25" s="1"/>
  <c r="E308" i="34"/>
  <c r="I308" i="34" s="1"/>
  <c r="E297" i="12" s="1"/>
  <c r="G297" i="12" s="1"/>
  <c r="E312" i="34"/>
  <c r="I312" i="34" s="1"/>
  <c r="G302" i="25" s="1"/>
  <c r="E316" i="34"/>
  <c r="I316" i="34" s="1"/>
  <c r="E305" i="39" s="1"/>
  <c r="G305" i="39" s="1"/>
  <c r="H305" i="39" s="1"/>
  <c r="I305" i="39" s="1"/>
  <c r="J305" i="39" s="1"/>
  <c r="I306" i="25" s="1"/>
  <c r="E320" i="34"/>
  <c r="I320" i="34" s="1"/>
  <c r="G310" i="25" s="1"/>
  <c r="E324" i="34"/>
  <c r="I324" i="34" s="1"/>
  <c r="G314" i="25" s="1"/>
  <c r="E328" i="34"/>
  <c r="I328" i="34" s="1"/>
  <c r="E317" i="39" s="1"/>
  <c r="G317" i="39" s="1"/>
  <c r="H317" i="39" s="1"/>
  <c r="I317" i="39" s="1"/>
  <c r="J317" i="39" s="1"/>
  <c r="I318" i="25" s="1"/>
  <c r="E332" i="34"/>
  <c r="I332" i="34" s="1"/>
  <c r="E321" i="39" s="1"/>
  <c r="G321" i="39" s="1"/>
  <c r="H321" i="39" s="1"/>
  <c r="I321" i="39" s="1"/>
  <c r="J321" i="39" s="1"/>
  <c r="I322" i="25" s="1"/>
  <c r="E17" i="34"/>
  <c r="I17" i="34" s="1"/>
  <c r="E6" i="39" s="1"/>
  <c r="G6" i="39" s="1"/>
  <c r="H6" i="39" s="1"/>
  <c r="I6" i="39" s="1"/>
  <c r="J6" i="39" s="1"/>
  <c r="I7" i="25" s="1"/>
  <c r="E22" i="34"/>
  <c r="I22" i="34" s="1"/>
  <c r="E11" i="39" s="1"/>
  <c r="G11" i="39" s="1"/>
  <c r="H11" i="39" s="1"/>
  <c r="I11" i="39" s="1"/>
  <c r="J11" i="39" s="1"/>
  <c r="I12" i="25" s="1"/>
  <c r="E30" i="34"/>
  <c r="I30" i="34" s="1"/>
  <c r="E19" i="39" s="1"/>
  <c r="G19" i="39" s="1"/>
  <c r="H19" i="39" s="1"/>
  <c r="I19" i="39" s="1"/>
  <c r="J19" i="39" s="1"/>
  <c r="I20" i="25" s="1"/>
  <c r="E38" i="34"/>
  <c r="I38" i="34" s="1"/>
  <c r="E27" i="12" s="1"/>
  <c r="G27" i="12" s="1"/>
  <c r="E46" i="34"/>
  <c r="I46" i="34" s="1"/>
  <c r="E35" i="12" s="1"/>
  <c r="G35" i="12" s="1"/>
  <c r="E27" i="34"/>
  <c r="I27" i="34" s="1"/>
  <c r="E16" i="12" s="1"/>
  <c r="G16" i="12" s="1"/>
  <c r="E43" i="34"/>
  <c r="I43" i="34" s="1"/>
  <c r="E32" i="39" s="1"/>
  <c r="G32" i="39" s="1"/>
  <c r="H32" i="39" s="1"/>
  <c r="I32" i="39" s="1"/>
  <c r="J32" i="39" s="1"/>
  <c r="I33" i="25" s="1"/>
  <c r="E55" i="34"/>
  <c r="I55" i="34" s="1"/>
  <c r="G45" i="25" s="1"/>
  <c r="E63" i="34"/>
  <c r="I63" i="34" s="1"/>
  <c r="E52" i="12" s="1"/>
  <c r="G52" i="12" s="1"/>
  <c r="E71" i="34"/>
  <c r="I71" i="34" s="1"/>
  <c r="E60" i="39" s="1"/>
  <c r="G60" i="39" s="1"/>
  <c r="H60" i="39" s="1"/>
  <c r="I60" i="39" s="1"/>
  <c r="J60" i="39" s="1"/>
  <c r="I61" i="25" s="1"/>
  <c r="E79" i="34"/>
  <c r="I79" i="34" s="1"/>
  <c r="G69" i="25" s="1"/>
  <c r="E87" i="34"/>
  <c r="I87" i="34" s="1"/>
  <c r="E76" i="39" s="1"/>
  <c r="G76" i="39" s="1"/>
  <c r="H76" i="39" s="1"/>
  <c r="I76" i="39" s="1"/>
  <c r="J76" i="39" s="1"/>
  <c r="I77" i="25" s="1"/>
  <c r="E95" i="34"/>
  <c r="I95" i="34" s="1"/>
  <c r="E103" i="34"/>
  <c r="I103" i="34" s="1"/>
  <c r="G93" i="25" s="1"/>
  <c r="E111" i="34"/>
  <c r="I111" i="34" s="1"/>
  <c r="E100" i="39" s="1"/>
  <c r="G100" i="39" s="1"/>
  <c r="H100" i="39" s="1"/>
  <c r="I100" i="39" s="1"/>
  <c r="J100" i="39" s="1"/>
  <c r="I101" i="25" s="1"/>
  <c r="E119" i="34"/>
  <c r="I119" i="34" s="1"/>
  <c r="G109" i="25" s="1"/>
  <c r="E127" i="34"/>
  <c r="I127" i="34" s="1"/>
  <c r="G117" i="25" s="1"/>
  <c r="E135" i="34"/>
  <c r="I135" i="34" s="1"/>
  <c r="E124" i="12" s="1"/>
  <c r="G124" i="12" s="1"/>
  <c r="E143" i="34"/>
  <c r="I143" i="34" s="1"/>
  <c r="E132" i="39" s="1"/>
  <c r="G132" i="39" s="1"/>
  <c r="H132" i="39" s="1"/>
  <c r="I132" i="39" s="1"/>
  <c r="J132" i="39" s="1"/>
  <c r="I133" i="25" s="1"/>
  <c r="E151" i="34"/>
  <c r="I151" i="34" s="1"/>
  <c r="E159" i="34"/>
  <c r="I159" i="34" s="1"/>
  <c r="G149" i="25" s="1"/>
  <c r="E167" i="34"/>
  <c r="I167" i="34" s="1"/>
  <c r="E156" i="12" s="1"/>
  <c r="G156" i="12" s="1"/>
  <c r="E175" i="34"/>
  <c r="I175" i="34" s="1"/>
  <c r="E164" i="12" s="1"/>
  <c r="G164" i="12" s="1"/>
  <c r="E183" i="34"/>
  <c r="I183" i="34" s="1"/>
  <c r="E172" i="12" s="1"/>
  <c r="G172" i="12" s="1"/>
  <c r="E191" i="34"/>
  <c r="I191" i="34" s="1"/>
  <c r="G181" i="25" s="1"/>
  <c r="E199" i="34"/>
  <c r="I199" i="34" s="1"/>
  <c r="G189" i="25" s="1"/>
  <c r="E207" i="34"/>
  <c r="I207" i="34" s="1"/>
  <c r="G197" i="25" s="1"/>
  <c r="E215" i="34"/>
  <c r="I215" i="34" s="1"/>
  <c r="E204" i="39" s="1"/>
  <c r="G204" i="39" s="1"/>
  <c r="H204" i="39" s="1"/>
  <c r="I204" i="39" s="1"/>
  <c r="J204" i="39" s="1"/>
  <c r="I205" i="25" s="1"/>
  <c r="E223" i="34"/>
  <c r="I223" i="34" s="1"/>
  <c r="G213" i="25" s="1"/>
  <c r="E231" i="34"/>
  <c r="I231" i="34" s="1"/>
  <c r="E220" i="39" s="1"/>
  <c r="G220" i="39" s="1"/>
  <c r="H220" i="39" s="1"/>
  <c r="I220" i="39" s="1"/>
  <c r="J220" i="39" s="1"/>
  <c r="I221" i="25" s="1"/>
  <c r="E239" i="34"/>
  <c r="I239" i="34" s="1"/>
  <c r="E228" i="12" s="1"/>
  <c r="G228" i="12" s="1"/>
  <c r="E247" i="34"/>
  <c r="I247" i="34" s="1"/>
  <c r="G237" i="25" s="1"/>
  <c r="E255" i="34"/>
  <c r="I255" i="34" s="1"/>
  <c r="E244" i="39" s="1"/>
  <c r="G244" i="39" s="1"/>
  <c r="H244" i="39" s="1"/>
  <c r="I244" i="39" s="1"/>
  <c r="J244" i="39" s="1"/>
  <c r="I245" i="25" s="1"/>
  <c r="E263" i="34"/>
  <c r="I263" i="34" s="1"/>
  <c r="E252" i="12" s="1"/>
  <c r="G252" i="12" s="1"/>
  <c r="E271" i="34"/>
  <c r="I271" i="34" s="1"/>
  <c r="E260" i="12" s="1"/>
  <c r="G260" i="12" s="1"/>
  <c r="E279" i="34"/>
  <c r="I279" i="34" s="1"/>
  <c r="E268" i="39" s="1"/>
  <c r="G268" i="39" s="1"/>
  <c r="H268" i="39" s="1"/>
  <c r="I268" i="39" s="1"/>
  <c r="J268" i="39" s="1"/>
  <c r="I269" i="25" s="1"/>
  <c r="E16" i="34"/>
  <c r="E31" i="34"/>
  <c r="I31" i="34" s="1"/>
  <c r="E20" i="12" s="1"/>
  <c r="G20" i="12" s="1"/>
  <c r="E47" i="34"/>
  <c r="I47" i="34" s="1"/>
  <c r="E36" i="39" s="1"/>
  <c r="G36" i="39" s="1"/>
  <c r="H36" i="39" s="1"/>
  <c r="I36" i="39" s="1"/>
  <c r="J36" i="39" s="1"/>
  <c r="I37" i="25" s="1"/>
  <c r="E58" i="34"/>
  <c r="I58" i="34" s="1"/>
  <c r="G48" i="25" s="1"/>
  <c r="E66" i="34"/>
  <c r="I66" i="34" s="1"/>
  <c r="G56" i="25" s="1"/>
  <c r="E74" i="34"/>
  <c r="I74" i="34" s="1"/>
  <c r="E63" i="12" s="1"/>
  <c r="G63" i="12" s="1"/>
  <c r="E82" i="34"/>
  <c r="I82" i="34" s="1"/>
  <c r="E71" i="39" s="1"/>
  <c r="G71" i="39" s="1"/>
  <c r="H71" i="39" s="1"/>
  <c r="I71" i="39" s="1"/>
  <c r="J71" i="39" s="1"/>
  <c r="I72" i="25" s="1"/>
  <c r="E90" i="34"/>
  <c r="I90" i="34" s="1"/>
  <c r="G80" i="25" s="1"/>
  <c r="E98" i="34"/>
  <c r="I98" i="34" s="1"/>
  <c r="E87" i="12" s="1"/>
  <c r="G87" i="12" s="1"/>
  <c r="E106" i="34"/>
  <c r="I106" i="34" s="1"/>
  <c r="G96" i="25" s="1"/>
  <c r="E114" i="34"/>
  <c r="I114" i="34" s="1"/>
  <c r="E103" i="12" s="1"/>
  <c r="G103" i="12" s="1"/>
  <c r="E122" i="34"/>
  <c r="I122" i="34" s="1"/>
  <c r="E111" i="39" s="1"/>
  <c r="G111" i="39" s="1"/>
  <c r="H111" i="39" s="1"/>
  <c r="I111" i="39" s="1"/>
  <c r="J111" i="39" s="1"/>
  <c r="I112" i="25" s="1"/>
  <c r="E130" i="34"/>
  <c r="I130" i="34" s="1"/>
  <c r="E119" i="12" s="1"/>
  <c r="G119" i="12" s="1"/>
  <c r="E138" i="34"/>
  <c r="I138" i="34" s="1"/>
  <c r="E127" i="12" s="1"/>
  <c r="G127" i="12" s="1"/>
  <c r="E146" i="34"/>
  <c r="I146" i="34" s="1"/>
  <c r="G136" i="25" s="1"/>
  <c r="E154" i="34"/>
  <c r="I154" i="34" s="1"/>
  <c r="E143" i="39" s="1"/>
  <c r="G143" i="39" s="1"/>
  <c r="H143" i="39" s="1"/>
  <c r="I143" i="39" s="1"/>
  <c r="J143" i="39" s="1"/>
  <c r="I144" i="25" s="1"/>
  <c r="E162" i="34"/>
  <c r="I162" i="34" s="1"/>
  <c r="G152" i="25" s="1"/>
  <c r="E170" i="34"/>
  <c r="I170" i="34" s="1"/>
  <c r="G160" i="25" s="1"/>
  <c r="E178" i="34"/>
  <c r="I178" i="34" s="1"/>
  <c r="E167" i="12" s="1"/>
  <c r="G167" i="12" s="1"/>
  <c r="E186" i="34"/>
  <c r="I186" i="34" s="1"/>
  <c r="E194" i="34"/>
  <c r="I194" i="34" s="1"/>
  <c r="E183" i="39" s="1"/>
  <c r="G183" i="39" s="1"/>
  <c r="H183" i="39" s="1"/>
  <c r="I183" i="39" s="1"/>
  <c r="J183" i="39" s="1"/>
  <c r="I184" i="25" s="1"/>
  <c r="E202" i="34"/>
  <c r="I202" i="34" s="1"/>
  <c r="E191" i="12" s="1"/>
  <c r="G191" i="12" s="1"/>
  <c r="E210" i="34"/>
  <c r="I210" i="34" s="1"/>
  <c r="E199" i="39" s="1"/>
  <c r="G199" i="39" s="1"/>
  <c r="H199" i="39" s="1"/>
  <c r="I199" i="39" s="1"/>
  <c r="J199" i="39" s="1"/>
  <c r="I200" i="25" s="1"/>
  <c r="E218" i="34"/>
  <c r="I218" i="34" s="1"/>
  <c r="E207" i="39" s="1"/>
  <c r="G207" i="39" s="1"/>
  <c r="H207" i="39" s="1"/>
  <c r="I207" i="39" s="1"/>
  <c r="J207" i="39" s="1"/>
  <c r="I208" i="25" s="1"/>
  <c r="E226" i="34"/>
  <c r="I226" i="34" s="1"/>
  <c r="G216" i="25" s="1"/>
  <c r="E234" i="34"/>
  <c r="I234" i="34" s="1"/>
  <c r="G224" i="25" s="1"/>
  <c r="E242" i="34"/>
  <c r="I242" i="34" s="1"/>
  <c r="G232" i="25" s="1"/>
  <c r="E250" i="34"/>
  <c r="I250" i="34" s="1"/>
  <c r="G240" i="25" s="1"/>
  <c r="E258" i="34"/>
  <c r="I258" i="34" s="1"/>
  <c r="E247" i="39" s="1"/>
  <c r="G247" i="39" s="1"/>
  <c r="H247" i="39" s="1"/>
  <c r="I247" i="39" s="1"/>
  <c r="J247" i="39" s="1"/>
  <c r="I248" i="25" s="1"/>
  <c r="E266" i="34"/>
  <c r="I266" i="34" s="1"/>
  <c r="E255" i="12" s="1"/>
  <c r="G255" i="12" s="1"/>
  <c r="E274" i="34"/>
  <c r="I274" i="34" s="1"/>
  <c r="G264" i="25" s="1"/>
  <c r="E282" i="34"/>
  <c r="I282" i="34" s="1"/>
  <c r="E271" i="39" s="1"/>
  <c r="G271" i="39" s="1"/>
  <c r="H271" i="39" s="1"/>
  <c r="I271" i="39" s="1"/>
  <c r="J271" i="39" s="1"/>
  <c r="I272" i="25" s="1"/>
  <c r="E290" i="34"/>
  <c r="I290" i="34" s="1"/>
  <c r="G280" i="25" s="1"/>
  <c r="E298" i="34"/>
  <c r="I298" i="34" s="1"/>
  <c r="E287" i="12" s="1"/>
  <c r="G287" i="12" s="1"/>
  <c r="E306" i="34"/>
  <c r="I306" i="34" s="1"/>
  <c r="E295" i="12" s="1"/>
  <c r="G295" i="12" s="1"/>
  <c r="E314" i="34"/>
  <c r="I314" i="34" s="1"/>
  <c r="E303" i="39" s="1"/>
  <c r="G303" i="39" s="1"/>
  <c r="H303" i="39" s="1"/>
  <c r="I303" i="39" s="1"/>
  <c r="J303" i="39" s="1"/>
  <c r="I304" i="25" s="1"/>
  <c r="E322" i="34"/>
  <c r="I322" i="34" s="1"/>
  <c r="E311" i="39" s="1"/>
  <c r="G311" i="39" s="1"/>
  <c r="H311" i="39" s="1"/>
  <c r="I311" i="39" s="1"/>
  <c r="J311" i="39" s="1"/>
  <c r="I312" i="25" s="1"/>
  <c r="E330" i="34"/>
  <c r="I330" i="34" s="1"/>
  <c r="E319" i="39" s="1"/>
  <c r="G319" i="39" s="1"/>
  <c r="H319" i="39" s="1"/>
  <c r="I319" i="39" s="1"/>
  <c r="J319" i="39" s="1"/>
  <c r="I320" i="25" s="1"/>
  <c r="E19" i="34"/>
  <c r="I19" i="34" s="1"/>
  <c r="G9" i="25" s="1"/>
  <c r="E35" i="34"/>
  <c r="I35" i="34" s="1"/>
  <c r="E24" i="12" s="1"/>
  <c r="G24" i="12" s="1"/>
  <c r="E51" i="34"/>
  <c r="I51" i="34" s="1"/>
  <c r="E40" i="12" s="1"/>
  <c r="G40" i="12" s="1"/>
  <c r="E59" i="34"/>
  <c r="I59" i="34" s="1"/>
  <c r="E48" i="39" s="1"/>
  <c r="G48" i="39" s="1"/>
  <c r="H48" i="39" s="1"/>
  <c r="I48" i="39" s="1"/>
  <c r="J48" i="39" s="1"/>
  <c r="I49" i="25" s="1"/>
  <c r="E67" i="34"/>
  <c r="I67" i="34" s="1"/>
  <c r="E56" i="12" s="1"/>
  <c r="G56" i="12" s="1"/>
  <c r="E75" i="34"/>
  <c r="I75" i="34" s="1"/>
  <c r="E83" i="34"/>
  <c r="I83" i="34" s="1"/>
  <c r="E72" i="39" s="1"/>
  <c r="G72" i="39" s="1"/>
  <c r="H72" i="39" s="1"/>
  <c r="I72" i="39" s="1"/>
  <c r="J72" i="39" s="1"/>
  <c r="I73" i="25" s="1"/>
  <c r="E91" i="34"/>
  <c r="I91" i="34" s="1"/>
  <c r="G81" i="25" s="1"/>
  <c r="E99" i="34"/>
  <c r="I99" i="34" s="1"/>
  <c r="E88" i="12" s="1"/>
  <c r="G88" i="12" s="1"/>
  <c r="E107" i="34"/>
  <c r="I107" i="34" s="1"/>
  <c r="E115" i="34"/>
  <c r="I115" i="34" s="1"/>
  <c r="E123" i="34"/>
  <c r="I123" i="34" s="1"/>
  <c r="G113" i="25" s="1"/>
  <c r="E131" i="34"/>
  <c r="I131" i="34" s="1"/>
  <c r="E120" i="12" s="1"/>
  <c r="G120" i="12" s="1"/>
  <c r="E139" i="34"/>
  <c r="I139" i="34" s="1"/>
  <c r="E128" i="39" s="1"/>
  <c r="G128" i="39" s="1"/>
  <c r="H128" i="39" s="1"/>
  <c r="I128" i="39" s="1"/>
  <c r="J128" i="39" s="1"/>
  <c r="I129" i="25" s="1"/>
  <c r="E147" i="34"/>
  <c r="I147" i="34" s="1"/>
  <c r="G137" i="25" s="1"/>
  <c r="E155" i="34"/>
  <c r="I155" i="34" s="1"/>
  <c r="G145" i="25" s="1"/>
  <c r="E163" i="34"/>
  <c r="I163" i="34" s="1"/>
  <c r="G153" i="25" s="1"/>
  <c r="E171" i="34"/>
  <c r="I171" i="34" s="1"/>
  <c r="E179" i="34"/>
  <c r="I179" i="34" s="1"/>
  <c r="E168" i="39" s="1"/>
  <c r="G168" i="39" s="1"/>
  <c r="H168" i="39" s="1"/>
  <c r="I168" i="39" s="1"/>
  <c r="J168" i="39" s="1"/>
  <c r="I169" i="25" s="1"/>
  <c r="E187" i="34"/>
  <c r="I187" i="34" s="1"/>
  <c r="E176" i="12" s="1"/>
  <c r="G176" i="12" s="1"/>
  <c r="E195" i="34"/>
  <c r="I195" i="34" s="1"/>
  <c r="G185" i="25" s="1"/>
  <c r="E203" i="34"/>
  <c r="I203" i="34" s="1"/>
  <c r="G193" i="25" s="1"/>
  <c r="E211" i="34"/>
  <c r="I211" i="34" s="1"/>
  <c r="E200" i="39" s="1"/>
  <c r="G200" i="39" s="1"/>
  <c r="H200" i="39" s="1"/>
  <c r="I200" i="39" s="1"/>
  <c r="J200" i="39" s="1"/>
  <c r="I201" i="25" s="1"/>
  <c r="E219" i="34"/>
  <c r="I219" i="34" s="1"/>
  <c r="G209" i="25" s="1"/>
  <c r="E227" i="34"/>
  <c r="I227" i="34" s="1"/>
  <c r="G217" i="25" s="1"/>
  <c r="E235" i="34"/>
  <c r="I235" i="34" s="1"/>
  <c r="E224" i="12" s="1"/>
  <c r="G224" i="12" s="1"/>
  <c r="E243" i="34"/>
  <c r="I243" i="34" s="1"/>
  <c r="G233" i="25" s="1"/>
  <c r="E251" i="34"/>
  <c r="I251" i="34" s="1"/>
  <c r="G241" i="25" s="1"/>
  <c r="E259" i="34"/>
  <c r="I259" i="34" s="1"/>
  <c r="G249" i="25" s="1"/>
  <c r="E267" i="34"/>
  <c r="I267" i="34" s="1"/>
  <c r="E256" i="12" s="1"/>
  <c r="G256" i="12" s="1"/>
  <c r="E275" i="34"/>
  <c r="I275" i="34" s="1"/>
  <c r="E283" i="34"/>
  <c r="I283" i="34" s="1"/>
  <c r="E272" i="12" s="1"/>
  <c r="G272" i="12" s="1"/>
  <c r="E291" i="34"/>
  <c r="I291" i="34" s="1"/>
  <c r="E280" i="39" s="1"/>
  <c r="G280" i="39" s="1"/>
  <c r="H280" i="39" s="1"/>
  <c r="I280" i="39" s="1"/>
  <c r="J280" i="39" s="1"/>
  <c r="I281" i="25" s="1"/>
  <c r="E299" i="34"/>
  <c r="I299" i="34" s="1"/>
  <c r="G289" i="25" s="1"/>
  <c r="E307" i="34"/>
  <c r="I307" i="34" s="1"/>
  <c r="E296" i="12" s="1"/>
  <c r="G296" i="12" s="1"/>
  <c r="E315" i="34"/>
  <c r="I315" i="34" s="1"/>
  <c r="E304" i="12" s="1"/>
  <c r="G304" i="12" s="1"/>
  <c r="E323" i="34"/>
  <c r="I323" i="34" s="1"/>
  <c r="G313" i="25" s="1"/>
  <c r="E331" i="34"/>
  <c r="I331" i="34" s="1"/>
  <c r="E23" i="34"/>
  <c r="I23" i="34" s="1"/>
  <c r="E12" i="39" s="1"/>
  <c r="G12" i="39" s="1"/>
  <c r="H12" i="39" s="1"/>
  <c r="I12" i="39" s="1"/>
  <c r="J12" i="39" s="1"/>
  <c r="I13" i="25" s="1"/>
  <c r="E39" i="34"/>
  <c r="I39" i="34" s="1"/>
  <c r="G29" i="25" s="1"/>
  <c r="E54" i="34"/>
  <c r="I54" i="34" s="1"/>
  <c r="G44" i="25" s="1"/>
  <c r="E62" i="34"/>
  <c r="I62" i="34" s="1"/>
  <c r="E51" i="12" s="1"/>
  <c r="G51" i="12" s="1"/>
  <c r="E70" i="34"/>
  <c r="I70" i="34" s="1"/>
  <c r="E78" i="34"/>
  <c r="I78" i="34" s="1"/>
  <c r="G68" i="25" s="1"/>
  <c r="E86" i="34"/>
  <c r="I86" i="34" s="1"/>
  <c r="G76" i="25" s="1"/>
  <c r="E94" i="34"/>
  <c r="I94" i="34" s="1"/>
  <c r="G84" i="25" s="1"/>
  <c r="E102" i="34"/>
  <c r="I102" i="34" s="1"/>
  <c r="E91" i="12" s="1"/>
  <c r="G91" i="12" s="1"/>
  <c r="E110" i="34"/>
  <c r="I110" i="34" s="1"/>
  <c r="E99" i="12" s="1"/>
  <c r="G99" i="12" s="1"/>
  <c r="E142" i="34"/>
  <c r="I142" i="34" s="1"/>
  <c r="G132" i="25" s="1"/>
  <c r="E174" i="34"/>
  <c r="I174" i="34" s="1"/>
  <c r="E163" i="12" s="1"/>
  <c r="G163" i="12" s="1"/>
  <c r="E206" i="34"/>
  <c r="I206" i="34" s="1"/>
  <c r="E238" i="34"/>
  <c r="I238" i="34" s="1"/>
  <c r="G228" i="25" s="1"/>
  <c r="E270" i="34"/>
  <c r="I270" i="34" s="1"/>
  <c r="E259" i="12" s="1"/>
  <c r="G259" i="12" s="1"/>
  <c r="E294" i="34"/>
  <c r="I294" i="34" s="1"/>
  <c r="E310" i="34"/>
  <c r="I310" i="34" s="1"/>
  <c r="E299" i="12" s="1"/>
  <c r="G299" i="12" s="1"/>
  <c r="E326" i="34"/>
  <c r="I326" i="34" s="1"/>
  <c r="E315" i="12" s="1"/>
  <c r="G315" i="12" s="1"/>
  <c r="E118" i="34"/>
  <c r="I118" i="34" s="1"/>
  <c r="E107" i="39" s="1"/>
  <c r="G107" i="39" s="1"/>
  <c r="H107" i="39" s="1"/>
  <c r="I107" i="39" s="1"/>
  <c r="J107" i="39" s="1"/>
  <c r="I108" i="25" s="1"/>
  <c r="E150" i="34"/>
  <c r="I150" i="34" s="1"/>
  <c r="G140" i="25" s="1"/>
  <c r="E182" i="34"/>
  <c r="I182" i="34" s="1"/>
  <c r="G172" i="25" s="1"/>
  <c r="E214" i="34"/>
  <c r="I214" i="34" s="1"/>
  <c r="E203" i="39" s="1"/>
  <c r="G203" i="39" s="1"/>
  <c r="H203" i="39" s="1"/>
  <c r="I203" i="39" s="1"/>
  <c r="J203" i="39" s="1"/>
  <c r="I204" i="25" s="1"/>
  <c r="E246" i="34"/>
  <c r="I246" i="34" s="1"/>
  <c r="E235" i="12" s="1"/>
  <c r="G235" i="12" s="1"/>
  <c r="E278" i="34"/>
  <c r="I278" i="34" s="1"/>
  <c r="E267" i="39" s="1"/>
  <c r="G267" i="39" s="1"/>
  <c r="H267" i="39" s="1"/>
  <c r="I267" i="39" s="1"/>
  <c r="J267" i="39" s="1"/>
  <c r="I268" i="25" s="1"/>
  <c r="E295" i="34"/>
  <c r="I295" i="34" s="1"/>
  <c r="E284" i="39" s="1"/>
  <c r="G284" i="39" s="1"/>
  <c r="H284" i="39" s="1"/>
  <c r="I284" i="39" s="1"/>
  <c r="J284" i="39" s="1"/>
  <c r="I285" i="25" s="1"/>
  <c r="E311" i="34"/>
  <c r="I311" i="34" s="1"/>
  <c r="E300" i="12" s="1"/>
  <c r="G300" i="12" s="1"/>
  <c r="E327" i="34"/>
  <c r="I327" i="34" s="1"/>
  <c r="E316" i="12" s="1"/>
  <c r="G316" i="12" s="1"/>
  <c r="E126" i="34"/>
  <c r="I126" i="34" s="1"/>
  <c r="E115" i="39" s="1"/>
  <c r="G115" i="39" s="1"/>
  <c r="H115" i="39" s="1"/>
  <c r="I115" i="39" s="1"/>
  <c r="J115" i="39" s="1"/>
  <c r="I116" i="25" s="1"/>
  <c r="E158" i="34"/>
  <c r="I158" i="34" s="1"/>
  <c r="G148" i="25" s="1"/>
  <c r="E190" i="34"/>
  <c r="I190" i="34" s="1"/>
  <c r="E179" i="12" s="1"/>
  <c r="G179" i="12" s="1"/>
  <c r="E222" i="34"/>
  <c r="I222" i="34" s="1"/>
  <c r="E211" i="39" s="1"/>
  <c r="G211" i="39" s="1"/>
  <c r="H211" i="39" s="1"/>
  <c r="I211" i="39" s="1"/>
  <c r="J211" i="39" s="1"/>
  <c r="I212" i="25" s="1"/>
  <c r="E254" i="34"/>
  <c r="I254" i="34" s="1"/>
  <c r="E243" i="12" s="1"/>
  <c r="G243" i="12" s="1"/>
  <c r="E286" i="34"/>
  <c r="I286" i="34" s="1"/>
  <c r="E275" i="12" s="1"/>
  <c r="G275" i="12" s="1"/>
  <c r="E302" i="34"/>
  <c r="I302" i="34" s="1"/>
  <c r="E291" i="39" s="1"/>
  <c r="G291" i="39" s="1"/>
  <c r="H291" i="39" s="1"/>
  <c r="I291" i="39" s="1"/>
  <c r="J291" i="39" s="1"/>
  <c r="I292" i="25" s="1"/>
  <c r="E318" i="34"/>
  <c r="I318" i="34" s="1"/>
  <c r="G308" i="25" s="1"/>
  <c r="E134" i="34"/>
  <c r="I134" i="34" s="1"/>
  <c r="E166" i="34"/>
  <c r="I166" i="34" s="1"/>
  <c r="E155" i="39" s="1"/>
  <c r="G155" i="39" s="1"/>
  <c r="H155" i="39" s="1"/>
  <c r="I155" i="39" s="1"/>
  <c r="J155" i="39" s="1"/>
  <c r="I156" i="25" s="1"/>
  <c r="E198" i="34"/>
  <c r="I198" i="34" s="1"/>
  <c r="E187" i="39" s="1"/>
  <c r="G187" i="39" s="1"/>
  <c r="H187" i="39" s="1"/>
  <c r="I187" i="39" s="1"/>
  <c r="J187" i="39" s="1"/>
  <c r="I188" i="25" s="1"/>
  <c r="E230" i="34"/>
  <c r="I230" i="34" s="1"/>
  <c r="E219" i="12" s="1"/>
  <c r="G219" i="12" s="1"/>
  <c r="E262" i="34"/>
  <c r="I262" i="34" s="1"/>
  <c r="E251" i="39" s="1"/>
  <c r="G251" i="39" s="1"/>
  <c r="H251" i="39" s="1"/>
  <c r="I251" i="39" s="1"/>
  <c r="J251" i="39" s="1"/>
  <c r="I252" i="25" s="1"/>
  <c r="E287" i="34"/>
  <c r="I287" i="34" s="1"/>
  <c r="E276" i="12" s="1"/>
  <c r="G276" i="12" s="1"/>
  <c r="E303" i="34"/>
  <c r="I303" i="34" s="1"/>
  <c r="E292" i="39" s="1"/>
  <c r="G292" i="39" s="1"/>
  <c r="H292" i="39" s="1"/>
  <c r="I292" i="39" s="1"/>
  <c r="J292" i="39" s="1"/>
  <c r="I293" i="25" s="1"/>
  <c r="E319" i="34"/>
  <c r="I319" i="34" s="1"/>
  <c r="E308" i="12" s="1"/>
  <c r="G308" i="12" s="1"/>
  <c r="G32" i="25"/>
  <c r="G71" i="25"/>
  <c r="E22" i="39"/>
  <c r="G22" i="39" s="1"/>
  <c r="H22" i="39" s="1"/>
  <c r="I22" i="39" s="1"/>
  <c r="J22" i="39" s="1"/>
  <c r="I23" i="25" s="1"/>
  <c r="E55" i="39" l="1"/>
  <c r="G55" i="39" s="1"/>
  <c r="H55" i="39" s="1"/>
  <c r="I55" i="39" s="1"/>
  <c r="J55" i="39" s="1"/>
  <c r="I56" i="25" s="1"/>
  <c r="E117" i="39"/>
  <c r="G117" i="39" s="1"/>
  <c r="H117" i="39" s="1"/>
  <c r="I117" i="39" s="1"/>
  <c r="J117" i="39" s="1"/>
  <c r="I118" i="25" s="1"/>
  <c r="E148" i="39"/>
  <c r="G148" i="39" s="1"/>
  <c r="H148" i="39" s="1"/>
  <c r="I148" i="39" s="1"/>
  <c r="J148" i="39" s="1"/>
  <c r="I149" i="25" s="1"/>
  <c r="E309" i="12"/>
  <c r="G309" i="12" s="1"/>
  <c r="G103" i="25"/>
  <c r="G278" i="25"/>
  <c r="G7" i="25"/>
  <c r="G8" i="25"/>
  <c r="G36" i="25"/>
  <c r="E52" i="39"/>
  <c r="G52" i="39" s="1"/>
  <c r="H52" i="39" s="1"/>
  <c r="I52" i="39" s="1"/>
  <c r="J52" i="39" s="1"/>
  <c r="I53" i="25" s="1"/>
  <c r="E53" i="12"/>
  <c r="G53" i="12" s="1"/>
  <c r="H53" i="12" s="1"/>
  <c r="I53" i="12" s="1"/>
  <c r="J54" i="25" s="1"/>
  <c r="E35" i="39"/>
  <c r="G35" i="39" s="1"/>
  <c r="H35" i="39" s="1"/>
  <c r="I35" i="39" s="1"/>
  <c r="J35" i="39" s="1"/>
  <c r="I36" i="25" s="1"/>
  <c r="E229" i="39"/>
  <c r="G229" i="39" s="1"/>
  <c r="H229" i="39" s="1"/>
  <c r="I229" i="39" s="1"/>
  <c r="J229" i="39" s="1"/>
  <c r="I230" i="25" s="1"/>
  <c r="E133" i="12"/>
  <c r="G133" i="12" s="1"/>
  <c r="H133" i="12" s="1"/>
  <c r="I133" i="12" s="1"/>
  <c r="J134" i="25" s="1"/>
  <c r="G86" i="25"/>
  <c r="G263" i="25"/>
  <c r="G54" i="25"/>
  <c r="E165" i="39"/>
  <c r="G165" i="39" s="1"/>
  <c r="H165" i="39" s="1"/>
  <c r="I165" i="39" s="1"/>
  <c r="J165" i="39" s="1"/>
  <c r="I166" i="25" s="1"/>
  <c r="G38" i="25"/>
  <c r="E102" i="12"/>
  <c r="G102" i="12" s="1"/>
  <c r="H102" i="12" s="1"/>
  <c r="I102" i="12" s="1"/>
  <c r="J103" i="25" s="1"/>
  <c r="G150" i="25"/>
  <c r="G166" i="25"/>
  <c r="E21" i="39"/>
  <c r="G21" i="39" s="1"/>
  <c r="H21" i="39" s="1"/>
  <c r="I21" i="39" s="1"/>
  <c r="J21" i="39" s="1"/>
  <c r="I22" i="25" s="1"/>
  <c r="G87" i="25"/>
  <c r="G167" i="25"/>
  <c r="E38" i="12"/>
  <c r="G38" i="12" s="1"/>
  <c r="H38" i="12" s="1"/>
  <c r="I38" i="12" s="1"/>
  <c r="J39" i="25" s="1"/>
  <c r="E6" i="12"/>
  <c r="G6" i="12" s="1"/>
  <c r="H6" i="12" s="1"/>
  <c r="I6" i="12" s="1"/>
  <c r="J7" i="25" s="1"/>
  <c r="E181" i="12"/>
  <c r="G181" i="12" s="1"/>
  <c r="H181" i="12" s="1"/>
  <c r="I181" i="12" s="1"/>
  <c r="J182" i="25" s="1"/>
  <c r="G118" i="25"/>
  <c r="G22" i="25"/>
  <c r="E244" i="12"/>
  <c r="G244" i="12" s="1"/>
  <c r="H244" i="12" s="1"/>
  <c r="I244" i="12" s="1"/>
  <c r="J245" i="25" s="1"/>
  <c r="G55" i="25"/>
  <c r="G119" i="25"/>
  <c r="E310" i="12"/>
  <c r="G310" i="12" s="1"/>
  <c r="H310" i="12" s="1"/>
  <c r="I310" i="12" s="1"/>
  <c r="J311" i="25" s="1"/>
  <c r="G248" i="25"/>
  <c r="G215" i="25"/>
  <c r="E101" i="39"/>
  <c r="G101" i="39" s="1"/>
  <c r="H101" i="39" s="1"/>
  <c r="I101" i="39" s="1"/>
  <c r="J101" i="39" s="1"/>
  <c r="I102" i="25" s="1"/>
  <c r="E293" i="12"/>
  <c r="G293" i="12" s="1"/>
  <c r="H293" i="12" s="1"/>
  <c r="I293" i="12" s="1"/>
  <c r="J294" i="25" s="1"/>
  <c r="E151" i="12"/>
  <c r="G151" i="12" s="1"/>
  <c r="H151" i="12" s="1"/>
  <c r="I151" i="12" s="1"/>
  <c r="J152" i="25" s="1"/>
  <c r="F41" i="48"/>
  <c r="E334" i="34"/>
  <c r="I334" i="34" s="1"/>
  <c r="E323" i="12" s="1"/>
  <c r="G323" i="12" s="1"/>
  <c r="J323" i="12" s="1"/>
  <c r="G13" i="25"/>
  <c r="E279" i="39"/>
  <c r="G279" i="39" s="1"/>
  <c r="H279" i="39" s="1"/>
  <c r="I279" i="39" s="1"/>
  <c r="J279" i="39" s="1"/>
  <c r="I280" i="25" s="1"/>
  <c r="E72" i="12"/>
  <c r="G72" i="12" s="1"/>
  <c r="H72" i="12" s="1"/>
  <c r="J72" i="12" s="1"/>
  <c r="E232" i="39"/>
  <c r="G232" i="39" s="1"/>
  <c r="H232" i="39" s="1"/>
  <c r="I232" i="39" s="1"/>
  <c r="J232" i="39" s="1"/>
  <c r="I233" i="25" s="1"/>
  <c r="E200" i="12"/>
  <c r="G200" i="12" s="1"/>
  <c r="H200" i="12" s="1"/>
  <c r="I200" i="12" s="1"/>
  <c r="J201" i="25" s="1"/>
  <c r="E136" i="39"/>
  <c r="G136" i="39" s="1"/>
  <c r="H136" i="39" s="1"/>
  <c r="I136" i="39" s="1"/>
  <c r="J136" i="39" s="1"/>
  <c r="I137" i="25" s="1"/>
  <c r="G201" i="25"/>
  <c r="G312" i="25"/>
  <c r="G120" i="25"/>
  <c r="E215" i="12"/>
  <c r="G215" i="12" s="1"/>
  <c r="H215" i="12" s="1"/>
  <c r="I215" i="12" s="1"/>
  <c r="J216" i="25" s="1"/>
  <c r="G184" i="25"/>
  <c r="G92" i="25"/>
  <c r="G297" i="25"/>
  <c r="E299" i="39"/>
  <c r="G299" i="39" s="1"/>
  <c r="H299" i="39" s="1"/>
  <c r="I299" i="39" s="1"/>
  <c r="J299" i="39" s="1"/>
  <c r="I300" i="25" s="1"/>
  <c r="E12" i="12"/>
  <c r="G12" i="12" s="1"/>
  <c r="H12" i="12" s="1"/>
  <c r="I12" i="12" s="1"/>
  <c r="J13" i="25" s="1"/>
  <c r="G277" i="25"/>
  <c r="G300" i="25"/>
  <c r="E171" i="12"/>
  <c r="G171" i="12" s="1"/>
  <c r="H171" i="12" s="1"/>
  <c r="I171" i="12" s="1"/>
  <c r="J172" i="25" s="1"/>
  <c r="G276" i="25"/>
  <c r="G156" i="25"/>
  <c r="E155" i="12"/>
  <c r="G155" i="12" s="1"/>
  <c r="H155" i="12" s="1"/>
  <c r="I155" i="12" s="1"/>
  <c r="J156" i="25" s="1"/>
  <c r="E147" i="12"/>
  <c r="G147" i="12" s="1"/>
  <c r="H147" i="12" s="1"/>
  <c r="I147" i="12" s="1"/>
  <c r="J148" i="25" s="1"/>
  <c r="E147" i="39"/>
  <c r="G147" i="39" s="1"/>
  <c r="H147" i="39" s="1"/>
  <c r="I147" i="39" s="1"/>
  <c r="J147" i="39" s="1"/>
  <c r="I148" i="25" s="1"/>
  <c r="G285" i="25"/>
  <c r="E284" i="12"/>
  <c r="G284" i="12" s="1"/>
  <c r="H284" i="12" s="1"/>
  <c r="I284" i="12" s="1"/>
  <c r="J285" i="25" s="1"/>
  <c r="E195" i="12"/>
  <c r="G195" i="12" s="1"/>
  <c r="H195" i="12" s="1"/>
  <c r="I195" i="12" s="1"/>
  <c r="J196" i="25" s="1"/>
  <c r="G196" i="25"/>
  <c r="E59" i="39"/>
  <c r="G59" i="39" s="1"/>
  <c r="H59" i="39" s="1"/>
  <c r="I59" i="39" s="1"/>
  <c r="J59" i="39" s="1"/>
  <c r="I60" i="25" s="1"/>
  <c r="E59" i="12"/>
  <c r="G59" i="12" s="1"/>
  <c r="H59" i="12" s="1"/>
  <c r="I59" i="12" s="1"/>
  <c r="J60" i="25" s="1"/>
  <c r="E264" i="12"/>
  <c r="G264" i="12" s="1"/>
  <c r="H264" i="12" s="1"/>
  <c r="I264" i="12" s="1"/>
  <c r="J265" i="25" s="1"/>
  <c r="G265" i="25"/>
  <c r="E168" i="12"/>
  <c r="G168" i="12" s="1"/>
  <c r="H168" i="12" s="1"/>
  <c r="I168" i="12" s="1"/>
  <c r="J169" i="25" s="1"/>
  <c r="G169" i="25"/>
  <c r="E104" i="12"/>
  <c r="G104" i="12" s="1"/>
  <c r="H104" i="12" s="1"/>
  <c r="I104" i="12" s="1"/>
  <c r="J105" i="25" s="1"/>
  <c r="E104" i="39"/>
  <c r="G104" i="39" s="1"/>
  <c r="H104" i="39" s="1"/>
  <c r="I104" i="39" s="1"/>
  <c r="J104" i="39" s="1"/>
  <c r="I105" i="25" s="1"/>
  <c r="E40" i="39"/>
  <c r="G40" i="39" s="1"/>
  <c r="H40" i="39" s="1"/>
  <c r="I40" i="39" s="1"/>
  <c r="J40" i="39" s="1"/>
  <c r="I41" i="25" s="1"/>
  <c r="G41" i="25"/>
  <c r="G88" i="25"/>
  <c r="E87" i="39"/>
  <c r="G87" i="39" s="1"/>
  <c r="H87" i="39" s="1"/>
  <c r="I87" i="39" s="1"/>
  <c r="J87" i="39" s="1"/>
  <c r="I88" i="25" s="1"/>
  <c r="E212" i="39"/>
  <c r="G212" i="39" s="1"/>
  <c r="H212" i="39" s="1"/>
  <c r="I212" i="39" s="1"/>
  <c r="J212" i="39" s="1"/>
  <c r="I213" i="25" s="1"/>
  <c r="E212" i="12"/>
  <c r="G212" i="12" s="1"/>
  <c r="H212" i="12" s="1"/>
  <c r="I212" i="12" s="1"/>
  <c r="J213" i="25" s="1"/>
  <c r="E180" i="39"/>
  <c r="G180" i="39" s="1"/>
  <c r="H180" i="39" s="1"/>
  <c r="I180" i="39" s="1"/>
  <c r="J180" i="39" s="1"/>
  <c r="I181" i="25" s="1"/>
  <c r="E180" i="12"/>
  <c r="G180" i="12" s="1"/>
  <c r="H180" i="12" s="1"/>
  <c r="I180" i="12" s="1"/>
  <c r="J181" i="25" s="1"/>
  <c r="E116" i="12"/>
  <c r="G116" i="12" s="1"/>
  <c r="H116" i="12" s="1"/>
  <c r="I116" i="12" s="1"/>
  <c r="J117" i="25" s="1"/>
  <c r="E116" i="39"/>
  <c r="G116" i="39" s="1"/>
  <c r="H116" i="39" s="1"/>
  <c r="I116" i="39" s="1"/>
  <c r="J116" i="39" s="1"/>
  <c r="I117" i="25" s="1"/>
  <c r="G85" i="25"/>
  <c r="E84" i="12"/>
  <c r="G84" i="12" s="1"/>
  <c r="H84" i="12" s="1"/>
  <c r="I84" i="12" s="1"/>
  <c r="J85" i="25" s="1"/>
  <c r="G262" i="25"/>
  <c r="E261" i="39"/>
  <c r="G261" i="39" s="1"/>
  <c r="H261" i="39" s="1"/>
  <c r="I261" i="39" s="1"/>
  <c r="J261" i="39" s="1"/>
  <c r="I262" i="25" s="1"/>
  <c r="E245" i="12"/>
  <c r="G245" i="12" s="1"/>
  <c r="H245" i="12" s="1"/>
  <c r="I245" i="12" s="1"/>
  <c r="J246" i="25" s="1"/>
  <c r="G246" i="25"/>
  <c r="G214" i="25"/>
  <c r="E213" i="12"/>
  <c r="G213" i="12" s="1"/>
  <c r="H213" i="12" s="1"/>
  <c r="I213" i="12" s="1"/>
  <c r="J214" i="25" s="1"/>
  <c r="G198" i="25"/>
  <c r="E197" i="12"/>
  <c r="G197" i="12" s="1"/>
  <c r="H197" i="12" s="1"/>
  <c r="I197" i="12" s="1"/>
  <c r="J198" i="25" s="1"/>
  <c r="G70" i="25"/>
  <c r="E69" i="12"/>
  <c r="G69" i="12" s="1"/>
  <c r="H69" i="12" s="1"/>
  <c r="I69" i="12" s="1"/>
  <c r="J70" i="25" s="1"/>
  <c r="G40" i="25"/>
  <c r="E39" i="12"/>
  <c r="G39" i="12" s="1"/>
  <c r="H39" i="12" s="1"/>
  <c r="I39" i="12" s="1"/>
  <c r="J40" i="25" s="1"/>
  <c r="G295" i="25"/>
  <c r="E294" i="12"/>
  <c r="G294" i="12" s="1"/>
  <c r="H294" i="12" s="1"/>
  <c r="I294" i="12" s="1"/>
  <c r="J295" i="25" s="1"/>
  <c r="G279" i="25"/>
  <c r="E278" i="12"/>
  <c r="G278" i="12" s="1"/>
  <c r="H278" i="12" s="1"/>
  <c r="I278" i="12" s="1"/>
  <c r="J279" i="25" s="1"/>
  <c r="G247" i="25"/>
  <c r="E246" i="12"/>
  <c r="G246" i="12" s="1"/>
  <c r="H246" i="12" s="1"/>
  <c r="I246" i="12" s="1"/>
  <c r="J247" i="25" s="1"/>
  <c r="E230" i="39"/>
  <c r="G230" i="39" s="1"/>
  <c r="H230" i="39" s="1"/>
  <c r="I230" i="39" s="1"/>
  <c r="J230" i="39" s="1"/>
  <c r="I231" i="25" s="1"/>
  <c r="G231" i="25"/>
  <c r="E198" i="12"/>
  <c r="G198" i="12" s="1"/>
  <c r="H198" i="12" s="1"/>
  <c r="I198" i="12" s="1"/>
  <c r="J199" i="25" s="1"/>
  <c r="G199" i="25"/>
  <c r="E182" i="12"/>
  <c r="G182" i="12" s="1"/>
  <c r="H182" i="12" s="1"/>
  <c r="I182" i="12" s="1"/>
  <c r="J183" i="25" s="1"/>
  <c r="G183" i="25"/>
  <c r="E150" i="39"/>
  <c r="G150" i="39" s="1"/>
  <c r="H150" i="39" s="1"/>
  <c r="I150" i="39" s="1"/>
  <c r="J150" i="39" s="1"/>
  <c r="I151" i="25" s="1"/>
  <c r="G151" i="25"/>
  <c r="G135" i="25"/>
  <c r="E134" i="39"/>
  <c r="G134" i="39" s="1"/>
  <c r="H134" i="39" s="1"/>
  <c r="I134" i="39" s="1"/>
  <c r="J134" i="39" s="1"/>
  <c r="I135" i="25" s="1"/>
  <c r="E148" i="12"/>
  <c r="G148" i="12" s="1"/>
  <c r="H148" i="12" s="1"/>
  <c r="I148" i="12" s="1"/>
  <c r="J149" i="25" s="1"/>
  <c r="G39" i="25"/>
  <c r="E232" i="12"/>
  <c r="G232" i="12" s="1"/>
  <c r="H232" i="12" s="1"/>
  <c r="I232" i="12" s="1"/>
  <c r="J233" i="25" s="1"/>
  <c r="E311" i="12"/>
  <c r="G311" i="12" s="1"/>
  <c r="H311" i="12" s="1"/>
  <c r="I311" i="12" s="1"/>
  <c r="J312" i="25" s="1"/>
  <c r="E171" i="39"/>
  <c r="G171" i="39" s="1"/>
  <c r="H171" i="39" s="1"/>
  <c r="I171" i="39" s="1"/>
  <c r="J171" i="39" s="1"/>
  <c r="I172" i="25" s="1"/>
  <c r="E149" i="12"/>
  <c r="G149" i="12" s="1"/>
  <c r="H149" i="12" s="1"/>
  <c r="I149" i="12" s="1"/>
  <c r="J150" i="25" s="1"/>
  <c r="E181" i="39"/>
  <c r="G181" i="39" s="1"/>
  <c r="H181" i="39" s="1"/>
  <c r="I181" i="39" s="1"/>
  <c r="J181" i="39" s="1"/>
  <c r="I182" i="25" s="1"/>
  <c r="E119" i="39"/>
  <c r="G119" i="39" s="1"/>
  <c r="H119" i="39" s="1"/>
  <c r="I119" i="39" s="1"/>
  <c r="J119" i="39" s="1"/>
  <c r="I120" i="25" s="1"/>
  <c r="E55" i="12"/>
  <c r="G55" i="12" s="1"/>
  <c r="H55" i="12" s="1"/>
  <c r="I55" i="12" s="1"/>
  <c r="J56" i="25" s="1"/>
  <c r="G230" i="25"/>
  <c r="E37" i="39"/>
  <c r="G37" i="39" s="1"/>
  <c r="H37" i="39" s="1"/>
  <c r="I37" i="39" s="1"/>
  <c r="J37" i="39" s="1"/>
  <c r="I38" i="25" s="1"/>
  <c r="E91" i="39"/>
  <c r="G91" i="39" s="1"/>
  <c r="H91" i="39" s="1"/>
  <c r="I91" i="39" s="1"/>
  <c r="J91" i="39" s="1"/>
  <c r="I92" i="25" s="1"/>
  <c r="E7" i="12"/>
  <c r="G7" i="12" s="1"/>
  <c r="H7" i="12" s="1"/>
  <c r="I7" i="12" s="1"/>
  <c r="J8" i="25" s="1"/>
  <c r="E215" i="39"/>
  <c r="G215" i="39" s="1"/>
  <c r="H215" i="39" s="1"/>
  <c r="I215" i="39" s="1"/>
  <c r="J215" i="39" s="1"/>
  <c r="I216" i="25" s="1"/>
  <c r="E264" i="39"/>
  <c r="G264" i="39" s="1"/>
  <c r="H264" i="39" s="1"/>
  <c r="I264" i="39" s="1"/>
  <c r="J264" i="39" s="1"/>
  <c r="I265" i="25" s="1"/>
  <c r="G245" i="25"/>
  <c r="E136" i="12"/>
  <c r="G136" i="12" s="1"/>
  <c r="H136" i="12" s="1"/>
  <c r="I136" i="12" s="1"/>
  <c r="J137" i="25" s="1"/>
  <c r="E195" i="39"/>
  <c r="G195" i="39" s="1"/>
  <c r="H195" i="39" s="1"/>
  <c r="I195" i="39" s="1"/>
  <c r="J195" i="39" s="1"/>
  <c r="I196" i="25" s="1"/>
  <c r="G134" i="25"/>
  <c r="E54" i="39"/>
  <c r="G54" i="39" s="1"/>
  <c r="H54" i="39" s="1"/>
  <c r="I54" i="39" s="1"/>
  <c r="J54" i="39" s="1"/>
  <c r="I55" i="25" s="1"/>
  <c r="E261" i="12"/>
  <c r="G261" i="12" s="1"/>
  <c r="H261" i="12" s="1"/>
  <c r="E309" i="39"/>
  <c r="G309" i="39" s="1"/>
  <c r="H309" i="39" s="1"/>
  <c r="I309" i="39" s="1"/>
  <c r="J309" i="39" s="1"/>
  <c r="I310" i="25" s="1"/>
  <c r="E277" i="39"/>
  <c r="G277" i="39" s="1"/>
  <c r="H277" i="39" s="1"/>
  <c r="I277" i="39" s="1"/>
  <c r="J277" i="39" s="1"/>
  <c r="I278" i="25" s="1"/>
  <c r="E197" i="39"/>
  <c r="G197" i="39" s="1"/>
  <c r="H197" i="39" s="1"/>
  <c r="I197" i="39" s="1"/>
  <c r="J197" i="39" s="1"/>
  <c r="I198" i="25" s="1"/>
  <c r="E118" i="39"/>
  <c r="G118" i="39" s="1"/>
  <c r="H118" i="39" s="1"/>
  <c r="I118" i="39" s="1"/>
  <c r="J118" i="39" s="1"/>
  <c r="I119" i="25" s="1"/>
  <c r="G294" i="25"/>
  <c r="E39" i="39"/>
  <c r="G39" i="39" s="1"/>
  <c r="H39" i="39" s="1"/>
  <c r="I39" i="39" s="1"/>
  <c r="J39" i="39" s="1"/>
  <c r="I40" i="25" s="1"/>
  <c r="E296" i="39"/>
  <c r="G296" i="39" s="1"/>
  <c r="H296" i="39" s="1"/>
  <c r="I296" i="39" s="1"/>
  <c r="J296" i="39" s="1"/>
  <c r="I297" i="25" s="1"/>
  <c r="E85" i="39"/>
  <c r="G85" i="39" s="1"/>
  <c r="H85" i="39" s="1"/>
  <c r="I85" i="39" s="1"/>
  <c r="J85" i="39" s="1"/>
  <c r="I86" i="25" s="1"/>
  <c r="E245" i="39"/>
  <c r="G245" i="39" s="1"/>
  <c r="H245" i="39" s="1"/>
  <c r="I245" i="39" s="1"/>
  <c r="J245" i="39" s="1"/>
  <c r="I246" i="25" s="1"/>
  <c r="G311" i="25"/>
  <c r="E183" i="12"/>
  <c r="G183" i="12" s="1"/>
  <c r="H183" i="12" s="1"/>
  <c r="I183" i="12" s="1"/>
  <c r="J184" i="25" s="1"/>
  <c r="E84" i="39"/>
  <c r="G84" i="39" s="1"/>
  <c r="H84" i="39" s="1"/>
  <c r="I84" i="39" s="1"/>
  <c r="J84" i="39" s="1"/>
  <c r="I85" i="25" s="1"/>
  <c r="E275" i="39"/>
  <c r="G275" i="39" s="1"/>
  <c r="H275" i="39" s="1"/>
  <c r="I275" i="39" s="1"/>
  <c r="J275" i="39" s="1"/>
  <c r="I276" i="25" s="1"/>
  <c r="E86" i="12"/>
  <c r="G86" i="12" s="1"/>
  <c r="H86" i="12" s="1"/>
  <c r="I86" i="12" s="1"/>
  <c r="J87" i="25" s="1"/>
  <c r="E134" i="12"/>
  <c r="G134" i="12" s="1"/>
  <c r="H134" i="12" s="1"/>
  <c r="I134" i="12" s="1"/>
  <c r="J135" i="25" s="1"/>
  <c r="E247" i="12"/>
  <c r="G247" i="12" s="1"/>
  <c r="H247" i="12" s="1"/>
  <c r="I247" i="12" s="1"/>
  <c r="J248" i="25" s="1"/>
  <c r="E279" i="12"/>
  <c r="G279" i="12" s="1"/>
  <c r="H279" i="12" s="1"/>
  <c r="I279" i="12" s="1"/>
  <c r="J280" i="25" s="1"/>
  <c r="E294" i="39"/>
  <c r="G294" i="39" s="1"/>
  <c r="H294" i="39" s="1"/>
  <c r="I294" i="39" s="1"/>
  <c r="J294" i="39" s="1"/>
  <c r="I295" i="25" s="1"/>
  <c r="E151" i="39"/>
  <c r="G151" i="39" s="1"/>
  <c r="H151" i="39" s="1"/>
  <c r="I151" i="39" s="1"/>
  <c r="J151" i="39" s="1"/>
  <c r="I152" i="25" s="1"/>
  <c r="G53" i="25"/>
  <c r="E198" i="39"/>
  <c r="G198" i="39" s="1"/>
  <c r="H198" i="39" s="1"/>
  <c r="I198" i="39" s="1"/>
  <c r="J198" i="39" s="1"/>
  <c r="I199" i="25" s="1"/>
  <c r="E214" i="12"/>
  <c r="G214" i="12" s="1"/>
  <c r="H214" i="12" s="1"/>
  <c r="I214" i="12" s="1"/>
  <c r="J215" i="25" s="1"/>
  <c r="E262" i="39"/>
  <c r="G262" i="39" s="1"/>
  <c r="H262" i="39" s="1"/>
  <c r="I262" i="39" s="1"/>
  <c r="J262" i="39" s="1"/>
  <c r="I263" i="25" s="1"/>
  <c r="E150" i="12"/>
  <c r="G150" i="12" s="1"/>
  <c r="H150" i="12" s="1"/>
  <c r="I150" i="12" s="1"/>
  <c r="J151" i="25" s="1"/>
  <c r="E166" i="12"/>
  <c r="G166" i="12" s="1"/>
  <c r="H166" i="12" s="1"/>
  <c r="I166" i="12" s="1"/>
  <c r="J167" i="25" s="1"/>
  <c r="E101" i="12"/>
  <c r="G101" i="12" s="1"/>
  <c r="H101" i="12" s="1"/>
  <c r="I101" i="12" s="1"/>
  <c r="J102" i="25" s="1"/>
  <c r="G105" i="25"/>
  <c r="G73" i="25"/>
  <c r="G23" i="25"/>
  <c r="G60" i="25"/>
  <c r="I16" i="34"/>
  <c r="E5" i="39" s="1"/>
  <c r="G5" i="39" s="1"/>
  <c r="H5" i="39" s="1"/>
  <c r="I5" i="39" s="1"/>
  <c r="J5" i="39" s="1"/>
  <c r="E70" i="39"/>
  <c r="G70" i="39" s="1"/>
  <c r="H70" i="39" s="1"/>
  <c r="I70" i="39" s="1"/>
  <c r="J70" i="39" s="1"/>
  <c r="I71" i="25" s="1"/>
  <c r="E274" i="12"/>
  <c r="G274" i="12" s="1"/>
  <c r="H274" i="12" s="1"/>
  <c r="I274" i="12" s="1"/>
  <c r="J275" i="25" s="1"/>
  <c r="E159" i="39"/>
  <c r="G159" i="39" s="1"/>
  <c r="H159" i="39" s="1"/>
  <c r="I159" i="39" s="1"/>
  <c r="J159" i="39" s="1"/>
  <c r="I160" i="25" s="1"/>
  <c r="G99" i="25"/>
  <c r="G112" i="25"/>
  <c r="E33" i="12"/>
  <c r="G33" i="12" s="1"/>
  <c r="H33" i="12" s="1"/>
  <c r="I33" i="12" s="1"/>
  <c r="J34" i="25" s="1"/>
  <c r="E267" i="12"/>
  <c r="G267" i="12" s="1"/>
  <c r="H267" i="12" s="1"/>
  <c r="I267" i="12" s="1"/>
  <c r="J268" i="25" s="1"/>
  <c r="E114" i="39"/>
  <c r="G114" i="39" s="1"/>
  <c r="H114" i="39" s="1"/>
  <c r="I114" i="39" s="1"/>
  <c r="J114" i="39" s="1"/>
  <c r="I115" i="25" s="1"/>
  <c r="E242" i="39"/>
  <c r="G242" i="39" s="1"/>
  <c r="H242" i="39" s="1"/>
  <c r="I242" i="39" s="1"/>
  <c r="J242" i="39" s="1"/>
  <c r="I243" i="25" s="1"/>
  <c r="E258" i="12"/>
  <c r="G258" i="12" s="1"/>
  <c r="H258" i="12" s="1"/>
  <c r="I258" i="12" s="1"/>
  <c r="J259" i="25" s="1"/>
  <c r="G123" i="25"/>
  <c r="E9" i="12"/>
  <c r="G9" i="12" s="1"/>
  <c r="H9" i="12" s="1"/>
  <c r="I9" i="12" s="1"/>
  <c r="J10" i="25" s="1"/>
  <c r="G187" i="25"/>
  <c r="E218" i="12"/>
  <c r="G218" i="12" s="1"/>
  <c r="H218" i="12" s="1"/>
  <c r="I218" i="12" s="1"/>
  <c r="J219" i="25" s="1"/>
  <c r="E188" i="39"/>
  <c r="G188" i="39" s="1"/>
  <c r="H188" i="39" s="1"/>
  <c r="I188" i="39" s="1"/>
  <c r="J188" i="39" s="1"/>
  <c r="I189" i="25" s="1"/>
  <c r="E49" i="12"/>
  <c r="G49" i="12" s="1"/>
  <c r="H49" i="12" s="1"/>
  <c r="I49" i="12" s="1"/>
  <c r="J50" i="25" s="1"/>
  <c r="G179" i="25"/>
  <c r="E226" i="12"/>
  <c r="G226" i="12" s="1"/>
  <c r="H226" i="12" s="1"/>
  <c r="I226" i="12" s="1"/>
  <c r="J227" i="25" s="1"/>
  <c r="E239" i="39"/>
  <c r="G239" i="39" s="1"/>
  <c r="H239" i="39" s="1"/>
  <c r="I239" i="39" s="1"/>
  <c r="J239" i="39" s="1"/>
  <c r="I240" i="25" s="1"/>
  <c r="E236" i="39"/>
  <c r="G236" i="39" s="1"/>
  <c r="H236" i="39" s="1"/>
  <c r="I236" i="39" s="1"/>
  <c r="J236" i="39" s="1"/>
  <c r="I237" i="25" s="1"/>
  <c r="E27" i="39"/>
  <c r="G27" i="39" s="1"/>
  <c r="H27" i="39" s="1"/>
  <c r="I27" i="39" s="1"/>
  <c r="J27" i="39" s="1"/>
  <c r="I28" i="25" s="1"/>
  <c r="E17" i="39"/>
  <c r="G17" i="39" s="1"/>
  <c r="H17" i="39" s="1"/>
  <c r="I17" i="39" s="1"/>
  <c r="J17" i="39" s="1"/>
  <c r="I18" i="25" s="1"/>
  <c r="E271" i="12"/>
  <c r="G271" i="12" s="1"/>
  <c r="H271" i="12" s="1"/>
  <c r="I271" i="12" s="1"/>
  <c r="J272" i="25" s="1"/>
  <c r="E97" i="39"/>
  <c r="G97" i="39" s="1"/>
  <c r="H97" i="39" s="1"/>
  <c r="I97" i="39" s="1"/>
  <c r="J97" i="39" s="1"/>
  <c r="I98" i="25" s="1"/>
  <c r="E51" i="39"/>
  <c r="G51" i="39" s="1"/>
  <c r="H51" i="39" s="1"/>
  <c r="I51" i="39" s="1"/>
  <c r="J51" i="39" s="1"/>
  <c r="I52" i="25" s="1"/>
  <c r="E18" i="12"/>
  <c r="G18" i="12" s="1"/>
  <c r="H18" i="12" s="1"/>
  <c r="N19" i="13" s="1"/>
  <c r="O19" i="13" s="1"/>
  <c r="E162" i="12"/>
  <c r="G162" i="12" s="1"/>
  <c r="H162" i="12" s="1"/>
  <c r="N163" i="13" s="1"/>
  <c r="O163" i="13" s="1"/>
  <c r="E44" i="39"/>
  <c r="G44" i="39" s="1"/>
  <c r="H44" i="39" s="1"/>
  <c r="I44" i="39" s="1"/>
  <c r="J44" i="39" s="1"/>
  <c r="I45" i="25" s="1"/>
  <c r="E177" i="39"/>
  <c r="G177" i="39" s="1"/>
  <c r="H177" i="39" s="1"/>
  <c r="I177" i="39" s="1"/>
  <c r="J177" i="39" s="1"/>
  <c r="I178" i="25" s="1"/>
  <c r="E128" i="12"/>
  <c r="G128" i="12" s="1"/>
  <c r="H128" i="12" s="1"/>
  <c r="I128" i="12" s="1"/>
  <c r="J129" i="25" s="1"/>
  <c r="G226" i="25"/>
  <c r="E210" i="39"/>
  <c r="G210" i="39" s="1"/>
  <c r="H210" i="39" s="1"/>
  <c r="I210" i="39" s="1"/>
  <c r="J210" i="39" s="1"/>
  <c r="I211" i="25" s="1"/>
  <c r="E139" i="39"/>
  <c r="G139" i="39" s="1"/>
  <c r="H139" i="39" s="1"/>
  <c r="I139" i="39" s="1"/>
  <c r="J139" i="39" s="1"/>
  <c r="I140" i="25" s="1"/>
  <c r="G323" i="25"/>
  <c r="G244" i="25"/>
  <c r="G290" i="25"/>
  <c r="G316" i="25"/>
  <c r="G234" i="25"/>
  <c r="E153" i="39"/>
  <c r="G153" i="39" s="1"/>
  <c r="H153" i="39" s="1"/>
  <c r="I153" i="39" s="1"/>
  <c r="J153" i="39" s="1"/>
  <c r="I154" i="25" s="1"/>
  <c r="E138" i="12"/>
  <c r="G138" i="12" s="1"/>
  <c r="H138" i="12" s="1"/>
  <c r="I138" i="12" s="1"/>
  <c r="J139" i="25" s="1"/>
  <c r="G186" i="25"/>
  <c r="E170" i="39"/>
  <c r="G170" i="39" s="1"/>
  <c r="H170" i="39" s="1"/>
  <c r="I170" i="39" s="1"/>
  <c r="J170" i="39" s="1"/>
  <c r="I171" i="25" s="1"/>
  <c r="G170" i="25"/>
  <c r="E185" i="12"/>
  <c r="G185" i="12" s="1"/>
  <c r="H185" i="12" s="1"/>
  <c r="I185" i="12" s="1"/>
  <c r="J186" i="25" s="1"/>
  <c r="E216" i="39"/>
  <c r="G216" i="39" s="1"/>
  <c r="H216" i="39" s="1"/>
  <c r="I216" i="39" s="1"/>
  <c r="J216" i="39" s="1"/>
  <c r="I217" i="25" s="1"/>
  <c r="E223" i="12"/>
  <c r="G223" i="12" s="1"/>
  <c r="H223" i="12" s="1"/>
  <c r="I223" i="12" s="1"/>
  <c r="J224" i="25" s="1"/>
  <c r="G273" i="25"/>
  <c r="E222" i="12"/>
  <c r="G222" i="12" s="1"/>
  <c r="H222" i="12" s="1"/>
  <c r="I222" i="12" s="1"/>
  <c r="J223" i="25" s="1"/>
  <c r="G128" i="25"/>
  <c r="G283" i="25"/>
  <c r="G43" i="25"/>
  <c r="E143" i="12"/>
  <c r="G143" i="12" s="1"/>
  <c r="H143" i="12" s="1"/>
  <c r="I143" i="12" s="1"/>
  <c r="J144" i="25" s="1"/>
  <c r="E60" i="12"/>
  <c r="G60" i="12" s="1"/>
  <c r="H60" i="12" s="1"/>
  <c r="I60" i="12" s="1"/>
  <c r="J61" i="25" s="1"/>
  <c r="G282" i="25"/>
  <c r="E123" i="39"/>
  <c r="G123" i="39" s="1"/>
  <c r="H123" i="39" s="1"/>
  <c r="I123" i="39" s="1"/>
  <c r="J123" i="39" s="1"/>
  <c r="I124" i="25" s="1"/>
  <c r="G124" i="25"/>
  <c r="G321" i="25"/>
  <c r="E320" i="39"/>
  <c r="G320" i="39" s="1"/>
  <c r="H320" i="39" s="1"/>
  <c r="I320" i="39" s="1"/>
  <c r="J320" i="39" s="1"/>
  <c r="I321" i="25" s="1"/>
  <c r="G161" i="25"/>
  <c r="E160" i="39"/>
  <c r="G160" i="39" s="1"/>
  <c r="H160" i="39" s="1"/>
  <c r="I160" i="39" s="1"/>
  <c r="J160" i="39" s="1"/>
  <c r="I161" i="25" s="1"/>
  <c r="E64" i="12"/>
  <c r="G64" i="12" s="1"/>
  <c r="H64" i="12" s="1"/>
  <c r="I64" i="12" s="1"/>
  <c r="J65" i="25" s="1"/>
  <c r="G65" i="25"/>
  <c r="E257" i="12"/>
  <c r="G257" i="12" s="1"/>
  <c r="H257" i="12" s="1"/>
  <c r="I257" i="12" s="1"/>
  <c r="J258" i="25" s="1"/>
  <c r="G258" i="25"/>
  <c r="E161" i="12"/>
  <c r="G161" i="12" s="1"/>
  <c r="H161" i="12" s="1"/>
  <c r="I161" i="12" s="1"/>
  <c r="J162" i="25" s="1"/>
  <c r="G162" i="25"/>
  <c r="G146" i="25"/>
  <c r="E145" i="39"/>
  <c r="G145" i="39" s="1"/>
  <c r="H145" i="39" s="1"/>
  <c r="I145" i="39" s="1"/>
  <c r="J145" i="39" s="1"/>
  <c r="I146" i="25" s="1"/>
  <c r="E81" i="39"/>
  <c r="G81" i="39" s="1"/>
  <c r="H81" i="39" s="1"/>
  <c r="I81" i="39" s="1"/>
  <c r="J81" i="39" s="1"/>
  <c r="I82" i="25" s="1"/>
  <c r="G82" i="25"/>
  <c r="E31" i="39"/>
  <c r="G31" i="39" s="1"/>
  <c r="H31" i="39" s="1"/>
  <c r="I31" i="39" s="1"/>
  <c r="J31" i="39" s="1"/>
  <c r="I32" i="25" s="1"/>
  <c r="E31" i="12"/>
  <c r="G31" i="12" s="1"/>
  <c r="H31" i="12" s="1"/>
  <c r="I31" i="12" s="1"/>
  <c r="J32" i="25" s="1"/>
  <c r="E290" i="12"/>
  <c r="G290" i="12" s="1"/>
  <c r="H290" i="12" s="1"/>
  <c r="I290" i="12" s="1"/>
  <c r="J291" i="25" s="1"/>
  <c r="G291" i="25"/>
  <c r="E194" i="12"/>
  <c r="G194" i="12" s="1"/>
  <c r="H194" i="12" s="1"/>
  <c r="I194" i="12" s="1"/>
  <c r="J195" i="25" s="1"/>
  <c r="G195" i="25"/>
  <c r="E66" i="12"/>
  <c r="G66" i="12" s="1"/>
  <c r="H66" i="12" s="1"/>
  <c r="I66" i="12" s="1"/>
  <c r="J67" i="25" s="1"/>
  <c r="G67" i="25"/>
  <c r="G35" i="25"/>
  <c r="E34" i="39"/>
  <c r="G34" i="39" s="1"/>
  <c r="H34" i="39" s="1"/>
  <c r="I34" i="39" s="1"/>
  <c r="J34" i="39" s="1"/>
  <c r="I35" i="25" s="1"/>
  <c r="G129" i="25"/>
  <c r="E76" i="12"/>
  <c r="G76" i="12" s="1"/>
  <c r="H76" i="12" s="1"/>
  <c r="I76" i="12" s="1"/>
  <c r="J77" i="25" s="1"/>
  <c r="E226" i="39"/>
  <c r="G226" i="39" s="1"/>
  <c r="H226" i="39" s="1"/>
  <c r="I226" i="39" s="1"/>
  <c r="J226" i="39" s="1"/>
  <c r="I227" i="25" s="1"/>
  <c r="E322" i="12"/>
  <c r="G322" i="12" s="1"/>
  <c r="H322" i="12" s="1"/>
  <c r="I322" i="12" s="1"/>
  <c r="J323" i="25" s="1"/>
  <c r="E288" i="39"/>
  <c r="G288" i="39" s="1"/>
  <c r="H288" i="39" s="1"/>
  <c r="I288" i="39" s="1"/>
  <c r="J288" i="39" s="1"/>
  <c r="I289" i="25" s="1"/>
  <c r="G164" i="25"/>
  <c r="G147" i="25"/>
  <c r="E194" i="39"/>
  <c r="G194" i="39" s="1"/>
  <c r="H194" i="39" s="1"/>
  <c r="I194" i="39" s="1"/>
  <c r="J194" i="39" s="1"/>
  <c r="I195" i="25" s="1"/>
  <c r="E243" i="39"/>
  <c r="G243" i="39" s="1"/>
  <c r="H243" i="39" s="1"/>
  <c r="I243" i="39" s="1"/>
  <c r="J243" i="39" s="1"/>
  <c r="I244" i="25" s="1"/>
  <c r="E210" i="12"/>
  <c r="G210" i="12" s="1"/>
  <c r="H210" i="12" s="1"/>
  <c r="J210" i="12" s="1"/>
  <c r="E130" i="12"/>
  <c r="G130" i="12" s="1"/>
  <c r="H130" i="12" s="1"/>
  <c r="I130" i="12" s="1"/>
  <c r="J131" i="25" s="1"/>
  <c r="G208" i="25"/>
  <c r="E289" i="39"/>
  <c r="G289" i="39" s="1"/>
  <c r="H289" i="39" s="1"/>
  <c r="I289" i="39" s="1"/>
  <c r="J289" i="39" s="1"/>
  <c r="I290" i="25" s="1"/>
  <c r="E318" i="12"/>
  <c r="G318" i="12" s="1"/>
  <c r="H318" i="12" s="1"/>
  <c r="I318" i="12" s="1"/>
  <c r="J319" i="25" s="1"/>
  <c r="G319" i="25"/>
  <c r="E273" i="12"/>
  <c r="G273" i="12" s="1"/>
  <c r="H273" i="12" s="1"/>
  <c r="I273" i="12" s="1"/>
  <c r="J274" i="25" s="1"/>
  <c r="G306" i="25"/>
  <c r="E83" i="39"/>
  <c r="G83" i="39" s="1"/>
  <c r="H83" i="39" s="1"/>
  <c r="I83" i="39" s="1"/>
  <c r="J83" i="39" s="1"/>
  <c r="I84" i="25" s="1"/>
  <c r="G268" i="25"/>
  <c r="G77" i="25"/>
  <c r="E50" i="39"/>
  <c r="G50" i="39" s="1"/>
  <c r="H50" i="39" s="1"/>
  <c r="I50" i="39" s="1"/>
  <c r="J50" i="39" s="1"/>
  <c r="I51" i="25" s="1"/>
  <c r="E288" i="12"/>
  <c r="G288" i="12" s="1"/>
  <c r="H288" i="12" s="1"/>
  <c r="I288" i="12" s="1"/>
  <c r="J289" i="25" s="1"/>
  <c r="E225" i="39"/>
  <c r="G225" i="39" s="1"/>
  <c r="H225" i="39" s="1"/>
  <c r="I225" i="39" s="1"/>
  <c r="J225" i="39" s="1"/>
  <c r="I226" i="25" s="1"/>
  <c r="E163" i="39"/>
  <c r="G163" i="39" s="1"/>
  <c r="H163" i="39" s="1"/>
  <c r="I163" i="39" s="1"/>
  <c r="J163" i="39" s="1"/>
  <c r="I164" i="25" s="1"/>
  <c r="G116" i="25"/>
  <c r="E146" i="39"/>
  <c r="G146" i="39" s="1"/>
  <c r="H146" i="39" s="1"/>
  <c r="I146" i="39" s="1"/>
  <c r="J146" i="39" s="1"/>
  <c r="I147" i="25" s="1"/>
  <c r="G225" i="25"/>
  <c r="G34" i="25"/>
  <c r="E193" i="39"/>
  <c r="G193" i="39" s="1"/>
  <c r="H193" i="39" s="1"/>
  <c r="I193" i="39" s="1"/>
  <c r="J193" i="39" s="1"/>
  <c r="I194" i="25" s="1"/>
  <c r="G205" i="25"/>
  <c r="E62" i="39"/>
  <c r="G62" i="39" s="1"/>
  <c r="H62" i="39" s="1"/>
  <c r="I62" i="39" s="1"/>
  <c r="J62" i="39" s="1"/>
  <c r="I63" i="25" s="1"/>
  <c r="E161" i="39"/>
  <c r="G161" i="39" s="1"/>
  <c r="H161" i="39" s="1"/>
  <c r="I161" i="39" s="1"/>
  <c r="J161" i="39" s="1"/>
  <c r="I162" i="25" s="1"/>
  <c r="G210" i="25"/>
  <c r="E192" i="12"/>
  <c r="G192" i="12" s="1"/>
  <c r="H192" i="12" s="1"/>
  <c r="I192" i="12" s="1"/>
  <c r="J193" i="25" s="1"/>
  <c r="G242" i="25"/>
  <c r="E321" i="12"/>
  <c r="G321" i="12" s="1"/>
  <c r="H321" i="12" s="1"/>
  <c r="I321" i="12" s="1"/>
  <c r="J322" i="25" s="1"/>
  <c r="E290" i="39"/>
  <c r="G290" i="39" s="1"/>
  <c r="H290" i="39" s="1"/>
  <c r="I290" i="39" s="1"/>
  <c r="J290" i="39" s="1"/>
  <c r="I291" i="25" s="1"/>
  <c r="G131" i="25"/>
  <c r="E207" i="12"/>
  <c r="G207" i="12" s="1"/>
  <c r="H207" i="12" s="1"/>
  <c r="I207" i="12" s="1"/>
  <c r="J208" i="25" s="1"/>
  <c r="E79" i="39"/>
  <c r="G79" i="39" s="1"/>
  <c r="H79" i="39" s="1"/>
  <c r="I79" i="39" s="1"/>
  <c r="J79" i="39" s="1"/>
  <c r="I80" i="25" s="1"/>
  <c r="E251" i="12"/>
  <c r="G251" i="12" s="1"/>
  <c r="H251" i="12" s="1"/>
  <c r="I251" i="12" s="1"/>
  <c r="J252" i="25" s="1"/>
  <c r="G307" i="25"/>
  <c r="G239" i="25"/>
  <c r="E125" i="12"/>
  <c r="G125" i="12" s="1"/>
  <c r="H125" i="12" s="1"/>
  <c r="I125" i="12" s="1"/>
  <c r="J126" i="25" s="1"/>
  <c r="E129" i="39"/>
  <c r="G129" i="39" s="1"/>
  <c r="H129" i="39" s="1"/>
  <c r="I129" i="39" s="1"/>
  <c r="J129" i="39" s="1"/>
  <c r="I130" i="25" s="1"/>
  <c r="G173" i="25"/>
  <c r="E160" i="12"/>
  <c r="G160" i="12" s="1"/>
  <c r="H160" i="12" s="1"/>
  <c r="I160" i="12" s="1"/>
  <c r="J161" i="25" s="1"/>
  <c r="E283" i="12"/>
  <c r="G283" i="12" s="1"/>
  <c r="H283" i="12" s="1"/>
  <c r="I283" i="12" s="1"/>
  <c r="J284" i="25" s="1"/>
  <c r="G284" i="25"/>
  <c r="E256" i="39"/>
  <c r="G256" i="39" s="1"/>
  <c r="H256" i="39" s="1"/>
  <c r="I256" i="39" s="1"/>
  <c r="J256" i="39" s="1"/>
  <c r="I257" i="25" s="1"/>
  <c r="G257" i="25"/>
  <c r="E96" i="39"/>
  <c r="G96" i="39" s="1"/>
  <c r="H96" i="39" s="1"/>
  <c r="I96" i="39" s="1"/>
  <c r="J96" i="39" s="1"/>
  <c r="I97" i="25" s="1"/>
  <c r="E96" i="12"/>
  <c r="G96" i="12" s="1"/>
  <c r="H96" i="12" s="1"/>
  <c r="E24" i="39"/>
  <c r="G24" i="39" s="1"/>
  <c r="H24" i="39" s="1"/>
  <c r="I24" i="39" s="1"/>
  <c r="J24" i="39" s="1"/>
  <c r="I25" i="25" s="1"/>
  <c r="G25" i="25"/>
  <c r="G304" i="25"/>
  <c r="E303" i="12"/>
  <c r="G303" i="12" s="1"/>
  <c r="H303" i="12" s="1"/>
  <c r="I303" i="12" s="1"/>
  <c r="J304" i="25" s="1"/>
  <c r="E175" i="12"/>
  <c r="G175" i="12" s="1"/>
  <c r="H175" i="12" s="1"/>
  <c r="I175" i="12" s="1"/>
  <c r="J176" i="25" s="1"/>
  <c r="E175" i="39"/>
  <c r="G175" i="39" s="1"/>
  <c r="H175" i="39" s="1"/>
  <c r="I175" i="39" s="1"/>
  <c r="J175" i="39" s="1"/>
  <c r="I176" i="25" s="1"/>
  <c r="E47" i="12"/>
  <c r="G47" i="12" s="1"/>
  <c r="H47" i="12" s="1"/>
  <c r="I47" i="12" s="1"/>
  <c r="J48" i="25" s="1"/>
  <c r="E47" i="39"/>
  <c r="G47" i="39" s="1"/>
  <c r="H47" i="39" s="1"/>
  <c r="I47" i="39" s="1"/>
  <c r="J47" i="39" s="1"/>
  <c r="I48" i="25" s="1"/>
  <c r="G269" i="25"/>
  <c r="E268" i="12"/>
  <c r="G268" i="12" s="1"/>
  <c r="H268" i="12" s="1"/>
  <c r="I268" i="12" s="1"/>
  <c r="J269" i="25" s="1"/>
  <c r="E140" i="39"/>
  <c r="G140" i="39" s="1"/>
  <c r="H140" i="39" s="1"/>
  <c r="I140" i="39" s="1"/>
  <c r="J140" i="39" s="1"/>
  <c r="I141" i="25" s="1"/>
  <c r="G141" i="25"/>
  <c r="E108" i="12"/>
  <c r="G108" i="12" s="1"/>
  <c r="H108" i="12" s="1"/>
  <c r="I108" i="12" s="1"/>
  <c r="J109" i="25" s="1"/>
  <c r="E108" i="39"/>
  <c r="G108" i="39" s="1"/>
  <c r="H108" i="39" s="1"/>
  <c r="I108" i="39" s="1"/>
  <c r="J108" i="39" s="1"/>
  <c r="I109" i="25" s="1"/>
  <c r="E113" i="12"/>
  <c r="G113" i="12" s="1"/>
  <c r="H113" i="12" s="1"/>
  <c r="I113" i="12" s="1"/>
  <c r="J114" i="25" s="1"/>
  <c r="E113" i="39"/>
  <c r="G113" i="39" s="1"/>
  <c r="H113" i="39" s="1"/>
  <c r="I113" i="39" s="1"/>
  <c r="J113" i="39" s="1"/>
  <c r="I114" i="25" s="1"/>
  <c r="E65" i="39"/>
  <c r="G65" i="39" s="1"/>
  <c r="H65" i="39" s="1"/>
  <c r="I65" i="39" s="1"/>
  <c r="J65" i="39" s="1"/>
  <c r="I66" i="25" s="1"/>
  <c r="G66" i="25"/>
  <c r="E82" i="12"/>
  <c r="G82" i="12" s="1"/>
  <c r="H82" i="12" s="1"/>
  <c r="I82" i="12" s="1"/>
  <c r="J83" i="25" s="1"/>
  <c r="G83" i="25"/>
  <c r="E273" i="39"/>
  <c r="G273" i="39" s="1"/>
  <c r="H273" i="39" s="1"/>
  <c r="I273" i="39" s="1"/>
  <c r="J273" i="39" s="1"/>
  <c r="I274" i="25" s="1"/>
  <c r="E242" i="12"/>
  <c r="G242" i="12" s="1"/>
  <c r="H242" i="12" s="1"/>
  <c r="I242" i="12" s="1"/>
  <c r="J243" i="25" s="1"/>
  <c r="E49" i="39"/>
  <c r="G49" i="39" s="1"/>
  <c r="H49" i="39" s="1"/>
  <c r="I49" i="39" s="1"/>
  <c r="J49" i="39" s="1"/>
  <c r="I50" i="25" s="1"/>
  <c r="E83" i="12"/>
  <c r="G83" i="12" s="1"/>
  <c r="H83" i="12" s="1"/>
  <c r="I83" i="12" s="1"/>
  <c r="J84" i="25" s="1"/>
  <c r="G51" i="25"/>
  <c r="E98" i="12"/>
  <c r="G98" i="12" s="1"/>
  <c r="H98" i="12" s="1"/>
  <c r="I98" i="12" s="1"/>
  <c r="J99" i="25" s="1"/>
  <c r="G272" i="25"/>
  <c r="E274" i="39"/>
  <c r="G274" i="39" s="1"/>
  <c r="H274" i="39" s="1"/>
  <c r="I274" i="39" s="1"/>
  <c r="J274" i="39" s="1"/>
  <c r="I275" i="25" s="1"/>
  <c r="G52" i="25"/>
  <c r="E66" i="39"/>
  <c r="G66" i="39" s="1"/>
  <c r="H66" i="39" s="1"/>
  <c r="I66" i="39" s="1"/>
  <c r="J66" i="39" s="1"/>
  <c r="I67" i="25" s="1"/>
  <c r="E239" i="12"/>
  <c r="G239" i="12" s="1"/>
  <c r="H239" i="12" s="1"/>
  <c r="I239" i="12" s="1"/>
  <c r="J240" i="25" s="1"/>
  <c r="E34" i="12"/>
  <c r="G34" i="12" s="1"/>
  <c r="H34" i="12" s="1"/>
  <c r="I34" i="12" s="1"/>
  <c r="J35" i="25" s="1"/>
  <c r="G259" i="25"/>
  <c r="G114" i="25"/>
  <c r="E79" i="12"/>
  <c r="G79" i="12" s="1"/>
  <c r="H79" i="12" s="1"/>
  <c r="I79" i="12" s="1"/>
  <c r="J80" i="25" s="1"/>
  <c r="E306" i="39"/>
  <c r="G306" i="39" s="1"/>
  <c r="H306" i="39" s="1"/>
  <c r="I306" i="39" s="1"/>
  <c r="J306" i="39" s="1"/>
  <c r="I307" i="25" s="1"/>
  <c r="E64" i="39"/>
  <c r="G64" i="39" s="1"/>
  <c r="H64" i="39" s="1"/>
  <c r="I64" i="39" s="1"/>
  <c r="J64" i="39" s="1"/>
  <c r="I65" i="25" s="1"/>
  <c r="E123" i="12"/>
  <c r="G123" i="12" s="1"/>
  <c r="H123" i="12" s="1"/>
  <c r="I123" i="12" s="1"/>
  <c r="J124" i="25" s="1"/>
  <c r="G18" i="25"/>
  <c r="E97" i="12"/>
  <c r="G97" i="12" s="1"/>
  <c r="H97" i="12" s="1"/>
  <c r="I97" i="12" s="1"/>
  <c r="J98" i="25" s="1"/>
  <c r="E283" i="39"/>
  <c r="G283" i="39" s="1"/>
  <c r="H283" i="39" s="1"/>
  <c r="I283" i="39" s="1"/>
  <c r="J283" i="39" s="1"/>
  <c r="I284" i="25" s="1"/>
  <c r="E111" i="12"/>
  <c r="G111" i="12" s="1"/>
  <c r="H111" i="12" s="1"/>
  <c r="I111" i="12" s="1"/>
  <c r="J112" i="25" s="1"/>
  <c r="E305" i="12"/>
  <c r="G305" i="12" s="1"/>
  <c r="H305" i="12" s="1"/>
  <c r="I305" i="12" s="1"/>
  <c r="J306" i="25" s="1"/>
  <c r="G178" i="25"/>
  <c r="E178" i="12"/>
  <c r="G178" i="12" s="1"/>
  <c r="H178" i="12" s="1"/>
  <c r="I178" i="12" s="1"/>
  <c r="J179" i="25" s="1"/>
  <c r="G115" i="25"/>
  <c r="E115" i="12"/>
  <c r="G115" i="12" s="1"/>
  <c r="H115" i="12" s="1"/>
  <c r="I115" i="12" s="1"/>
  <c r="J116" i="25" s="1"/>
  <c r="E224" i="39"/>
  <c r="G224" i="39" s="1"/>
  <c r="H224" i="39" s="1"/>
  <c r="I224" i="39" s="1"/>
  <c r="J224" i="39" s="1"/>
  <c r="I225" i="25" s="1"/>
  <c r="G194" i="25"/>
  <c r="E204" i="12"/>
  <c r="G204" i="12" s="1"/>
  <c r="H204" i="12" s="1"/>
  <c r="I204" i="12" s="1"/>
  <c r="J205" i="25" s="1"/>
  <c r="E81" i="12"/>
  <c r="G81" i="12" s="1"/>
  <c r="H81" i="12" s="1"/>
  <c r="I81" i="12" s="1"/>
  <c r="J82" i="25" s="1"/>
  <c r="E209" i="39"/>
  <c r="G209" i="39" s="1"/>
  <c r="H209" i="39" s="1"/>
  <c r="I209" i="39" s="1"/>
  <c r="J209" i="39" s="1"/>
  <c r="I210" i="25" s="1"/>
  <c r="E192" i="39"/>
  <c r="G192" i="39" s="1"/>
  <c r="H192" i="39" s="1"/>
  <c r="I192" i="39" s="1"/>
  <c r="J192" i="39" s="1"/>
  <c r="I193" i="25" s="1"/>
  <c r="E241" i="39"/>
  <c r="G241" i="39" s="1"/>
  <c r="H241" i="39" s="1"/>
  <c r="I241" i="39" s="1"/>
  <c r="J241" i="39" s="1"/>
  <c r="I242" i="25" s="1"/>
  <c r="G322" i="25"/>
  <c r="G144" i="25"/>
  <c r="E236" i="12"/>
  <c r="G236" i="12" s="1"/>
  <c r="H236" i="12" s="1"/>
  <c r="I236" i="12" s="1"/>
  <c r="J237" i="25" s="1"/>
  <c r="E140" i="12"/>
  <c r="G140" i="12" s="1"/>
  <c r="H140" i="12" s="1"/>
  <c r="I140" i="12" s="1"/>
  <c r="J141" i="25" s="1"/>
  <c r="E320" i="12"/>
  <c r="G320" i="12" s="1"/>
  <c r="H320" i="12" s="1"/>
  <c r="I320" i="12" s="1"/>
  <c r="J321" i="25" s="1"/>
  <c r="E139" i="12"/>
  <c r="G139" i="12" s="1"/>
  <c r="H139" i="12" s="1"/>
  <c r="I139" i="12" s="1"/>
  <c r="J140" i="25" s="1"/>
  <c r="G28" i="25"/>
  <c r="E65" i="12"/>
  <c r="G65" i="12" s="1"/>
  <c r="H65" i="12" s="1"/>
  <c r="I65" i="12" s="1"/>
  <c r="J66" i="25" s="1"/>
  <c r="G19" i="25"/>
  <c r="G252" i="25"/>
  <c r="G163" i="25"/>
  <c r="G176" i="25"/>
  <c r="E44" i="12"/>
  <c r="G44" i="12" s="1"/>
  <c r="H44" i="12" s="1"/>
  <c r="I44" i="12" s="1"/>
  <c r="J45" i="25" s="1"/>
  <c r="G97" i="25"/>
  <c r="G130" i="25"/>
  <c r="E172" i="39"/>
  <c r="G172" i="39" s="1"/>
  <c r="H172" i="39" s="1"/>
  <c r="I172" i="39" s="1"/>
  <c r="J172" i="39" s="1"/>
  <c r="I173" i="25" s="1"/>
  <c r="G64" i="25"/>
  <c r="E95" i="12"/>
  <c r="G95" i="12" s="1"/>
  <c r="H95" i="12" s="1"/>
  <c r="I95" i="12" s="1"/>
  <c r="J96" i="25" s="1"/>
  <c r="E184" i="12"/>
  <c r="G184" i="12" s="1"/>
  <c r="H184" i="12" s="1"/>
  <c r="I184" i="12" s="1"/>
  <c r="J185" i="25" s="1"/>
  <c r="G293" i="25"/>
  <c r="E313" i="12"/>
  <c r="G313" i="12" s="1"/>
  <c r="H313" i="12" s="1"/>
  <c r="I313" i="12" s="1"/>
  <c r="J314" i="25" s="1"/>
  <c r="E254" i="12"/>
  <c r="G254" i="12" s="1"/>
  <c r="H254" i="12" s="1"/>
  <c r="I254" i="12" s="1"/>
  <c r="J255" i="25" s="1"/>
  <c r="E131" i="39"/>
  <c r="G131" i="39" s="1"/>
  <c r="H131" i="39" s="1"/>
  <c r="I131" i="39" s="1"/>
  <c r="J131" i="39" s="1"/>
  <c r="I132" i="25" s="1"/>
  <c r="G318" i="25"/>
  <c r="G125" i="25"/>
  <c r="E10" i="39"/>
  <c r="G10" i="39" s="1"/>
  <c r="H10" i="39" s="1"/>
  <c r="I10" i="39" s="1"/>
  <c r="J10" i="39" s="1"/>
  <c r="I11" i="25" s="1"/>
  <c r="E80" i="39"/>
  <c r="G80" i="39" s="1"/>
  <c r="H80" i="39" s="1"/>
  <c r="I80" i="39" s="1"/>
  <c r="J80" i="39" s="1"/>
  <c r="I81" i="25" s="1"/>
  <c r="E202" i="39"/>
  <c r="G202" i="39" s="1"/>
  <c r="H202" i="39" s="1"/>
  <c r="I202" i="39" s="1"/>
  <c r="J202" i="39" s="1"/>
  <c r="I203" i="25" s="1"/>
  <c r="E28" i="39"/>
  <c r="G28" i="39" s="1"/>
  <c r="H28" i="39" s="1"/>
  <c r="I28" i="39" s="1"/>
  <c r="J28" i="39" s="1"/>
  <c r="I29" i="25" s="1"/>
  <c r="G250" i="25"/>
  <c r="G261" i="25"/>
  <c r="E187" i="12"/>
  <c r="G187" i="12" s="1"/>
  <c r="H187" i="12" s="1"/>
  <c r="I187" i="12" s="1"/>
  <c r="J188" i="25" s="1"/>
  <c r="G235" i="25"/>
  <c r="E153" i="12"/>
  <c r="G153" i="12" s="1"/>
  <c r="H153" i="12" s="1"/>
  <c r="I153" i="12" s="1"/>
  <c r="J154" i="25" s="1"/>
  <c r="E89" i="39"/>
  <c r="G89" i="39" s="1"/>
  <c r="H89" i="39" s="1"/>
  <c r="I89" i="39" s="1"/>
  <c r="J89" i="39" s="1"/>
  <c r="I90" i="25" s="1"/>
  <c r="E300" i="39"/>
  <c r="G300" i="39" s="1"/>
  <c r="H300" i="39" s="1"/>
  <c r="I300" i="39" s="1"/>
  <c r="J300" i="39" s="1"/>
  <c r="I301" i="25" s="1"/>
  <c r="E68" i="39"/>
  <c r="G68" i="39" s="1"/>
  <c r="H68" i="39" s="1"/>
  <c r="I68" i="39" s="1"/>
  <c r="J68" i="39" s="1"/>
  <c r="I69" i="25" s="1"/>
  <c r="E179" i="39"/>
  <c r="G179" i="39" s="1"/>
  <c r="H179" i="39" s="1"/>
  <c r="I179" i="39" s="1"/>
  <c r="J179" i="39" s="1"/>
  <c r="I180" i="25" s="1"/>
  <c r="E217" i="39"/>
  <c r="G217" i="39" s="1"/>
  <c r="H217" i="39" s="1"/>
  <c r="I217" i="39" s="1"/>
  <c r="J217" i="39" s="1"/>
  <c r="I218" i="25" s="1"/>
  <c r="E43" i="12"/>
  <c r="G43" i="12" s="1"/>
  <c r="H43" i="12" s="1"/>
  <c r="I43" i="12" s="1"/>
  <c r="J44" i="25" s="1"/>
  <c r="G49" i="25"/>
  <c r="E240" i="39"/>
  <c r="G240" i="39" s="1"/>
  <c r="H240" i="39" s="1"/>
  <c r="I240" i="39" s="1"/>
  <c r="J240" i="39" s="1"/>
  <c r="I241" i="25" s="1"/>
  <c r="G17" i="25"/>
  <c r="G16" i="25"/>
  <c r="E276" i="39"/>
  <c r="G276" i="39" s="1"/>
  <c r="H276" i="39" s="1"/>
  <c r="I276" i="39" s="1"/>
  <c r="J276" i="39" s="1"/>
  <c r="I277" i="25" s="1"/>
  <c r="E228" i="39"/>
  <c r="G228" i="39" s="1"/>
  <c r="H228" i="39" s="1"/>
  <c r="I228" i="39" s="1"/>
  <c r="J228" i="39" s="1"/>
  <c r="I229" i="25" s="1"/>
  <c r="E93" i="39"/>
  <c r="G93" i="39" s="1"/>
  <c r="H93" i="39" s="1"/>
  <c r="I93" i="39" s="1"/>
  <c r="J93" i="39" s="1"/>
  <c r="I94" i="25" s="1"/>
  <c r="E221" i="39"/>
  <c r="G221" i="39" s="1"/>
  <c r="H221" i="39" s="1"/>
  <c r="I221" i="39" s="1"/>
  <c r="J221" i="39" s="1"/>
  <c r="I222" i="25" s="1"/>
  <c r="G221" i="25"/>
  <c r="E291" i="12"/>
  <c r="G291" i="12" s="1"/>
  <c r="H291" i="12" s="1"/>
  <c r="I291" i="12" s="1"/>
  <c r="J292" i="25" s="1"/>
  <c r="E80" i="12"/>
  <c r="G80" i="12" s="1"/>
  <c r="H80" i="12" s="1"/>
  <c r="I80" i="12" s="1"/>
  <c r="J81" i="25" s="1"/>
  <c r="G75" i="25"/>
  <c r="E154" i="39"/>
  <c r="G154" i="39" s="1"/>
  <c r="H154" i="39" s="1"/>
  <c r="I154" i="39" s="1"/>
  <c r="J154" i="39" s="1"/>
  <c r="I155" i="25" s="1"/>
  <c r="G192" i="25"/>
  <c r="G317" i="25"/>
  <c r="E112" i="12"/>
  <c r="G112" i="12" s="1"/>
  <c r="H112" i="12" s="1"/>
  <c r="I112" i="12" s="1"/>
  <c r="J113" i="25" s="1"/>
  <c r="G91" i="25"/>
  <c r="E269" i="12"/>
  <c r="G269" i="12" s="1"/>
  <c r="H269" i="12" s="1"/>
  <c r="I269" i="12" s="1"/>
  <c r="J270" i="25" s="1"/>
  <c r="E58" i="12"/>
  <c r="G58" i="12" s="1"/>
  <c r="H58" i="12" s="1"/>
  <c r="I58" i="12" s="1"/>
  <c r="J59" i="25" s="1"/>
  <c r="G267" i="25"/>
  <c r="G111" i="25"/>
  <c r="E41" i="39"/>
  <c r="G41" i="39" s="1"/>
  <c r="H41" i="39" s="1"/>
  <c r="I41" i="39" s="1"/>
  <c r="J41" i="39" s="1"/>
  <c r="I42" i="25" s="1"/>
  <c r="E156" i="39"/>
  <c r="G156" i="39" s="1"/>
  <c r="H156" i="39" s="1"/>
  <c r="I156" i="39" s="1"/>
  <c r="J156" i="39" s="1"/>
  <c r="I157" i="25" s="1"/>
  <c r="E137" i="39"/>
  <c r="G137" i="39" s="1"/>
  <c r="H137" i="39" s="1"/>
  <c r="I137" i="39" s="1"/>
  <c r="J137" i="39" s="1"/>
  <c r="I138" i="25" s="1"/>
  <c r="E20" i="39"/>
  <c r="G20" i="39" s="1"/>
  <c r="H20" i="39" s="1"/>
  <c r="I20" i="39" s="1"/>
  <c r="J20" i="39" s="1"/>
  <c r="I21" i="25" s="1"/>
  <c r="E15" i="12"/>
  <c r="G15" i="12" s="1"/>
  <c r="H15" i="12" s="1"/>
  <c r="I15" i="12" s="1"/>
  <c r="J16" i="25" s="1"/>
  <c r="E301" i="12"/>
  <c r="G301" i="12" s="1"/>
  <c r="E164" i="39"/>
  <c r="G164" i="39" s="1"/>
  <c r="H164" i="39" s="1"/>
  <c r="I164" i="39" s="1"/>
  <c r="J164" i="39" s="1"/>
  <c r="I165" i="25" s="1"/>
  <c r="G296" i="25"/>
  <c r="E94" i="39"/>
  <c r="G94" i="39" s="1"/>
  <c r="H94" i="39" s="1"/>
  <c r="I94" i="39" s="1"/>
  <c r="J94" i="39" s="1"/>
  <c r="I95" i="25" s="1"/>
  <c r="G159" i="25"/>
  <c r="G191" i="25"/>
  <c r="E313" i="39"/>
  <c r="G313" i="39" s="1"/>
  <c r="H313" i="39" s="1"/>
  <c r="I313" i="39" s="1"/>
  <c r="J313" i="39" s="1"/>
  <c r="I314" i="25" s="1"/>
  <c r="E292" i="12"/>
  <c r="G292" i="12" s="1"/>
  <c r="H292" i="12" s="1"/>
  <c r="I292" i="12" s="1"/>
  <c r="J293" i="25" s="1"/>
  <c r="G104" i="25"/>
  <c r="G238" i="25"/>
  <c r="E319" i="12"/>
  <c r="G319" i="12" s="1"/>
  <c r="H319" i="12" s="1"/>
  <c r="I319" i="12" s="1"/>
  <c r="J320" i="25" s="1"/>
  <c r="E233" i="39"/>
  <c r="G233" i="39" s="1"/>
  <c r="H233" i="39" s="1"/>
  <c r="I233" i="39" s="1"/>
  <c r="J233" i="39" s="1"/>
  <c r="I234" i="25" s="1"/>
  <c r="E73" i="12"/>
  <c r="G73" i="12" s="1"/>
  <c r="H73" i="12" s="1"/>
  <c r="I73" i="12" s="1"/>
  <c r="J74" i="25" s="1"/>
  <c r="G236" i="25"/>
  <c r="E302" i="39"/>
  <c r="G302" i="39" s="1"/>
  <c r="H302" i="39" s="1"/>
  <c r="I302" i="39" s="1"/>
  <c r="J302" i="39" s="1"/>
  <c r="I303" i="25" s="1"/>
  <c r="E282" i="39"/>
  <c r="G282" i="39" s="1"/>
  <c r="H282" i="39" s="1"/>
  <c r="I282" i="39" s="1"/>
  <c r="J282" i="39" s="1"/>
  <c r="I283" i="25" s="1"/>
  <c r="G78" i="25"/>
  <c r="E220" i="12"/>
  <c r="G220" i="12" s="1"/>
  <c r="H220" i="12" s="1"/>
  <c r="I220" i="12" s="1"/>
  <c r="J221" i="25" s="1"/>
  <c r="G58" i="25"/>
  <c r="G309" i="25"/>
  <c r="E11" i="12"/>
  <c r="G11" i="12" s="1"/>
  <c r="H11" i="12" s="1"/>
  <c r="I11" i="12" s="1"/>
  <c r="J12" i="25" s="1"/>
  <c r="G62" i="25"/>
  <c r="E186" i="12"/>
  <c r="G186" i="12" s="1"/>
  <c r="H186" i="12" s="1"/>
  <c r="I186" i="12" s="1"/>
  <c r="J187" i="25" s="1"/>
  <c r="G315" i="25"/>
  <c r="E135" i="39"/>
  <c r="G135" i="39" s="1"/>
  <c r="H135" i="39" s="1"/>
  <c r="I135" i="39" s="1"/>
  <c r="J135" i="39" s="1"/>
  <c r="I136" i="25" s="1"/>
  <c r="E106" i="39"/>
  <c r="G106" i="39" s="1"/>
  <c r="H106" i="39" s="1"/>
  <c r="I106" i="39" s="1"/>
  <c r="J106" i="39" s="1"/>
  <c r="I107" i="25" s="1"/>
  <c r="G174" i="25"/>
  <c r="E121" i="39"/>
  <c r="G121" i="39" s="1"/>
  <c r="H121" i="39" s="1"/>
  <c r="I121" i="39" s="1"/>
  <c r="J121" i="39" s="1"/>
  <c r="I122" i="25" s="1"/>
  <c r="E249" i="12"/>
  <c r="G249" i="12" s="1"/>
  <c r="H249" i="12" s="1"/>
  <c r="I249" i="12" s="1"/>
  <c r="J250" i="25" s="1"/>
  <c r="E154" i="12"/>
  <c r="G154" i="12" s="1"/>
  <c r="H154" i="12" s="1"/>
  <c r="I154" i="12" s="1"/>
  <c r="J155" i="25" s="1"/>
  <c r="G121" i="25"/>
  <c r="G100" i="25"/>
  <c r="E191" i="39"/>
  <c r="G191" i="39" s="1"/>
  <c r="H191" i="39" s="1"/>
  <c r="I191" i="39" s="1"/>
  <c r="J191" i="39" s="1"/>
  <c r="I192" i="25" s="1"/>
  <c r="G254" i="25"/>
  <c r="E142" i="12"/>
  <c r="G142" i="12" s="1"/>
  <c r="H142" i="12" s="1"/>
  <c r="I142" i="12" s="1"/>
  <c r="J143" i="25" s="1"/>
  <c r="G139" i="25"/>
  <c r="E285" i="12"/>
  <c r="G285" i="12" s="1"/>
  <c r="H285" i="12" s="1"/>
  <c r="I285" i="12" s="1"/>
  <c r="J286" i="25" s="1"/>
  <c r="E201" i="39"/>
  <c r="G201" i="39" s="1"/>
  <c r="H201" i="39" s="1"/>
  <c r="I201" i="39" s="1"/>
  <c r="J201" i="39" s="1"/>
  <c r="I202" i="25" s="1"/>
  <c r="E199" i="12"/>
  <c r="G199" i="12" s="1"/>
  <c r="H199" i="12" s="1"/>
  <c r="I199" i="12" s="1"/>
  <c r="J200" i="25" s="1"/>
  <c r="E298" i="39"/>
  <c r="G298" i="39" s="1"/>
  <c r="H298" i="39" s="1"/>
  <c r="I298" i="39" s="1"/>
  <c r="J298" i="39" s="1"/>
  <c r="I299" i="25" s="1"/>
  <c r="E144" i="12"/>
  <c r="G144" i="12" s="1"/>
  <c r="H144" i="12" s="1"/>
  <c r="I144" i="12" s="1"/>
  <c r="J145" i="25" s="1"/>
  <c r="E16" i="39"/>
  <c r="G16" i="39" s="1"/>
  <c r="H16" i="39" s="1"/>
  <c r="I16" i="39" s="1"/>
  <c r="J16" i="39" s="1"/>
  <c r="I17" i="25" s="1"/>
  <c r="E141" i="12"/>
  <c r="G141" i="12" s="1"/>
  <c r="H141" i="12" s="1"/>
  <c r="I141" i="12" s="1"/>
  <c r="J142" i="25" s="1"/>
  <c r="E223" i="39"/>
  <c r="G223" i="39" s="1"/>
  <c r="H223" i="39" s="1"/>
  <c r="I223" i="39" s="1"/>
  <c r="J223" i="39" s="1"/>
  <c r="I224" i="25" s="1"/>
  <c r="E95" i="39"/>
  <c r="G95" i="39" s="1"/>
  <c r="H95" i="39" s="1"/>
  <c r="I95" i="39" s="1"/>
  <c r="J95" i="39" s="1"/>
  <c r="I96" i="25" s="1"/>
  <c r="E92" i="39"/>
  <c r="G92" i="39" s="1"/>
  <c r="H92" i="39" s="1"/>
  <c r="I92" i="39" s="1"/>
  <c r="J92" i="39" s="1"/>
  <c r="I93" i="25" s="1"/>
  <c r="G106" i="25"/>
  <c r="G138" i="25"/>
  <c r="E159" i="12"/>
  <c r="G159" i="12" s="1"/>
  <c r="H159" i="12" s="1"/>
  <c r="I159" i="12" s="1"/>
  <c r="J160" i="25" s="1"/>
  <c r="E29" i="39"/>
  <c r="G29" i="39" s="1"/>
  <c r="H29" i="39" s="1"/>
  <c r="I29" i="39" s="1"/>
  <c r="J29" i="39" s="1"/>
  <c r="I30" i="25" s="1"/>
  <c r="E208" i="39"/>
  <c r="G208" i="39" s="1"/>
  <c r="H208" i="39" s="1"/>
  <c r="I208" i="39" s="1"/>
  <c r="J208" i="39" s="1"/>
  <c r="I209" i="25" s="1"/>
  <c r="E206" i="39"/>
  <c r="G206" i="39" s="1"/>
  <c r="H206" i="39" s="1"/>
  <c r="I206" i="39" s="1"/>
  <c r="J206" i="39" s="1"/>
  <c r="I207" i="25" s="1"/>
  <c r="E56" i="39"/>
  <c r="G56" i="39" s="1"/>
  <c r="H56" i="39" s="1"/>
  <c r="I56" i="39" s="1"/>
  <c r="J56" i="39" s="1"/>
  <c r="I57" i="25" s="1"/>
  <c r="G108" i="25"/>
  <c r="E270" i="12"/>
  <c r="G270" i="12" s="1"/>
  <c r="H270" i="12" s="1"/>
  <c r="I270" i="12" s="1"/>
  <c r="J271" i="25" s="1"/>
  <c r="G14" i="25"/>
  <c r="E205" i="39"/>
  <c r="G205" i="39" s="1"/>
  <c r="H205" i="39" s="1"/>
  <c r="I205" i="39" s="1"/>
  <c r="J205" i="39" s="1"/>
  <c r="I206" i="25" s="1"/>
  <c r="E250" i="12"/>
  <c r="G250" i="12" s="1"/>
  <c r="H250" i="12" s="1"/>
  <c r="I250" i="12" s="1"/>
  <c r="J251" i="25" s="1"/>
  <c r="E315" i="39"/>
  <c r="G315" i="39" s="1"/>
  <c r="H315" i="39" s="1"/>
  <c r="I315" i="39" s="1"/>
  <c r="J315" i="39" s="1"/>
  <c r="I316" i="25" s="1"/>
  <c r="E67" i="12"/>
  <c r="G67" i="12" s="1"/>
  <c r="H67" i="12" s="1"/>
  <c r="I67" i="12" s="1"/>
  <c r="J68" i="25" s="1"/>
  <c r="E169" i="39"/>
  <c r="G169" i="39" s="1"/>
  <c r="H169" i="39" s="1"/>
  <c r="I169" i="39" s="1"/>
  <c r="J169" i="39" s="1"/>
  <c r="I170" i="25" s="1"/>
  <c r="E307" i="39"/>
  <c r="G307" i="39" s="1"/>
  <c r="H307" i="39" s="1"/>
  <c r="I307" i="39" s="1"/>
  <c r="J307" i="39" s="1"/>
  <c r="I308" i="25" s="1"/>
  <c r="E304" i="39"/>
  <c r="G304" i="39" s="1"/>
  <c r="H304" i="39" s="1"/>
  <c r="I304" i="39" s="1"/>
  <c r="J304" i="39" s="1"/>
  <c r="I305" i="25" s="1"/>
  <c r="E109" i="12"/>
  <c r="G109" i="12" s="1"/>
  <c r="H109" i="12" s="1"/>
  <c r="I109" i="12" s="1"/>
  <c r="J110" i="25" s="1"/>
  <c r="E73" i="39"/>
  <c r="G73" i="39" s="1"/>
  <c r="H73" i="39" s="1"/>
  <c r="I73" i="39" s="1"/>
  <c r="J73" i="39" s="1"/>
  <c r="I74" i="25" s="1"/>
  <c r="G266" i="25"/>
  <c r="G27" i="25"/>
  <c r="E10" i="12"/>
  <c r="G10" i="12" s="1"/>
  <c r="H10" i="12" s="1"/>
  <c r="I10" i="12" s="1"/>
  <c r="J11" i="25" s="1"/>
  <c r="G204" i="25"/>
  <c r="E45" i="39"/>
  <c r="G45" i="39" s="1"/>
  <c r="H45" i="39" s="1"/>
  <c r="I45" i="39" s="1"/>
  <c r="J45" i="39" s="1"/>
  <c r="I46" i="25" s="1"/>
  <c r="E227" i="12"/>
  <c r="G227" i="12" s="1"/>
  <c r="H227" i="12" s="1"/>
  <c r="I227" i="12" s="1"/>
  <c r="J228" i="25" s="1"/>
  <c r="E312" i="39"/>
  <c r="G312" i="39" s="1"/>
  <c r="H312" i="39" s="1"/>
  <c r="I312" i="39" s="1"/>
  <c r="J312" i="39" s="1"/>
  <c r="I313" i="25" s="1"/>
  <c r="E314" i="12"/>
  <c r="G314" i="12" s="1"/>
  <c r="H314" i="12" s="1"/>
  <c r="I314" i="12" s="1"/>
  <c r="J315" i="25" s="1"/>
  <c r="E74" i="39"/>
  <c r="G74" i="39" s="1"/>
  <c r="H74" i="39" s="1"/>
  <c r="I74" i="39" s="1"/>
  <c r="J74" i="39" s="1"/>
  <c r="I75" i="25" s="1"/>
  <c r="E255" i="39"/>
  <c r="G255" i="39" s="1"/>
  <c r="H255" i="39" s="1"/>
  <c r="I255" i="39" s="1"/>
  <c r="J255" i="39" s="1"/>
  <c r="I256" i="25" s="1"/>
  <c r="G212" i="25"/>
  <c r="E234" i="39"/>
  <c r="G234" i="39" s="1"/>
  <c r="H234" i="39" s="1"/>
  <c r="I234" i="39" s="1"/>
  <c r="J234" i="39" s="1"/>
  <c r="I235" i="25" s="1"/>
  <c r="E25" i="39"/>
  <c r="G25" i="39" s="1"/>
  <c r="H25" i="39" s="1"/>
  <c r="I25" i="39" s="1"/>
  <c r="J25" i="39" s="1"/>
  <c r="I26" i="25" s="1"/>
  <c r="E63" i="39"/>
  <c r="G63" i="39" s="1"/>
  <c r="H63" i="39" s="1"/>
  <c r="I63" i="39" s="1"/>
  <c r="J63" i="39" s="1"/>
  <c r="I64" i="25" s="1"/>
  <c r="E90" i="12"/>
  <c r="G90" i="12" s="1"/>
  <c r="H90" i="12" s="1"/>
  <c r="I90" i="12" s="1"/>
  <c r="J91" i="25" s="1"/>
  <c r="E248" i="12"/>
  <c r="G248" i="12" s="1"/>
  <c r="H248" i="12" s="1"/>
  <c r="I248" i="12" s="1"/>
  <c r="J249" i="25" s="1"/>
  <c r="G175" i="25"/>
  <c r="G260" i="25"/>
  <c r="G202" i="25"/>
  <c r="E100" i="12"/>
  <c r="G100" i="12" s="1"/>
  <c r="H100" i="12" s="1"/>
  <c r="I100" i="12" s="1"/>
  <c r="J101" i="25" s="1"/>
  <c r="E298" i="12"/>
  <c r="G298" i="12" s="1"/>
  <c r="H298" i="12" s="1"/>
  <c r="I298" i="12" s="1"/>
  <c r="J299" i="25" s="1"/>
  <c r="E30" i="39"/>
  <c r="G30" i="39" s="1"/>
  <c r="H30" i="39" s="1"/>
  <c r="I30" i="39" s="1"/>
  <c r="J30" i="39" s="1"/>
  <c r="I31" i="25" s="1"/>
  <c r="E71" i="12"/>
  <c r="G71" i="12" s="1"/>
  <c r="H71" i="12" s="1"/>
  <c r="I71" i="12" s="1"/>
  <c r="J72" i="25" s="1"/>
  <c r="E240" i="12"/>
  <c r="G240" i="12" s="1"/>
  <c r="H240" i="12" s="1"/>
  <c r="I240" i="12" s="1"/>
  <c r="J241" i="25" s="1"/>
  <c r="E176" i="39"/>
  <c r="G176" i="39" s="1"/>
  <c r="H176" i="39" s="1"/>
  <c r="I176" i="39" s="1"/>
  <c r="J176" i="39" s="1"/>
  <c r="I177" i="25" s="1"/>
  <c r="G157" i="25"/>
  <c r="E287" i="39"/>
  <c r="G287" i="39" s="1"/>
  <c r="H287" i="39" s="1"/>
  <c r="I287" i="39" s="1"/>
  <c r="J287" i="39" s="1"/>
  <c r="I288" i="25" s="1"/>
  <c r="E75" i="12"/>
  <c r="G75" i="12" s="1"/>
  <c r="H75" i="12" s="1"/>
  <c r="I75" i="12" s="1"/>
  <c r="J76" i="25" s="1"/>
  <c r="G298" i="25"/>
  <c r="G219" i="25"/>
  <c r="G253" i="25"/>
  <c r="G61" i="25"/>
  <c r="E88" i="39"/>
  <c r="G88" i="39" s="1"/>
  <c r="H88" i="39" s="1"/>
  <c r="I88" i="39" s="1"/>
  <c r="J88" i="39" s="1"/>
  <c r="I89" i="25" s="1"/>
  <c r="E157" i="39"/>
  <c r="G157" i="39" s="1"/>
  <c r="H157" i="39" s="1"/>
  <c r="I157" i="39" s="1"/>
  <c r="J157" i="39" s="1"/>
  <c r="I158" i="25" s="1"/>
  <c r="E219" i="39"/>
  <c r="G219" i="39" s="1"/>
  <c r="H219" i="39" s="1"/>
  <c r="I219" i="39" s="1"/>
  <c r="J219" i="39" s="1"/>
  <c r="I220" i="25" s="1"/>
  <c r="E231" i="39"/>
  <c r="G231" i="39" s="1"/>
  <c r="H231" i="39" s="1"/>
  <c r="I231" i="39" s="1"/>
  <c r="J231" i="39" s="1"/>
  <c r="I232" i="25" s="1"/>
  <c r="E307" i="12"/>
  <c r="G307" i="12" s="1"/>
  <c r="H307" i="12" s="1"/>
  <c r="I307" i="12" s="1"/>
  <c r="J308" i="25" s="1"/>
  <c r="E103" i="39"/>
  <c r="G103" i="39" s="1"/>
  <c r="H103" i="39" s="1"/>
  <c r="I103" i="39" s="1"/>
  <c r="J103" i="39" s="1"/>
  <c r="I104" i="25" s="1"/>
  <c r="E237" i="12"/>
  <c r="G237" i="12" s="1"/>
  <c r="H237" i="12" s="1"/>
  <c r="I237" i="12" s="1"/>
  <c r="J238" i="25" s="1"/>
  <c r="E109" i="39"/>
  <c r="G109" i="39" s="1"/>
  <c r="H109" i="39" s="1"/>
  <c r="I109" i="39" s="1"/>
  <c r="J109" i="39" s="1"/>
  <c r="I110" i="25" s="1"/>
  <c r="G20" i="25"/>
  <c r="E216" i="12"/>
  <c r="G216" i="12" s="1"/>
  <c r="H216" i="12" s="1"/>
  <c r="I216" i="12" s="1"/>
  <c r="J217" i="25" s="1"/>
  <c r="E131" i="12"/>
  <c r="G131" i="12" s="1"/>
  <c r="H131" i="12" s="1"/>
  <c r="I131" i="12" s="1"/>
  <c r="J132" i="25" s="1"/>
  <c r="E152" i="12"/>
  <c r="G152" i="12" s="1"/>
  <c r="H152" i="12" s="1"/>
  <c r="I152" i="12" s="1"/>
  <c r="J153" i="25" s="1"/>
  <c r="E317" i="12"/>
  <c r="G317" i="12" s="1"/>
  <c r="H317" i="12" s="1"/>
  <c r="I317" i="12" s="1"/>
  <c r="J318" i="25" s="1"/>
  <c r="E196" i="39"/>
  <c r="G196" i="39" s="1"/>
  <c r="H196" i="39" s="1"/>
  <c r="I196" i="39" s="1"/>
  <c r="J196" i="39" s="1"/>
  <c r="I197" i="25" s="1"/>
  <c r="E184" i="39"/>
  <c r="G184" i="39" s="1"/>
  <c r="H184" i="39" s="1"/>
  <c r="I184" i="39" s="1"/>
  <c r="J184" i="39" s="1"/>
  <c r="I185" i="25" s="1"/>
  <c r="E308" i="39"/>
  <c r="G308" i="39" s="1"/>
  <c r="H308" i="39" s="1"/>
  <c r="I308" i="39" s="1"/>
  <c r="J308" i="39" s="1"/>
  <c r="I309" i="25" s="1"/>
  <c r="E93" i="12"/>
  <c r="G93" i="12" s="1"/>
  <c r="H93" i="12" s="1"/>
  <c r="I93" i="12" s="1"/>
  <c r="J94" i="25" s="1"/>
  <c r="G37" i="25"/>
  <c r="E286" i="39"/>
  <c r="G286" i="39" s="1"/>
  <c r="H286" i="39" s="1"/>
  <c r="I286" i="39" s="1"/>
  <c r="J286" i="39" s="1"/>
  <c r="I287" i="25" s="1"/>
  <c r="E211" i="12"/>
  <c r="G211" i="12" s="1"/>
  <c r="H211" i="12" s="1"/>
  <c r="J211" i="12" s="1"/>
  <c r="G168" i="25"/>
  <c r="E189" i="12"/>
  <c r="G189" i="12" s="1"/>
  <c r="H189" i="12" s="1"/>
  <c r="I189" i="12" s="1"/>
  <c r="J190" i="25" s="1"/>
  <c r="E120" i="39"/>
  <c r="G120" i="39" s="1"/>
  <c r="H120" i="39" s="1"/>
  <c r="I120" i="39" s="1"/>
  <c r="J120" i="39" s="1"/>
  <c r="I121" i="25" s="1"/>
  <c r="E8" i="39"/>
  <c r="G8" i="39" s="1"/>
  <c r="H8" i="39" s="1"/>
  <c r="I8" i="39" s="1"/>
  <c r="J8" i="39" s="1"/>
  <c r="I9" i="25" s="1"/>
  <c r="E253" i="39"/>
  <c r="G253" i="39" s="1"/>
  <c r="H253" i="39" s="1"/>
  <c r="I253" i="39" s="1"/>
  <c r="J253" i="39" s="1"/>
  <c r="I254" i="25" s="1"/>
  <c r="G101" i="25"/>
  <c r="G200" i="25"/>
  <c r="G271" i="25"/>
  <c r="E13" i="39"/>
  <c r="G13" i="39" s="1"/>
  <c r="H13" i="39" s="1"/>
  <c r="I13" i="39" s="1"/>
  <c r="J13" i="39" s="1"/>
  <c r="I14" i="25" s="1"/>
  <c r="G223" i="25"/>
  <c r="E280" i="12"/>
  <c r="G280" i="12" s="1"/>
  <c r="H280" i="12" s="1"/>
  <c r="I280" i="12" s="1"/>
  <c r="J281" i="25" s="1"/>
  <c r="E14" i="39"/>
  <c r="G14" i="39" s="1"/>
  <c r="H14" i="39" s="1"/>
  <c r="I14" i="39" s="1"/>
  <c r="J14" i="39" s="1"/>
  <c r="I15" i="25" s="1"/>
  <c r="E205" i="12"/>
  <c r="G205" i="12" s="1"/>
  <c r="H205" i="12" s="1"/>
  <c r="I205" i="12" s="1"/>
  <c r="J206" i="25" s="1"/>
  <c r="E132" i="12"/>
  <c r="G132" i="12" s="1"/>
  <c r="H132" i="12" s="1"/>
  <c r="I132" i="12" s="1"/>
  <c r="J133" i="25" s="1"/>
  <c r="G89" i="25"/>
  <c r="E29" i="12"/>
  <c r="G29" i="12" s="1"/>
  <c r="H29" i="12" s="1"/>
  <c r="I29" i="12" s="1"/>
  <c r="J30" i="25" s="1"/>
  <c r="G220" i="25"/>
  <c r="G165" i="25"/>
  <c r="G251" i="25"/>
  <c r="G24" i="25"/>
  <c r="E67" i="39"/>
  <c r="G67" i="39" s="1"/>
  <c r="H67" i="39" s="1"/>
  <c r="I67" i="39" s="1"/>
  <c r="J67" i="39" s="1"/>
  <c r="I68" i="25" s="1"/>
  <c r="E301" i="39"/>
  <c r="G301" i="39" s="1"/>
  <c r="H301" i="39" s="1"/>
  <c r="I301" i="39" s="1"/>
  <c r="J301" i="39" s="1"/>
  <c r="I302" i="25" s="1"/>
  <c r="G79" i="25"/>
  <c r="G255" i="25"/>
  <c r="G320" i="25"/>
  <c r="E127" i="39"/>
  <c r="G127" i="39" s="1"/>
  <c r="H127" i="39" s="1"/>
  <c r="I127" i="39" s="1"/>
  <c r="J127" i="39" s="1"/>
  <c r="I128" i="25" s="1"/>
  <c r="G305" i="25"/>
  <c r="E19" i="12"/>
  <c r="G19" i="12" s="1"/>
  <c r="H19" i="12" s="1"/>
  <c r="I19" i="12" s="1"/>
  <c r="J20" i="25" s="1"/>
  <c r="E9" i="39"/>
  <c r="G9" i="39" s="1"/>
  <c r="H9" i="39" s="1"/>
  <c r="I9" i="39" s="1"/>
  <c r="J9" i="39" s="1"/>
  <c r="I10" i="25" s="1"/>
  <c r="E235" i="39"/>
  <c r="G235" i="39" s="1"/>
  <c r="H235" i="39" s="1"/>
  <c r="I235" i="39" s="1"/>
  <c r="J235" i="39" s="1"/>
  <c r="I236" i="25" s="1"/>
  <c r="E265" i="39"/>
  <c r="G265" i="39" s="1"/>
  <c r="H265" i="39" s="1"/>
  <c r="I265" i="39" s="1"/>
  <c r="J265" i="39" s="1"/>
  <c r="I266" i="25" s="1"/>
  <c r="E295" i="39"/>
  <c r="G295" i="39" s="1"/>
  <c r="H295" i="39" s="1"/>
  <c r="I295" i="39" s="1"/>
  <c r="J295" i="39" s="1"/>
  <c r="I296" i="25" s="1"/>
  <c r="G47" i="25"/>
  <c r="E152" i="39"/>
  <c r="G152" i="39" s="1"/>
  <c r="H152" i="39" s="1"/>
  <c r="I152" i="39" s="1"/>
  <c r="J152" i="39" s="1"/>
  <c r="I153" i="25" s="1"/>
  <c r="E124" i="39"/>
  <c r="G124" i="39" s="1"/>
  <c r="H124" i="39" s="1"/>
  <c r="I124" i="39" s="1"/>
  <c r="J124" i="39" s="1"/>
  <c r="I125" i="25" s="1"/>
  <c r="E196" i="12"/>
  <c r="G196" i="12" s="1"/>
  <c r="H196" i="12" s="1"/>
  <c r="I196" i="12" s="1"/>
  <c r="J197" i="25" s="1"/>
  <c r="G207" i="25"/>
  <c r="E26" i="39"/>
  <c r="G26" i="39" s="1"/>
  <c r="H26" i="39" s="1"/>
  <c r="I26" i="39" s="1"/>
  <c r="J26" i="39" s="1"/>
  <c r="I27" i="25" s="1"/>
  <c r="E57" i="12"/>
  <c r="G57" i="12" s="1"/>
  <c r="H57" i="12" s="1"/>
  <c r="I57" i="12" s="1"/>
  <c r="J58" i="25" s="1"/>
  <c r="G12" i="25"/>
  <c r="G292" i="25"/>
  <c r="G57" i="25"/>
  <c r="E203" i="12"/>
  <c r="G203" i="12" s="1"/>
  <c r="H203" i="12" s="1"/>
  <c r="I203" i="12" s="1"/>
  <c r="J204" i="25" s="1"/>
  <c r="G203" i="25"/>
  <c r="E122" i="12"/>
  <c r="G122" i="12" s="1"/>
  <c r="H122" i="12" s="1"/>
  <c r="I122" i="12" s="1"/>
  <c r="J123" i="25" s="1"/>
  <c r="E227" i="39"/>
  <c r="G227" i="39" s="1"/>
  <c r="H227" i="39" s="1"/>
  <c r="I227" i="39" s="1"/>
  <c r="J227" i="39" s="1"/>
  <c r="I228" i="25" s="1"/>
  <c r="E312" i="12"/>
  <c r="G312" i="12" s="1"/>
  <c r="H312" i="12" s="1"/>
  <c r="I312" i="12" s="1"/>
  <c r="J313" i="25" s="1"/>
  <c r="E28" i="12"/>
  <c r="G28" i="12" s="1"/>
  <c r="H28" i="12" s="1"/>
  <c r="I28" i="12" s="1"/>
  <c r="J29" i="25" s="1"/>
  <c r="E135" i="12"/>
  <c r="G135" i="12" s="1"/>
  <c r="H135" i="12" s="1"/>
  <c r="I135" i="12" s="1"/>
  <c r="J136" i="25" s="1"/>
  <c r="E106" i="12"/>
  <c r="G106" i="12" s="1"/>
  <c r="H106" i="12" s="1"/>
  <c r="I106" i="12" s="1"/>
  <c r="J107" i="25" s="1"/>
  <c r="E42" i="39"/>
  <c r="G42" i="39" s="1"/>
  <c r="H42" i="39" s="1"/>
  <c r="I42" i="39" s="1"/>
  <c r="J42" i="39" s="1"/>
  <c r="I43" i="25" s="1"/>
  <c r="E173" i="12"/>
  <c r="G173" i="12" s="1"/>
  <c r="H173" i="12" s="1"/>
  <c r="I173" i="12" s="1"/>
  <c r="J174" i="25" s="1"/>
  <c r="E36" i="12"/>
  <c r="G36" i="12" s="1"/>
  <c r="H36" i="12" s="1"/>
  <c r="I36" i="12" s="1"/>
  <c r="J37" i="25" s="1"/>
  <c r="G256" i="25"/>
  <c r="E286" i="12"/>
  <c r="G286" i="12" s="1"/>
  <c r="H286" i="12" s="1"/>
  <c r="I286" i="12" s="1"/>
  <c r="J287" i="25" s="1"/>
  <c r="E121" i="12"/>
  <c r="G121" i="12" s="1"/>
  <c r="H121" i="12" s="1"/>
  <c r="I121" i="12" s="1"/>
  <c r="J122" i="25" s="1"/>
  <c r="E167" i="39"/>
  <c r="G167" i="39" s="1"/>
  <c r="H167" i="39" s="1"/>
  <c r="I167" i="39" s="1"/>
  <c r="J167" i="39" s="1"/>
  <c r="I168" i="25" s="1"/>
  <c r="G190" i="25"/>
  <c r="E260" i="39"/>
  <c r="G260" i="39" s="1"/>
  <c r="H260" i="39" s="1"/>
  <c r="I260" i="39" s="1"/>
  <c r="J260" i="39" s="1"/>
  <c r="I261" i="25" s="1"/>
  <c r="G188" i="25"/>
  <c r="E99" i="39"/>
  <c r="G99" i="39" s="1"/>
  <c r="H99" i="39" s="1"/>
  <c r="I99" i="39" s="1"/>
  <c r="J99" i="39" s="1"/>
  <c r="I100" i="25" s="1"/>
  <c r="E316" i="39"/>
  <c r="G316" i="39" s="1"/>
  <c r="H316" i="39" s="1"/>
  <c r="I316" i="39" s="1"/>
  <c r="J316" i="39" s="1"/>
  <c r="I317" i="25" s="1"/>
  <c r="E8" i="12"/>
  <c r="G8" i="12" s="1"/>
  <c r="H8" i="12" s="1"/>
  <c r="I8" i="12" s="1"/>
  <c r="J9" i="25" s="1"/>
  <c r="G26" i="25"/>
  <c r="E142" i="39"/>
  <c r="G142" i="39" s="1"/>
  <c r="H142" i="39" s="1"/>
  <c r="I142" i="39" s="1"/>
  <c r="J142" i="39" s="1"/>
  <c r="I143" i="25" s="1"/>
  <c r="G90" i="25"/>
  <c r="E112" i="39"/>
  <c r="G112" i="39" s="1"/>
  <c r="H112" i="39" s="1"/>
  <c r="I112" i="39" s="1"/>
  <c r="J112" i="39" s="1"/>
  <c r="I113" i="25" s="1"/>
  <c r="E126" i="39"/>
  <c r="G126" i="39" s="1"/>
  <c r="H126" i="39" s="1"/>
  <c r="I126" i="39" s="1"/>
  <c r="J126" i="39" s="1"/>
  <c r="I127" i="25" s="1"/>
  <c r="E32" i="12"/>
  <c r="G32" i="12" s="1"/>
  <c r="H32" i="12" s="1"/>
  <c r="I32" i="12" s="1"/>
  <c r="J33" i="25" s="1"/>
  <c r="G286" i="25"/>
  <c r="G270" i="25"/>
  <c r="G301" i="25"/>
  <c r="G59" i="25"/>
  <c r="E190" i="12"/>
  <c r="G190" i="12" s="1"/>
  <c r="H190" i="12" s="1"/>
  <c r="I190" i="12" s="1"/>
  <c r="J191" i="25" s="1"/>
  <c r="E259" i="39"/>
  <c r="G259" i="39" s="1"/>
  <c r="H259" i="39" s="1"/>
  <c r="I259" i="39" s="1"/>
  <c r="J259" i="39" s="1"/>
  <c r="I260" i="25" s="1"/>
  <c r="E68" i="12"/>
  <c r="G68" i="12" s="1"/>
  <c r="H68" i="12" s="1"/>
  <c r="I68" i="12" s="1"/>
  <c r="J69" i="25" s="1"/>
  <c r="E221" i="12"/>
  <c r="G221" i="12" s="1"/>
  <c r="H221" i="12" s="1"/>
  <c r="I221" i="12" s="1"/>
  <c r="J222" i="25" s="1"/>
  <c r="E266" i="12"/>
  <c r="G266" i="12" s="1"/>
  <c r="H266" i="12" s="1"/>
  <c r="I266" i="12" s="1"/>
  <c r="J267" i="25" s="1"/>
  <c r="G180" i="25"/>
  <c r="E170" i="12"/>
  <c r="G170" i="12" s="1"/>
  <c r="H170" i="12" s="1"/>
  <c r="N171" i="13" s="1"/>
  <c r="O171" i="13" s="1"/>
  <c r="G218" i="25"/>
  <c r="E263" i="39"/>
  <c r="G263" i="39" s="1"/>
  <c r="H263" i="39" s="1"/>
  <c r="I263" i="39" s="1"/>
  <c r="J263" i="39" s="1"/>
  <c r="I264" i="25" s="1"/>
  <c r="G72" i="25"/>
  <c r="E144" i="39"/>
  <c r="G144" i="39" s="1"/>
  <c r="H144" i="39" s="1"/>
  <c r="I144" i="39" s="1"/>
  <c r="J144" i="39" s="1"/>
  <c r="I145" i="25" s="1"/>
  <c r="E48" i="12"/>
  <c r="G48" i="12" s="1"/>
  <c r="H48" i="12" s="1"/>
  <c r="J48" i="12" s="1"/>
  <c r="G177" i="25"/>
  <c r="G42" i="25"/>
  <c r="G142" i="25"/>
  <c r="G288" i="25"/>
  <c r="E75" i="39"/>
  <c r="G75" i="39" s="1"/>
  <c r="H75" i="39" s="1"/>
  <c r="I75" i="39" s="1"/>
  <c r="J75" i="39" s="1"/>
  <c r="I76" i="25" s="1"/>
  <c r="E297" i="39"/>
  <c r="G297" i="39" s="1"/>
  <c r="H297" i="39" s="1"/>
  <c r="I297" i="39" s="1"/>
  <c r="J297" i="39" s="1"/>
  <c r="I298" i="25" s="1"/>
  <c r="E252" i="39"/>
  <c r="G252" i="39" s="1"/>
  <c r="H252" i="39" s="1"/>
  <c r="I252" i="39" s="1"/>
  <c r="J252" i="39" s="1"/>
  <c r="I253" i="25" s="1"/>
  <c r="E92" i="12"/>
  <c r="G92" i="12" s="1"/>
  <c r="H92" i="12" s="1"/>
  <c r="I92" i="12" s="1"/>
  <c r="J93" i="25" s="1"/>
  <c r="E105" i="39"/>
  <c r="G105" i="39" s="1"/>
  <c r="H105" i="39" s="1"/>
  <c r="I105" i="39" s="1"/>
  <c r="J105" i="39" s="1"/>
  <c r="I106" i="25" s="1"/>
  <c r="G21" i="25"/>
  <c r="E238" i="12"/>
  <c r="G238" i="12" s="1"/>
  <c r="H238" i="12" s="1"/>
  <c r="I238" i="12" s="1"/>
  <c r="J239" i="25" s="1"/>
  <c r="E125" i="39"/>
  <c r="G125" i="39" s="1"/>
  <c r="H125" i="39" s="1"/>
  <c r="I125" i="39" s="1"/>
  <c r="J125" i="39" s="1"/>
  <c r="I126" i="25" s="1"/>
  <c r="G281" i="25"/>
  <c r="E14" i="12"/>
  <c r="G14" i="12" s="1"/>
  <c r="H14" i="12" s="1"/>
  <c r="I14" i="12" s="1"/>
  <c r="J15" i="25" s="1"/>
  <c r="G133" i="25"/>
  <c r="E272" i="39"/>
  <c r="G272" i="39" s="1"/>
  <c r="H272" i="39" s="1"/>
  <c r="I272" i="39" s="1"/>
  <c r="J272" i="39" s="1"/>
  <c r="I273" i="25" s="1"/>
  <c r="E188" i="12"/>
  <c r="G188" i="12" s="1"/>
  <c r="H188" i="12" s="1"/>
  <c r="I188" i="12" s="1"/>
  <c r="J189" i="25" s="1"/>
  <c r="E281" i="12"/>
  <c r="G281" i="12" s="1"/>
  <c r="H281" i="12" s="1"/>
  <c r="I281" i="12" s="1"/>
  <c r="J282" i="25" s="1"/>
  <c r="E231" i="12"/>
  <c r="G231" i="12" s="1"/>
  <c r="H231" i="12" s="1"/>
  <c r="I231" i="12" s="1"/>
  <c r="J232" i="25" s="1"/>
  <c r="E208" i="12"/>
  <c r="G208" i="12" s="1"/>
  <c r="H208" i="12" s="1"/>
  <c r="I208" i="12" s="1"/>
  <c r="J209" i="25" s="1"/>
  <c r="E23" i="39"/>
  <c r="G23" i="39" s="1"/>
  <c r="H23" i="39" s="1"/>
  <c r="I23" i="39" s="1"/>
  <c r="J23" i="39" s="1"/>
  <c r="I24" i="25" s="1"/>
  <c r="E78" i="12"/>
  <c r="G78" i="12" s="1"/>
  <c r="H78" i="12" s="1"/>
  <c r="I78" i="12" s="1"/>
  <c r="J79" i="25" s="1"/>
  <c r="E302" i="12"/>
  <c r="G302" i="12" s="1"/>
  <c r="H302" i="12" s="1"/>
  <c r="I302" i="12" s="1"/>
  <c r="J303" i="25" s="1"/>
  <c r="E46" i="39"/>
  <c r="G46" i="39" s="1"/>
  <c r="H46" i="39" s="1"/>
  <c r="I46" i="39" s="1"/>
  <c r="J46" i="39" s="1"/>
  <c r="I47" i="25" s="1"/>
  <c r="E94" i="12"/>
  <c r="G94" i="12" s="1"/>
  <c r="H94" i="12" s="1"/>
  <c r="I94" i="12" s="1"/>
  <c r="J95" i="25" s="1"/>
  <c r="E77" i="39"/>
  <c r="G77" i="39" s="1"/>
  <c r="H77" i="39" s="1"/>
  <c r="I77" i="39" s="1"/>
  <c r="J77" i="39" s="1"/>
  <c r="I78" i="25" s="1"/>
  <c r="E158" i="39"/>
  <c r="G158" i="39" s="1"/>
  <c r="H158" i="39" s="1"/>
  <c r="I158" i="39" s="1"/>
  <c r="J158" i="39" s="1"/>
  <c r="I159" i="25" s="1"/>
  <c r="E61" i="12"/>
  <c r="G61" i="12" s="1"/>
  <c r="H61" i="12" s="1"/>
  <c r="I61" i="12" s="1"/>
  <c r="J62" i="25" s="1"/>
  <c r="E45" i="12"/>
  <c r="G45" i="12" s="1"/>
  <c r="H45" i="12" s="1"/>
  <c r="I45" i="12" s="1"/>
  <c r="J46" i="25" s="1"/>
  <c r="E107" i="12"/>
  <c r="G107" i="12" s="1"/>
  <c r="H107" i="12" s="1"/>
  <c r="I107" i="12" s="1"/>
  <c r="J108" i="25" s="1"/>
  <c r="G229" i="25"/>
  <c r="G63" i="25"/>
  <c r="E126" i="12"/>
  <c r="G126" i="12" s="1"/>
  <c r="H126" i="12" s="1"/>
  <c r="I126" i="12" s="1"/>
  <c r="J127" i="25" s="1"/>
  <c r="G33" i="25"/>
  <c r="E248" i="39"/>
  <c r="G248" i="39" s="1"/>
  <c r="H248" i="39" s="1"/>
  <c r="I248" i="39" s="1"/>
  <c r="J248" i="39" s="1"/>
  <c r="I249" i="25" s="1"/>
  <c r="E174" i="12"/>
  <c r="G174" i="12" s="1"/>
  <c r="H174" i="12" s="1"/>
  <c r="I174" i="12" s="1"/>
  <c r="J175" i="25" s="1"/>
  <c r="E43" i="39"/>
  <c r="G43" i="39" s="1"/>
  <c r="H43" i="39" s="1"/>
  <c r="I43" i="39" s="1"/>
  <c r="J43" i="39" s="1"/>
  <c r="I44" i="25" s="1"/>
  <c r="E263" i="12"/>
  <c r="G263" i="12" s="1"/>
  <c r="H263" i="12" s="1"/>
  <c r="I263" i="12" s="1"/>
  <c r="J264" i="25" s="1"/>
  <c r="G31" i="25"/>
  <c r="E110" i="39"/>
  <c r="G110" i="39" s="1"/>
  <c r="H110" i="39" s="1"/>
  <c r="I110" i="39" s="1"/>
  <c r="J110" i="39" s="1"/>
  <c r="I111" i="25" s="1"/>
  <c r="E318" i="39"/>
  <c r="G318" i="39" s="1"/>
  <c r="H318" i="39" s="1"/>
  <c r="I318" i="39" s="1"/>
  <c r="J318" i="39" s="1"/>
  <c r="I319" i="25" s="1"/>
  <c r="G158" i="25"/>
  <c r="H301" i="12"/>
  <c r="I301" i="12" s="1"/>
  <c r="J302" i="25" s="1"/>
  <c r="H50" i="12"/>
  <c r="I50" i="12" s="1"/>
  <c r="J51" i="25" s="1"/>
  <c r="H256" i="12"/>
  <c r="I256" i="12" s="1"/>
  <c r="J257" i="25" s="1"/>
  <c r="H296" i="12"/>
  <c r="I296" i="12" s="1"/>
  <c r="J297" i="25" s="1"/>
  <c r="H243" i="12"/>
  <c r="H85" i="12"/>
  <c r="I85" i="12" s="1"/>
  <c r="J86" i="25" s="1"/>
  <c r="H24" i="12"/>
  <c r="I24" i="12" s="1"/>
  <c r="J25" i="25" s="1"/>
  <c r="H129" i="12"/>
  <c r="I129" i="12" s="1"/>
  <c r="J130" i="25" s="1"/>
  <c r="H172" i="12"/>
  <c r="I172" i="12" s="1"/>
  <c r="J173" i="25" s="1"/>
  <c r="H259" i="12"/>
  <c r="I259" i="12" s="1"/>
  <c r="J260" i="25" s="1"/>
  <c r="H217" i="12"/>
  <c r="I217" i="12" s="1"/>
  <c r="J218" i="25" s="1"/>
  <c r="H176" i="12"/>
  <c r="I176" i="12" s="1"/>
  <c r="J177" i="25" s="1"/>
  <c r="H16" i="12"/>
  <c r="I16" i="12" s="1"/>
  <c r="J17" i="25" s="1"/>
  <c r="H110" i="12"/>
  <c r="I110" i="12" s="1"/>
  <c r="J111" i="25" s="1"/>
  <c r="H52" i="12"/>
  <c r="I52" i="12" s="1"/>
  <c r="J53" i="25" s="1"/>
  <c r="H105" i="12"/>
  <c r="I105" i="12" s="1"/>
  <c r="J106" i="25" s="1"/>
  <c r="H315" i="12"/>
  <c r="I315" i="12" s="1"/>
  <c r="J316" i="25" s="1"/>
  <c r="H164" i="12"/>
  <c r="I164" i="12" s="1"/>
  <c r="J165" i="25" s="1"/>
  <c r="H103" i="12"/>
  <c r="I103" i="12" s="1"/>
  <c r="J104" i="25" s="1"/>
  <c r="H299" i="12"/>
  <c r="I299" i="12" s="1"/>
  <c r="J300" i="25" s="1"/>
  <c r="H233" i="12"/>
  <c r="I233" i="12" s="1"/>
  <c r="J234" i="25" s="1"/>
  <c r="H21" i="12"/>
  <c r="I21" i="12" s="1"/>
  <c r="J22" i="25" s="1"/>
  <c r="H163" i="12"/>
  <c r="I163" i="12" s="1"/>
  <c r="J164" i="25" s="1"/>
  <c r="H37" i="12"/>
  <c r="I37" i="12" s="1"/>
  <c r="J38" i="25" s="1"/>
  <c r="H54" i="12"/>
  <c r="I54" i="12" s="1"/>
  <c r="J55" i="25" s="1"/>
  <c r="H74" i="12"/>
  <c r="I74" i="12" s="1"/>
  <c r="J75" i="25" s="1"/>
  <c r="H51" i="12"/>
  <c r="I51" i="12" s="1"/>
  <c r="J52" i="25" s="1"/>
  <c r="H120" i="12"/>
  <c r="I120" i="12" s="1"/>
  <c r="J121" i="25" s="1"/>
  <c r="H87" i="12"/>
  <c r="I87" i="12" s="1"/>
  <c r="J88" i="25" s="1"/>
  <c r="H201" i="12"/>
  <c r="I201" i="12" s="1"/>
  <c r="J202" i="25" s="1"/>
  <c r="H145" i="12"/>
  <c r="I145" i="12" s="1"/>
  <c r="J146" i="25" s="1"/>
  <c r="H119" i="12"/>
  <c r="I119" i="12" s="1"/>
  <c r="J120" i="25" s="1"/>
  <c r="H165" i="12"/>
  <c r="I165" i="12" s="1"/>
  <c r="J166" i="25" s="1"/>
  <c r="H193" i="12"/>
  <c r="I193" i="12" s="1"/>
  <c r="J194" i="25" s="1"/>
  <c r="H309" i="12"/>
  <c r="I309" i="12" s="1"/>
  <c r="J310" i="25" s="1"/>
  <c r="H277" i="12"/>
  <c r="I277" i="12" s="1"/>
  <c r="J278" i="25" s="1"/>
  <c r="H118" i="12"/>
  <c r="I118" i="12" s="1"/>
  <c r="J119" i="25" s="1"/>
  <c r="H209" i="12"/>
  <c r="I209" i="12" s="1"/>
  <c r="J210" i="25" s="1"/>
  <c r="H241" i="12"/>
  <c r="I241" i="12" s="1"/>
  <c r="J242" i="25" s="1"/>
  <c r="H177" i="12"/>
  <c r="I177" i="12" s="1"/>
  <c r="J178" i="25" s="1"/>
  <c r="H295" i="12"/>
  <c r="I295" i="12" s="1"/>
  <c r="J296" i="25" s="1"/>
  <c r="H114" i="12"/>
  <c r="I114" i="12" s="1"/>
  <c r="J115" i="25" s="1"/>
  <c r="H275" i="12"/>
  <c r="I275" i="12" s="1"/>
  <c r="J276" i="25" s="1"/>
  <c r="H30" i="12"/>
  <c r="I30" i="12" s="1"/>
  <c r="J31" i="25" s="1"/>
  <c r="H41" i="12"/>
  <c r="I41" i="12" s="1"/>
  <c r="J42" i="25" s="1"/>
  <c r="H287" i="12"/>
  <c r="H297" i="12"/>
  <c r="I297" i="12" s="1"/>
  <c r="J298" i="25" s="1"/>
  <c r="H252" i="12"/>
  <c r="I252" i="12" s="1"/>
  <c r="J253" i="25" s="1"/>
  <c r="H20" i="12"/>
  <c r="I20" i="12" s="1"/>
  <c r="J21" i="25" s="1"/>
  <c r="H13" i="12"/>
  <c r="I13" i="12" s="1"/>
  <c r="J14" i="25" s="1"/>
  <c r="H17" i="12"/>
  <c r="I17" i="12" s="1"/>
  <c r="J18" i="25" s="1"/>
  <c r="H70" i="12"/>
  <c r="I70" i="12" s="1"/>
  <c r="J71" i="25" s="1"/>
  <c r="H88" i="12"/>
  <c r="I88" i="12" s="1"/>
  <c r="J89" i="25" s="1"/>
  <c r="H272" i="12"/>
  <c r="I272" i="12" s="1"/>
  <c r="J273" i="25" s="1"/>
  <c r="H157" i="12"/>
  <c r="I157" i="12" s="1"/>
  <c r="J158" i="25" s="1"/>
  <c r="H219" i="12"/>
  <c r="I219" i="12" s="1"/>
  <c r="J220" i="25" s="1"/>
  <c r="H23" i="12"/>
  <c r="I23" i="12" s="1"/>
  <c r="J24" i="25" s="1"/>
  <c r="H169" i="12"/>
  <c r="I169" i="12" s="1"/>
  <c r="J170" i="25" s="1"/>
  <c r="H127" i="12"/>
  <c r="I127" i="12" s="1"/>
  <c r="J128" i="25" s="1"/>
  <c r="H304" i="12"/>
  <c r="I304" i="12" s="1"/>
  <c r="J305" i="25" s="1"/>
  <c r="H35" i="12"/>
  <c r="I35" i="12" s="1"/>
  <c r="J36" i="25" s="1"/>
  <c r="H235" i="12"/>
  <c r="H265" i="12"/>
  <c r="I265" i="12" s="1"/>
  <c r="J266" i="25" s="1"/>
  <c r="H282" i="12"/>
  <c r="I282" i="12" s="1"/>
  <c r="J283" i="25" s="1"/>
  <c r="H46" i="12"/>
  <c r="I46" i="12" s="1"/>
  <c r="J47" i="25" s="1"/>
  <c r="H124" i="12"/>
  <c r="I124" i="12" s="1"/>
  <c r="J125" i="25" s="1"/>
  <c r="H117" i="12"/>
  <c r="I117" i="12" s="1"/>
  <c r="J118" i="25" s="1"/>
  <c r="H77" i="12"/>
  <c r="I77" i="12" s="1"/>
  <c r="J78" i="25" s="1"/>
  <c r="H206" i="12"/>
  <c r="I206" i="12" s="1"/>
  <c r="J207" i="25" s="1"/>
  <c r="H26" i="12"/>
  <c r="I26" i="12" s="1"/>
  <c r="J27" i="25" s="1"/>
  <c r="H229" i="12"/>
  <c r="I229" i="12" s="1"/>
  <c r="J230" i="25" s="1"/>
  <c r="H225" i="12"/>
  <c r="I225" i="12" s="1"/>
  <c r="J226" i="25" s="1"/>
  <c r="H308" i="12"/>
  <c r="I308" i="12" s="1"/>
  <c r="J309" i="25" s="1"/>
  <c r="H91" i="12"/>
  <c r="I91" i="12" s="1"/>
  <c r="J92" i="25" s="1"/>
  <c r="H158" i="12"/>
  <c r="I158" i="12" s="1"/>
  <c r="J159" i="25" s="1"/>
  <c r="H56" i="12"/>
  <c r="I56" i="12" s="1"/>
  <c r="J57" i="25" s="1"/>
  <c r="H202" i="12"/>
  <c r="I202" i="12" s="1"/>
  <c r="J203" i="25" s="1"/>
  <c r="H146" i="12"/>
  <c r="I146" i="12" s="1"/>
  <c r="J147" i="25" s="1"/>
  <c r="H224" i="12"/>
  <c r="I224" i="12" s="1"/>
  <c r="J225" i="25" s="1"/>
  <c r="H230" i="12"/>
  <c r="I230" i="12" s="1"/>
  <c r="J231" i="25" s="1"/>
  <c r="H228" i="12"/>
  <c r="I228" i="12" s="1"/>
  <c r="J229" i="25" s="1"/>
  <c r="H42" i="12"/>
  <c r="I42" i="12" s="1"/>
  <c r="J43" i="25" s="1"/>
  <c r="H255" i="12"/>
  <c r="I255" i="12" s="1"/>
  <c r="J256" i="25" s="1"/>
  <c r="H167" i="12"/>
  <c r="I167" i="12" s="1"/>
  <c r="J168" i="25" s="1"/>
  <c r="H62" i="12"/>
  <c r="I62" i="12" s="1"/>
  <c r="J63" i="25" s="1"/>
  <c r="H260" i="12"/>
  <c r="I260" i="12" s="1"/>
  <c r="J261" i="25" s="1"/>
  <c r="H234" i="12"/>
  <c r="I234" i="12" s="1"/>
  <c r="J235" i="25" s="1"/>
  <c r="H99" i="12"/>
  <c r="H191" i="12"/>
  <c r="I191" i="12" s="1"/>
  <c r="J192" i="25" s="1"/>
  <c r="H316" i="12"/>
  <c r="I316" i="12" s="1"/>
  <c r="J317" i="25" s="1"/>
  <c r="H25" i="12"/>
  <c r="I25" i="12" s="1"/>
  <c r="J26" i="25" s="1"/>
  <c r="H253" i="12"/>
  <c r="I253" i="12" s="1"/>
  <c r="J254" i="25" s="1"/>
  <c r="H89" i="12"/>
  <c r="H63" i="12"/>
  <c r="I63" i="12" s="1"/>
  <c r="J64" i="25" s="1"/>
  <c r="H300" i="12"/>
  <c r="I300" i="12" s="1"/>
  <c r="J301" i="25" s="1"/>
  <c r="H179" i="12"/>
  <c r="I179" i="12" s="1"/>
  <c r="J180" i="25" s="1"/>
  <c r="H27" i="12"/>
  <c r="I27" i="12" s="1"/>
  <c r="J28" i="25" s="1"/>
  <c r="H156" i="12"/>
  <c r="I156" i="12" s="1"/>
  <c r="J157" i="25" s="1"/>
  <c r="H262" i="12"/>
  <c r="I262" i="12" s="1"/>
  <c r="J263" i="25" s="1"/>
  <c r="H306" i="12"/>
  <c r="I306" i="12" s="1"/>
  <c r="J307" i="25" s="1"/>
  <c r="H137" i="12"/>
  <c r="I137" i="12" s="1"/>
  <c r="J138" i="25" s="1"/>
  <c r="H40" i="12"/>
  <c r="I40" i="12" s="1"/>
  <c r="J41" i="25" s="1"/>
  <c r="H22" i="12"/>
  <c r="I22" i="12" s="1"/>
  <c r="J23" i="25" s="1"/>
  <c r="H276" i="12"/>
  <c r="I276" i="12" s="1"/>
  <c r="J277" i="25" s="1"/>
  <c r="H289" i="12"/>
  <c r="I289" i="12" s="1"/>
  <c r="J290" i="25" s="1"/>
  <c r="C4" i="34" l="1"/>
  <c r="C10" i="34" s="1"/>
  <c r="C11" i="34" s="1"/>
  <c r="E323" i="39"/>
  <c r="G323" i="39" s="1"/>
  <c r="H323" i="39" s="1"/>
  <c r="G324" i="25"/>
  <c r="E5" i="12"/>
  <c r="G5" i="12" s="1"/>
  <c r="H5" i="12" s="1"/>
  <c r="I5" i="12" s="1"/>
  <c r="G6" i="25"/>
  <c r="N262" i="13"/>
  <c r="O262" i="13" s="1"/>
  <c r="N97" i="13"/>
  <c r="O97" i="13" s="1"/>
  <c r="P97" i="13" s="1"/>
  <c r="Q97" i="13" s="1"/>
  <c r="K97" i="25" s="1"/>
  <c r="N244" i="13"/>
  <c r="O244" i="13" s="1"/>
  <c r="P244" i="13" s="1"/>
  <c r="Q244" i="13" s="1"/>
  <c r="K244" i="25" s="1"/>
  <c r="N100" i="13"/>
  <c r="O100" i="13" s="1"/>
  <c r="P100" i="13" s="1"/>
  <c r="Q100" i="13" s="1"/>
  <c r="K100" i="25" s="1"/>
  <c r="N90" i="13"/>
  <c r="O90" i="13" s="1"/>
  <c r="P90" i="13" s="1"/>
  <c r="Q90" i="13" s="1"/>
  <c r="K90" i="25" s="1"/>
  <c r="N288" i="13"/>
  <c r="O288" i="13" s="1"/>
  <c r="P288" i="13" s="1"/>
  <c r="Q288" i="13" s="1"/>
  <c r="K288" i="25" s="1"/>
  <c r="N293" i="13"/>
  <c r="O293" i="13" s="1"/>
  <c r="P293" i="13" s="1"/>
  <c r="Q293" i="13" s="1"/>
  <c r="K293" i="25" s="1"/>
  <c r="L293" i="25" s="1"/>
  <c r="N293" i="25" s="1"/>
  <c r="Q293" i="25" s="1"/>
  <c r="J141" i="12"/>
  <c r="J147" i="12"/>
  <c r="N316" i="13"/>
  <c r="O316" i="13" s="1"/>
  <c r="P316" i="13" s="1"/>
  <c r="Q316" i="13" s="1"/>
  <c r="K316" i="25" s="1"/>
  <c r="L316" i="25" s="1"/>
  <c r="N316" i="25" s="1"/>
  <c r="Q316" i="25" s="1"/>
  <c r="N193" i="13"/>
  <c r="O193" i="13" s="1"/>
  <c r="P193" i="13" s="1"/>
  <c r="Q193" i="13" s="1"/>
  <c r="K193" i="25" s="1"/>
  <c r="L193" i="25" s="1"/>
  <c r="N193" i="25" s="1"/>
  <c r="Q193" i="25" s="1"/>
  <c r="J289" i="12"/>
  <c r="N239" i="13"/>
  <c r="O239" i="13" s="1"/>
  <c r="P239" i="13" s="1"/>
  <c r="Q239" i="13" s="1"/>
  <c r="K239" i="25" s="1"/>
  <c r="L239" i="25" s="1"/>
  <c r="N239" i="25" s="1"/>
  <c r="Q239" i="25" s="1"/>
  <c r="N27" i="13"/>
  <c r="O27" i="13" s="1"/>
  <c r="P27" i="13" s="1"/>
  <c r="Q27" i="13" s="1"/>
  <c r="K27" i="25" s="1"/>
  <c r="L27" i="25" s="1"/>
  <c r="N27" i="25" s="1"/>
  <c r="Q27" i="25" s="1"/>
  <c r="N74" i="13"/>
  <c r="O74" i="13" s="1"/>
  <c r="P74" i="13" s="1"/>
  <c r="Q74" i="13" s="1"/>
  <c r="K74" i="25" s="1"/>
  <c r="L74" i="25" s="1"/>
  <c r="N74" i="25" s="1"/>
  <c r="Q74" i="25" s="1"/>
  <c r="J285" i="12"/>
  <c r="N56" i="13"/>
  <c r="O56" i="13" s="1"/>
  <c r="P56" i="13" s="1"/>
  <c r="Q56" i="13" s="1"/>
  <c r="K56" i="25" s="1"/>
  <c r="L56" i="25" s="1"/>
  <c r="N56" i="25" s="1"/>
  <c r="Q56" i="25" s="1"/>
  <c r="N315" i="13"/>
  <c r="O315" i="13" s="1"/>
  <c r="P315" i="13" s="1"/>
  <c r="Q315" i="13" s="1"/>
  <c r="K315" i="25" s="1"/>
  <c r="L315" i="25" s="1"/>
  <c r="N114" i="13"/>
  <c r="O114" i="13" s="1"/>
  <c r="P114" i="13" s="1"/>
  <c r="Q114" i="13" s="1"/>
  <c r="K114" i="25" s="1"/>
  <c r="L114" i="25" s="1"/>
  <c r="N114" i="25" s="1"/>
  <c r="Q114" i="25" s="1"/>
  <c r="J36" i="12"/>
  <c r="N123" i="13"/>
  <c r="O123" i="13" s="1"/>
  <c r="P123" i="13" s="1"/>
  <c r="Q123" i="13" s="1"/>
  <c r="K123" i="25" s="1"/>
  <c r="L123" i="25" s="1"/>
  <c r="N123" i="25" s="1"/>
  <c r="Q123" i="25" s="1"/>
  <c r="N95" i="13"/>
  <c r="O95" i="13" s="1"/>
  <c r="P95" i="13" s="1"/>
  <c r="Q95" i="13" s="1"/>
  <c r="K95" i="25" s="1"/>
  <c r="L95" i="25" s="1"/>
  <c r="N95" i="25" s="1"/>
  <c r="Q95" i="25" s="1"/>
  <c r="J20" i="12"/>
  <c r="J297" i="12"/>
  <c r="J198" i="12"/>
  <c r="J95" i="12"/>
  <c r="N200" i="13"/>
  <c r="O200" i="13" s="1"/>
  <c r="P200" i="13" s="1"/>
  <c r="Q200" i="13" s="1"/>
  <c r="K200" i="25" s="1"/>
  <c r="L200" i="25" s="1"/>
  <c r="N200" i="25" s="1"/>
  <c r="Q200" i="25" s="1"/>
  <c r="J269" i="12"/>
  <c r="J122" i="12"/>
  <c r="N127" i="13"/>
  <c r="O127" i="13" s="1"/>
  <c r="P127" i="13" s="1"/>
  <c r="Q127" i="13" s="1"/>
  <c r="K127" i="25" s="1"/>
  <c r="L127" i="25" s="1"/>
  <c r="N127" i="25" s="1"/>
  <c r="Q127" i="25" s="1"/>
  <c r="N257" i="13"/>
  <c r="O257" i="13" s="1"/>
  <c r="P257" i="13" s="1"/>
  <c r="Q257" i="13" s="1"/>
  <c r="K257" i="25" s="1"/>
  <c r="L257" i="25" s="1"/>
  <c r="N257" i="25" s="1"/>
  <c r="Q257" i="25" s="1"/>
  <c r="N180" i="13"/>
  <c r="O180" i="13" s="1"/>
  <c r="P180" i="13" s="1"/>
  <c r="Q180" i="13" s="1"/>
  <c r="K180" i="25" s="1"/>
  <c r="L180" i="25" s="1"/>
  <c r="J191" i="12"/>
  <c r="N261" i="13"/>
  <c r="O261" i="13" s="1"/>
  <c r="P261" i="13" s="1"/>
  <c r="Q261" i="13" s="1"/>
  <c r="K261" i="25" s="1"/>
  <c r="L261" i="25" s="1"/>
  <c r="N261" i="25" s="1"/>
  <c r="Q261" i="25" s="1"/>
  <c r="N318" i="13"/>
  <c r="O318" i="13" s="1"/>
  <c r="P318" i="13" s="1"/>
  <c r="Q318" i="13" s="1"/>
  <c r="K318" i="25" s="1"/>
  <c r="L318" i="25" s="1"/>
  <c r="N166" i="13"/>
  <c r="O166" i="13" s="1"/>
  <c r="P166" i="13" s="1"/>
  <c r="Q166" i="13" s="1"/>
  <c r="K166" i="25" s="1"/>
  <c r="L166" i="25" s="1"/>
  <c r="N166" i="25" s="1"/>
  <c r="Q166" i="25" s="1"/>
  <c r="J82" i="12"/>
  <c r="N98" i="13"/>
  <c r="O98" i="13" s="1"/>
  <c r="P98" i="13" s="1"/>
  <c r="Q98" i="13" s="1"/>
  <c r="K98" i="25" s="1"/>
  <c r="L98" i="25" s="1"/>
  <c r="N98" i="25" s="1"/>
  <c r="Q98" i="25" s="1"/>
  <c r="N29" i="13"/>
  <c r="O29" i="13" s="1"/>
  <c r="P29" i="13" s="1"/>
  <c r="Q29" i="13" s="1"/>
  <c r="K29" i="25" s="1"/>
  <c r="L29" i="25" s="1"/>
  <c r="N29" i="25" s="1"/>
  <c r="Q29" i="25" s="1"/>
  <c r="N66" i="13"/>
  <c r="O66" i="13" s="1"/>
  <c r="P66" i="13" s="1"/>
  <c r="Q66" i="13" s="1"/>
  <c r="K66" i="25" s="1"/>
  <c r="L66" i="25" s="1"/>
  <c r="N66" i="25" s="1"/>
  <c r="Q66" i="25" s="1"/>
  <c r="J259" i="12"/>
  <c r="J263" i="12"/>
  <c r="J27" i="12"/>
  <c r="J290" i="12"/>
  <c r="N26" i="13"/>
  <c r="O26" i="13" s="1"/>
  <c r="P26" i="13" s="1"/>
  <c r="Q26" i="13" s="1"/>
  <c r="K26" i="25" s="1"/>
  <c r="L26" i="25" s="1"/>
  <c r="N26" i="25" s="1"/>
  <c r="Q26" i="25" s="1"/>
  <c r="J224" i="12"/>
  <c r="N305" i="13"/>
  <c r="O305" i="13" s="1"/>
  <c r="P305" i="13" s="1"/>
  <c r="Q305" i="13" s="1"/>
  <c r="K305" i="25" s="1"/>
  <c r="L305" i="25" s="1"/>
  <c r="N305" i="25" s="1"/>
  <c r="Q305" i="25" s="1"/>
  <c r="N243" i="13"/>
  <c r="O243" i="13" s="1"/>
  <c r="P243" i="13" s="1"/>
  <c r="Q243" i="13" s="1"/>
  <c r="K243" i="25" s="1"/>
  <c r="L243" i="25" s="1"/>
  <c r="N62" i="13"/>
  <c r="O62" i="13" s="1"/>
  <c r="P62" i="13" s="1"/>
  <c r="Q62" i="13" s="1"/>
  <c r="K62" i="25" s="1"/>
  <c r="L62" i="25" s="1"/>
  <c r="N62" i="25" s="1"/>
  <c r="Q62" i="25" s="1"/>
  <c r="J73" i="12"/>
  <c r="J264" i="12"/>
  <c r="J201" i="12"/>
  <c r="N279" i="13"/>
  <c r="O279" i="13" s="1"/>
  <c r="P279" i="13" s="1"/>
  <c r="Q279" i="13" s="1"/>
  <c r="K279" i="25" s="1"/>
  <c r="L279" i="25" s="1"/>
  <c r="N313" i="13"/>
  <c r="O313" i="13" s="1"/>
  <c r="P313" i="13" s="1"/>
  <c r="Q313" i="13" s="1"/>
  <c r="K313" i="25" s="1"/>
  <c r="L313" i="25" s="1"/>
  <c r="N313" i="25" s="1"/>
  <c r="Q313" i="25" s="1"/>
  <c r="J244" i="12"/>
  <c r="N20" i="13"/>
  <c r="O20" i="13" s="1"/>
  <c r="P20" i="13" s="1"/>
  <c r="Q20" i="13" s="1"/>
  <c r="K20" i="25" s="1"/>
  <c r="L20" i="25" s="1"/>
  <c r="N20" i="25" s="1"/>
  <c r="Q20" i="25" s="1"/>
  <c r="J176" i="12"/>
  <c r="N260" i="13"/>
  <c r="O260" i="13" s="1"/>
  <c r="P260" i="13" s="1"/>
  <c r="Q260" i="13" s="1"/>
  <c r="K260" i="25" s="1"/>
  <c r="L260" i="25" s="1"/>
  <c r="N260" i="25" s="1"/>
  <c r="Q260" i="25" s="1"/>
  <c r="J319" i="12"/>
  <c r="J248" i="12"/>
  <c r="N113" i="13"/>
  <c r="O113" i="13" s="1"/>
  <c r="P113" i="13" s="1"/>
  <c r="Q113" i="13" s="1"/>
  <c r="K113" i="25" s="1"/>
  <c r="L113" i="25" s="1"/>
  <c r="N113" i="25" s="1"/>
  <c r="Q113" i="25" s="1"/>
  <c r="J247" i="12"/>
  <c r="N184" i="13"/>
  <c r="O184" i="13" s="1"/>
  <c r="P184" i="13" s="1"/>
  <c r="Q184" i="13" s="1"/>
  <c r="K184" i="25" s="1"/>
  <c r="L184" i="25" s="1"/>
  <c r="N184" i="25" s="1"/>
  <c r="Q184" i="25" s="1"/>
  <c r="J230" i="12"/>
  <c r="J246" i="12"/>
  <c r="J275" i="12"/>
  <c r="N153" i="13"/>
  <c r="O153" i="13" s="1"/>
  <c r="P153" i="13" s="1"/>
  <c r="Q153" i="13" s="1"/>
  <c r="K153" i="25" s="1"/>
  <c r="L153" i="25" s="1"/>
  <c r="N153" i="25" s="1"/>
  <c r="Q153" i="25" s="1"/>
  <c r="N268" i="13"/>
  <c r="O268" i="13" s="1"/>
  <c r="P268" i="13" s="1"/>
  <c r="Q268" i="13" s="1"/>
  <c r="K268" i="25" s="1"/>
  <c r="L268" i="25" s="1"/>
  <c r="N268" i="25" s="1"/>
  <c r="Q268" i="25" s="1"/>
  <c r="N281" i="13"/>
  <c r="O281" i="13" s="1"/>
  <c r="P281" i="13" s="1"/>
  <c r="Q281" i="13" s="1"/>
  <c r="K281" i="25" s="1"/>
  <c r="L281" i="25" s="1"/>
  <c r="N281" i="25" s="1"/>
  <c r="Q281" i="25" s="1"/>
  <c r="N140" i="13"/>
  <c r="O140" i="13" s="1"/>
  <c r="P140" i="13" s="1"/>
  <c r="Q140" i="13" s="1"/>
  <c r="K140" i="25" s="1"/>
  <c r="L140" i="25" s="1"/>
  <c r="N140" i="25" s="1"/>
  <c r="Q140" i="25" s="1"/>
  <c r="N286" i="13"/>
  <c r="O286" i="13" s="1"/>
  <c r="P286" i="13" s="1"/>
  <c r="Q286" i="13" s="1"/>
  <c r="K286" i="25" s="1"/>
  <c r="L286" i="25" s="1"/>
  <c r="N286" i="25" s="1"/>
  <c r="Q286" i="25" s="1"/>
  <c r="N120" i="13"/>
  <c r="O120" i="13" s="1"/>
  <c r="P120" i="13" s="1"/>
  <c r="Q120" i="13" s="1"/>
  <c r="K120" i="25" s="1"/>
  <c r="L120" i="25" s="1"/>
  <c r="N120" i="25" s="1"/>
  <c r="Q120" i="25" s="1"/>
  <c r="J159" i="12"/>
  <c r="N151" i="13"/>
  <c r="O151" i="13" s="1"/>
  <c r="P151" i="13" s="1"/>
  <c r="Q151" i="13" s="1"/>
  <c r="K151" i="25" s="1"/>
  <c r="L151" i="25" s="1"/>
  <c r="N151" i="25" s="1"/>
  <c r="Q151" i="25" s="1"/>
  <c r="N202" i="13"/>
  <c r="O202" i="13" s="1"/>
  <c r="P202" i="13" s="1"/>
  <c r="Q202" i="13" s="1"/>
  <c r="K202" i="25" s="1"/>
  <c r="L202" i="25" s="1"/>
  <c r="N202" i="25" s="1"/>
  <c r="Q202" i="25" s="1"/>
  <c r="N240" i="13"/>
  <c r="O240" i="13" s="1"/>
  <c r="P240" i="13" s="1"/>
  <c r="Q240" i="13" s="1"/>
  <c r="K240" i="25" s="1"/>
  <c r="L240" i="25" s="1"/>
  <c r="N240" i="25" s="1"/>
  <c r="Q240" i="25" s="1"/>
  <c r="N121" i="13"/>
  <c r="O121" i="13" s="1"/>
  <c r="P121" i="13" s="1"/>
  <c r="Q121" i="13" s="1"/>
  <c r="K121" i="25" s="1"/>
  <c r="L121" i="25" s="1"/>
  <c r="N121" i="25" s="1"/>
  <c r="Q121" i="25" s="1"/>
  <c r="J232" i="12"/>
  <c r="J223" i="12"/>
  <c r="N272" i="13"/>
  <c r="O272" i="13" s="1"/>
  <c r="P272" i="13" s="1"/>
  <c r="Q272" i="13" s="1"/>
  <c r="K272" i="25" s="1"/>
  <c r="L272" i="25" s="1"/>
  <c r="N272" i="25" s="1"/>
  <c r="Q272" i="25" s="1"/>
  <c r="J92" i="12"/>
  <c r="N291" i="13"/>
  <c r="O291" i="13" s="1"/>
  <c r="P291" i="13" s="1"/>
  <c r="Q291" i="13" s="1"/>
  <c r="K291" i="25" s="1"/>
  <c r="L291" i="25" s="1"/>
  <c r="N291" i="25" s="1"/>
  <c r="Q291" i="25" s="1"/>
  <c r="J179" i="12"/>
  <c r="N148" i="13"/>
  <c r="O148" i="13" s="1"/>
  <c r="P148" i="13" s="1"/>
  <c r="Q148" i="13" s="1"/>
  <c r="K148" i="25" s="1"/>
  <c r="L148" i="25" s="1"/>
  <c r="N148" i="25" s="1"/>
  <c r="Q148" i="25" s="1"/>
  <c r="J255" i="12"/>
  <c r="N92" i="13"/>
  <c r="O92" i="13" s="1"/>
  <c r="P92" i="13" s="1"/>
  <c r="Q92" i="13" s="1"/>
  <c r="K92" i="25" s="1"/>
  <c r="L92" i="25" s="1"/>
  <c r="N92" i="25" s="1"/>
  <c r="Q92" i="25" s="1"/>
  <c r="J282" i="12"/>
  <c r="N273" i="13"/>
  <c r="O273" i="13" s="1"/>
  <c r="P273" i="13" s="1"/>
  <c r="Q273" i="13" s="1"/>
  <c r="K273" i="25" s="1"/>
  <c r="L273" i="25" s="1"/>
  <c r="N273" i="25" s="1"/>
  <c r="Q273" i="25" s="1"/>
  <c r="J90" i="12"/>
  <c r="J212" i="12"/>
  <c r="J45" i="12"/>
  <c r="J288" i="12"/>
  <c r="J317" i="12"/>
  <c r="N115" i="13"/>
  <c r="O115" i="13" s="1"/>
  <c r="P115" i="13" s="1"/>
  <c r="Q115" i="13" s="1"/>
  <c r="K115" i="25" s="1"/>
  <c r="L115" i="25" s="1"/>
  <c r="N115" i="25" s="1"/>
  <c r="Q115" i="25" s="1"/>
  <c r="J267" i="12"/>
  <c r="J49" i="12"/>
  <c r="N96" i="13"/>
  <c r="O96" i="13" s="1"/>
  <c r="P96" i="13" s="1"/>
  <c r="Q96" i="13" s="1"/>
  <c r="K96" i="25" s="1"/>
  <c r="L96" i="25" s="1"/>
  <c r="N96" i="25" s="1"/>
  <c r="Q96" i="25" s="1"/>
  <c r="J139" i="12"/>
  <c r="N101" i="13"/>
  <c r="O101" i="13" s="1"/>
  <c r="P101" i="13" s="1"/>
  <c r="Q101" i="13" s="1"/>
  <c r="K101" i="25" s="1"/>
  <c r="L101" i="25" s="1"/>
  <c r="N101" i="25" s="1"/>
  <c r="Q101" i="25" s="1"/>
  <c r="N270" i="13"/>
  <c r="O270" i="13" s="1"/>
  <c r="P270" i="13" s="1"/>
  <c r="Q270" i="13" s="1"/>
  <c r="K270" i="25" s="1"/>
  <c r="L270" i="25" s="1"/>
  <c r="N270" i="25" s="1"/>
  <c r="Q270" i="25" s="1"/>
  <c r="N155" i="13"/>
  <c r="O155" i="13" s="1"/>
  <c r="P155" i="13" s="1"/>
  <c r="Q155" i="13" s="1"/>
  <c r="K155" i="25" s="1"/>
  <c r="L155" i="25" s="1"/>
  <c r="N155" i="25" s="1"/>
  <c r="Q155" i="25" s="1"/>
  <c r="N265" i="13"/>
  <c r="O265" i="13" s="1"/>
  <c r="P265" i="13" s="1"/>
  <c r="Q265" i="13" s="1"/>
  <c r="K265" i="25" s="1"/>
  <c r="L265" i="25" s="1"/>
  <c r="N265" i="25" s="1"/>
  <c r="Q265" i="25" s="1"/>
  <c r="J160" i="12"/>
  <c r="N284" i="13"/>
  <c r="O284" i="13" s="1"/>
  <c r="P284" i="13" s="1"/>
  <c r="Q284" i="13" s="1"/>
  <c r="K284" i="25" s="1"/>
  <c r="L284" i="25" s="1"/>
  <c r="N284" i="25" s="1"/>
  <c r="Q284" i="25" s="1"/>
  <c r="J214" i="12"/>
  <c r="J298" i="12"/>
  <c r="J113" i="12"/>
  <c r="N40" i="13"/>
  <c r="O40" i="13" s="1"/>
  <c r="P40" i="13" s="1"/>
  <c r="Q40" i="13" s="1"/>
  <c r="K40" i="25" s="1"/>
  <c r="L40" i="25" s="1"/>
  <c r="N40" i="25" s="1"/>
  <c r="Q40" i="25" s="1"/>
  <c r="J213" i="12"/>
  <c r="J54" i="12"/>
  <c r="J28" i="12"/>
  <c r="J195" i="12"/>
  <c r="N245" i="13"/>
  <c r="O245" i="13" s="1"/>
  <c r="P245" i="13" s="1"/>
  <c r="Q245" i="13" s="1"/>
  <c r="K245" i="25" s="1"/>
  <c r="L245" i="25" s="1"/>
  <c r="N245" i="25" s="1"/>
  <c r="Q245" i="25" s="1"/>
  <c r="J57" i="12"/>
  <c r="N233" i="13"/>
  <c r="O233" i="13" s="1"/>
  <c r="P233" i="13" s="1"/>
  <c r="Q233" i="13" s="1"/>
  <c r="K233" i="25" s="1"/>
  <c r="L233" i="25" s="1"/>
  <c r="N233" i="25" s="1"/>
  <c r="Q233" i="25" s="1"/>
  <c r="J65" i="12"/>
  <c r="N152" i="13"/>
  <c r="O152" i="13" s="1"/>
  <c r="P152" i="13" s="1"/>
  <c r="J131" i="12"/>
  <c r="J200" i="12"/>
  <c r="J129" i="12"/>
  <c r="N145" i="13"/>
  <c r="O145" i="13" s="1"/>
  <c r="N264" i="13"/>
  <c r="O264" i="13" s="1"/>
  <c r="J274" i="12"/>
  <c r="J109" i="12"/>
  <c r="J276" i="12"/>
  <c r="N93" i="13"/>
  <c r="O93" i="13" s="1"/>
  <c r="P93" i="13" s="1"/>
  <c r="Q93" i="13" s="1"/>
  <c r="K93" i="25" s="1"/>
  <c r="L93" i="25" s="1"/>
  <c r="J207" i="12"/>
  <c r="N192" i="13"/>
  <c r="O192" i="13" s="1"/>
  <c r="P192" i="13" s="1"/>
  <c r="Q192" i="13" s="1"/>
  <c r="K192" i="25" s="1"/>
  <c r="L192" i="25" s="1"/>
  <c r="J62" i="12"/>
  <c r="N256" i="13"/>
  <c r="O256" i="13" s="1"/>
  <c r="P256" i="13" s="1"/>
  <c r="Q256" i="13" s="1"/>
  <c r="K256" i="25" s="1"/>
  <c r="L256" i="25" s="1"/>
  <c r="N256" i="25" s="1"/>
  <c r="Q256" i="25" s="1"/>
  <c r="J26" i="12"/>
  <c r="N125" i="13"/>
  <c r="O125" i="13" s="1"/>
  <c r="P125" i="13" s="1"/>
  <c r="Q125" i="13" s="1"/>
  <c r="K125" i="25" s="1"/>
  <c r="L125" i="25" s="1"/>
  <c r="N125" i="25" s="1"/>
  <c r="Q125" i="25" s="1"/>
  <c r="N7" i="13"/>
  <c r="O7" i="13" s="1"/>
  <c r="J272" i="12"/>
  <c r="J111" i="12"/>
  <c r="N21" i="13"/>
  <c r="O21" i="13" s="1"/>
  <c r="P21" i="13" s="1"/>
  <c r="Q21" i="13" s="1"/>
  <c r="K21" i="25" s="1"/>
  <c r="L21" i="25" s="1"/>
  <c r="N21" i="25" s="1"/>
  <c r="Q21" i="25" s="1"/>
  <c r="N247" i="13"/>
  <c r="O247" i="13" s="1"/>
  <c r="P247" i="13" s="1"/>
  <c r="Q247" i="13" s="1"/>
  <c r="K247" i="25" s="1"/>
  <c r="L247" i="25" s="1"/>
  <c r="N247" i="25" s="1"/>
  <c r="Q247" i="25" s="1"/>
  <c r="N59" i="13"/>
  <c r="O59" i="13" s="1"/>
  <c r="P59" i="13" s="1"/>
  <c r="Q59" i="13" s="1"/>
  <c r="K59" i="25" s="1"/>
  <c r="L59" i="25" s="1"/>
  <c r="N59" i="25" s="1"/>
  <c r="Q59" i="25" s="1"/>
  <c r="N91" i="13"/>
  <c r="O91" i="13" s="1"/>
  <c r="P91" i="13" s="1"/>
  <c r="Q91" i="13" s="1"/>
  <c r="K91" i="25" s="1"/>
  <c r="L91" i="25" s="1"/>
  <c r="N91" i="25" s="1"/>
  <c r="Q91" i="25" s="1"/>
  <c r="N46" i="13"/>
  <c r="O46" i="13" s="1"/>
  <c r="P46" i="13" s="1"/>
  <c r="Q46" i="13" s="1"/>
  <c r="K46" i="25" s="1"/>
  <c r="L46" i="25" s="1"/>
  <c r="N46" i="25" s="1"/>
  <c r="Q46" i="25" s="1"/>
  <c r="J148" i="12"/>
  <c r="J209" i="12"/>
  <c r="N221" i="13"/>
  <c r="O221" i="13" s="1"/>
  <c r="P221" i="13" s="1"/>
  <c r="Q221" i="13" s="1"/>
  <c r="K221" i="25" s="1"/>
  <c r="L221" i="25" s="1"/>
  <c r="N255" i="13"/>
  <c r="O255" i="13" s="1"/>
  <c r="P255" i="13" s="1"/>
  <c r="Q255" i="13" s="1"/>
  <c r="K255" i="25" s="1"/>
  <c r="L255" i="25" s="1"/>
  <c r="N255" i="25" s="1"/>
  <c r="Q255" i="25" s="1"/>
  <c r="N160" i="13"/>
  <c r="O160" i="13" s="1"/>
  <c r="P160" i="13" s="1"/>
  <c r="Q160" i="13" s="1"/>
  <c r="K160" i="25" s="1"/>
  <c r="L160" i="25" s="1"/>
  <c r="N160" i="25" s="1"/>
  <c r="Q160" i="25" s="1"/>
  <c r="N215" i="13"/>
  <c r="O215" i="13" s="1"/>
  <c r="J192" i="12"/>
  <c r="N9" i="13"/>
  <c r="O9" i="13" s="1"/>
  <c r="P9" i="13" s="1"/>
  <c r="Q9" i="13" s="1"/>
  <c r="K9" i="25" s="1"/>
  <c r="L9" i="25" s="1"/>
  <c r="N9" i="25" s="1"/>
  <c r="Q9" i="25" s="1"/>
  <c r="J39" i="12"/>
  <c r="N214" i="13"/>
  <c r="O214" i="13" s="1"/>
  <c r="P214" i="13" s="1"/>
  <c r="Q214" i="13" s="1"/>
  <c r="K214" i="25" s="1"/>
  <c r="L214" i="25" s="1"/>
  <c r="N214" i="25" s="1"/>
  <c r="Q214" i="25" s="1"/>
  <c r="N22" i="13"/>
  <c r="O22" i="13" s="1"/>
  <c r="P22" i="13" s="1"/>
  <c r="Q22" i="13" s="1"/>
  <c r="K22" i="25" s="1"/>
  <c r="L22" i="25" s="1"/>
  <c r="N22" i="25" s="1"/>
  <c r="Q22" i="25" s="1"/>
  <c r="J273" i="12"/>
  <c r="J94" i="12"/>
  <c r="N320" i="13"/>
  <c r="O320" i="13" s="1"/>
  <c r="P320" i="13" s="1"/>
  <c r="Q320" i="13" s="1"/>
  <c r="K320" i="25" s="1"/>
  <c r="L320" i="25" s="1"/>
  <c r="N320" i="25" s="1"/>
  <c r="Q320" i="25" s="1"/>
  <c r="J172" i="12"/>
  <c r="N130" i="13"/>
  <c r="O130" i="13" s="1"/>
  <c r="P130" i="13" s="1"/>
  <c r="Q130" i="13" s="1"/>
  <c r="K130" i="25" s="1"/>
  <c r="L130" i="25" s="1"/>
  <c r="N130" i="25" s="1"/>
  <c r="Q130" i="25" s="1"/>
  <c r="N241" i="13"/>
  <c r="O241" i="13" s="1"/>
  <c r="P241" i="13" s="1"/>
  <c r="Q241" i="13" s="1"/>
  <c r="K241" i="25" s="1"/>
  <c r="L241" i="25" s="1"/>
  <c r="N241" i="25" s="1"/>
  <c r="Q241" i="25" s="1"/>
  <c r="J144" i="12"/>
  <c r="J256" i="12"/>
  <c r="J187" i="12"/>
  <c r="N275" i="13"/>
  <c r="O275" i="13" s="1"/>
  <c r="P275" i="13" s="1"/>
  <c r="Q275" i="13" s="1"/>
  <c r="K275" i="25" s="1"/>
  <c r="L275" i="25" s="1"/>
  <c r="N275" i="25" s="1"/>
  <c r="Q275" i="25" s="1"/>
  <c r="N110" i="13"/>
  <c r="O110" i="13" s="1"/>
  <c r="P110" i="13" s="1"/>
  <c r="Q110" i="13" s="1"/>
  <c r="K110" i="25" s="1"/>
  <c r="L110" i="25" s="1"/>
  <c r="N110" i="25" s="1"/>
  <c r="Q110" i="25" s="1"/>
  <c r="J281" i="12"/>
  <c r="J306" i="12"/>
  <c r="N280" i="13"/>
  <c r="O280" i="13" s="1"/>
  <c r="P280" i="13" s="1"/>
  <c r="Q280" i="13" s="1"/>
  <c r="K280" i="25" s="1"/>
  <c r="L280" i="25" s="1"/>
  <c r="N280" i="25" s="1"/>
  <c r="Q280" i="25" s="1"/>
  <c r="N301" i="13"/>
  <c r="O301" i="13" s="1"/>
  <c r="N150" i="13"/>
  <c r="O150" i="13" s="1"/>
  <c r="P150" i="13" s="1"/>
  <c r="Q150" i="13" s="1"/>
  <c r="K150" i="25" s="1"/>
  <c r="L150" i="25" s="1"/>
  <c r="N150" i="25" s="1"/>
  <c r="Q150" i="25" s="1"/>
  <c r="N170" i="13"/>
  <c r="O170" i="13" s="1"/>
  <c r="P170" i="13" s="1"/>
  <c r="Q170" i="13" s="1"/>
  <c r="K170" i="25" s="1"/>
  <c r="L170" i="25" s="1"/>
  <c r="J157" i="12"/>
  <c r="J47" i="12"/>
  <c r="N282" i="13"/>
  <c r="O282" i="13" s="1"/>
  <c r="P282" i="13" s="1"/>
  <c r="Q282" i="13" s="1"/>
  <c r="K282" i="25" s="1"/>
  <c r="L282" i="25" s="1"/>
  <c r="N282" i="25" s="1"/>
  <c r="Q282" i="25" s="1"/>
  <c r="N41" i="13"/>
  <c r="O41" i="13" s="1"/>
  <c r="P41" i="13" s="1"/>
  <c r="Q41" i="13" s="1"/>
  <c r="K41" i="25" s="1"/>
  <c r="L41" i="25" s="1"/>
  <c r="N41" i="25" s="1"/>
  <c r="Q41" i="25" s="1"/>
  <c r="J123" i="12"/>
  <c r="J137" i="12"/>
  <c r="N307" i="13"/>
  <c r="O307" i="13" s="1"/>
  <c r="P307" i="13" s="1"/>
  <c r="Q307" i="13" s="1"/>
  <c r="K307" i="25" s="1"/>
  <c r="L307" i="25" s="1"/>
  <c r="N307" i="25" s="1"/>
  <c r="Q307" i="25" s="1"/>
  <c r="N28" i="13"/>
  <c r="O28" i="13" s="1"/>
  <c r="P28" i="13" s="1"/>
  <c r="Q28" i="13" s="1"/>
  <c r="K28" i="25" s="1"/>
  <c r="L28" i="25" s="1"/>
  <c r="N28" i="25" s="1"/>
  <c r="Q28" i="25" s="1"/>
  <c r="N208" i="13"/>
  <c r="O208" i="13" s="1"/>
  <c r="P208" i="13" s="1"/>
  <c r="Q208" i="13" s="1"/>
  <c r="K208" i="25" s="1"/>
  <c r="L208" i="25" s="1"/>
  <c r="N208" i="25" s="1"/>
  <c r="Q208" i="25" s="1"/>
  <c r="J279" i="12"/>
  <c r="N248" i="13"/>
  <c r="O248" i="13" s="1"/>
  <c r="P248" i="13" s="1"/>
  <c r="Q248" i="13" s="1"/>
  <c r="K248" i="25" s="1"/>
  <c r="L248" i="25" s="1"/>
  <c r="J321" i="12"/>
  <c r="J300" i="12"/>
  <c r="N254" i="13"/>
  <c r="O254" i="13" s="1"/>
  <c r="P254" i="13" s="1"/>
  <c r="Q254" i="13" s="1"/>
  <c r="K254" i="25" s="1"/>
  <c r="L254" i="25" s="1"/>
  <c r="N254" i="25" s="1"/>
  <c r="Q254" i="25" s="1"/>
  <c r="J204" i="12"/>
  <c r="J202" i="12"/>
  <c r="N159" i="13"/>
  <c r="O159" i="13" s="1"/>
  <c r="P159" i="13" s="1"/>
  <c r="N309" i="13"/>
  <c r="O309" i="13" s="1"/>
  <c r="P309" i="13" s="1"/>
  <c r="Q309" i="13" s="1"/>
  <c r="K309" i="25" s="1"/>
  <c r="L309" i="25" s="1"/>
  <c r="N309" i="25" s="1"/>
  <c r="Q309" i="25" s="1"/>
  <c r="N230" i="13"/>
  <c r="O230" i="13" s="1"/>
  <c r="J55" i="12"/>
  <c r="J149" i="12"/>
  <c r="N54" i="13"/>
  <c r="O54" i="13" s="1"/>
  <c r="P54" i="13" s="1"/>
  <c r="Q54" i="13" s="1"/>
  <c r="K54" i="25" s="1"/>
  <c r="L54" i="25" s="1"/>
  <c r="N54" i="25" s="1"/>
  <c r="Q54" i="25" s="1"/>
  <c r="J169" i="12"/>
  <c r="J23" i="12"/>
  <c r="N158" i="13"/>
  <c r="O158" i="13" s="1"/>
  <c r="P158" i="13" s="1"/>
  <c r="Q158" i="13" s="1"/>
  <c r="K158" i="25" s="1"/>
  <c r="L158" i="25" s="1"/>
  <c r="N158" i="25" s="1"/>
  <c r="Q158" i="25" s="1"/>
  <c r="N48" i="13"/>
  <c r="O48" i="13" s="1"/>
  <c r="P48" i="13" s="1"/>
  <c r="Q48" i="13" s="1"/>
  <c r="K48" i="25" s="1"/>
  <c r="L48" i="25" s="1"/>
  <c r="N48" i="25" s="1"/>
  <c r="Q48" i="25" s="1"/>
  <c r="J166" i="12"/>
  <c r="N199" i="13"/>
  <c r="O199" i="13" s="1"/>
  <c r="P199" i="13" s="1"/>
  <c r="Q199" i="13" s="1"/>
  <c r="K199" i="25" s="1"/>
  <c r="L199" i="25" s="1"/>
  <c r="J41" i="12"/>
  <c r="N144" i="13"/>
  <c r="O144" i="13" s="1"/>
  <c r="P144" i="13" s="1"/>
  <c r="Q144" i="13" s="1"/>
  <c r="K144" i="25" s="1"/>
  <c r="L144" i="25" s="1"/>
  <c r="N144" i="25" s="1"/>
  <c r="Q144" i="25" s="1"/>
  <c r="J138" i="12"/>
  <c r="N292" i="13"/>
  <c r="O292" i="13" s="1"/>
  <c r="P292" i="13" s="1"/>
  <c r="Q292" i="13" s="1"/>
  <c r="K292" i="25" s="1"/>
  <c r="L292" i="25" s="1"/>
  <c r="N292" i="25" s="1"/>
  <c r="Q292" i="25" s="1"/>
  <c r="J237" i="12"/>
  <c r="N68" i="13"/>
  <c r="O68" i="13" s="1"/>
  <c r="P68" i="13" s="1"/>
  <c r="Q68" i="13" s="1"/>
  <c r="K68" i="25" s="1"/>
  <c r="L68" i="25" s="1"/>
  <c r="N68" i="25" s="1"/>
  <c r="Q68" i="25" s="1"/>
  <c r="N133" i="13"/>
  <c r="O133" i="13" s="1"/>
  <c r="P133" i="13" s="1"/>
  <c r="Q133" i="13" s="1"/>
  <c r="K133" i="25" s="1"/>
  <c r="L133" i="25" s="1"/>
  <c r="N133" i="25" s="1"/>
  <c r="Q133" i="25" s="1"/>
  <c r="J64" i="12"/>
  <c r="N183" i="13"/>
  <c r="O183" i="13" s="1"/>
  <c r="P183" i="13" s="1"/>
  <c r="Q183" i="13" s="1"/>
  <c r="K183" i="25" s="1"/>
  <c r="L183" i="25" s="1"/>
  <c r="N195" i="13"/>
  <c r="O195" i="13" s="1"/>
  <c r="P195" i="13" s="1"/>
  <c r="Q195" i="13" s="1"/>
  <c r="K195" i="25" s="1"/>
  <c r="L195" i="25" s="1"/>
  <c r="N195" i="25" s="1"/>
  <c r="Q195" i="25" s="1"/>
  <c r="J118" i="12"/>
  <c r="J309" i="12"/>
  <c r="N194" i="13"/>
  <c r="O194" i="13" s="1"/>
  <c r="P194" i="13" s="1"/>
  <c r="Q194" i="13" s="1"/>
  <c r="K194" i="25" s="1"/>
  <c r="L194" i="25" s="1"/>
  <c r="N194" i="25" s="1"/>
  <c r="Q194" i="25" s="1"/>
  <c r="N70" i="13"/>
  <c r="O70" i="13" s="1"/>
  <c r="P70" i="13" s="1"/>
  <c r="Q70" i="13" s="1"/>
  <c r="K70" i="25" s="1"/>
  <c r="L70" i="25" s="1"/>
  <c r="N70" i="25" s="1"/>
  <c r="Q70" i="25" s="1"/>
  <c r="J220" i="12"/>
  <c r="N161" i="13"/>
  <c r="O161" i="13" s="1"/>
  <c r="P161" i="13" s="1"/>
  <c r="Q161" i="13" s="1"/>
  <c r="K161" i="25" s="1"/>
  <c r="L161" i="25" s="1"/>
  <c r="N161" i="25" s="1"/>
  <c r="Q161" i="25" s="1"/>
  <c r="J97" i="12"/>
  <c r="J257" i="12"/>
  <c r="N146" i="13"/>
  <c r="O146" i="13" s="1"/>
  <c r="P146" i="13" s="1"/>
  <c r="J150" i="12"/>
  <c r="J71" i="12"/>
  <c r="N88" i="13"/>
  <c r="O88" i="13" s="1"/>
  <c r="P88" i="13" s="1"/>
  <c r="Q88" i="13" s="1"/>
  <c r="K88" i="25" s="1"/>
  <c r="L88" i="25" s="1"/>
  <c r="N88" i="25" s="1"/>
  <c r="Q88" i="25" s="1"/>
  <c r="N304" i="13"/>
  <c r="O304" i="13" s="1"/>
  <c r="P304" i="13" s="1"/>
  <c r="Q304" i="13" s="1"/>
  <c r="K304" i="25" s="1"/>
  <c r="L304" i="25" s="1"/>
  <c r="N304" i="25" s="1"/>
  <c r="Q304" i="25" s="1"/>
  <c r="J120" i="12"/>
  <c r="J74" i="12"/>
  <c r="J163" i="12"/>
  <c r="J76" i="12"/>
  <c r="N84" i="13"/>
  <c r="O84" i="13" s="1"/>
  <c r="N234" i="13"/>
  <c r="O234" i="13" s="1"/>
  <c r="P234" i="13" s="1"/>
  <c r="Q234" i="13" s="1"/>
  <c r="K234" i="25" s="1"/>
  <c r="L234" i="25" s="1"/>
  <c r="N234" i="25" s="1"/>
  <c r="Q234" i="25" s="1"/>
  <c r="N312" i="13"/>
  <c r="O312" i="13" s="1"/>
  <c r="P312" i="13" s="1"/>
  <c r="Q312" i="13" s="1"/>
  <c r="K312" i="25" s="1"/>
  <c r="L312" i="25" s="1"/>
  <c r="N312" i="25" s="1"/>
  <c r="Q312" i="25" s="1"/>
  <c r="N274" i="13"/>
  <c r="O274" i="13" s="1"/>
  <c r="P274" i="13" s="1"/>
  <c r="Q274" i="13" s="1"/>
  <c r="K274" i="25" s="1"/>
  <c r="L274" i="25" s="1"/>
  <c r="N274" i="25" s="1"/>
  <c r="Q274" i="25" s="1"/>
  <c r="N45" i="13"/>
  <c r="O45" i="13" s="1"/>
  <c r="P45" i="13" s="1"/>
  <c r="Q45" i="13" s="1"/>
  <c r="K45" i="25" s="1"/>
  <c r="L45" i="25" s="1"/>
  <c r="N45" i="25" s="1"/>
  <c r="Q45" i="25" s="1"/>
  <c r="J52" i="12"/>
  <c r="N311" i="13"/>
  <c r="O311" i="13" s="1"/>
  <c r="P311" i="13" s="1"/>
  <c r="Q311" i="13" s="1"/>
  <c r="K311" i="25" s="1"/>
  <c r="L311" i="25" s="1"/>
  <c r="N311" i="25" s="1"/>
  <c r="Q311" i="25" s="1"/>
  <c r="N132" i="13"/>
  <c r="O132" i="13" s="1"/>
  <c r="P132" i="13" s="1"/>
  <c r="Q132" i="13" s="1"/>
  <c r="K132" i="25" s="1"/>
  <c r="L132" i="25" s="1"/>
  <c r="J313" i="12"/>
  <c r="J24" i="12"/>
  <c r="N294" i="13"/>
  <c r="O294" i="13" s="1"/>
  <c r="P294" i="13" s="1"/>
  <c r="Q294" i="13" s="1"/>
  <c r="K294" i="25" s="1"/>
  <c r="L294" i="25" s="1"/>
  <c r="N294" i="25" s="1"/>
  <c r="Q294" i="25" s="1"/>
  <c r="J271" i="12"/>
  <c r="N124" i="13"/>
  <c r="O124" i="13" s="1"/>
  <c r="P124" i="13" s="1"/>
  <c r="Q124" i="13" s="1"/>
  <c r="K124" i="25" s="1"/>
  <c r="L124" i="25" s="1"/>
  <c r="N124" i="25" s="1"/>
  <c r="Q124" i="25" s="1"/>
  <c r="N205" i="13"/>
  <c r="O205" i="13" s="1"/>
  <c r="P205" i="13" s="1"/>
  <c r="Q205" i="13" s="1"/>
  <c r="K205" i="25" s="1"/>
  <c r="L205" i="25" s="1"/>
  <c r="N205" i="25" s="1"/>
  <c r="Q205" i="25" s="1"/>
  <c r="J158" i="12"/>
  <c r="J229" i="12"/>
  <c r="N42" i="13"/>
  <c r="O42" i="13" s="1"/>
  <c r="P42" i="13" s="1"/>
  <c r="Q42" i="13" s="1"/>
  <c r="K42" i="25" s="1"/>
  <c r="L42" i="25" s="1"/>
  <c r="N42" i="25" s="1"/>
  <c r="Q42" i="25" s="1"/>
  <c r="N238" i="13"/>
  <c r="O238" i="13" s="1"/>
  <c r="P238" i="13" s="1"/>
  <c r="Q238" i="13" s="1"/>
  <c r="K238" i="25" s="1"/>
  <c r="L238" i="25" s="1"/>
  <c r="N238" i="25" s="1"/>
  <c r="Q238" i="25" s="1"/>
  <c r="J132" i="12"/>
  <c r="J182" i="12"/>
  <c r="J194" i="12"/>
  <c r="N310" i="13"/>
  <c r="O310" i="13" s="1"/>
  <c r="J69" i="12"/>
  <c r="N258" i="13"/>
  <c r="O258" i="13" s="1"/>
  <c r="P258" i="13" s="1"/>
  <c r="N164" i="13"/>
  <c r="O164" i="13" s="1"/>
  <c r="P164" i="13" s="1"/>
  <c r="Q164" i="13" s="1"/>
  <c r="K164" i="25" s="1"/>
  <c r="L164" i="25" s="1"/>
  <c r="N164" i="25" s="1"/>
  <c r="Q164" i="25" s="1"/>
  <c r="J83" i="12"/>
  <c r="J311" i="12"/>
  <c r="J44" i="12"/>
  <c r="N25" i="13"/>
  <c r="O25" i="13" s="1"/>
  <c r="P25" i="13" s="1"/>
  <c r="Q25" i="13" s="1"/>
  <c r="K25" i="25" s="1"/>
  <c r="L25" i="25" s="1"/>
  <c r="N25" i="25" s="1"/>
  <c r="Q25" i="25" s="1"/>
  <c r="J31" i="12"/>
  <c r="J22" i="12"/>
  <c r="J284" i="12"/>
  <c r="J197" i="12"/>
  <c r="N209" i="13"/>
  <c r="O209" i="13" s="1"/>
  <c r="P209" i="13" s="1"/>
  <c r="Q209" i="13" s="1"/>
  <c r="K209" i="25" s="1"/>
  <c r="L209" i="25" s="1"/>
  <c r="N209" i="25" s="1"/>
  <c r="Q209" i="25" s="1"/>
  <c r="N32" i="13"/>
  <c r="O32" i="13" s="1"/>
  <c r="P32" i="13" s="1"/>
  <c r="N277" i="13"/>
  <c r="O277" i="13" s="1"/>
  <c r="P277" i="13" s="1"/>
  <c r="Q277" i="13" s="1"/>
  <c r="K277" i="25" s="1"/>
  <c r="L277" i="25" s="1"/>
  <c r="N277" i="25" s="1"/>
  <c r="Q277" i="25" s="1"/>
  <c r="N23" i="13"/>
  <c r="O23" i="13" s="1"/>
  <c r="J238" i="12"/>
  <c r="J262" i="12"/>
  <c r="N285" i="13"/>
  <c r="O285" i="13" s="1"/>
  <c r="P285" i="13" s="1"/>
  <c r="Q285" i="13" s="1"/>
  <c r="K285" i="25" s="1"/>
  <c r="L285" i="25" s="1"/>
  <c r="N285" i="25" s="1"/>
  <c r="Q285" i="25" s="1"/>
  <c r="J140" i="12"/>
  <c r="J236" i="12"/>
  <c r="N135" i="13"/>
  <c r="O135" i="13" s="1"/>
  <c r="P135" i="13" s="1"/>
  <c r="Q135" i="13" s="1"/>
  <c r="K135" i="25" s="1"/>
  <c r="L135" i="25" s="1"/>
  <c r="N135" i="25" s="1"/>
  <c r="Q135" i="25" s="1"/>
  <c r="J183" i="12"/>
  <c r="N64" i="13"/>
  <c r="O64" i="13" s="1"/>
  <c r="P64" i="13" s="1"/>
  <c r="Q64" i="13" s="1"/>
  <c r="K64" i="25" s="1"/>
  <c r="L64" i="25" s="1"/>
  <c r="N64" i="25" s="1"/>
  <c r="Q64" i="25" s="1"/>
  <c r="J253" i="12"/>
  <c r="J260" i="12"/>
  <c r="N198" i="13"/>
  <c r="O198" i="13" s="1"/>
  <c r="P198" i="13" s="1"/>
  <c r="Q198" i="13" s="1"/>
  <c r="K198" i="25" s="1"/>
  <c r="L198" i="25" s="1"/>
  <c r="N198" i="25" s="1"/>
  <c r="Q198" i="25" s="1"/>
  <c r="N229" i="13"/>
  <c r="O229" i="13" s="1"/>
  <c r="P229" i="13" s="1"/>
  <c r="Q229" i="13" s="1"/>
  <c r="K229" i="25" s="1"/>
  <c r="L229" i="25" s="1"/>
  <c r="N229" i="25" s="1"/>
  <c r="Q229" i="25" s="1"/>
  <c r="N225" i="13"/>
  <c r="O225" i="13" s="1"/>
  <c r="P225" i="13" s="1"/>
  <c r="Q225" i="13" s="1"/>
  <c r="K225" i="25" s="1"/>
  <c r="L225" i="25" s="1"/>
  <c r="N225" i="25" s="1"/>
  <c r="Q225" i="25" s="1"/>
  <c r="J146" i="12"/>
  <c r="J91" i="12"/>
  <c r="N207" i="13"/>
  <c r="O207" i="13" s="1"/>
  <c r="N118" i="13"/>
  <c r="O118" i="13" s="1"/>
  <c r="P118" i="13" s="1"/>
  <c r="Q118" i="13" s="1"/>
  <c r="K118" i="25" s="1"/>
  <c r="L118" i="25" s="1"/>
  <c r="N118" i="25" s="1"/>
  <c r="Q118" i="25" s="1"/>
  <c r="N283" i="13"/>
  <c r="O283" i="13" s="1"/>
  <c r="P283" i="13" s="1"/>
  <c r="Q283" i="13" s="1"/>
  <c r="K283" i="25" s="1"/>
  <c r="L283" i="25" s="1"/>
  <c r="N283" i="25" s="1"/>
  <c r="Q283" i="25" s="1"/>
  <c r="J265" i="12"/>
  <c r="N36" i="13"/>
  <c r="O36" i="13" s="1"/>
  <c r="J6" i="12"/>
  <c r="N172" i="13"/>
  <c r="O172" i="13" s="1"/>
  <c r="P172" i="13" s="1"/>
  <c r="Q172" i="13" s="1"/>
  <c r="K172" i="25" s="1"/>
  <c r="L172" i="25" s="1"/>
  <c r="N172" i="25" s="1"/>
  <c r="Q172" i="25" s="1"/>
  <c r="J242" i="12"/>
  <c r="J88" i="12"/>
  <c r="J180" i="12"/>
  <c r="N18" i="13"/>
  <c r="O18" i="13" s="1"/>
  <c r="P18" i="13" s="1"/>
  <c r="Q18" i="13" s="1"/>
  <c r="K18" i="25" s="1"/>
  <c r="L18" i="25" s="1"/>
  <c r="N18" i="25" s="1"/>
  <c r="Q18" i="25" s="1"/>
  <c r="N14" i="13"/>
  <c r="O14" i="13" s="1"/>
  <c r="N298" i="13"/>
  <c r="O298" i="13" s="1"/>
  <c r="P298" i="13" s="1"/>
  <c r="Q298" i="13" s="1"/>
  <c r="K298" i="25" s="1"/>
  <c r="L298" i="25" s="1"/>
  <c r="N298" i="25" s="1"/>
  <c r="Q298" i="25" s="1"/>
  <c r="N295" i="13"/>
  <c r="O295" i="13" s="1"/>
  <c r="P295" i="13" s="1"/>
  <c r="Q295" i="13" s="1"/>
  <c r="K295" i="25" s="1"/>
  <c r="L295" i="25" s="1"/>
  <c r="N295" i="25" s="1"/>
  <c r="Q295" i="25" s="1"/>
  <c r="N31" i="13"/>
  <c r="O31" i="13" s="1"/>
  <c r="P31" i="13" s="1"/>
  <c r="N276" i="13"/>
  <c r="O276" i="13" s="1"/>
  <c r="P276" i="13" s="1"/>
  <c r="Q276" i="13" s="1"/>
  <c r="K276" i="25" s="1"/>
  <c r="L276" i="25" s="1"/>
  <c r="N276" i="25" s="1"/>
  <c r="Q276" i="25" s="1"/>
  <c r="N85" i="13"/>
  <c r="O85" i="13" s="1"/>
  <c r="P85" i="13" s="1"/>
  <c r="Q85" i="13" s="1"/>
  <c r="K85" i="25" s="1"/>
  <c r="L85" i="25" s="1"/>
  <c r="N85" i="25" s="1"/>
  <c r="Q85" i="25" s="1"/>
  <c r="N139" i="13"/>
  <c r="O139" i="13" s="1"/>
  <c r="P139" i="13" s="1"/>
  <c r="Q139" i="13" s="1"/>
  <c r="K139" i="25" s="1"/>
  <c r="L139" i="25" s="1"/>
  <c r="N139" i="25" s="1"/>
  <c r="Q139" i="25" s="1"/>
  <c r="J93" i="12"/>
  <c r="J227" i="12"/>
  <c r="J291" i="12"/>
  <c r="N8" i="13"/>
  <c r="O8" i="13" s="1"/>
  <c r="P8" i="13" s="1"/>
  <c r="Q8" i="13" s="1"/>
  <c r="K8" i="25" s="1"/>
  <c r="L8" i="25" s="1"/>
  <c r="N8" i="25" s="1"/>
  <c r="Q8" i="25" s="1"/>
  <c r="J152" i="12"/>
  <c r="N129" i="13"/>
  <c r="O129" i="13" s="1"/>
  <c r="N178" i="13"/>
  <c r="O178" i="13" s="1"/>
  <c r="P178" i="13" s="1"/>
  <c r="N50" i="13"/>
  <c r="O50" i="13" s="1"/>
  <c r="P50" i="13" s="1"/>
  <c r="Q50" i="13" s="1"/>
  <c r="K50" i="25" s="1"/>
  <c r="L50" i="25" s="1"/>
  <c r="N306" i="13"/>
  <c r="O306" i="13" s="1"/>
  <c r="P306" i="13" s="1"/>
  <c r="Q306" i="13" s="1"/>
  <c r="K306" i="25" s="1"/>
  <c r="L306" i="25" s="1"/>
  <c r="N306" i="25" s="1"/>
  <c r="Q306" i="25" s="1"/>
  <c r="J280" i="12"/>
  <c r="J199" i="12"/>
  <c r="N246" i="13"/>
  <c r="O246" i="13" s="1"/>
  <c r="P246" i="13" s="1"/>
  <c r="Q246" i="13" s="1"/>
  <c r="K246" i="25" s="1"/>
  <c r="L246" i="25" s="1"/>
  <c r="N246" i="25" s="1"/>
  <c r="Q246" i="25" s="1"/>
  <c r="J142" i="12"/>
  <c r="J154" i="12"/>
  <c r="N82" i="13"/>
  <c r="O82" i="13" s="1"/>
  <c r="J314" i="12"/>
  <c r="J80" i="12"/>
  <c r="N12" i="13"/>
  <c r="O12" i="13" s="1"/>
  <c r="J119" i="12"/>
  <c r="N10" i="13"/>
  <c r="O10" i="13" s="1"/>
  <c r="N83" i="13"/>
  <c r="O83" i="13" s="1"/>
  <c r="P83" i="13" s="1"/>
  <c r="Q83" i="13" s="1"/>
  <c r="K83" i="25" s="1"/>
  <c r="L83" i="25" s="1"/>
  <c r="N83" i="25" s="1"/>
  <c r="Q83" i="25" s="1"/>
  <c r="N61" i="13"/>
  <c r="O61" i="13" s="1"/>
  <c r="J222" i="12"/>
  <c r="J218" i="12"/>
  <c r="N169" i="13"/>
  <c r="O169" i="13" s="1"/>
  <c r="N72" i="13"/>
  <c r="O72" i="13" s="1"/>
  <c r="P72" i="13" s="1"/>
  <c r="Q72" i="13" s="1"/>
  <c r="K72" i="25" s="1"/>
  <c r="L72" i="25" s="1"/>
  <c r="N72" i="25" s="1"/>
  <c r="Q72" i="25" s="1"/>
  <c r="N269" i="13"/>
  <c r="O269" i="13" s="1"/>
  <c r="J221" i="12"/>
  <c r="J239" i="12"/>
  <c r="N191" i="13"/>
  <c r="O191" i="13" s="1"/>
  <c r="J303" i="12"/>
  <c r="N52" i="13"/>
  <c r="O52" i="13" s="1"/>
  <c r="P52" i="13" s="1"/>
  <c r="Q52" i="13" s="1"/>
  <c r="K52" i="25" s="1"/>
  <c r="L52" i="25" s="1"/>
  <c r="N52" i="25" s="1"/>
  <c r="Q52" i="25" s="1"/>
  <c r="N287" i="13"/>
  <c r="O287" i="13" s="1"/>
  <c r="N75" i="13"/>
  <c r="O75" i="13" s="1"/>
  <c r="N107" i="13"/>
  <c r="O107" i="13" s="1"/>
  <c r="P107" i="13" s="1"/>
  <c r="Q107" i="13" s="1"/>
  <c r="K107" i="25" s="1"/>
  <c r="L107" i="25" s="1"/>
  <c r="N107" i="25" s="1"/>
  <c r="Q107" i="25" s="1"/>
  <c r="J312" i="12"/>
  <c r="N116" i="13"/>
  <c r="O116" i="13" s="1"/>
  <c r="P116" i="13" s="1"/>
  <c r="Q116" i="13" s="1"/>
  <c r="K116" i="25" s="1"/>
  <c r="L116" i="25" s="1"/>
  <c r="N116" i="25" s="1"/>
  <c r="Q116" i="25" s="1"/>
  <c r="N38" i="13"/>
  <c r="O38" i="13" s="1"/>
  <c r="N58" i="13"/>
  <c r="O58" i="13" s="1"/>
  <c r="P58" i="13" s="1"/>
  <c r="Q58" i="13" s="1"/>
  <c r="K58" i="25" s="1"/>
  <c r="L58" i="25" s="1"/>
  <c r="N58" i="25" s="1"/>
  <c r="Q58" i="25" s="1"/>
  <c r="J196" i="12"/>
  <c r="J19" i="12"/>
  <c r="N39" i="13"/>
  <c r="O39" i="13" s="1"/>
  <c r="P39" i="13" s="1"/>
  <c r="Q39" i="13" s="1"/>
  <c r="K39" i="25" s="1"/>
  <c r="L39" i="25" s="1"/>
  <c r="N39" i="25" s="1"/>
  <c r="Q39" i="25" s="1"/>
  <c r="N165" i="13"/>
  <c r="O165" i="13" s="1"/>
  <c r="P165" i="13" s="1"/>
  <c r="Q165" i="13" s="1"/>
  <c r="K165" i="25" s="1"/>
  <c r="L165" i="25" s="1"/>
  <c r="N165" i="25" s="1"/>
  <c r="Q165" i="25" s="1"/>
  <c r="N106" i="13"/>
  <c r="O106" i="13" s="1"/>
  <c r="P106" i="13" s="1"/>
  <c r="Q106" i="13" s="1"/>
  <c r="K106" i="25" s="1"/>
  <c r="L106" i="25" s="1"/>
  <c r="N106" i="25" s="1"/>
  <c r="Q106" i="25" s="1"/>
  <c r="N252" i="13"/>
  <c r="O252" i="13" s="1"/>
  <c r="J151" i="12"/>
  <c r="J16" i="12"/>
  <c r="J310" i="12"/>
  <c r="J302" i="12"/>
  <c r="J216" i="12"/>
  <c r="N314" i="13"/>
  <c r="O314" i="13" s="1"/>
  <c r="P314" i="13" s="1"/>
  <c r="Q314" i="13" s="1"/>
  <c r="K314" i="25" s="1"/>
  <c r="L314" i="25" s="1"/>
  <c r="N314" i="25" s="1"/>
  <c r="Q314" i="25" s="1"/>
  <c r="J29" i="12"/>
  <c r="N224" i="13"/>
  <c r="O224" i="13" s="1"/>
  <c r="P224" i="13" s="1"/>
  <c r="Q224" i="13" s="1"/>
  <c r="K224" i="25" s="1"/>
  <c r="L224" i="25" s="1"/>
  <c r="N224" i="25" s="1"/>
  <c r="Q224" i="25" s="1"/>
  <c r="J258" i="12"/>
  <c r="J86" i="12"/>
  <c r="J293" i="12"/>
  <c r="J186" i="12"/>
  <c r="J50" i="12"/>
  <c r="N237" i="13"/>
  <c r="O237" i="13" s="1"/>
  <c r="P237" i="13" s="1"/>
  <c r="Q237" i="13" s="1"/>
  <c r="K237" i="25" s="1"/>
  <c r="L237" i="25" s="1"/>
  <c r="N237" i="25" s="1"/>
  <c r="Q237" i="25" s="1"/>
  <c r="J228" i="12"/>
  <c r="N147" i="13"/>
  <c r="O147" i="13" s="1"/>
  <c r="P147" i="13" s="1"/>
  <c r="Q147" i="13" s="1"/>
  <c r="K147" i="25" s="1"/>
  <c r="L147" i="25" s="1"/>
  <c r="N147" i="25" s="1"/>
  <c r="Q147" i="25" s="1"/>
  <c r="J117" i="12"/>
  <c r="N266" i="13"/>
  <c r="O266" i="13" s="1"/>
  <c r="P266" i="13" s="1"/>
  <c r="Q266" i="13" s="1"/>
  <c r="K266" i="25" s="1"/>
  <c r="L266" i="25" s="1"/>
  <c r="N266" i="25" s="1"/>
  <c r="Q266" i="25" s="1"/>
  <c r="J35" i="12"/>
  <c r="J171" i="12"/>
  <c r="N181" i="13"/>
  <c r="O181" i="13" s="1"/>
  <c r="J13" i="12"/>
  <c r="J30" i="12"/>
  <c r="J84" i="12"/>
  <c r="N228" i="13"/>
  <c r="O228" i="13" s="1"/>
  <c r="P228" i="13" s="1"/>
  <c r="Q228" i="13" s="1"/>
  <c r="K228" i="25" s="1"/>
  <c r="L228" i="25" s="1"/>
  <c r="N228" i="25" s="1"/>
  <c r="Q228" i="25" s="1"/>
  <c r="J7" i="12"/>
  <c r="J177" i="12"/>
  <c r="J305" i="12"/>
  <c r="N143" i="13"/>
  <c r="O143" i="13" s="1"/>
  <c r="P143" i="13" s="1"/>
  <c r="Q143" i="13" s="1"/>
  <c r="K143" i="25" s="1"/>
  <c r="L143" i="25" s="1"/>
  <c r="N143" i="25" s="1"/>
  <c r="Q143" i="25" s="1"/>
  <c r="J81" i="12"/>
  <c r="J11" i="12"/>
  <c r="J9" i="12"/>
  <c r="N223" i="13"/>
  <c r="O223" i="13" s="1"/>
  <c r="J168" i="12"/>
  <c r="J268" i="12"/>
  <c r="N222" i="13"/>
  <c r="O222" i="13" s="1"/>
  <c r="P222" i="13" s="1"/>
  <c r="J190" i="12"/>
  <c r="J286" i="12"/>
  <c r="J106" i="12"/>
  <c r="J37" i="12"/>
  <c r="N197" i="13"/>
  <c r="O197" i="13" s="1"/>
  <c r="P197" i="13" s="1"/>
  <c r="J164" i="12"/>
  <c r="J251" i="12"/>
  <c r="N17" i="13"/>
  <c r="O17" i="13" s="1"/>
  <c r="P17" i="13" s="1"/>
  <c r="Q17" i="13" s="1"/>
  <c r="K17" i="25" s="1"/>
  <c r="L17" i="25" s="1"/>
  <c r="N17" i="25" s="1"/>
  <c r="Q17" i="25" s="1"/>
  <c r="N217" i="13"/>
  <c r="O217" i="13" s="1"/>
  <c r="N30" i="13"/>
  <c r="O30" i="13" s="1"/>
  <c r="P30" i="13" s="1"/>
  <c r="Q30" i="13" s="1"/>
  <c r="K30" i="25" s="1"/>
  <c r="L30" i="25" s="1"/>
  <c r="N30" i="25" s="1"/>
  <c r="Q30" i="25" s="1"/>
  <c r="N87" i="13"/>
  <c r="O87" i="13" s="1"/>
  <c r="P87" i="13" s="1"/>
  <c r="Q87" i="13" s="1"/>
  <c r="K87" i="25" s="1"/>
  <c r="L87" i="25" s="1"/>
  <c r="N87" i="25" s="1"/>
  <c r="Q87" i="25" s="1"/>
  <c r="N51" i="13"/>
  <c r="O51" i="13" s="1"/>
  <c r="P51" i="13" s="1"/>
  <c r="Q51" i="13" s="1"/>
  <c r="K51" i="25" s="1"/>
  <c r="L51" i="25" s="1"/>
  <c r="N51" i="25" s="1"/>
  <c r="Q51" i="25" s="1"/>
  <c r="P171" i="13"/>
  <c r="Q171" i="13" s="1"/>
  <c r="K171" i="25" s="1"/>
  <c r="P19" i="13"/>
  <c r="Q19" i="13" s="1"/>
  <c r="K19" i="25" s="1"/>
  <c r="J235" i="12"/>
  <c r="I235" i="12"/>
  <c r="J236" i="25" s="1"/>
  <c r="J99" i="12"/>
  <c r="I99" i="12"/>
  <c r="J100" i="25" s="1"/>
  <c r="J287" i="12"/>
  <c r="I287" i="12"/>
  <c r="J288" i="25" s="1"/>
  <c r="J188" i="12"/>
  <c r="N15" i="13"/>
  <c r="O15" i="13" s="1"/>
  <c r="J208" i="12"/>
  <c r="J231" i="12"/>
  <c r="N290" i="13"/>
  <c r="O290" i="13" s="1"/>
  <c r="N189" i="13"/>
  <c r="O189" i="13" s="1"/>
  <c r="J40" i="12"/>
  <c r="J14" i="12"/>
  <c r="N138" i="13"/>
  <c r="O138" i="13" s="1"/>
  <c r="J175" i="12"/>
  <c r="N263" i="13"/>
  <c r="O263" i="13" s="1"/>
  <c r="N157" i="13"/>
  <c r="O157" i="13" s="1"/>
  <c r="N141" i="13"/>
  <c r="O141" i="13" s="1"/>
  <c r="J130" i="12"/>
  <c r="J134" i="12"/>
  <c r="N211" i="13"/>
  <c r="O211" i="13" s="1"/>
  <c r="I210" i="12"/>
  <c r="J211" i="25" s="1"/>
  <c r="N322" i="13"/>
  <c r="O322" i="13" s="1"/>
  <c r="J66" i="12"/>
  <c r="J63" i="12"/>
  <c r="J89" i="12"/>
  <c r="I89" i="12"/>
  <c r="J90" i="25" s="1"/>
  <c r="J25" i="12"/>
  <c r="J316" i="12"/>
  <c r="J234" i="12"/>
  <c r="N63" i="13"/>
  <c r="O63" i="13" s="1"/>
  <c r="N168" i="13"/>
  <c r="O168" i="13" s="1"/>
  <c r="N43" i="13"/>
  <c r="O43" i="13" s="1"/>
  <c r="N231" i="13"/>
  <c r="O231" i="13" s="1"/>
  <c r="J98" i="12"/>
  <c r="N203" i="13"/>
  <c r="O203" i="13" s="1"/>
  <c r="N57" i="13"/>
  <c r="O57" i="13" s="1"/>
  <c r="J308" i="12"/>
  <c r="J225" i="12"/>
  <c r="J206" i="12"/>
  <c r="N78" i="13"/>
  <c r="O78" i="13" s="1"/>
  <c r="J124" i="12"/>
  <c r="N47" i="13"/>
  <c r="O47" i="13" s="1"/>
  <c r="N236" i="13"/>
  <c r="O236" i="13" s="1"/>
  <c r="J304" i="12"/>
  <c r="J127" i="12"/>
  <c r="J53" i="12"/>
  <c r="J102" i="12"/>
  <c r="N24" i="13"/>
  <c r="O24" i="13" s="1"/>
  <c r="N220" i="13"/>
  <c r="O220" i="13" s="1"/>
  <c r="N89" i="13"/>
  <c r="O89" i="13" s="1"/>
  <c r="J70" i="12"/>
  <c r="N112" i="13"/>
  <c r="O112" i="13" s="1"/>
  <c r="N73" i="13"/>
  <c r="O73" i="13" s="1"/>
  <c r="I72" i="12"/>
  <c r="J73" i="25" s="1"/>
  <c r="J17" i="12"/>
  <c r="N105" i="13"/>
  <c r="O105" i="13" s="1"/>
  <c r="N167" i="13"/>
  <c r="O167" i="13" s="1"/>
  <c r="N253" i="13"/>
  <c r="O253" i="13" s="1"/>
  <c r="N80" i="13"/>
  <c r="O80" i="13" s="1"/>
  <c r="J294" i="12"/>
  <c r="J320" i="12"/>
  <c r="J143" i="12"/>
  <c r="J155" i="12"/>
  <c r="J58" i="12"/>
  <c r="J174" i="12"/>
  <c r="N213" i="13"/>
  <c r="O213" i="13" s="1"/>
  <c r="N190" i="13"/>
  <c r="O190" i="13" s="1"/>
  <c r="N94" i="13"/>
  <c r="O94" i="13" s="1"/>
  <c r="N134" i="13"/>
  <c r="O134" i="13" s="1"/>
  <c r="J61" i="12"/>
  <c r="N216" i="13"/>
  <c r="O216" i="13" s="1"/>
  <c r="N289" i="13"/>
  <c r="O289" i="13" s="1"/>
  <c r="N11" i="13"/>
  <c r="O11" i="13" s="1"/>
  <c r="J114" i="12"/>
  <c r="J295" i="12"/>
  <c r="J128" i="12"/>
  <c r="N179" i="13"/>
  <c r="O179" i="13" s="1"/>
  <c r="N149" i="13"/>
  <c r="O149" i="13" s="1"/>
  <c r="N79" i="13"/>
  <c r="O79" i="13" s="1"/>
  <c r="J67" i="12"/>
  <c r="J59" i="12"/>
  <c r="N65" i="13"/>
  <c r="O65" i="13" s="1"/>
  <c r="N102" i="13"/>
  <c r="O102" i="13" s="1"/>
  <c r="J100" i="12"/>
  <c r="N186" i="13"/>
  <c r="O186" i="13" s="1"/>
  <c r="J245" i="12"/>
  <c r="J241" i="12"/>
  <c r="N210" i="13"/>
  <c r="O210" i="13" s="1"/>
  <c r="N154" i="13"/>
  <c r="O154" i="13" s="1"/>
  <c r="N119" i="13"/>
  <c r="O119" i="13" s="1"/>
  <c r="J277" i="12"/>
  <c r="J193" i="12"/>
  <c r="J33" i="12"/>
  <c r="N81" i="13"/>
  <c r="O81" i="13" s="1"/>
  <c r="J116" i="12"/>
  <c r="J165" i="12"/>
  <c r="N227" i="13"/>
  <c r="O227" i="13" s="1"/>
  <c r="J254" i="12"/>
  <c r="J250" i="12"/>
  <c r="J283" i="12"/>
  <c r="J15" i="12"/>
  <c r="J60" i="12"/>
  <c r="J125" i="12"/>
  <c r="J145" i="12"/>
  <c r="J162" i="12"/>
  <c r="I162" i="12"/>
  <c r="J163" i="25" s="1"/>
  <c r="N219" i="13"/>
  <c r="O219" i="13" s="1"/>
  <c r="J75" i="12"/>
  <c r="N142" i="13"/>
  <c r="O142" i="13" s="1"/>
  <c r="J270" i="12"/>
  <c r="N299" i="13"/>
  <c r="O299" i="13" s="1"/>
  <c r="J43" i="12"/>
  <c r="N267" i="13"/>
  <c r="O267" i="13" s="1"/>
  <c r="J87" i="12"/>
  <c r="J68" i="12"/>
  <c r="J278" i="12"/>
  <c r="J32" i="12"/>
  <c r="J8" i="12"/>
  <c r="J161" i="12"/>
  <c r="J51" i="12"/>
  <c r="N122" i="13"/>
  <c r="O122" i="13" s="1"/>
  <c r="N37" i="13"/>
  <c r="O37" i="13" s="1"/>
  <c r="J173" i="12"/>
  <c r="N55" i="13"/>
  <c r="O55" i="13" s="1"/>
  <c r="N136" i="13"/>
  <c r="O136" i="13" s="1"/>
  <c r="N196" i="13"/>
  <c r="O196" i="13" s="1"/>
  <c r="J136" i="12"/>
  <c r="J115" i="12"/>
  <c r="N204" i="13"/>
  <c r="O204" i="13" s="1"/>
  <c r="J21" i="12"/>
  <c r="J322" i="12"/>
  <c r="N77" i="13"/>
  <c r="O77" i="13" s="1"/>
  <c r="J12" i="12"/>
  <c r="J233" i="12"/>
  <c r="N300" i="13"/>
  <c r="O300" i="13" s="1"/>
  <c r="J38" i="12"/>
  <c r="J103" i="12"/>
  <c r="J315" i="12"/>
  <c r="J96" i="12"/>
  <c r="I96" i="12"/>
  <c r="J97" i="25" s="1"/>
  <c r="J105" i="12"/>
  <c r="J318" i="12"/>
  <c r="N53" i="13"/>
  <c r="O53" i="13" s="1"/>
  <c r="J110" i="12"/>
  <c r="N177" i="13"/>
  <c r="O177" i="13" s="1"/>
  <c r="N218" i="13"/>
  <c r="O218" i="13" s="1"/>
  <c r="J126" i="12"/>
  <c r="J107" i="12"/>
  <c r="N303" i="13"/>
  <c r="O303" i="13" s="1"/>
  <c r="N182" i="13"/>
  <c r="O182" i="13" s="1"/>
  <c r="N201" i="13"/>
  <c r="O201" i="13" s="1"/>
  <c r="N308" i="13"/>
  <c r="O308" i="13" s="1"/>
  <c r="N173" i="13"/>
  <c r="O173" i="13" s="1"/>
  <c r="J205" i="12"/>
  <c r="J240" i="12"/>
  <c r="N109" i="13"/>
  <c r="O109" i="13" s="1"/>
  <c r="N259" i="13"/>
  <c r="O259" i="13" s="1"/>
  <c r="N35" i="13"/>
  <c r="O35" i="13" s="1"/>
  <c r="N249" i="13"/>
  <c r="O249" i="13" s="1"/>
  <c r="J85" i="12"/>
  <c r="J112" i="12"/>
  <c r="N297" i="13"/>
  <c r="O297" i="13" s="1"/>
  <c r="N188" i="13"/>
  <c r="O188" i="13" s="1"/>
  <c r="N250" i="13"/>
  <c r="O250" i="13" s="1"/>
  <c r="N187" i="13"/>
  <c r="O187" i="13" s="1"/>
  <c r="J184" i="12"/>
  <c r="J292" i="12"/>
  <c r="N302" i="13"/>
  <c r="O302" i="13" s="1"/>
  <c r="N49" i="13"/>
  <c r="O49" i="13" s="1"/>
  <c r="I48" i="12"/>
  <c r="J49" i="25" s="1"/>
  <c r="J170" i="12"/>
  <c r="I170" i="12"/>
  <c r="J171" i="25" s="1"/>
  <c r="P262" i="13"/>
  <c r="Q262" i="13" s="1"/>
  <c r="K262" i="25" s="1"/>
  <c r="J18" i="12"/>
  <c r="I18" i="12"/>
  <c r="J19" i="25" s="1"/>
  <c r="J261" i="12"/>
  <c r="I261" i="12"/>
  <c r="J262" i="25" s="1"/>
  <c r="E38" i="48"/>
  <c r="I6" i="25"/>
  <c r="J323" i="39"/>
  <c r="N232" i="13"/>
  <c r="O232" i="13" s="1"/>
  <c r="N176" i="13"/>
  <c r="O176" i="13" s="1"/>
  <c r="J156" i="12"/>
  <c r="N131" i="13"/>
  <c r="O131" i="13" s="1"/>
  <c r="N67" i="13"/>
  <c r="O67" i="13" s="1"/>
  <c r="N317" i="13"/>
  <c r="O317" i="13" s="1"/>
  <c r="N235" i="13"/>
  <c r="O235" i="13" s="1"/>
  <c r="J167" i="12"/>
  <c r="J42" i="12"/>
  <c r="N99" i="13"/>
  <c r="O99" i="13" s="1"/>
  <c r="J56" i="12"/>
  <c r="N226" i="13"/>
  <c r="O226" i="13" s="1"/>
  <c r="J77" i="12"/>
  <c r="J46" i="12"/>
  <c r="N128" i="13"/>
  <c r="O128" i="13" s="1"/>
  <c r="N103" i="13"/>
  <c r="O103" i="13" s="1"/>
  <c r="J219" i="12"/>
  <c r="N71" i="13"/>
  <c r="O71" i="13" s="1"/>
  <c r="J104" i="12"/>
  <c r="J252" i="12"/>
  <c r="J79" i="12"/>
  <c r="N321" i="13"/>
  <c r="O321" i="13" s="1"/>
  <c r="N156" i="13"/>
  <c r="O156" i="13" s="1"/>
  <c r="N175" i="13"/>
  <c r="O175" i="13" s="1"/>
  <c r="J189" i="12"/>
  <c r="N212" i="13"/>
  <c r="O212" i="13" s="1"/>
  <c r="I211" i="12"/>
  <c r="J212" i="25" s="1"/>
  <c r="J133" i="12"/>
  <c r="J215" i="12"/>
  <c r="J10" i="12"/>
  <c r="N296" i="13"/>
  <c r="O296" i="13" s="1"/>
  <c r="J178" i="12"/>
  <c r="J78" i="12"/>
  <c r="N60" i="13"/>
  <c r="O60" i="13" s="1"/>
  <c r="J101" i="12"/>
  <c r="J185" i="12"/>
  <c r="N242" i="13"/>
  <c r="O242" i="13" s="1"/>
  <c r="J153" i="12"/>
  <c r="N278" i="13"/>
  <c r="O278" i="13" s="1"/>
  <c r="N34" i="13"/>
  <c r="O34" i="13" s="1"/>
  <c r="N117" i="13"/>
  <c r="O117" i="13" s="1"/>
  <c r="J226" i="12"/>
  <c r="N251" i="13"/>
  <c r="O251" i="13" s="1"/>
  <c r="N16" i="13"/>
  <c r="O16" i="13" s="1"/>
  <c r="N126" i="13"/>
  <c r="O126" i="13" s="1"/>
  <c r="P163" i="13"/>
  <c r="Q163" i="13" s="1"/>
  <c r="K163" i="25" s="1"/>
  <c r="N76" i="13"/>
  <c r="O76" i="13" s="1"/>
  <c r="N271" i="13"/>
  <c r="O271" i="13" s="1"/>
  <c r="N44" i="13"/>
  <c r="O44" i="13" s="1"/>
  <c r="J266" i="12"/>
  <c r="N69" i="13"/>
  <c r="O69" i="13" s="1"/>
  <c r="N33" i="13"/>
  <c r="O33" i="13" s="1"/>
  <c r="N162" i="13"/>
  <c r="O162" i="13" s="1"/>
  <c r="J121" i="12"/>
  <c r="N174" i="13"/>
  <c r="O174" i="13" s="1"/>
  <c r="J135" i="12"/>
  <c r="N137" i="13"/>
  <c r="O137" i="13" s="1"/>
  <c r="J203" i="12"/>
  <c r="N323" i="13"/>
  <c r="O323" i="13" s="1"/>
  <c r="N13" i="13"/>
  <c r="O13" i="13" s="1"/>
  <c r="J299" i="12"/>
  <c r="N104" i="13"/>
  <c r="O104" i="13" s="1"/>
  <c r="N319" i="13"/>
  <c r="O319" i="13" s="1"/>
  <c r="N111" i="13"/>
  <c r="O111" i="13" s="1"/>
  <c r="J217" i="12"/>
  <c r="N108" i="13"/>
  <c r="O108" i="13" s="1"/>
  <c r="J181" i="12"/>
  <c r="J307" i="12"/>
  <c r="N206" i="13"/>
  <c r="O206" i="13" s="1"/>
  <c r="J108" i="12"/>
  <c r="J34" i="12"/>
  <c r="N86" i="13"/>
  <c r="O86" i="13" s="1"/>
  <c r="J243" i="12"/>
  <c r="I243" i="12"/>
  <c r="J244" i="25" s="1"/>
  <c r="J296" i="12"/>
  <c r="J249" i="12"/>
  <c r="N185" i="13"/>
  <c r="O185" i="13" s="1"/>
  <c r="J301" i="12"/>
  <c r="D10" i="34" l="1"/>
  <c r="D11" i="34" s="1"/>
  <c r="L90" i="25"/>
  <c r="N90" i="25" s="1"/>
  <c r="Q90" i="25" s="1"/>
  <c r="R90" i="13"/>
  <c r="S90" i="13" s="1"/>
  <c r="N93" i="25"/>
  <c r="Q93" i="25" s="1"/>
  <c r="N50" i="25"/>
  <c r="Q50" i="25" s="1"/>
  <c r="N279" i="25"/>
  <c r="Q279" i="25" s="1"/>
  <c r="N199" i="25"/>
  <c r="Q199" i="25" s="1"/>
  <c r="N170" i="25"/>
  <c r="Q170" i="25" s="1"/>
  <c r="N192" i="25"/>
  <c r="Q192" i="25" s="1"/>
  <c r="N243" i="25"/>
  <c r="Q243" i="25" s="1"/>
  <c r="N180" i="25"/>
  <c r="Q180" i="25" s="1"/>
  <c r="N315" i="25"/>
  <c r="Q315" i="25" s="1"/>
  <c r="N183" i="25"/>
  <c r="Q183" i="25" s="1"/>
  <c r="N132" i="25"/>
  <c r="Q132" i="25" s="1"/>
  <c r="N248" i="25"/>
  <c r="Q248" i="25" s="1"/>
  <c r="N221" i="25"/>
  <c r="Q221" i="25" s="1"/>
  <c r="N318" i="25"/>
  <c r="Q318" i="25" s="1"/>
  <c r="R272" i="13"/>
  <c r="S272" i="13" s="1"/>
  <c r="R288" i="13"/>
  <c r="S288" i="13" s="1"/>
  <c r="R18" i="13"/>
  <c r="S18" i="13" s="1"/>
  <c r="R74" i="13"/>
  <c r="S74" i="13" s="1"/>
  <c r="R315" i="13"/>
  <c r="S315" i="13" s="1"/>
  <c r="R273" i="13"/>
  <c r="S273" i="13" s="1"/>
  <c r="R180" i="13"/>
  <c r="S180" i="13" s="1"/>
  <c r="R153" i="13"/>
  <c r="S153" i="13" s="1"/>
  <c r="R123" i="13"/>
  <c r="S123" i="13" s="1"/>
  <c r="R311" i="13"/>
  <c r="S311" i="13" s="1"/>
  <c r="Q146" i="13"/>
  <c r="K146" i="25" s="1"/>
  <c r="L146" i="25" s="1"/>
  <c r="N146" i="25" s="1"/>
  <c r="Q146" i="25" s="1"/>
  <c r="R146" i="13"/>
  <c r="S146" i="13" s="1"/>
  <c r="R307" i="13"/>
  <c r="S307" i="13" s="1"/>
  <c r="R132" i="13"/>
  <c r="S132" i="13" s="1"/>
  <c r="R248" i="13"/>
  <c r="S248" i="13" s="1"/>
  <c r="R318" i="13"/>
  <c r="S318" i="13" s="1"/>
  <c r="R72" i="13"/>
  <c r="S72" i="13" s="1"/>
  <c r="R239" i="13"/>
  <c r="S239" i="13" s="1"/>
  <c r="R221" i="13"/>
  <c r="S221" i="13" s="1"/>
  <c r="R166" i="13"/>
  <c r="S166" i="13" s="1"/>
  <c r="L288" i="25"/>
  <c r="N288" i="25" s="1"/>
  <c r="Q288" i="25" s="1"/>
  <c r="R97" i="13"/>
  <c r="S97" i="13" s="1"/>
  <c r="R113" i="13"/>
  <c r="S113" i="13" s="1"/>
  <c r="R54" i="13"/>
  <c r="S54" i="13" s="1"/>
  <c r="R205" i="13"/>
  <c r="S205" i="13" s="1"/>
  <c r="R50" i="13"/>
  <c r="S50" i="13" s="1"/>
  <c r="R29" i="13"/>
  <c r="S29" i="13" s="1"/>
  <c r="R184" i="13"/>
  <c r="S184" i="13" s="1"/>
  <c r="R295" i="13"/>
  <c r="S295" i="13" s="1"/>
  <c r="R192" i="13"/>
  <c r="S192" i="13" s="1"/>
  <c r="R64" i="13"/>
  <c r="S64" i="13" s="1"/>
  <c r="P207" i="13"/>
  <c r="Q207" i="13" s="1"/>
  <c r="K207" i="25" s="1"/>
  <c r="L207" i="25" s="1"/>
  <c r="N207" i="25" s="1"/>
  <c r="Q207" i="25" s="1"/>
  <c r="R312" i="13"/>
  <c r="S312" i="13" s="1"/>
  <c r="R133" i="13"/>
  <c r="S133" i="13" s="1"/>
  <c r="R91" i="13"/>
  <c r="S91" i="13" s="1"/>
  <c r="P7" i="13"/>
  <c r="Q7" i="13" s="1"/>
  <c r="K7" i="25" s="1"/>
  <c r="L7" i="25" s="1"/>
  <c r="N7" i="25" s="1"/>
  <c r="Q7" i="25" s="1"/>
  <c r="R243" i="13"/>
  <c r="S243" i="13" s="1"/>
  <c r="R87" i="13"/>
  <c r="S87" i="13" s="1"/>
  <c r="R255" i="13"/>
  <c r="S255" i="13" s="1"/>
  <c r="P145" i="13"/>
  <c r="Q145" i="13" s="1"/>
  <c r="K145" i="25" s="1"/>
  <c r="L145" i="25" s="1"/>
  <c r="N145" i="25" s="1"/>
  <c r="Q145" i="25" s="1"/>
  <c r="J5" i="12"/>
  <c r="R170" i="13"/>
  <c r="S170" i="13" s="1"/>
  <c r="R214" i="13"/>
  <c r="S214" i="13" s="1"/>
  <c r="P269" i="13"/>
  <c r="Q269" i="13" s="1"/>
  <c r="K269" i="25" s="1"/>
  <c r="L269" i="25" s="1"/>
  <c r="N269" i="25" s="1"/>
  <c r="Q269" i="25" s="1"/>
  <c r="R70" i="13"/>
  <c r="S70" i="13" s="1"/>
  <c r="R233" i="13"/>
  <c r="S233" i="13" s="1"/>
  <c r="R279" i="13"/>
  <c r="S279" i="13" s="1"/>
  <c r="R40" i="13"/>
  <c r="S40" i="13" s="1"/>
  <c r="N6" i="13"/>
  <c r="O6" i="13" s="1"/>
  <c r="P6" i="13" s="1"/>
  <c r="Q6" i="13" s="1"/>
  <c r="Q32" i="13"/>
  <c r="K32" i="25" s="1"/>
  <c r="L32" i="25" s="1"/>
  <c r="R32" i="13"/>
  <c r="S32" i="13" s="1"/>
  <c r="Q222" i="13"/>
  <c r="K222" i="25" s="1"/>
  <c r="L222" i="25" s="1"/>
  <c r="R222" i="13"/>
  <c r="S222" i="13" s="1"/>
  <c r="Q178" i="13"/>
  <c r="K178" i="25" s="1"/>
  <c r="L178" i="25" s="1"/>
  <c r="R178" i="13"/>
  <c r="S178" i="13" s="1"/>
  <c r="Q152" i="13"/>
  <c r="K152" i="25" s="1"/>
  <c r="L152" i="25" s="1"/>
  <c r="R152" i="13"/>
  <c r="S152" i="13" s="1"/>
  <c r="P215" i="13"/>
  <c r="Q215" i="13" s="1"/>
  <c r="K215" i="25" s="1"/>
  <c r="L215" i="25" s="1"/>
  <c r="N215" i="25" s="1"/>
  <c r="Q215" i="25" s="1"/>
  <c r="P264" i="13"/>
  <c r="Q264" i="13" s="1"/>
  <c r="K264" i="25" s="1"/>
  <c r="L264" i="25" s="1"/>
  <c r="N264" i="25" s="1"/>
  <c r="Q264" i="25" s="1"/>
  <c r="R266" i="13"/>
  <c r="S266" i="13" s="1"/>
  <c r="R155" i="13"/>
  <c r="S155" i="13" s="1"/>
  <c r="R256" i="13"/>
  <c r="S256" i="13" s="1"/>
  <c r="R314" i="13"/>
  <c r="S314" i="13" s="1"/>
  <c r="R139" i="13"/>
  <c r="S139" i="13" s="1"/>
  <c r="R118" i="13"/>
  <c r="S118" i="13" s="1"/>
  <c r="R241" i="13"/>
  <c r="S241" i="13" s="1"/>
  <c r="R58" i="13"/>
  <c r="S58" i="13" s="1"/>
  <c r="R228" i="13"/>
  <c r="S228" i="13" s="1"/>
  <c r="R316" i="13"/>
  <c r="S316" i="13" s="1"/>
  <c r="R171" i="13"/>
  <c r="S171" i="13" s="1"/>
  <c r="R237" i="13"/>
  <c r="S237" i="13" s="1"/>
  <c r="R194" i="13"/>
  <c r="S194" i="13" s="1"/>
  <c r="R225" i="13"/>
  <c r="S225" i="13" s="1"/>
  <c r="R202" i="13"/>
  <c r="S202" i="13" s="1"/>
  <c r="R148" i="13"/>
  <c r="S148" i="13" s="1"/>
  <c r="R9" i="13"/>
  <c r="S9" i="13" s="1"/>
  <c r="R286" i="13"/>
  <c r="S286" i="13" s="1"/>
  <c r="R209" i="13"/>
  <c r="S209" i="13" s="1"/>
  <c r="P10" i="13"/>
  <c r="Q10" i="13" s="1"/>
  <c r="K10" i="25" s="1"/>
  <c r="L10" i="25" s="1"/>
  <c r="N10" i="25" s="1"/>
  <c r="Q10" i="25" s="1"/>
  <c r="R281" i="13"/>
  <c r="S281" i="13" s="1"/>
  <c r="P181" i="13"/>
  <c r="Q181" i="13" s="1"/>
  <c r="K181" i="25" s="1"/>
  <c r="L181" i="25" s="1"/>
  <c r="R282" i="13"/>
  <c r="S282" i="13" s="1"/>
  <c r="R26" i="13"/>
  <c r="S26" i="13" s="1"/>
  <c r="Q159" i="13"/>
  <c r="K159" i="25" s="1"/>
  <c r="L159" i="25" s="1"/>
  <c r="N159" i="25" s="1"/>
  <c r="Q159" i="25" s="1"/>
  <c r="R159" i="13"/>
  <c r="S159" i="13" s="1"/>
  <c r="Q258" i="13"/>
  <c r="K258" i="25" s="1"/>
  <c r="L258" i="25" s="1"/>
  <c r="N258" i="25" s="1"/>
  <c r="Q258" i="25" s="1"/>
  <c r="R258" i="13"/>
  <c r="S258" i="13" s="1"/>
  <c r="R283" i="13"/>
  <c r="S283" i="13" s="1"/>
  <c r="P84" i="13"/>
  <c r="Q84" i="13" s="1"/>
  <c r="K84" i="25" s="1"/>
  <c r="L84" i="25" s="1"/>
  <c r="N84" i="25" s="1"/>
  <c r="Q84" i="25" s="1"/>
  <c r="R183" i="13"/>
  <c r="S183" i="13" s="1"/>
  <c r="R158" i="13"/>
  <c r="S158" i="13" s="1"/>
  <c r="R275" i="13"/>
  <c r="S275" i="13" s="1"/>
  <c r="R257" i="13"/>
  <c r="S257" i="13" s="1"/>
  <c r="R130" i="13"/>
  <c r="S130" i="13" s="1"/>
  <c r="P169" i="13"/>
  <c r="Q169" i="13" s="1"/>
  <c r="K169" i="25" s="1"/>
  <c r="L169" i="25" s="1"/>
  <c r="R98" i="13"/>
  <c r="S98" i="13" s="1"/>
  <c r="R270" i="13"/>
  <c r="S270" i="13" s="1"/>
  <c r="R261" i="13"/>
  <c r="S261" i="13" s="1"/>
  <c r="R199" i="13"/>
  <c r="S199" i="13" s="1"/>
  <c r="R110" i="13"/>
  <c r="S110" i="13" s="1"/>
  <c r="R304" i="13"/>
  <c r="S304" i="13" s="1"/>
  <c r="R320" i="13"/>
  <c r="S320" i="13" s="1"/>
  <c r="R160" i="13"/>
  <c r="S160" i="13" s="1"/>
  <c r="R284" i="13"/>
  <c r="S284" i="13" s="1"/>
  <c r="R101" i="13"/>
  <c r="S101" i="13" s="1"/>
  <c r="R68" i="13"/>
  <c r="S68" i="13" s="1"/>
  <c r="R124" i="13"/>
  <c r="S124" i="13" s="1"/>
  <c r="R20" i="13"/>
  <c r="S20" i="13" s="1"/>
  <c r="R313" i="13"/>
  <c r="S313" i="13" s="1"/>
  <c r="R107" i="13"/>
  <c r="S107" i="13" s="1"/>
  <c r="R114" i="13"/>
  <c r="S114" i="13" s="1"/>
  <c r="R151" i="13"/>
  <c r="S151" i="13" s="1"/>
  <c r="R140" i="13"/>
  <c r="S140" i="13" s="1"/>
  <c r="R268" i="13"/>
  <c r="S268" i="13" s="1"/>
  <c r="R293" i="13"/>
  <c r="S293" i="13" s="1"/>
  <c r="R66" i="13"/>
  <c r="S66" i="13" s="1"/>
  <c r="R115" i="13"/>
  <c r="S115" i="13" s="1"/>
  <c r="R247" i="13"/>
  <c r="S247" i="13" s="1"/>
  <c r="R292" i="13"/>
  <c r="S292" i="13" s="1"/>
  <c r="P310" i="13"/>
  <c r="Q310" i="13" s="1"/>
  <c r="K310" i="25" s="1"/>
  <c r="L310" i="25" s="1"/>
  <c r="N310" i="25" s="1"/>
  <c r="Q310" i="25" s="1"/>
  <c r="P301" i="13"/>
  <c r="Q301" i="13" s="1"/>
  <c r="K301" i="25" s="1"/>
  <c r="L301" i="25" s="1"/>
  <c r="N301" i="25" s="1"/>
  <c r="Q301" i="25" s="1"/>
  <c r="R164" i="13"/>
  <c r="S164" i="13" s="1"/>
  <c r="R277" i="13"/>
  <c r="S277" i="13" s="1"/>
  <c r="L244" i="25"/>
  <c r="R45" i="13"/>
  <c r="S45" i="13" s="1"/>
  <c r="R28" i="13"/>
  <c r="S28" i="13" s="1"/>
  <c r="R30" i="13"/>
  <c r="S30" i="13" s="1"/>
  <c r="P230" i="13"/>
  <c r="Q230" i="13" s="1"/>
  <c r="K230" i="25" s="1"/>
  <c r="L230" i="25" s="1"/>
  <c r="N230" i="25" s="1"/>
  <c r="Q230" i="25" s="1"/>
  <c r="Q197" i="13"/>
  <c r="K197" i="25" s="1"/>
  <c r="L197" i="25" s="1"/>
  <c r="R197" i="13"/>
  <c r="S197" i="13" s="1"/>
  <c r="Q31" i="13"/>
  <c r="K31" i="25" s="1"/>
  <c r="L31" i="25" s="1"/>
  <c r="N31" i="25" s="1"/>
  <c r="Q31" i="25" s="1"/>
  <c r="R31" i="13"/>
  <c r="S31" i="13" s="1"/>
  <c r="P38" i="13"/>
  <c r="Q38" i="13" s="1"/>
  <c r="K38" i="25" s="1"/>
  <c r="L38" i="25" s="1"/>
  <c r="N38" i="25" s="1"/>
  <c r="Q38" i="25" s="1"/>
  <c r="P129" i="13"/>
  <c r="Q129" i="13" s="1"/>
  <c r="K129" i="25" s="1"/>
  <c r="L129" i="25" s="1"/>
  <c r="N129" i="25" s="1"/>
  <c r="Q129" i="25" s="1"/>
  <c r="R198" i="13"/>
  <c r="S198" i="13" s="1"/>
  <c r="P217" i="13"/>
  <c r="Q217" i="13" s="1"/>
  <c r="K217" i="25" s="1"/>
  <c r="L217" i="25" s="1"/>
  <c r="N217" i="25" s="1"/>
  <c r="Q217" i="25" s="1"/>
  <c r="P223" i="13"/>
  <c r="Q223" i="13" s="1"/>
  <c r="K223" i="25" s="1"/>
  <c r="L223" i="25" s="1"/>
  <c r="N223" i="25" s="1"/>
  <c r="Q223" i="25" s="1"/>
  <c r="P252" i="13"/>
  <c r="Q252" i="13" s="1"/>
  <c r="K252" i="25" s="1"/>
  <c r="L252" i="25" s="1"/>
  <c r="R95" i="13"/>
  <c r="S95" i="13" s="1"/>
  <c r="R165" i="13"/>
  <c r="S165" i="13" s="1"/>
  <c r="R163" i="13"/>
  <c r="S163" i="13" s="1"/>
  <c r="R120" i="13"/>
  <c r="S120" i="13" s="1"/>
  <c r="P12" i="13"/>
  <c r="Q12" i="13" s="1"/>
  <c r="K12" i="25" s="1"/>
  <c r="L12" i="25" s="1"/>
  <c r="N12" i="25" s="1"/>
  <c r="Q12" i="25" s="1"/>
  <c r="P75" i="13"/>
  <c r="Q75" i="13" s="1"/>
  <c r="K75" i="25" s="1"/>
  <c r="L75" i="25" s="1"/>
  <c r="N75" i="25" s="1"/>
  <c r="Q75" i="25" s="1"/>
  <c r="P191" i="13"/>
  <c r="Q191" i="13" s="1"/>
  <c r="K191" i="25" s="1"/>
  <c r="L191" i="25" s="1"/>
  <c r="R195" i="13"/>
  <c r="S195" i="13" s="1"/>
  <c r="R46" i="13"/>
  <c r="S46" i="13" s="1"/>
  <c r="P61" i="13"/>
  <c r="Q61" i="13" s="1"/>
  <c r="K61" i="25" s="1"/>
  <c r="L61" i="25" s="1"/>
  <c r="N61" i="25" s="1"/>
  <c r="Q61" i="25" s="1"/>
  <c r="R59" i="13"/>
  <c r="S59" i="13" s="1"/>
  <c r="L171" i="25"/>
  <c r="R83" i="13"/>
  <c r="S83" i="13" s="1"/>
  <c r="R51" i="13"/>
  <c r="S51" i="13" s="1"/>
  <c r="R92" i="13"/>
  <c r="S92" i="13" s="1"/>
  <c r="R127" i="13"/>
  <c r="S127" i="13" s="1"/>
  <c r="R52" i="13"/>
  <c r="S52" i="13" s="1"/>
  <c r="R246" i="13"/>
  <c r="S246" i="13" s="1"/>
  <c r="R62" i="13"/>
  <c r="S62" i="13" s="1"/>
  <c r="R305" i="13"/>
  <c r="S305" i="13" s="1"/>
  <c r="R125" i="13"/>
  <c r="S125" i="13" s="1"/>
  <c r="R309" i="13"/>
  <c r="S309" i="13" s="1"/>
  <c r="R19" i="13"/>
  <c r="S19" i="13" s="1"/>
  <c r="P82" i="13"/>
  <c r="Q82" i="13" s="1"/>
  <c r="K82" i="25" s="1"/>
  <c r="L82" i="25" s="1"/>
  <c r="N82" i="25" s="1"/>
  <c r="Q82" i="25" s="1"/>
  <c r="P36" i="13"/>
  <c r="Q36" i="13" s="1"/>
  <c r="K36" i="25" s="1"/>
  <c r="L36" i="25" s="1"/>
  <c r="N36" i="25" s="1"/>
  <c r="Q36" i="25" s="1"/>
  <c r="P14" i="13"/>
  <c r="Q14" i="13" s="1"/>
  <c r="K14" i="25" s="1"/>
  <c r="L14" i="25" s="1"/>
  <c r="N14" i="25" s="1"/>
  <c r="Q14" i="25" s="1"/>
  <c r="P23" i="13"/>
  <c r="Q23" i="13" s="1"/>
  <c r="K23" i="25" s="1"/>
  <c r="L23" i="25" s="1"/>
  <c r="N23" i="25" s="1"/>
  <c r="Q23" i="25" s="1"/>
  <c r="P287" i="13"/>
  <c r="Q287" i="13" s="1"/>
  <c r="K287" i="25" s="1"/>
  <c r="L287" i="25" s="1"/>
  <c r="N287" i="25" s="1"/>
  <c r="Q287" i="25" s="1"/>
  <c r="R229" i="13"/>
  <c r="S229" i="13" s="1"/>
  <c r="R121" i="13"/>
  <c r="S121" i="13" s="1"/>
  <c r="R200" i="13"/>
  <c r="S200" i="13" s="1"/>
  <c r="R48" i="13"/>
  <c r="S48" i="13" s="1"/>
  <c r="R274" i="13"/>
  <c r="S274" i="13" s="1"/>
  <c r="R88" i="13"/>
  <c r="S88" i="13" s="1"/>
  <c r="R224" i="13"/>
  <c r="S224" i="13" s="1"/>
  <c r="R306" i="13"/>
  <c r="S306" i="13" s="1"/>
  <c r="P185" i="13"/>
  <c r="Q185" i="13" s="1"/>
  <c r="K185" i="25" s="1"/>
  <c r="L185" i="25" s="1"/>
  <c r="N185" i="25" s="1"/>
  <c r="Q185" i="25" s="1"/>
  <c r="P111" i="13"/>
  <c r="Q111" i="13" s="1"/>
  <c r="K111" i="25" s="1"/>
  <c r="L111" i="25" s="1"/>
  <c r="N111" i="25" s="1"/>
  <c r="Q111" i="25" s="1"/>
  <c r="P76" i="13"/>
  <c r="Q76" i="13" s="1"/>
  <c r="K76" i="25" s="1"/>
  <c r="L76" i="25" s="1"/>
  <c r="N76" i="25" s="1"/>
  <c r="Q76" i="25" s="1"/>
  <c r="P321" i="13"/>
  <c r="Q321" i="13" s="1"/>
  <c r="K321" i="25" s="1"/>
  <c r="L321" i="25" s="1"/>
  <c r="N321" i="25" s="1"/>
  <c r="Q321" i="25" s="1"/>
  <c r="P232" i="13"/>
  <c r="Q232" i="13" s="1"/>
  <c r="K232" i="25" s="1"/>
  <c r="L232" i="25" s="1"/>
  <c r="N232" i="25" s="1"/>
  <c r="Q232" i="25" s="1"/>
  <c r="P173" i="13"/>
  <c r="Q173" i="13" s="1"/>
  <c r="K173" i="25" s="1"/>
  <c r="L173" i="25" s="1"/>
  <c r="N173" i="25" s="1"/>
  <c r="Q173" i="25" s="1"/>
  <c r="P303" i="13"/>
  <c r="Q303" i="13" s="1"/>
  <c r="K303" i="25" s="1"/>
  <c r="L303" i="25" s="1"/>
  <c r="N303" i="25" s="1"/>
  <c r="Q303" i="25" s="1"/>
  <c r="P53" i="13"/>
  <c r="Q53" i="13" s="1"/>
  <c r="K53" i="25" s="1"/>
  <c r="L53" i="25" s="1"/>
  <c r="N53" i="25" s="1"/>
  <c r="Q53" i="25" s="1"/>
  <c r="P154" i="13"/>
  <c r="Q154" i="13" s="1"/>
  <c r="K154" i="25" s="1"/>
  <c r="L154" i="25" s="1"/>
  <c r="N154" i="25" s="1"/>
  <c r="Q154" i="25" s="1"/>
  <c r="P213" i="13"/>
  <c r="Q213" i="13" s="1"/>
  <c r="K213" i="25" s="1"/>
  <c r="L213" i="25" s="1"/>
  <c r="N213" i="25" s="1"/>
  <c r="Q213" i="25" s="1"/>
  <c r="P80" i="13"/>
  <c r="Q80" i="13" s="1"/>
  <c r="K80" i="25" s="1"/>
  <c r="L80" i="25" s="1"/>
  <c r="N80" i="25" s="1"/>
  <c r="Q80" i="25" s="1"/>
  <c r="P319" i="13"/>
  <c r="Q319" i="13" s="1"/>
  <c r="K319" i="25" s="1"/>
  <c r="L319" i="25" s="1"/>
  <c r="N319" i="25" s="1"/>
  <c r="Q319" i="25" s="1"/>
  <c r="P323" i="13"/>
  <c r="Q323" i="13" s="1"/>
  <c r="K323" i="25" s="1"/>
  <c r="L323" i="25" s="1"/>
  <c r="N323" i="25" s="1"/>
  <c r="Q323" i="25" s="1"/>
  <c r="P137" i="13"/>
  <c r="Q137" i="13" s="1"/>
  <c r="K137" i="25" s="1"/>
  <c r="L137" i="25" s="1"/>
  <c r="N137" i="25" s="1"/>
  <c r="Q137" i="25" s="1"/>
  <c r="P33" i="13"/>
  <c r="Q33" i="13" s="1"/>
  <c r="K33" i="25" s="1"/>
  <c r="L33" i="25" s="1"/>
  <c r="N33" i="25" s="1"/>
  <c r="Q33" i="25" s="1"/>
  <c r="P271" i="13"/>
  <c r="Q271" i="13" s="1"/>
  <c r="K271" i="25" s="1"/>
  <c r="L271" i="25" s="1"/>
  <c r="N271" i="25" s="1"/>
  <c r="Q271" i="25" s="1"/>
  <c r="P212" i="13"/>
  <c r="Q212" i="13" s="1"/>
  <c r="K212" i="25" s="1"/>
  <c r="L212" i="25" s="1"/>
  <c r="N212" i="25" s="1"/>
  <c r="Q212" i="25" s="1"/>
  <c r="P49" i="13"/>
  <c r="Q49" i="13" s="1"/>
  <c r="K49" i="25" s="1"/>
  <c r="L49" i="25" s="1"/>
  <c r="N49" i="25" s="1"/>
  <c r="Q49" i="25" s="1"/>
  <c r="P187" i="13"/>
  <c r="Q187" i="13" s="1"/>
  <c r="K187" i="25" s="1"/>
  <c r="L187" i="25" s="1"/>
  <c r="N187" i="25" s="1"/>
  <c r="Q187" i="25" s="1"/>
  <c r="P249" i="13"/>
  <c r="Q249" i="13" s="1"/>
  <c r="K249" i="25" s="1"/>
  <c r="L249" i="25" s="1"/>
  <c r="N249" i="25" s="1"/>
  <c r="Q249" i="25" s="1"/>
  <c r="P308" i="13"/>
  <c r="Q308" i="13" s="1"/>
  <c r="K308" i="25" s="1"/>
  <c r="L308" i="25" s="1"/>
  <c r="N308" i="25" s="1"/>
  <c r="Q308" i="25" s="1"/>
  <c r="P210" i="13"/>
  <c r="Q210" i="13" s="1"/>
  <c r="K210" i="25" s="1"/>
  <c r="L210" i="25" s="1"/>
  <c r="N210" i="25" s="1"/>
  <c r="Q210" i="25" s="1"/>
  <c r="P102" i="13"/>
  <c r="Q102" i="13" s="1"/>
  <c r="K102" i="25" s="1"/>
  <c r="L102" i="25" s="1"/>
  <c r="N102" i="25" s="1"/>
  <c r="Q102" i="25" s="1"/>
  <c r="P134" i="13"/>
  <c r="Q134" i="13" s="1"/>
  <c r="K134" i="25" s="1"/>
  <c r="L134" i="25" s="1"/>
  <c r="N134" i="25" s="1"/>
  <c r="Q134" i="25" s="1"/>
  <c r="P78" i="13"/>
  <c r="Q78" i="13" s="1"/>
  <c r="K78" i="25" s="1"/>
  <c r="L78" i="25" s="1"/>
  <c r="N78" i="25" s="1"/>
  <c r="Q78" i="25" s="1"/>
  <c r="P43" i="13"/>
  <c r="Q43" i="13" s="1"/>
  <c r="K43" i="25" s="1"/>
  <c r="L43" i="25" s="1"/>
  <c r="N43" i="25" s="1"/>
  <c r="Q43" i="25" s="1"/>
  <c r="P157" i="13"/>
  <c r="Q157" i="13" s="1"/>
  <c r="K157" i="25" s="1"/>
  <c r="L157" i="25" s="1"/>
  <c r="N157" i="25" s="1"/>
  <c r="Q157" i="25" s="1"/>
  <c r="P189" i="13"/>
  <c r="Q189" i="13" s="1"/>
  <c r="K189" i="25" s="1"/>
  <c r="L189" i="25" s="1"/>
  <c r="N189" i="25" s="1"/>
  <c r="Q189" i="25" s="1"/>
  <c r="P86" i="13"/>
  <c r="Q86" i="13" s="1"/>
  <c r="K86" i="25" s="1"/>
  <c r="L86" i="25" s="1"/>
  <c r="N86" i="25" s="1"/>
  <c r="Q86" i="25" s="1"/>
  <c r="P108" i="13"/>
  <c r="Q108" i="13" s="1"/>
  <c r="K108" i="25" s="1"/>
  <c r="L108" i="25" s="1"/>
  <c r="N108" i="25" s="1"/>
  <c r="Q108" i="25" s="1"/>
  <c r="P34" i="13"/>
  <c r="Q34" i="13" s="1"/>
  <c r="K34" i="25" s="1"/>
  <c r="L34" i="25" s="1"/>
  <c r="N34" i="25" s="1"/>
  <c r="Q34" i="25" s="1"/>
  <c r="P60" i="13"/>
  <c r="Q60" i="13" s="1"/>
  <c r="K60" i="25" s="1"/>
  <c r="L60" i="25" s="1"/>
  <c r="N60" i="25" s="1"/>
  <c r="Q60" i="25" s="1"/>
  <c r="P128" i="13"/>
  <c r="Q128" i="13" s="1"/>
  <c r="K128" i="25" s="1"/>
  <c r="L128" i="25" s="1"/>
  <c r="N128" i="25" s="1"/>
  <c r="Q128" i="25" s="1"/>
  <c r="R260" i="13"/>
  <c r="S260" i="13" s="1"/>
  <c r="P104" i="13"/>
  <c r="Q104" i="13" s="1"/>
  <c r="K104" i="25" s="1"/>
  <c r="L104" i="25" s="1"/>
  <c r="N104" i="25" s="1"/>
  <c r="Q104" i="25" s="1"/>
  <c r="P13" i="13"/>
  <c r="Q13" i="13" s="1"/>
  <c r="K13" i="25" s="1"/>
  <c r="L13" i="25" s="1"/>
  <c r="N13" i="25" s="1"/>
  <c r="Q13" i="25" s="1"/>
  <c r="R245" i="13"/>
  <c r="S245" i="13" s="1"/>
  <c r="P174" i="13"/>
  <c r="Q174" i="13" s="1"/>
  <c r="K174" i="25" s="1"/>
  <c r="L174" i="25" s="1"/>
  <c r="N174" i="25" s="1"/>
  <c r="Q174" i="25" s="1"/>
  <c r="R193" i="13"/>
  <c r="S193" i="13" s="1"/>
  <c r="R240" i="13"/>
  <c r="S240" i="13" s="1"/>
  <c r="P44" i="13"/>
  <c r="Q44" i="13" s="1"/>
  <c r="K44" i="25" s="1"/>
  <c r="L44" i="25" s="1"/>
  <c r="N44" i="25" s="1"/>
  <c r="Q44" i="25" s="1"/>
  <c r="P126" i="13"/>
  <c r="Q126" i="13" s="1"/>
  <c r="K126" i="25" s="1"/>
  <c r="L126" i="25" s="1"/>
  <c r="N126" i="25" s="1"/>
  <c r="Q126" i="25" s="1"/>
  <c r="P251" i="13"/>
  <c r="Q251" i="13" s="1"/>
  <c r="K251" i="25" s="1"/>
  <c r="L251" i="25" s="1"/>
  <c r="P278" i="13"/>
  <c r="Q278" i="13" s="1"/>
  <c r="K278" i="25" s="1"/>
  <c r="L278" i="25" s="1"/>
  <c r="N278" i="25" s="1"/>
  <c r="Q278" i="25" s="1"/>
  <c r="P296" i="13"/>
  <c r="Q296" i="13" s="1"/>
  <c r="K296" i="25" s="1"/>
  <c r="L296" i="25" s="1"/>
  <c r="N296" i="25" s="1"/>
  <c r="Q296" i="25" s="1"/>
  <c r="P71" i="13"/>
  <c r="Q71" i="13" s="1"/>
  <c r="K71" i="25" s="1"/>
  <c r="L71" i="25" s="1"/>
  <c r="N71" i="25" s="1"/>
  <c r="Q71" i="25" s="1"/>
  <c r="P103" i="13"/>
  <c r="Q103" i="13" s="1"/>
  <c r="K103" i="25" s="1"/>
  <c r="L103" i="25" s="1"/>
  <c r="N103" i="25" s="1"/>
  <c r="Q103" i="25" s="1"/>
  <c r="P317" i="13"/>
  <c r="Q317" i="13" s="1"/>
  <c r="K317" i="25" s="1"/>
  <c r="L317" i="25" s="1"/>
  <c r="N317" i="25" s="1"/>
  <c r="Q317" i="25" s="1"/>
  <c r="P131" i="13"/>
  <c r="Q131" i="13" s="1"/>
  <c r="K131" i="25" s="1"/>
  <c r="L131" i="25" s="1"/>
  <c r="N131" i="25" s="1"/>
  <c r="Q131" i="25" s="1"/>
  <c r="P176" i="13"/>
  <c r="Q176" i="13" s="1"/>
  <c r="K176" i="25" s="1"/>
  <c r="L176" i="25" s="1"/>
  <c r="N176" i="25" s="1"/>
  <c r="Q176" i="25" s="1"/>
  <c r="R244" i="13"/>
  <c r="S244" i="13" s="1"/>
  <c r="R96" i="13"/>
  <c r="S96" i="13" s="1"/>
  <c r="R8" i="13"/>
  <c r="S8" i="13" s="1"/>
  <c r="R85" i="13"/>
  <c r="S85" i="13" s="1"/>
  <c r="I324" i="25"/>
  <c r="R27" i="13"/>
  <c r="S27" i="13" s="1"/>
  <c r="R254" i="13"/>
  <c r="S254" i="13" s="1"/>
  <c r="R93" i="13"/>
  <c r="S93" i="13" s="1"/>
  <c r="R25" i="13"/>
  <c r="S25" i="13" s="1"/>
  <c r="R39" i="13"/>
  <c r="S39" i="13" s="1"/>
  <c r="R22" i="13"/>
  <c r="S22" i="13" s="1"/>
  <c r="R238" i="13"/>
  <c r="S238" i="13" s="1"/>
  <c r="R42" i="13"/>
  <c r="S42" i="13" s="1"/>
  <c r="R21" i="13"/>
  <c r="S21" i="13" s="1"/>
  <c r="R150" i="13"/>
  <c r="S150" i="13" s="1"/>
  <c r="R147" i="13"/>
  <c r="S147" i="13" s="1"/>
  <c r="R262" i="13"/>
  <c r="S262" i="13" s="1"/>
  <c r="R135" i="13"/>
  <c r="S135" i="13" s="1"/>
  <c r="R41" i="13"/>
  <c r="S41" i="13" s="1"/>
  <c r="P250" i="13"/>
  <c r="Q250" i="13" s="1"/>
  <c r="K250" i="25" s="1"/>
  <c r="L250" i="25" s="1"/>
  <c r="N250" i="25" s="1"/>
  <c r="Q250" i="25" s="1"/>
  <c r="P259" i="13"/>
  <c r="Q259" i="13" s="1"/>
  <c r="K259" i="25" s="1"/>
  <c r="L259" i="25" s="1"/>
  <c r="N259" i="25" s="1"/>
  <c r="Q259" i="25" s="1"/>
  <c r="P182" i="13"/>
  <c r="Q182" i="13" s="1"/>
  <c r="K182" i="25" s="1"/>
  <c r="L182" i="25" s="1"/>
  <c r="N182" i="25" s="1"/>
  <c r="Q182" i="25" s="1"/>
  <c r="L97" i="25"/>
  <c r="N97" i="25" s="1"/>
  <c r="Q97" i="25" s="1"/>
  <c r="P77" i="13"/>
  <c r="Q77" i="13" s="1"/>
  <c r="K77" i="25" s="1"/>
  <c r="L77" i="25" s="1"/>
  <c r="N77" i="25" s="1"/>
  <c r="Q77" i="25" s="1"/>
  <c r="P204" i="13"/>
  <c r="Q204" i="13" s="1"/>
  <c r="K204" i="25" s="1"/>
  <c r="L204" i="25" s="1"/>
  <c r="N204" i="25" s="1"/>
  <c r="Q204" i="25" s="1"/>
  <c r="P136" i="13"/>
  <c r="Q136" i="13" s="1"/>
  <c r="K136" i="25" s="1"/>
  <c r="L136" i="25" s="1"/>
  <c r="N136" i="25" s="1"/>
  <c r="Q136" i="25" s="1"/>
  <c r="P122" i="13"/>
  <c r="Q122" i="13" s="1"/>
  <c r="K122" i="25" s="1"/>
  <c r="L122" i="25" s="1"/>
  <c r="N122" i="25" s="1"/>
  <c r="Q122" i="25" s="1"/>
  <c r="P267" i="13"/>
  <c r="Q267" i="13" s="1"/>
  <c r="K267" i="25" s="1"/>
  <c r="L267" i="25" s="1"/>
  <c r="N267" i="25" s="1"/>
  <c r="Q267" i="25" s="1"/>
  <c r="P142" i="13"/>
  <c r="Q142" i="13" s="1"/>
  <c r="K142" i="25" s="1"/>
  <c r="L142" i="25" s="1"/>
  <c r="N142" i="25" s="1"/>
  <c r="Q142" i="25" s="1"/>
  <c r="L163" i="25"/>
  <c r="N163" i="25" s="1"/>
  <c r="Q163" i="25" s="1"/>
  <c r="P119" i="13"/>
  <c r="Q119" i="13" s="1"/>
  <c r="K119" i="25" s="1"/>
  <c r="L119" i="25" s="1"/>
  <c r="N119" i="25" s="1"/>
  <c r="Q119" i="25" s="1"/>
  <c r="P179" i="13"/>
  <c r="Q179" i="13" s="1"/>
  <c r="K179" i="25" s="1"/>
  <c r="L179" i="25" s="1"/>
  <c r="N179" i="25" s="1"/>
  <c r="Q179" i="25" s="1"/>
  <c r="P190" i="13"/>
  <c r="Q190" i="13" s="1"/>
  <c r="K190" i="25" s="1"/>
  <c r="L190" i="25" s="1"/>
  <c r="N190" i="25" s="1"/>
  <c r="Q190" i="25" s="1"/>
  <c r="P105" i="13"/>
  <c r="Q105" i="13" s="1"/>
  <c r="K105" i="25" s="1"/>
  <c r="L105" i="25" s="1"/>
  <c r="N105" i="25" s="1"/>
  <c r="Q105" i="25" s="1"/>
  <c r="P112" i="13"/>
  <c r="Q112" i="13" s="1"/>
  <c r="K112" i="25" s="1"/>
  <c r="L112" i="25" s="1"/>
  <c r="N112" i="25" s="1"/>
  <c r="Q112" i="25" s="1"/>
  <c r="P220" i="13"/>
  <c r="Q220" i="13" s="1"/>
  <c r="K220" i="25" s="1"/>
  <c r="L220" i="25" s="1"/>
  <c r="N220" i="25" s="1"/>
  <c r="Q220" i="25" s="1"/>
  <c r="P47" i="13"/>
  <c r="Q47" i="13" s="1"/>
  <c r="K47" i="25" s="1"/>
  <c r="L47" i="25" s="1"/>
  <c r="N47" i="25" s="1"/>
  <c r="Q47" i="25" s="1"/>
  <c r="P63" i="13"/>
  <c r="Q63" i="13" s="1"/>
  <c r="K63" i="25" s="1"/>
  <c r="L63" i="25" s="1"/>
  <c r="N63" i="25" s="1"/>
  <c r="Q63" i="25" s="1"/>
  <c r="P322" i="13"/>
  <c r="Q322" i="13" s="1"/>
  <c r="K322" i="25" s="1"/>
  <c r="L322" i="25" s="1"/>
  <c r="N322" i="25" s="1"/>
  <c r="Q322" i="25" s="1"/>
  <c r="R285" i="13"/>
  <c r="S285" i="13" s="1"/>
  <c r="R294" i="13"/>
  <c r="S294" i="13" s="1"/>
  <c r="R161" i="13"/>
  <c r="S161" i="13" s="1"/>
  <c r="R265" i="13"/>
  <c r="S265" i="13" s="1"/>
  <c r="R143" i="13"/>
  <c r="S143" i="13" s="1"/>
  <c r="R276" i="13"/>
  <c r="S276" i="13" s="1"/>
  <c r="R298" i="13"/>
  <c r="S298" i="13" s="1"/>
  <c r="R172" i="13"/>
  <c r="S172" i="13" s="1"/>
  <c r="R56" i="13"/>
  <c r="S56" i="13" s="1"/>
  <c r="R291" i="13"/>
  <c r="S291" i="13" s="1"/>
  <c r="R208" i="13"/>
  <c r="S208" i="13" s="1"/>
  <c r="R17" i="13"/>
  <c r="S17" i="13" s="1"/>
  <c r="R106" i="13"/>
  <c r="S106" i="13" s="1"/>
  <c r="R234" i="13"/>
  <c r="S234" i="13" s="1"/>
  <c r="R116" i="13"/>
  <c r="S116" i="13" s="1"/>
  <c r="R144" i="13"/>
  <c r="S144" i="13" s="1"/>
  <c r="J6" i="25"/>
  <c r="I323" i="12"/>
  <c r="E37" i="48"/>
  <c r="R100" i="13"/>
  <c r="S100" i="13" s="1"/>
  <c r="R280" i="13"/>
  <c r="S280" i="13" s="1"/>
  <c r="P206" i="13"/>
  <c r="Q206" i="13" s="1"/>
  <c r="K206" i="25" s="1"/>
  <c r="L206" i="25" s="1"/>
  <c r="N206" i="25" s="1"/>
  <c r="Q206" i="25" s="1"/>
  <c r="P242" i="13"/>
  <c r="Q242" i="13" s="1"/>
  <c r="K242" i="25" s="1"/>
  <c r="L242" i="25" s="1"/>
  <c r="N242" i="25" s="1"/>
  <c r="Q242" i="25" s="1"/>
  <c r="P156" i="13"/>
  <c r="Q156" i="13" s="1"/>
  <c r="K156" i="25" s="1"/>
  <c r="L156" i="25" s="1"/>
  <c r="N156" i="25" s="1"/>
  <c r="Q156" i="25" s="1"/>
  <c r="P188" i="13"/>
  <c r="Q188" i="13" s="1"/>
  <c r="K188" i="25" s="1"/>
  <c r="L188" i="25" s="1"/>
  <c r="N188" i="25" s="1"/>
  <c r="Q188" i="25" s="1"/>
  <c r="P109" i="13"/>
  <c r="Q109" i="13" s="1"/>
  <c r="K109" i="25" s="1"/>
  <c r="L109" i="25" s="1"/>
  <c r="N109" i="25" s="1"/>
  <c r="Q109" i="25" s="1"/>
  <c r="P218" i="13"/>
  <c r="Q218" i="13" s="1"/>
  <c r="K218" i="25" s="1"/>
  <c r="L218" i="25" s="1"/>
  <c r="N218" i="25" s="1"/>
  <c r="Q218" i="25" s="1"/>
  <c r="P300" i="13"/>
  <c r="Q300" i="13" s="1"/>
  <c r="K300" i="25" s="1"/>
  <c r="L300" i="25" s="1"/>
  <c r="N300" i="25" s="1"/>
  <c r="Q300" i="25" s="1"/>
  <c r="P55" i="13"/>
  <c r="Q55" i="13" s="1"/>
  <c r="K55" i="25" s="1"/>
  <c r="L55" i="25" s="1"/>
  <c r="N55" i="25" s="1"/>
  <c r="Q55" i="25" s="1"/>
  <c r="P11" i="13"/>
  <c r="Q11" i="13" s="1"/>
  <c r="K11" i="25" s="1"/>
  <c r="L11" i="25" s="1"/>
  <c r="N11" i="25" s="1"/>
  <c r="Q11" i="25" s="1"/>
  <c r="P24" i="13"/>
  <c r="Q24" i="13" s="1"/>
  <c r="K24" i="25" s="1"/>
  <c r="L24" i="25" s="1"/>
  <c r="N24" i="25" s="1"/>
  <c r="Q24" i="25" s="1"/>
  <c r="P231" i="13"/>
  <c r="Q231" i="13" s="1"/>
  <c r="K231" i="25" s="1"/>
  <c r="L231" i="25" s="1"/>
  <c r="N231" i="25" s="1"/>
  <c r="Q231" i="25" s="1"/>
  <c r="P141" i="13"/>
  <c r="Q141" i="13" s="1"/>
  <c r="K141" i="25" s="1"/>
  <c r="L141" i="25" s="1"/>
  <c r="N141" i="25" s="1"/>
  <c r="Q141" i="25" s="1"/>
  <c r="P162" i="13"/>
  <c r="Q162" i="13" s="1"/>
  <c r="K162" i="25" s="1"/>
  <c r="L162" i="25" s="1"/>
  <c r="N162" i="25" s="1"/>
  <c r="Q162" i="25" s="1"/>
  <c r="P69" i="13"/>
  <c r="Q69" i="13" s="1"/>
  <c r="K69" i="25" s="1"/>
  <c r="L69" i="25" s="1"/>
  <c r="N69" i="25" s="1"/>
  <c r="Q69" i="25" s="1"/>
  <c r="P99" i="13"/>
  <c r="Q99" i="13" s="1"/>
  <c r="K99" i="25" s="1"/>
  <c r="L99" i="25" s="1"/>
  <c r="N99" i="25" s="1"/>
  <c r="Q99" i="25" s="1"/>
  <c r="P67" i="13"/>
  <c r="Q67" i="13" s="1"/>
  <c r="K67" i="25" s="1"/>
  <c r="L67" i="25" s="1"/>
  <c r="N67" i="25" s="1"/>
  <c r="Q67" i="25" s="1"/>
  <c r="L262" i="25"/>
  <c r="N262" i="25" s="1"/>
  <c r="Q262" i="25" s="1"/>
  <c r="P302" i="13"/>
  <c r="Q302" i="13" s="1"/>
  <c r="K302" i="25" s="1"/>
  <c r="L302" i="25" s="1"/>
  <c r="N302" i="25" s="1"/>
  <c r="Q302" i="25" s="1"/>
  <c r="P177" i="13"/>
  <c r="Q177" i="13" s="1"/>
  <c r="K177" i="25" s="1"/>
  <c r="L177" i="25" s="1"/>
  <c r="N177" i="25" s="1"/>
  <c r="Q177" i="25" s="1"/>
  <c r="P299" i="13"/>
  <c r="Q299" i="13" s="1"/>
  <c r="K299" i="25" s="1"/>
  <c r="L299" i="25" s="1"/>
  <c r="N299" i="25" s="1"/>
  <c r="Q299" i="25" s="1"/>
  <c r="P79" i="13"/>
  <c r="Q79" i="13" s="1"/>
  <c r="K79" i="25" s="1"/>
  <c r="L79" i="25" s="1"/>
  <c r="N79" i="25" s="1"/>
  <c r="Q79" i="25" s="1"/>
  <c r="P289" i="13"/>
  <c r="Q289" i="13" s="1"/>
  <c r="K289" i="25" s="1"/>
  <c r="L289" i="25" s="1"/>
  <c r="N289" i="25" s="1"/>
  <c r="Q289" i="25" s="1"/>
  <c r="P253" i="13"/>
  <c r="Q253" i="13" s="1"/>
  <c r="K253" i="25" s="1"/>
  <c r="L253" i="25" s="1"/>
  <c r="N253" i="25" s="1"/>
  <c r="Q253" i="25" s="1"/>
  <c r="P57" i="13"/>
  <c r="Q57" i="13" s="1"/>
  <c r="K57" i="25" s="1"/>
  <c r="L57" i="25" s="1"/>
  <c r="N57" i="25" s="1"/>
  <c r="Q57" i="25" s="1"/>
  <c r="P211" i="13"/>
  <c r="Q211" i="13" s="1"/>
  <c r="K211" i="25" s="1"/>
  <c r="L211" i="25" s="1"/>
  <c r="N211" i="25" s="1"/>
  <c r="Q211" i="25" s="1"/>
  <c r="P138" i="13"/>
  <c r="Q138" i="13" s="1"/>
  <c r="K138" i="25" s="1"/>
  <c r="L138" i="25" s="1"/>
  <c r="N138" i="25" s="1"/>
  <c r="Q138" i="25" s="1"/>
  <c r="P16" i="13"/>
  <c r="Q16" i="13" s="1"/>
  <c r="K16" i="25" s="1"/>
  <c r="L16" i="25" s="1"/>
  <c r="N16" i="25" s="1"/>
  <c r="Q16" i="25" s="1"/>
  <c r="P117" i="13"/>
  <c r="Q117" i="13" s="1"/>
  <c r="K117" i="25" s="1"/>
  <c r="L117" i="25" s="1"/>
  <c r="N117" i="25" s="1"/>
  <c r="Q117" i="25" s="1"/>
  <c r="P175" i="13"/>
  <c r="Q175" i="13" s="1"/>
  <c r="K175" i="25" s="1"/>
  <c r="L175" i="25" s="1"/>
  <c r="N175" i="25" s="1"/>
  <c r="Q175" i="25" s="1"/>
  <c r="P226" i="13"/>
  <c r="Q226" i="13" s="1"/>
  <c r="K226" i="25" s="1"/>
  <c r="L226" i="25" s="1"/>
  <c r="N226" i="25" s="1"/>
  <c r="Q226" i="25" s="1"/>
  <c r="P235" i="13"/>
  <c r="Q235" i="13" s="1"/>
  <c r="K235" i="25" s="1"/>
  <c r="L235" i="25" s="1"/>
  <c r="N235" i="25" s="1"/>
  <c r="Q235" i="25" s="1"/>
  <c r="L19" i="25"/>
  <c r="N19" i="25" s="1"/>
  <c r="Q19" i="25" s="1"/>
  <c r="P297" i="13"/>
  <c r="Q297" i="13" s="1"/>
  <c r="K297" i="25" s="1"/>
  <c r="L297" i="25" s="1"/>
  <c r="N297" i="25" s="1"/>
  <c r="Q297" i="25" s="1"/>
  <c r="P35" i="13"/>
  <c r="Q35" i="13" s="1"/>
  <c r="K35" i="25" s="1"/>
  <c r="L35" i="25" s="1"/>
  <c r="N35" i="25" s="1"/>
  <c r="Q35" i="25" s="1"/>
  <c r="P201" i="13"/>
  <c r="Q201" i="13" s="1"/>
  <c r="K201" i="25" s="1"/>
  <c r="L201" i="25" s="1"/>
  <c r="N201" i="25" s="1"/>
  <c r="Q201" i="25" s="1"/>
  <c r="P196" i="13"/>
  <c r="Q196" i="13" s="1"/>
  <c r="K196" i="25" s="1"/>
  <c r="L196" i="25" s="1"/>
  <c r="N196" i="25" s="1"/>
  <c r="Q196" i="25" s="1"/>
  <c r="P37" i="13"/>
  <c r="Q37" i="13" s="1"/>
  <c r="K37" i="25" s="1"/>
  <c r="L37" i="25" s="1"/>
  <c r="N37" i="25" s="1"/>
  <c r="Q37" i="25" s="1"/>
  <c r="P219" i="13"/>
  <c r="Q219" i="13" s="1"/>
  <c r="K219" i="25" s="1"/>
  <c r="L219" i="25" s="1"/>
  <c r="N219" i="25" s="1"/>
  <c r="Q219" i="25" s="1"/>
  <c r="P227" i="13"/>
  <c r="Q227" i="13" s="1"/>
  <c r="K227" i="25" s="1"/>
  <c r="L227" i="25" s="1"/>
  <c r="N227" i="25" s="1"/>
  <c r="Q227" i="25" s="1"/>
  <c r="P81" i="13"/>
  <c r="Q81" i="13" s="1"/>
  <c r="K81" i="25" s="1"/>
  <c r="L81" i="25" s="1"/>
  <c r="N81" i="25" s="1"/>
  <c r="Q81" i="25" s="1"/>
  <c r="P186" i="13"/>
  <c r="Q186" i="13" s="1"/>
  <c r="K186" i="25" s="1"/>
  <c r="L186" i="25" s="1"/>
  <c r="N186" i="25" s="1"/>
  <c r="Q186" i="25" s="1"/>
  <c r="P65" i="13"/>
  <c r="Q65" i="13" s="1"/>
  <c r="K65" i="25" s="1"/>
  <c r="L65" i="25" s="1"/>
  <c r="N65" i="25" s="1"/>
  <c r="Q65" i="25" s="1"/>
  <c r="P149" i="13"/>
  <c r="Q149" i="13" s="1"/>
  <c r="K149" i="25" s="1"/>
  <c r="L149" i="25" s="1"/>
  <c r="N149" i="25" s="1"/>
  <c r="Q149" i="25" s="1"/>
  <c r="P216" i="13"/>
  <c r="Q216" i="13" s="1"/>
  <c r="K216" i="25" s="1"/>
  <c r="L216" i="25" s="1"/>
  <c r="N216" i="25" s="1"/>
  <c r="Q216" i="25" s="1"/>
  <c r="P94" i="13"/>
  <c r="Q94" i="13" s="1"/>
  <c r="K94" i="25" s="1"/>
  <c r="L94" i="25" s="1"/>
  <c r="P167" i="13"/>
  <c r="Q167" i="13" s="1"/>
  <c r="K167" i="25" s="1"/>
  <c r="L167" i="25" s="1"/>
  <c r="N167" i="25" s="1"/>
  <c r="Q167" i="25" s="1"/>
  <c r="P73" i="13"/>
  <c r="Q73" i="13" s="1"/>
  <c r="K73" i="25" s="1"/>
  <c r="L73" i="25" s="1"/>
  <c r="N73" i="25" s="1"/>
  <c r="Q73" i="25" s="1"/>
  <c r="P89" i="13"/>
  <c r="Q89" i="13" s="1"/>
  <c r="K89" i="25" s="1"/>
  <c r="L89" i="25" s="1"/>
  <c r="N89" i="25" s="1"/>
  <c r="Q89" i="25" s="1"/>
  <c r="P236" i="13"/>
  <c r="Q236" i="13" s="1"/>
  <c r="K236" i="25" s="1"/>
  <c r="L236" i="25" s="1"/>
  <c r="N236" i="25" s="1"/>
  <c r="Q236" i="25" s="1"/>
  <c r="P203" i="13"/>
  <c r="Q203" i="13" s="1"/>
  <c r="K203" i="25" s="1"/>
  <c r="L203" i="25" s="1"/>
  <c r="N203" i="25" s="1"/>
  <c r="Q203" i="25" s="1"/>
  <c r="P168" i="13"/>
  <c r="Q168" i="13" s="1"/>
  <c r="K168" i="25" s="1"/>
  <c r="L168" i="25" s="1"/>
  <c r="N168" i="25" s="1"/>
  <c r="Q168" i="25" s="1"/>
  <c r="P263" i="13"/>
  <c r="Q263" i="13" s="1"/>
  <c r="K263" i="25" s="1"/>
  <c r="L263" i="25" s="1"/>
  <c r="P290" i="13"/>
  <c r="Q290" i="13" s="1"/>
  <c r="K290" i="25" s="1"/>
  <c r="L290" i="25" s="1"/>
  <c r="N290" i="25" s="1"/>
  <c r="Q290" i="25" s="1"/>
  <c r="P15" i="13"/>
  <c r="Q15" i="13" s="1"/>
  <c r="K15" i="25" s="1"/>
  <c r="L15" i="25" s="1"/>
  <c r="N15" i="25" s="1"/>
  <c r="Q15" i="25" s="1"/>
  <c r="L100" i="25"/>
  <c r="N100" i="25" s="1"/>
  <c r="Q100" i="25" s="1"/>
  <c r="N32" i="25" l="1"/>
  <c r="Q32" i="25" s="1"/>
  <c r="N171" i="25"/>
  <c r="Q171" i="25" s="1"/>
  <c r="N244" i="25"/>
  <c r="Q244" i="25" s="1"/>
  <c r="N181" i="25"/>
  <c r="Q181" i="25" s="1"/>
  <c r="N178" i="25"/>
  <c r="Q178" i="25" s="1"/>
  <c r="N94" i="25"/>
  <c r="Q94" i="25" s="1"/>
  <c r="N191" i="25"/>
  <c r="Q191" i="25" s="1"/>
  <c r="N252" i="25"/>
  <c r="Q252" i="25" s="1"/>
  <c r="N169" i="25"/>
  <c r="Q169" i="25" s="1"/>
  <c r="N152" i="25"/>
  <c r="Q152" i="25" s="1"/>
  <c r="N222" i="25"/>
  <c r="Q222" i="25" s="1"/>
  <c r="N251" i="25"/>
  <c r="Q251" i="25" s="1"/>
  <c r="N263" i="25"/>
  <c r="Q263" i="25" s="1"/>
  <c r="N197" i="25"/>
  <c r="Q197" i="25" s="1"/>
  <c r="R179" i="13"/>
  <c r="S179" i="13" s="1"/>
  <c r="R142" i="13"/>
  <c r="S142" i="13" s="1"/>
  <c r="R310" i="13"/>
  <c r="S310" i="13" s="1"/>
  <c r="R227" i="13"/>
  <c r="S227" i="13" s="1"/>
  <c r="R63" i="13"/>
  <c r="S63" i="13" s="1"/>
  <c r="R76" i="13"/>
  <c r="S76" i="13" s="1"/>
  <c r="R111" i="13"/>
  <c r="S111" i="13" s="1"/>
  <c r="R36" i="13"/>
  <c r="S36" i="13" s="1"/>
  <c r="R94" i="13"/>
  <c r="S94" i="13" s="1"/>
  <c r="R73" i="13"/>
  <c r="S73" i="13" s="1"/>
  <c r="R186" i="13"/>
  <c r="S186" i="13" s="1"/>
  <c r="R99" i="13"/>
  <c r="S99" i="13" s="1"/>
  <c r="R109" i="13"/>
  <c r="S109" i="13" s="1"/>
  <c r="R43" i="13"/>
  <c r="S43" i="13" s="1"/>
  <c r="R16" i="13"/>
  <c r="S16" i="13" s="1"/>
  <c r="R177" i="13"/>
  <c r="S177" i="13" s="1"/>
  <c r="R302" i="13"/>
  <c r="S302" i="13" s="1"/>
  <c r="R231" i="13"/>
  <c r="S231" i="13" s="1"/>
  <c r="R290" i="13"/>
  <c r="S290" i="13" s="1"/>
  <c r="R79" i="13"/>
  <c r="S79" i="13" s="1"/>
  <c r="R317" i="13"/>
  <c r="S317" i="13" s="1"/>
  <c r="R189" i="13"/>
  <c r="S189" i="13" s="1"/>
  <c r="R23" i="13"/>
  <c r="S23" i="13" s="1"/>
  <c r="R269" i="13"/>
  <c r="S269" i="13" s="1"/>
  <c r="R297" i="13"/>
  <c r="S297" i="13" s="1"/>
  <c r="R220" i="13"/>
  <c r="S220" i="13" s="1"/>
  <c r="R122" i="13"/>
  <c r="S122" i="13" s="1"/>
  <c r="R145" i="13"/>
  <c r="S145" i="13" s="1"/>
  <c r="R6" i="13"/>
  <c r="S6" i="13" s="1"/>
  <c r="R53" i="13"/>
  <c r="S53" i="13" s="1"/>
  <c r="R217" i="13"/>
  <c r="S217" i="13" s="1"/>
  <c r="R264" i="13"/>
  <c r="S264" i="13" s="1"/>
  <c r="R236" i="13"/>
  <c r="S236" i="13" s="1"/>
  <c r="R204" i="13"/>
  <c r="S204" i="13" s="1"/>
  <c r="R49" i="13"/>
  <c r="S49" i="13" s="1"/>
  <c r="R185" i="13"/>
  <c r="S185" i="13" s="1"/>
  <c r="R252" i="13"/>
  <c r="S252" i="13" s="1"/>
  <c r="R207" i="13"/>
  <c r="S207" i="13" s="1"/>
  <c r="R7" i="13"/>
  <c r="S7" i="13" s="1"/>
  <c r="R108" i="13"/>
  <c r="S108" i="13" s="1"/>
  <c r="R137" i="13"/>
  <c r="S137" i="13" s="1"/>
  <c r="R287" i="13"/>
  <c r="S287" i="13" s="1"/>
  <c r="R14" i="13"/>
  <c r="S14" i="13" s="1"/>
  <c r="R82" i="13"/>
  <c r="S82" i="13" s="1"/>
  <c r="R223" i="13"/>
  <c r="S223" i="13" s="1"/>
  <c r="R169" i="13"/>
  <c r="S169" i="13" s="1"/>
  <c r="R215" i="13"/>
  <c r="S215" i="13" s="1"/>
  <c r="R10" i="13"/>
  <c r="S10" i="13" s="1"/>
  <c r="R15" i="13"/>
  <c r="S15" i="13" s="1"/>
  <c r="R37" i="13"/>
  <c r="S37" i="13" s="1"/>
  <c r="R175" i="13"/>
  <c r="S175" i="13" s="1"/>
  <c r="R253" i="13"/>
  <c r="S253" i="13" s="1"/>
  <c r="R267" i="13"/>
  <c r="S267" i="13" s="1"/>
  <c r="R136" i="13"/>
  <c r="S136" i="13" s="1"/>
  <c r="R77" i="13"/>
  <c r="S77" i="13" s="1"/>
  <c r="R259" i="13"/>
  <c r="S259" i="13" s="1"/>
  <c r="R71" i="13"/>
  <c r="S71" i="13" s="1"/>
  <c r="R296" i="13"/>
  <c r="S296" i="13" s="1"/>
  <c r="R278" i="13"/>
  <c r="S278" i="13" s="1"/>
  <c r="R210" i="13"/>
  <c r="S210" i="13" s="1"/>
  <c r="R271" i="13"/>
  <c r="S271" i="13" s="1"/>
  <c r="R129" i="13"/>
  <c r="S129" i="13" s="1"/>
  <c r="R181" i="13"/>
  <c r="S181" i="13" s="1"/>
  <c r="R168" i="13"/>
  <c r="S168" i="13" s="1"/>
  <c r="R149" i="13"/>
  <c r="S149" i="13" s="1"/>
  <c r="R201" i="13"/>
  <c r="S201" i="13" s="1"/>
  <c r="R235" i="13"/>
  <c r="S235" i="13" s="1"/>
  <c r="R162" i="13"/>
  <c r="S162" i="13" s="1"/>
  <c r="R300" i="13"/>
  <c r="S300" i="13" s="1"/>
  <c r="R126" i="13"/>
  <c r="S126" i="13" s="1"/>
  <c r="R104" i="13"/>
  <c r="S104" i="13" s="1"/>
  <c r="R60" i="13"/>
  <c r="S60" i="13" s="1"/>
  <c r="R157" i="13"/>
  <c r="S157" i="13" s="1"/>
  <c r="R78" i="13"/>
  <c r="S78" i="13" s="1"/>
  <c r="R213" i="13"/>
  <c r="S213" i="13" s="1"/>
  <c r="R173" i="13"/>
  <c r="S173" i="13" s="1"/>
  <c r="R232" i="13"/>
  <c r="S232" i="13" s="1"/>
  <c r="R230" i="13"/>
  <c r="S230" i="13" s="1"/>
  <c r="R301" i="13"/>
  <c r="S301" i="13" s="1"/>
  <c r="R84" i="13"/>
  <c r="S84" i="13" s="1"/>
  <c r="R191" i="13"/>
  <c r="S191" i="13" s="1"/>
  <c r="R263" i="13"/>
  <c r="S263" i="13" s="1"/>
  <c r="R203" i="13"/>
  <c r="S203" i="13" s="1"/>
  <c r="R89" i="13"/>
  <c r="S89" i="13" s="1"/>
  <c r="R167" i="13"/>
  <c r="S167" i="13" s="1"/>
  <c r="R216" i="13"/>
  <c r="S216" i="13" s="1"/>
  <c r="R65" i="13"/>
  <c r="S65" i="13" s="1"/>
  <c r="R81" i="13"/>
  <c r="S81" i="13" s="1"/>
  <c r="R219" i="13"/>
  <c r="S219" i="13" s="1"/>
  <c r="R196" i="13"/>
  <c r="S196" i="13" s="1"/>
  <c r="R35" i="13"/>
  <c r="S35" i="13" s="1"/>
  <c r="R211" i="13"/>
  <c r="S211" i="13" s="1"/>
  <c r="R67" i="13"/>
  <c r="S67" i="13" s="1"/>
  <c r="R69" i="13"/>
  <c r="S69" i="13" s="1"/>
  <c r="R141" i="13"/>
  <c r="S141" i="13" s="1"/>
  <c r="R24" i="13"/>
  <c r="S24" i="13" s="1"/>
  <c r="R11" i="13"/>
  <c r="S11" i="13" s="1"/>
  <c r="R55" i="13"/>
  <c r="S55" i="13" s="1"/>
  <c r="R218" i="13"/>
  <c r="S218" i="13" s="1"/>
  <c r="R188" i="13"/>
  <c r="S188" i="13" s="1"/>
  <c r="R242" i="13"/>
  <c r="S242" i="13" s="1"/>
  <c r="R206" i="13"/>
  <c r="S206" i="13" s="1"/>
  <c r="R105" i="13"/>
  <c r="S105" i="13" s="1"/>
  <c r="R176" i="13"/>
  <c r="S176" i="13" s="1"/>
  <c r="R13" i="13"/>
  <c r="S13" i="13" s="1"/>
  <c r="R249" i="13"/>
  <c r="S249" i="13" s="1"/>
  <c r="R319" i="13"/>
  <c r="S319" i="13" s="1"/>
  <c r="R80" i="13"/>
  <c r="S80" i="13" s="1"/>
  <c r="R154" i="13"/>
  <c r="S154" i="13" s="1"/>
  <c r="R303" i="13"/>
  <c r="S303" i="13" s="1"/>
  <c r="R321" i="13"/>
  <c r="S321" i="13" s="1"/>
  <c r="R38" i="13"/>
  <c r="S38" i="13" s="1"/>
  <c r="R12" i="13"/>
  <c r="S12" i="13" s="1"/>
  <c r="R61" i="13"/>
  <c r="S61" i="13" s="1"/>
  <c r="R75" i="13"/>
  <c r="S75" i="13" s="1"/>
  <c r="R226" i="13"/>
  <c r="S226" i="13" s="1"/>
  <c r="R117" i="13"/>
  <c r="S117" i="13" s="1"/>
  <c r="R138" i="13"/>
  <c r="S138" i="13" s="1"/>
  <c r="R57" i="13"/>
  <c r="S57" i="13" s="1"/>
  <c r="R289" i="13"/>
  <c r="S289" i="13" s="1"/>
  <c r="R299" i="13"/>
  <c r="S299" i="13" s="1"/>
  <c r="R156" i="13"/>
  <c r="S156" i="13" s="1"/>
  <c r="R322" i="13"/>
  <c r="S322" i="13" s="1"/>
  <c r="R47" i="13"/>
  <c r="S47" i="13" s="1"/>
  <c r="R112" i="13"/>
  <c r="S112" i="13" s="1"/>
  <c r="R190" i="13"/>
  <c r="S190" i="13" s="1"/>
  <c r="R119" i="13"/>
  <c r="S119" i="13" s="1"/>
  <c r="R182" i="13"/>
  <c r="S182" i="13" s="1"/>
  <c r="R250" i="13"/>
  <c r="S250" i="13" s="1"/>
  <c r="R131" i="13"/>
  <c r="S131" i="13" s="1"/>
  <c r="R103" i="13"/>
  <c r="S103" i="13" s="1"/>
  <c r="R251" i="13"/>
  <c r="S251" i="13" s="1"/>
  <c r="R44" i="13"/>
  <c r="S44" i="13" s="1"/>
  <c r="R174" i="13"/>
  <c r="S174" i="13" s="1"/>
  <c r="R128" i="13"/>
  <c r="S128" i="13" s="1"/>
  <c r="R34" i="13"/>
  <c r="S34" i="13" s="1"/>
  <c r="R86" i="13"/>
  <c r="S86" i="13" s="1"/>
  <c r="R134" i="13"/>
  <c r="S134" i="13" s="1"/>
  <c r="R102" i="13"/>
  <c r="S102" i="13" s="1"/>
  <c r="R308" i="13"/>
  <c r="S308" i="13" s="1"/>
  <c r="R187" i="13"/>
  <c r="S187" i="13" s="1"/>
  <c r="R212" i="13"/>
  <c r="S212" i="13" s="1"/>
  <c r="R33" i="13"/>
  <c r="S33" i="13" s="1"/>
  <c r="R323" i="13"/>
  <c r="S323" i="13" s="1"/>
  <c r="J324" i="25"/>
  <c r="E39" i="48"/>
  <c r="F39" i="48" s="1"/>
  <c r="F43" i="48" s="1"/>
  <c r="F56" i="48" s="1"/>
  <c r="K6" i="25"/>
  <c r="Q324" i="13"/>
  <c r="D32" i="40" s="1"/>
  <c r="L6" i="25" l="1"/>
  <c r="N6" i="25" s="1"/>
  <c r="Q6" i="25" s="1"/>
  <c r="Q324" i="25" s="1"/>
  <c r="K324" i="25"/>
  <c r="L324" i="25" s="1"/>
  <c r="C32" i="40" s="1"/>
  <c r="N324" i="25" l="1"/>
</calcChain>
</file>

<file path=xl/comments1.xml><?xml version="1.0" encoding="utf-8"?>
<comments xmlns="http://schemas.openxmlformats.org/spreadsheetml/2006/main">
  <authors>
    <author>Thévoz Alexandre</author>
  </authors>
  <commentList>
    <comment ref="AR117" authorId="0">
      <text>
        <r>
          <rPr>
            <b/>
            <sz val="9"/>
            <color indexed="81"/>
            <rFont val="Tahoma"/>
            <family val="2"/>
          </rPr>
          <t>SCL</t>
        </r>
        <r>
          <rPr>
            <sz val="9"/>
            <color indexed="81"/>
            <rFont val="Tahoma"/>
            <family val="2"/>
          </rPr>
          <t xml:space="preserve">
taux de 0 mais 1 dans la fiche de calcul afin de normalisé l'impôt</t>
        </r>
      </text>
    </comment>
  </commentList>
</comments>
</file>

<file path=xl/comments2.xml><?xml version="1.0" encoding="utf-8"?>
<comments xmlns="http://schemas.openxmlformats.org/spreadsheetml/2006/main">
  <authors>
    <author>Thévoz Alexandre</author>
  </authors>
  <commentList>
    <comment ref="K312" authorId="0">
      <text>
        <r>
          <rPr>
            <b/>
            <sz val="9"/>
            <color indexed="81"/>
            <rFont val="Tahoma"/>
            <family val="2"/>
          </rPr>
          <t>SCL</t>
        </r>
        <r>
          <rPr>
            <sz val="9"/>
            <color indexed="81"/>
            <rFont val="Tahoma"/>
            <family val="2"/>
          </rPr>
          <t xml:space="preserve">
La commune de Pomy est sortie de la Polcant à partir du 1 juillet 2015.</t>
        </r>
      </text>
    </comment>
  </commentList>
</comments>
</file>

<file path=xl/sharedStrings.xml><?xml version="1.0" encoding="utf-8"?>
<sst xmlns="http://schemas.openxmlformats.org/spreadsheetml/2006/main" count="1124" uniqueCount="659">
  <si>
    <t>Valeur du point par habitantaprès écrêtage</t>
  </si>
  <si>
    <t>en % de la moyenne après écrêtage</t>
  </si>
  <si>
    <t>pt après écrêtage</t>
  </si>
  <si>
    <t>pts écrêtés</t>
  </si>
  <si>
    <t>Valeur pt après écrêtage</t>
  </si>
  <si>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</si>
  <si>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</si>
  <si>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</si>
  <si>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</si>
  <si>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</si>
  <si>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</si>
  <si>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</si>
  <si>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</si>
  <si>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</si>
  <si>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</si>
  <si>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</si>
  <si>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</si>
  <si>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</si>
  <si>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</si>
  <si>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</si>
  <si>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</si>
  <si>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</si>
  <si>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</si>
  <si>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</si>
  <si>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</si>
  <si>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</si>
  <si>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</si>
  <si>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</si>
  <si>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</si>
  <si>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</si>
  <si>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</si>
  <si>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</si>
  <si>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</si>
  <si>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</si>
  <si>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</si>
  <si>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</si>
  <si>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</si>
  <si>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</si>
  <si>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</si>
  <si>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</si>
  <si>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</si>
  <si>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</si>
  <si>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</si>
  <si>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</si>
  <si>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</si>
  <si>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</si>
  <si>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</si>
  <si>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</si>
  <si>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</si>
  <si>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</si>
  <si>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</si>
  <si>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</si>
  <si>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</si>
  <si>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</si>
  <si>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</si>
  <si>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</si>
  <si>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</si>
  <si>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</si>
  <si>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</si>
  <si>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</si>
  <si>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</si>
  <si>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</si>
  <si>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</si>
  <si>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</si>
  <si>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</si>
  <si>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</si>
  <si>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</si>
  <si>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</si>
  <si>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</si>
  <si>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</si>
  <si>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</si>
  <si>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</si>
  <si>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Essert-Pittet</t>
  </si>
  <si>
    <t>Habitants</t>
  </si>
  <si>
    <t>Valeur par habitant</t>
  </si>
  <si>
    <t>Valeur du point après écrêtage</t>
  </si>
  <si>
    <t>Nyon</t>
  </si>
  <si>
    <t>Prangins</t>
  </si>
  <si>
    <t>Bougy-Villars</t>
  </si>
  <si>
    <t>Yvorne</t>
  </si>
  <si>
    <t>Apples</t>
  </si>
  <si>
    <t>Aubonne</t>
  </si>
  <si>
    <t>Ballens</t>
  </si>
  <si>
    <t>Berolle</t>
  </si>
  <si>
    <t>Bière</t>
  </si>
  <si>
    <t>Taxe annuelle égoûts</t>
  </si>
  <si>
    <t>Ordures</t>
  </si>
  <si>
    <t>Taxe eau</t>
  </si>
  <si>
    <t>Taxe compl. Eau</t>
  </si>
  <si>
    <t>Pompiers</t>
  </si>
  <si>
    <t>Taxe communale de séjour</t>
  </si>
  <si>
    <t>Total taxes</t>
  </si>
  <si>
    <t>Taux communal</t>
  </si>
  <si>
    <t>ISP</t>
  </si>
  <si>
    <t>IPE</t>
  </si>
  <si>
    <t>IBC</t>
  </si>
  <si>
    <t>IET</t>
  </si>
  <si>
    <t>ISO</t>
  </si>
  <si>
    <t>IMM</t>
  </si>
  <si>
    <t>IFO</t>
  </si>
  <si>
    <t>STO</t>
  </si>
  <si>
    <t>IFR</t>
  </si>
  <si>
    <t>ISD</t>
  </si>
  <si>
    <t>DMU</t>
  </si>
  <si>
    <t>IGI</t>
  </si>
  <si>
    <t>IPA</t>
  </si>
  <si>
    <t>ICH</t>
  </si>
  <si>
    <t>IDI</t>
  </si>
  <si>
    <t>IDV</t>
  </si>
  <si>
    <t>TOT</t>
  </si>
  <si>
    <t>Taxegout</t>
  </si>
  <si>
    <t>Taxcegou</t>
  </si>
  <si>
    <t>Taxaneg</t>
  </si>
  <si>
    <t>Taxenc</t>
  </si>
  <si>
    <t>Ordure</t>
  </si>
  <si>
    <t>Taxeau</t>
  </si>
  <si>
    <t>Taxceau</t>
  </si>
  <si>
    <t>Facture sociale à charge des communes</t>
  </si>
  <si>
    <t>Facture sociale</t>
  </si>
  <si>
    <t>Alimentation</t>
  </si>
  <si>
    <t>./. Dép. thématiques</t>
  </si>
  <si>
    <t>Commune</t>
  </si>
  <si>
    <t>Chiens</t>
  </si>
  <si>
    <t>Divertissements</t>
  </si>
  <si>
    <t>Divers</t>
  </si>
  <si>
    <t>Taxe egoûts</t>
  </si>
  <si>
    <t>Taxe compl. Égoûts</t>
  </si>
  <si>
    <t>Chavannes-sur-Moudon</t>
  </si>
  <si>
    <t>Chesalles-sur-Moudon</t>
  </si>
  <si>
    <t>Cremin</t>
  </si>
  <si>
    <t>Curtilles</t>
  </si>
  <si>
    <t>Dompierre</t>
  </si>
  <si>
    <t>Forel-sur-Lucens</t>
  </si>
  <si>
    <t>Hermenches</t>
  </si>
  <si>
    <t>Lovatens</t>
  </si>
  <si>
    <t>Lucens</t>
  </si>
  <si>
    <t>Moudon</t>
  </si>
  <si>
    <t>Ogens</t>
  </si>
  <si>
    <t>Prévonloup</t>
  </si>
  <si>
    <t>Rossenges</t>
  </si>
  <si>
    <t>Sarzens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</si>
  <si>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</si>
  <si>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</si>
  <si>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</si>
  <si>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</si>
  <si>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</si>
  <si>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</si>
  <si>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</si>
  <si>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</si>
  <si>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</si>
  <si>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</si>
  <si>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</si>
  <si>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</si>
  <si>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</si>
  <si>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</si>
  <si>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</si>
  <si>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</si>
  <si>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</si>
  <si>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</si>
  <si>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</si>
  <si>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</si>
  <si>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</si>
  <si>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</si>
  <si>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</si>
  <si>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</si>
  <si>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</si>
  <si>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</si>
  <si>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</si>
  <si>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</si>
  <si>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</si>
  <si>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</si>
  <si>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</si>
  <si>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</si>
  <si>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</si>
  <si>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</si>
  <si>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</si>
  <si>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</si>
  <si>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</si>
  <si>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</si>
  <si>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Péréquation directe nette</t>
  </si>
  <si>
    <t>Plafond en pts</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</si>
  <si>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</si>
  <si>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</si>
  <si>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</si>
  <si>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</si>
  <si>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</si>
  <si>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</si>
  <si>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</si>
  <si>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</si>
  <si>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</si>
  <si>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</si>
  <si>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</si>
  <si>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</si>
  <si>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</si>
  <si>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</si>
  <si>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</si>
  <si>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</si>
  <si>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</si>
  <si>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</si>
  <si>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</si>
  <si>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</si>
  <si>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</si>
  <si>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</si>
  <si>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</si>
  <si>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</si>
  <si>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</si>
  <si>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</si>
  <si>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</si>
  <si>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</si>
  <si>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</si>
  <si>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</si>
  <si>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</si>
  <si>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</si>
  <si>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</si>
  <si>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</si>
  <si>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</si>
  <si>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</si>
  <si>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</si>
  <si>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</si>
  <si>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</si>
  <si>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</si>
  <si>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</si>
  <si>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</si>
  <si>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</si>
  <si>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</si>
  <si>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</si>
  <si>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</si>
  <si>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</si>
  <si>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</si>
  <si>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</si>
  <si>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</si>
  <si>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</si>
  <si>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Patentes</t>
  </si>
  <si>
    <t>Villars-sous-Yens</t>
  </si>
  <si>
    <t>Vufflens-le-Château</t>
  </si>
  <si>
    <t>Vullierens</t>
  </si>
  <si>
    <t>Yens</t>
  </si>
  <si>
    <t>Boulens</t>
  </si>
  <si>
    <t>Brenles</t>
  </si>
  <si>
    <t>Bussy-sur-Moudon</t>
  </si>
  <si>
    <t>Le Chenit</t>
  </si>
  <si>
    <t>Le Lieu</t>
  </si>
  <si>
    <t>Blonay</t>
  </si>
  <si>
    <t>Chardonne</t>
  </si>
  <si>
    <t>Corseaux</t>
  </si>
  <si>
    <t>Boussens</t>
  </si>
  <si>
    <t>La Chaux (Cossonay)</t>
  </si>
  <si>
    <t>Plafonnement de l'effort</t>
  </si>
  <si>
    <t>Solde net des péréquations</t>
  </si>
  <si>
    <t>Prise en charge dépassement</t>
  </si>
  <si>
    <t>Forêts</t>
  </si>
  <si>
    <t>Dépassement forêts</t>
  </si>
  <si>
    <t>Romanel-sur-Lausanne</t>
  </si>
  <si>
    <t>La Praz</t>
  </si>
  <si>
    <t>Premier</t>
  </si>
  <si>
    <t>Rances</t>
  </si>
  <si>
    <t>Indicateurs financiers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</si>
  <si>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</si>
  <si>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</si>
  <si>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</si>
  <si>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</si>
  <si>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</si>
  <si>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</si>
  <si>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</si>
  <si>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</si>
  <si>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</si>
  <si>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</si>
  <si>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</si>
  <si>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</si>
  <si>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</si>
  <si>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</si>
  <si>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</si>
  <si>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</si>
  <si>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</si>
  <si>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</si>
  <si>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</si>
  <si>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</si>
  <si>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</si>
  <si>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</si>
  <si>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</si>
  <si>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</si>
  <si>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</si>
  <si>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</si>
  <si>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</si>
  <si>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</si>
  <si>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</si>
  <si>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</si>
  <si>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</si>
  <si>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</si>
  <si>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Taxe annuelle compl égoûts (association)</t>
  </si>
  <si>
    <t>Plafond effort</t>
  </si>
  <si>
    <t>Plafond taux</t>
  </si>
  <si>
    <t>Chavannes-près-Renens</t>
  </si>
  <si>
    <t>Chigny</t>
  </si>
  <si>
    <t>Diff. De taux</t>
  </si>
  <si>
    <t>Impôt spécial affecté</t>
  </si>
  <si>
    <t>Impôt personnel</t>
  </si>
  <si>
    <t>Pers. morales bénéfice / capital</t>
  </si>
  <si>
    <t>Pompier</t>
  </si>
  <si>
    <t>Taxcomse</t>
  </si>
  <si>
    <t>Tot. taxes</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</si>
  <si>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</si>
  <si>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</si>
  <si>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</si>
  <si>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</si>
  <si>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</si>
  <si>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</si>
  <si>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</si>
  <si>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</si>
  <si>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</si>
  <si>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</si>
  <si>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</si>
  <si>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</si>
  <si>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</si>
  <si>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</si>
  <si>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</si>
  <si>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</si>
  <si>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</si>
  <si>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Carrouge</t>
  </si>
  <si>
    <t>./. Gestion du fonds</t>
  </si>
  <si>
    <t>Corcelles-le-Jorat</t>
  </si>
  <si>
    <t>Essertes</t>
  </si>
  <si>
    <t>Ferlens</t>
  </si>
  <si>
    <t>Maracon</t>
  </si>
  <si>
    <t>Mézières</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</si>
  <si>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</si>
  <si>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</si>
  <si>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</si>
  <si>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</si>
  <si>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</si>
  <si>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</si>
  <si>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</si>
  <si>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</si>
  <si>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</si>
  <si>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</si>
  <si>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</si>
  <si>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</si>
  <si>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</si>
  <si>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Seuil 0</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</si>
  <si>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</si>
  <si>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</si>
  <si>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</si>
  <si>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</si>
  <si>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</si>
  <si>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</si>
  <si>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</si>
  <si>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</si>
  <si>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</si>
  <si>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</si>
  <si>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</si>
  <si>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</si>
  <si>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</si>
  <si>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</si>
  <si>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</si>
  <si>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</si>
  <si>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</si>
  <si>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</si>
  <si>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</si>
  <si>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</si>
  <si>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</si>
  <si>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</si>
  <si>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</si>
  <si>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</si>
  <si>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</si>
  <si>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</si>
  <si>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</si>
  <si>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</si>
  <si>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</si>
  <si>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</si>
  <si>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</si>
  <si>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</si>
  <si>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</si>
  <si>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</si>
  <si>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Routes</t>
  </si>
  <si>
    <t>Transports publics</t>
  </si>
  <si>
    <t>Transports scolaires</t>
  </si>
  <si>
    <t>Corcelles-sur-Chavornay</t>
  </si>
  <si>
    <t>Croy</t>
  </si>
  <si>
    <t>Juriens</t>
  </si>
  <si>
    <t>Lignerolle</t>
  </si>
  <si>
    <t>Montcherand</t>
  </si>
  <si>
    <t>Orbe</t>
  </si>
  <si>
    <t>Vallorbe</t>
  </si>
  <si>
    <t>Vaulion</t>
  </si>
  <si>
    <t>Vuiteboeuf</t>
  </si>
  <si>
    <t>Effort plafonné</t>
  </si>
  <si>
    <t>Impôts suivant le taux</t>
  </si>
  <si>
    <t>Féchy</t>
  </si>
  <si>
    <t>Gimel</t>
  </si>
  <si>
    <t>Saint-Livres</t>
  </si>
  <si>
    <t>Saint-Oyens</t>
  </si>
  <si>
    <t>Saubraz</t>
  </si>
  <si>
    <t>Avenches</t>
  </si>
  <si>
    <t>Cudrefin</t>
  </si>
  <si>
    <t>Faoug</t>
  </si>
  <si>
    <t>Bettens</t>
  </si>
  <si>
    <t>Bournens</t>
  </si>
  <si>
    <t>% taux communal moyen</t>
  </si>
  <si>
    <t>Compensation nette</t>
  </si>
  <si>
    <t>Différence à compenser</t>
  </si>
  <si>
    <t>A recevoir population</t>
  </si>
  <si>
    <t>Total péréquation directe</t>
  </si>
  <si>
    <t>Total éléments divers</t>
  </si>
  <si>
    <t>Effort total net</t>
  </si>
  <si>
    <t xml:space="preserve">Taux actuel </t>
  </si>
  <si>
    <t xml:space="preserve">Solde net actuel
</t>
  </si>
  <si>
    <t xml:space="preserve">Taux </t>
  </si>
  <si>
    <t>Pop.</t>
  </si>
  <si>
    <t>Longirod</t>
  </si>
  <si>
    <t>Marchissy</t>
  </si>
  <si>
    <t>Mollens</t>
  </si>
  <si>
    <t>Montherod</t>
  </si>
  <si>
    <t>Saint-George</t>
  </si>
  <si>
    <t>Total des prises en charges</t>
  </si>
  <si>
    <t>Thématique</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</si>
  <si>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</si>
  <si>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</si>
  <si>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</si>
  <si>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</si>
  <si>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</si>
  <si>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</si>
  <si>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</si>
  <si>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</si>
  <si>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</si>
  <si>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</si>
  <si>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</si>
  <si>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</si>
  <si>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</si>
  <si>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</si>
  <si>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</si>
  <si>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</si>
  <si>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</si>
  <si>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</si>
  <si>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</si>
  <si>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</si>
  <si>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</si>
  <si>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</si>
  <si>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</si>
  <si>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</si>
  <si>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</si>
  <si>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</si>
  <si>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</si>
  <si>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</si>
  <si>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</si>
  <si>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</si>
  <si>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</si>
  <si>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</si>
  <si>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</si>
  <si>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</si>
  <si>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</si>
  <si>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</si>
  <si>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</si>
  <si>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Répartition selon péréquation</t>
  </si>
  <si>
    <t>Solde péréquation directe</t>
  </si>
  <si>
    <t>Points</t>
  </si>
  <si>
    <t>Seuil 3</t>
  </si>
  <si>
    <t>Effort total sans thématiques</t>
  </si>
  <si>
    <t>Plafonnement aide</t>
  </si>
  <si>
    <t>Pers. physiques - revenu</t>
  </si>
  <si>
    <t xml:space="preserve">Pers. physiques - fortune </t>
  </si>
  <si>
    <t xml:space="preserve">Pers. morales bénéfice </t>
  </si>
  <si>
    <t>Pers. morales  capital</t>
  </si>
  <si>
    <t>Impôt sur la dépense (étrangers)</t>
  </si>
  <si>
    <t>Impôt récupéré après défalcation</t>
  </si>
  <si>
    <t>Patentes tabacs</t>
  </si>
  <si>
    <t>Patentes diverses</t>
  </si>
  <si>
    <t>Taxe épuration</t>
  </si>
  <si>
    <t>Taxe compl. Epuration</t>
  </si>
  <si>
    <t>Taxe annuelle Epuration</t>
  </si>
  <si>
    <t>Taxe annuelle encaissée par une association</t>
  </si>
  <si>
    <t>Taxe pour l'usage du sol</t>
  </si>
  <si>
    <t>taxe pour l'éclairage public</t>
  </si>
  <si>
    <t>Taxe pour l'amélioration énergétique</t>
  </si>
  <si>
    <t>Taxe pour le développement durable</t>
  </si>
  <si>
    <t>PPR</t>
  </si>
  <si>
    <t>PPF</t>
  </si>
  <si>
    <t>PMB</t>
  </si>
  <si>
    <t>PMC</t>
  </si>
  <si>
    <t>Montant plafonnement totaux</t>
  </si>
  <si>
    <t xml:space="preserve">Montant prélevé </t>
  </si>
  <si>
    <t xml:space="preserve">./. Plafonnements totaux </t>
  </si>
  <si>
    <t xml:space="preserve">./. Réserve </t>
  </si>
  <si>
    <t>Valeur du point d'impôt écrêté</t>
  </si>
  <si>
    <t>Point d'impôts écrêtés</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</si>
  <si>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</si>
  <si>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</si>
  <si>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</si>
  <si>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</si>
  <si>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</si>
  <si>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</si>
  <si>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</si>
  <si>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</si>
  <si>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</si>
  <si>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</si>
  <si>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</si>
  <si>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</si>
  <si>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Facture en points d'impôts écrêtés</t>
  </si>
  <si>
    <t>Plafond de 
taux et de l'effort</t>
  </si>
  <si>
    <t>Variation facture sociale</t>
  </si>
  <si>
    <t>Variation point d'impôt</t>
  </si>
  <si>
    <t>Indexation</t>
  </si>
  <si>
    <t>Plafond aide</t>
  </si>
  <si>
    <t>Bussigny</t>
  </si>
  <si>
    <t>Arzier-Le Muids</t>
  </si>
  <si>
    <t>Montanaire</t>
  </si>
  <si>
    <t>Valeur point impôt écrêtés</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</si>
  <si>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</si>
  <si>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</si>
  <si>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</si>
  <si>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</si>
  <si>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</si>
  <si>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</si>
  <si>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</si>
  <si>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Taxe compl. eau</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</si>
  <si>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</si>
  <si>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</si>
  <si>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</si>
  <si>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</si>
  <si>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</si>
  <si>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</si>
  <si>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</si>
  <si>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</si>
  <si>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</si>
  <si>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</si>
  <si>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</si>
  <si>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</si>
  <si>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</si>
  <si>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</si>
  <si>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</si>
  <si>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</si>
  <si>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</si>
  <si>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</si>
  <si>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</si>
  <si>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 xml:space="preserve">I) Indexation </t>
  </si>
  <si>
    <t>H) Paramètres de plafonnement en points</t>
  </si>
  <si>
    <t>Impôts théoriques</t>
  </si>
  <si>
    <t>Synthèse en CHF</t>
  </si>
  <si>
    <t>Ecrêtage</t>
  </si>
  <si>
    <t xml:space="preserve">J) Liste des communes A--&gt;Z </t>
  </si>
  <si>
    <t>Recettes conjoncturelles (DM + GI + Succ.)</t>
  </si>
  <si>
    <t>Répartition solde après prélèvements</t>
  </si>
  <si>
    <t>Nombre de points écrêtés</t>
  </si>
  <si>
    <t>Total de la facture sociale</t>
  </si>
  <si>
    <t>Solidarité</t>
  </si>
  <si>
    <t>Transports</t>
  </si>
  <si>
    <t>Plafonnements</t>
  </si>
  <si>
    <t>Effort</t>
  </si>
  <si>
    <t>Aide</t>
  </si>
  <si>
    <t>Taux</t>
  </si>
  <si>
    <t>Total de la péréquation directe</t>
  </si>
  <si>
    <t>Montant à charge de la commune</t>
  </si>
  <si>
    <t>Résumé par commune</t>
  </si>
  <si>
    <t>Communes sans police communale/intercommunale = 0</t>
  </si>
  <si>
    <t>Imp théoriques</t>
  </si>
  <si>
    <t>Facturation de l'Etat au coût réel (Fr/hab) aux communes délégatrices, mais max 2 pts</t>
  </si>
  <si>
    <t>Manco pour l'Etat - à couvrir par la péréquation (en points d'impôts écrêtés)</t>
  </si>
  <si>
    <t>Montant total avec le renchérissement à payer par les communes en pts d'impôts écrêtés</t>
  </si>
  <si>
    <t>Total à charge des communes</t>
  </si>
  <si>
    <t>Réforme policière</t>
  </si>
  <si>
    <t>Financement reçu pour les nouvelles tâches</t>
  </si>
  <si>
    <t>J) Réforme policière</t>
  </si>
  <si>
    <t>Nombre de point</t>
  </si>
  <si>
    <t>Coût réel par habitant en CHF</t>
  </si>
  <si>
    <t>Point d'impôt écrêté</t>
  </si>
  <si>
    <t>Référome policière</t>
  </si>
  <si>
    <t>Charges pour commune sans police</t>
  </si>
  <si>
    <t>Répartition du solde</t>
  </si>
  <si>
    <t>Total net</t>
  </si>
  <si>
    <t>Facture</t>
  </si>
  <si>
    <t>Date population</t>
  </si>
  <si>
    <t>Date taux d'impôt</t>
  </si>
  <si>
    <t>Taux IFO</t>
  </si>
  <si>
    <t>Total de la réforme policière</t>
  </si>
  <si>
    <t>Facture sociale 2014</t>
  </si>
  <si>
    <t>Facture sociale 2015</t>
  </si>
  <si>
    <t>Valeur du point d'impôt 2015</t>
  </si>
  <si>
    <t>Rendement impôts communaux et taxes - 2015</t>
  </si>
  <si>
    <t>I m p ô t s   c o m m u n a u x</t>
  </si>
  <si>
    <t>Remarques/corrections</t>
  </si>
  <si>
    <t>Impôt sur le revenu PP</t>
  </si>
  <si>
    <t>Impôt sur la fortune PP</t>
  </si>
  <si>
    <t>Impôt personnel fixe</t>
  </si>
  <si>
    <t>Impôt sur le bénéfice PM</t>
  </si>
  <si>
    <t>Impôt sur le capital PM</t>
  </si>
  <si>
    <t>Impôt sur la dépense (anc. Spécial étranger)</t>
  </si>
  <si>
    <t>Impôt complémentaire sur immeubles PM</t>
  </si>
  <si>
    <t>Sous-total impôts</t>
  </si>
  <si>
    <r>
      <t>4411</t>
    </r>
    <r>
      <rPr>
        <sz val="10"/>
        <color indexed="9"/>
        <rFont val="Calibri"/>
        <family val="2"/>
        <scheme val="minor"/>
      </rPr>
      <t xml:space="preserve"> (a)</t>
    </r>
  </si>
  <si>
    <t>Impôt sur les frontaliers</t>
  </si>
  <si>
    <t>Impôt sur les successions et donations</t>
  </si>
  <si>
    <t>Impôt sur les gains immobiliers</t>
  </si>
  <si>
    <t>Impôt sur les chiens</t>
  </si>
  <si>
    <t>Impôt sur les divertissements</t>
  </si>
  <si>
    <t>Impôts divers</t>
  </si>
  <si>
    <t>Total des impôts</t>
  </si>
  <si>
    <t>T a x e s   c o m m u n a l e s</t>
  </si>
  <si>
    <t>Taxe de raccordement épuration</t>
  </si>
  <si>
    <t>Taxe raccordement complé. Épuration</t>
  </si>
  <si>
    <t>Taxe annuelle épuration</t>
  </si>
  <si>
    <t>Taxes annuelles déchets</t>
  </si>
  <si>
    <t>Taxe raccordement eau</t>
  </si>
  <si>
    <t>Taxe raccordement compl. Eau</t>
  </si>
  <si>
    <t>Taxe non-pompier</t>
  </si>
  <si>
    <t>Taxe pour l'éclairage public</t>
  </si>
  <si>
    <t>Total des taxes</t>
  </si>
  <si>
    <t>3301/319</t>
  </si>
  <si>
    <t>Pertes sur débiteurs (défalcations/remises)</t>
  </si>
  <si>
    <t>Modifications de taxations antérieures</t>
  </si>
  <si>
    <t>La Syndique/Le Syndic</t>
  </si>
  <si>
    <t>La Secrétaire Municipale/Le Secrétaire Municipal</t>
  </si>
  <si>
    <t>Signatures</t>
  </si>
  <si>
    <t>Prénoms/noms</t>
  </si>
  <si>
    <t>Taux d'imposition 2015</t>
  </si>
  <si>
    <t>Taux impôt foncier 2015 en 0/00</t>
  </si>
  <si>
    <t>Population au 31.12.2015 selon FAO en nb d'habitants</t>
  </si>
  <si>
    <t>A u t r e s   i n f o r m a t i o n s</t>
  </si>
  <si>
    <t>Impôt foncier (non normalisé)</t>
  </si>
  <si>
    <t>Nous confirmons l'exactitude et la validité de ces montants. Ils correspondent aux chiffres que nous (commune) vous avons communiqué précédemment. Nous confirmons également l'exactitude des informations supplémentaires relatives aux taux d'imposition ainsi qu'à la population. Ces données seront utilisées pour le calcul du décompte final de la péréquation 2015.</t>
  </si>
  <si>
    <t>Valeur du point d'impôt 2014</t>
  </si>
  <si>
    <t>Date plafonnement du taux (N-1)</t>
  </si>
  <si>
    <t>Max. selon art. 4 DLPIC</t>
  </si>
  <si>
    <t>Seuil de population (habitants). Art. 2 DLPIC</t>
  </si>
  <si>
    <t>Selon Art. 3 DLPIC</t>
  </si>
  <si>
    <t>Gestion du fond (montant négatif). Art. 8 DLPIC</t>
  </si>
  <si>
    <t>% prélevé. Art. 4 LPIC</t>
  </si>
  <si>
    <t>Frontaliers. Art. 3 LPIC</t>
  </si>
  <si>
    <t>Forêts, nombre de points. Art. 4 DLPIC</t>
  </si>
  <si>
    <t>Effort maximum plafonné. Art. 5 DLPIC</t>
  </si>
  <si>
    <t>Taux maximum plafoné. Art. 6 DLPIC</t>
  </si>
  <si>
    <t>Aide maximale plafonnée. Art. 7 DLPIC</t>
  </si>
  <si>
    <t>Redistriubtion année 2014 thématiques</t>
  </si>
  <si>
    <t>Total final</t>
  </si>
  <si>
    <t>x</t>
  </si>
  <si>
    <t>Retour thématiques 2014</t>
  </si>
  <si>
    <t>P é r é q u a t i o n   i n d i r e c t e   (facture sociale)</t>
  </si>
  <si>
    <t>P é r é q u a t i o n   d i r e c t e</t>
  </si>
  <si>
    <t>R é f o r m e   p o l i c i è r e</t>
  </si>
  <si>
    <t>T o t a l   p é r é q u a t i o n   d i r e c t e,   i n d i r e c t e   e t   p o l i c e</t>
  </si>
  <si>
    <t>décompte 2015</t>
  </si>
  <si>
    <t>Treytorrens (Payerne)</t>
  </si>
  <si>
    <t>Saint-Légier-La Chiésaz</t>
  </si>
  <si>
    <t>Commune
LDecTer, Etat 01.05.2014</t>
  </si>
  <si>
    <t>Situation N-1</t>
  </si>
  <si>
    <t>Effort péréquatif. Art. 5 DLPIC</t>
  </si>
  <si>
    <t>Dépassement du taux. Art. 6 DLPIC</t>
  </si>
  <si>
    <t>Péréquation horizontale</t>
  </si>
  <si>
    <t>Acomptes</t>
  </si>
  <si>
    <t>Factures sociale</t>
  </si>
  <si>
    <t>Différence</t>
  </si>
  <si>
    <t>Décompte</t>
  </si>
  <si>
    <t>Différences</t>
  </si>
  <si>
    <t>Décompte 2015 vs. Acomptes 2015</t>
  </si>
  <si>
    <t>Décomptes</t>
  </si>
  <si>
    <t>Soldes</t>
  </si>
  <si>
    <t>S y n t h è s e   e n   C H F</t>
  </si>
  <si>
    <t>Totaux</t>
  </si>
  <si>
    <t>(+ à payer / - à recevoir)</t>
  </si>
  <si>
    <t>Acomptes*</t>
  </si>
  <si>
    <t>*montants selon le fichier des acomptes initiaux adoptés par la COPAR. Ne tient pas compte des arrangements survenus en cours d'année. Les factures, respectivement les remboursements, seront gérés par les services directement concernés à savoir :
- pour la facture sociale, par le département de la santé et de l'action sociale ;
- pour la péréquation directe, par le service des communes et du logement ;
- pour la réforme policière, par la police cantonale.</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</si>
</sst>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_-* #,##0.00_-;\-* #,##0.00_-;_-* &quot;-&quot;??_-;_-@_-"/>
    <numFmt numFmtId="165" formatCode="#\ ###\ ###\ ##0"/>
    <numFmt numFmtId="166" formatCode="#,##0.0"/>
    <numFmt numFmtId="167" formatCode="0.0%"/>
    <numFmt numFmtId="168" formatCode="#\ ###\ ##0"/>
    <numFmt numFmtId="169" formatCode="0.000"/>
    <numFmt numFmtId="170" formatCode="#,##0.000"/>
    <numFmt numFmtId="171" formatCode="#,##0;\-#,##0;"/>
    <numFmt numFmtId="172" formatCode="#,##0.000000"/>
    <numFmt numFmtId="173" formatCode="0.0000"/>
    <numFmt numFmtId="174" formatCode="_-* #,##0_-;\-* #,##0_-;_-* &quot;-&quot;??_-;_-@_-"/>
    <numFmt numFmtId="175" formatCode="_ * #,##0_ ;_ * \-#,##0_ ;_ * &quot;-&quot;??_ ;_ @_ "/>
    <numFmt numFmtId="176" formatCode="_-* #,##0.0_-;\-* #,##0.0_-;_-* &quot;-&quot;??_-;_-@_-"/>
    <numFmt numFmtId="177" formatCode="[$-F800]dddd\,\ mmmm\ dd\,\ yyyy"/>
    <numFmt numFmtId="178" formatCode="[$-100C]d\ mmm\ yy;@"/>
  </numFmts>
  <fonts count="39"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b/>
      <sz val="11"/>
      <color theme="0"/>
      <name val="Calibri"/>
      <family val="2"/>
      <scheme val="minor"/>
    </font>
    <font>
      <sz val="18"/>
      <name val="Calibri"/>
      <family val="2"/>
      <scheme val="minor"/>
    </font>
    <font>
      <sz val="10"/>
      <color indexed="8"/>
      <name val="Calibri"/>
      <family val="2"/>
      <scheme val="minor"/>
    </font>
    <font>
      <sz val="10"/>
      <name val="Calibri"/>
      <family val="2"/>
      <scheme val="minor"/>
    </font>
    <font>
      <sz val="12"/>
      <color theme="0"/>
      <name val="Trebuchet MS"/>
      <family val="2"/>
    </font>
    <font>
      <sz val="10"/>
      <color indexed="9"/>
      <name val="Calibri"/>
      <family val="2"/>
      <scheme val="minor"/>
    </font>
    <font>
      <b/>
      <sz val="10"/>
      <color indexed="8"/>
      <name val="Calibri"/>
      <family val="2"/>
      <scheme val="minor"/>
    </font>
    <font>
      <b/>
      <sz val="10"/>
      <name val="Calibri"/>
      <family val="2"/>
      <scheme val="minor"/>
    </font>
    <font>
      <sz val="10"/>
      <color theme="0"/>
      <name val="Calibri"/>
      <family val="2"/>
      <scheme val="minor"/>
    </font>
    <font>
      <i/>
      <sz val="8"/>
      <name val="Calibri"/>
      <family val="2"/>
      <scheme val="minor"/>
    </font>
    <font>
      <sz val="9"/>
      <color indexed="81"/>
      <name val="Tahoma"/>
      <family val="2"/>
    </font>
    <font>
      <b/>
      <sz val="9"/>
      <color indexed="81"/>
      <name val="Tahoma"/>
      <family val="2"/>
    </font>
    <font>
      <sz val="14"/>
      <name val="Trebuchet MS"/>
      <family val="2"/>
    </font>
    <font>
      <sz val="8"/>
      <name val="Calibri"/>
      <family val="2"/>
      <scheme val="minor"/>
    </font>
    <font>
      <sz val="9"/>
      <name val="Calibri"/>
      <family val="2"/>
      <scheme val="minor"/>
    </font>
  </fonts>
  <fills count="14">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bottom style="hair">
        <color indexed="64"/>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bottom style="thin">
        <color indexed="64"/>
      </bottom>
      <diagonal/>
    </border>
  </borders>
  <cellStyleXfs count="19">
    <xf numFmtId="0" fontId="0" fillId="0" borderId="0"/>
    <xf numFmtId="0" fontId="9" fillId="0" borderId="1"/>
    <xf numFmtId="0" fontId="10" fillId="0" borderId="0"/>
    <xf numFmtId="0" fontId="9" fillId="0" borderId="2">
      <alignment vertical="top"/>
    </xf>
    <xf numFmtId="164" fontId="4"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1" fillId="0" borderId="0"/>
    <xf numFmtId="0" fontId="8" fillId="0" borderId="0"/>
    <xf numFmtId="0" fontId="6" fillId="0" borderId="0"/>
    <xf numFmtId="0" fontId="12" fillId="0" borderId="0"/>
    <xf numFmtId="0" fontId="5" fillId="0" borderId="0"/>
    <xf numFmtId="9" fontId="4" fillId="0" borderId="0" applyFont="0" applyFill="0" applyBorder="0" applyAlignment="0" applyProtection="0"/>
    <xf numFmtId="9" fontId="6" fillId="0" borderId="0" applyFont="0" applyFill="0" applyBorder="0" applyAlignment="0" applyProtection="0"/>
    <xf numFmtId="43" fontId="23" fillId="0" borderId="0" applyFont="0" applyFill="0" applyBorder="0" applyAlignment="0" applyProtection="0"/>
    <xf numFmtId="0" fontId="23" fillId="0" borderId="0"/>
    <xf numFmtId="0" fontId="8" fillId="0" borderId="0">
      <alignment vertical="top"/>
    </xf>
    <xf numFmtId="43" fontId="1" fillId="0" borderId="0" applyFont="0" applyFill="0" applyBorder="0" applyAlignment="0" applyProtection="0"/>
    <xf numFmtId="0" fontId="1" fillId="0" borderId="0"/>
  </cellStyleXfs>
  <cellXfs count="543">
    <xf numFmtId="0" fontId="0" fillId="0" borderId="0" xfId="0"/>
    <xf numFmtId="174" fontId="14" fillId="0" borderId="0" xfId="4" applyNumberFormat="1" applyFont="1" applyFill="1" applyBorder="1"/>
    <xf numFmtId="174" fontId="14" fillId="2" borderId="0" xfId="4" applyNumberFormat="1" applyFont="1" applyFill="1" applyBorder="1"/>
    <xf numFmtId="174" fontId="14" fillId="2" borderId="5" xfId="4" applyNumberFormat="1" applyFont="1" applyFill="1" applyBorder="1"/>
    <xf numFmtId="174" fontId="14" fillId="3" borderId="5" xfId="4" applyNumberFormat="1" applyFont="1" applyFill="1" applyBorder="1"/>
    <xf numFmtId="0" fontId="14" fillId="4" borderId="0" xfId="0" applyNumberFormat="1" applyFont="1" applyFill="1" applyAlignment="1">
      <alignment horizontal="left"/>
    </xf>
    <xf numFmtId="0" fontId="14" fillId="4" borderId="0" xfId="0" applyNumberFormat="1" applyFont="1" applyFill="1" applyAlignment="1">
      <alignment horizontal="center"/>
    </xf>
    <xf numFmtId="174" fontId="14" fillId="4" borderId="0" xfId="4" applyNumberFormat="1" applyFont="1" applyFill="1" applyAlignment="1">
      <alignment horizontal="center"/>
    </xf>
    <xf numFmtId="174" fontId="14" fillId="4" borderId="0" xfId="4" applyNumberFormat="1" applyFont="1" applyFill="1"/>
    <xf numFmtId="174" fontId="14" fillId="4" borderId="0" xfId="4" applyNumberFormat="1" applyFont="1" applyFill="1" applyAlignment="1">
      <alignment horizontal="left"/>
    </xf>
    <xf numFmtId="174" fontId="15" fillId="4" borderId="0" xfId="4" applyNumberFormat="1" applyFont="1" applyFill="1"/>
    <xf numFmtId="0" fontId="14" fillId="4" borderId="15" xfId="0" applyNumberFormat="1" applyFont="1" applyFill="1" applyBorder="1" applyAlignment="1">
      <alignment horizontal="center"/>
    </xf>
    <xf numFmtId="0" fontId="14" fillId="4" borderId="5" xfId="0" applyNumberFormat="1" applyFont="1" applyFill="1" applyBorder="1" applyAlignment="1">
      <alignment horizontal="center"/>
    </xf>
    <xf numFmtId="3" fontId="14" fillId="4" borderId="9" xfId="0" applyNumberFormat="1" applyFont="1" applyFill="1" applyBorder="1"/>
    <xf numFmtId="174" fontId="14" fillId="4" borderId="5" xfId="4" applyNumberFormat="1" applyFont="1" applyFill="1" applyBorder="1"/>
    <xf numFmtId="174" fontId="14" fillId="4" borderId="15" xfId="4" applyNumberFormat="1" applyFont="1" applyFill="1" applyBorder="1"/>
    <xf numFmtId="165" fontId="14" fillId="4" borderId="0" xfId="0" applyNumberFormat="1" applyFont="1" applyFill="1"/>
    <xf numFmtId="3" fontId="14" fillId="4" borderId="0" xfId="0" applyNumberFormat="1" applyFont="1" applyFill="1"/>
    <xf numFmtId="0" fontId="14" fillId="4" borderId="0" xfId="0" applyFont="1" applyFill="1"/>
    <xf numFmtId="174" fontId="14" fillId="4" borderId="0" xfId="4" applyNumberFormat="1" applyFont="1" applyFill="1" applyBorder="1"/>
    <xf numFmtId="164" fontId="14" fillId="4" borderId="0" xfId="4" applyFont="1" applyFill="1"/>
    <xf numFmtId="0" fontId="14" fillId="4" borderId="0" xfId="0" applyFont="1" applyFill="1" applyAlignment="1">
      <alignment vertical="top" wrapText="1"/>
    </xf>
    <xf numFmtId="164" fontId="14" fillId="4" borderId="5" xfId="4" applyFont="1" applyFill="1" applyBorder="1" applyAlignment="1">
      <alignment horizontal="center"/>
    </xf>
    <xf numFmtId="165" fontId="14" fillId="4" borderId="0" xfId="0" applyNumberFormat="1" applyFont="1" applyFill="1" applyBorder="1"/>
    <xf numFmtId="164" fontId="14" fillId="4" borderId="0" xfId="0" applyNumberFormat="1" applyFont="1" applyFill="1"/>
    <xf numFmtId="174" fontId="14" fillId="4" borderId="3" xfId="4" applyNumberFormat="1" applyFont="1" applyFill="1" applyBorder="1"/>
    <xf numFmtId="164" fontId="14" fillId="4" borderId="15" xfId="4" applyFont="1" applyFill="1" applyBorder="1"/>
    <xf numFmtId="174" fontId="13" fillId="6" borderId="15" xfId="4" applyNumberFormat="1" applyFont="1" applyFill="1" applyBorder="1" applyAlignment="1">
      <alignment horizontal="center"/>
    </xf>
    <xf numFmtId="165" fontId="13" fillId="6" borderId="15" xfId="0" applyNumberFormat="1" applyFont="1" applyFill="1" applyBorder="1" applyAlignment="1">
      <alignment horizontal="center"/>
    </xf>
    <xf numFmtId="0" fontId="14" fillId="4" borderId="0" xfId="0" applyFont="1" applyFill="1" applyAlignment="1">
      <alignment horizontal="center" vertical="top" wrapText="1"/>
    </xf>
    <xf numFmtId="164" fontId="13" fillId="6" borderId="15" xfId="4" applyFont="1" applyFill="1" applyBorder="1" applyAlignment="1">
      <alignment horizontal="center"/>
    </xf>
    <xf numFmtId="0" fontId="14" fillId="4" borderId="0" xfId="0" applyFont="1" applyFill="1" applyAlignment="1">
      <alignment horizontal="center"/>
    </xf>
    <xf numFmtId="0" fontId="13" fillId="6" borderId="15" xfId="4" quotePrefix="1" applyNumberFormat="1" applyFont="1" applyFill="1" applyBorder="1" applyAlignment="1">
      <alignment horizontal="center"/>
    </xf>
    <xf numFmtId="14" fontId="13" fillId="6" borderId="15" xfId="0" applyNumberFormat="1" applyFont="1" applyFill="1" applyBorder="1" applyAlignment="1">
      <alignment horizontal="center"/>
    </xf>
    <xf numFmtId="165" fontId="14" fillId="4" borderId="18" xfId="0" applyNumberFormat="1" applyFont="1" applyFill="1" applyBorder="1" applyAlignment="1">
      <alignment horizontal="center"/>
    </xf>
    <xf numFmtId="0" fontId="16" fillId="4" borderId="0" xfId="0" applyNumberFormat="1" applyFont="1" applyFill="1" applyAlignment="1">
      <alignment horizontal="left"/>
    </xf>
    <xf numFmtId="0" fontId="16" fillId="4" borderId="0" xfId="0" applyNumberFormat="1" applyFont="1" applyFill="1" applyAlignment="1">
      <alignment horizontal="center"/>
    </xf>
    <xf numFmtId="0" fontId="15" fillId="4" borderId="0" xfId="0" applyFont="1" applyFill="1"/>
    <xf numFmtId="4" fontId="14" fillId="4" borderId="0" xfId="0" applyNumberFormat="1" applyFont="1" applyFill="1"/>
    <xf numFmtId="165" fontId="14" fillId="4" borderId="0" xfId="0" applyNumberFormat="1" applyFont="1" applyFill="1" applyAlignment="1">
      <alignment horizontal="left"/>
    </xf>
    <xf numFmtId="0" fontId="14" fillId="4" borderId="15" xfId="0" applyFont="1" applyFill="1" applyBorder="1"/>
    <xf numFmtId="174" fontId="14" fillId="4" borderId="11" xfId="4" applyNumberFormat="1" applyFont="1" applyFill="1" applyBorder="1"/>
    <xf numFmtId="3" fontId="14" fillId="4" borderId="5" xfId="0" applyNumberFormat="1" applyFont="1" applyFill="1" applyBorder="1"/>
    <xf numFmtId="164" fontId="14" fillId="4" borderId="5" xfId="4" applyFont="1" applyFill="1" applyBorder="1"/>
    <xf numFmtId="2" fontId="14" fillId="4" borderId="5" xfId="0" applyNumberFormat="1" applyFont="1" applyFill="1" applyBorder="1"/>
    <xf numFmtId="2" fontId="14" fillId="4" borderId="15" xfId="0" applyNumberFormat="1" applyFont="1" applyFill="1" applyBorder="1"/>
    <xf numFmtId="174" fontId="14" fillId="4" borderId="0" xfId="0" applyNumberFormat="1" applyFont="1" applyFill="1"/>
    <xf numFmtId="174" fontId="14" fillId="5" borderId="15" xfId="4" applyNumberFormat="1" applyFont="1" applyFill="1" applyBorder="1"/>
    <xf numFmtId="174" fontId="14" fillId="3" borderId="0" xfId="4" applyNumberFormat="1" applyFont="1" applyFill="1" applyBorder="1"/>
    <xf numFmtId="174" fontId="14" fillId="3" borderId="15" xfId="4" applyNumberFormat="1" applyFont="1" applyFill="1" applyBorder="1"/>
    <xf numFmtId="3" fontId="13" fillId="6" borderId="15" xfId="0" applyNumberFormat="1" applyFont="1" applyFill="1" applyBorder="1" applyAlignment="1">
      <alignment horizontal="center"/>
    </xf>
    <xf numFmtId="0" fontId="13" fillId="6" borderId="15" xfId="0" applyNumberFormat="1" applyFont="1" applyFill="1" applyBorder="1" applyAlignment="1">
      <alignment horizontal="center"/>
    </xf>
    <xf numFmtId="174" fontId="14" fillId="4" borderId="9" xfId="4" applyNumberFormat="1" applyFont="1" applyFill="1" applyBorder="1"/>
    <xf numFmtId="3" fontId="14" fillId="4" borderId="0" xfId="11" applyNumberFormat="1" applyFont="1" applyFill="1" applyAlignment="1">
      <alignment vertical="center"/>
    </xf>
    <xf numFmtId="0" fontId="14" fillId="4" borderId="0" xfId="11" applyFont="1" applyFill="1" applyAlignment="1">
      <alignment vertical="center"/>
    </xf>
    <xf numFmtId="174" fontId="14" fillId="4" borderId="0" xfId="4" applyNumberFormat="1" applyFont="1" applyFill="1" applyAlignment="1">
      <alignment vertical="center"/>
    </xf>
    <xf numFmtId="0" fontId="14" fillId="4" borderId="0" xfId="0" applyFont="1" applyFill="1" applyBorder="1"/>
    <xf numFmtId="0" fontId="14" fillId="4" borderId="4" xfId="0" applyFont="1" applyFill="1" applyBorder="1" applyAlignment="1">
      <alignment horizontal="center"/>
    </xf>
    <xf numFmtId="3" fontId="14" fillId="4" borderId="4" xfId="0" applyNumberFormat="1" applyFont="1" applyFill="1" applyBorder="1"/>
    <xf numFmtId="166" fontId="14" fillId="4" borderId="0" xfId="0" applyNumberFormat="1" applyFont="1" applyFill="1"/>
    <xf numFmtId="0" fontId="14" fillId="4" borderId="0" xfId="0" quotePrefix="1" applyFont="1" applyFill="1"/>
    <xf numFmtId="0" fontId="14" fillId="4" borderId="5" xfId="0" applyFont="1" applyFill="1" applyBorder="1" applyAlignment="1">
      <alignment horizontal="center"/>
    </xf>
    <xf numFmtId="3" fontId="14" fillId="4" borderId="0" xfId="0" applyNumberFormat="1" applyFont="1" applyFill="1" applyBorder="1"/>
    <xf numFmtId="0" fontId="14" fillId="4" borderId="3" xfId="0" applyFont="1" applyFill="1" applyBorder="1" applyAlignment="1">
      <alignment horizontal="center"/>
    </xf>
    <xf numFmtId="3" fontId="14" fillId="4" borderId="3" xfId="0" applyNumberFormat="1" applyFont="1" applyFill="1" applyBorder="1"/>
    <xf numFmtId="1" fontId="16" fillId="4" borderId="0" xfId="11" applyNumberFormat="1" applyFont="1" applyFill="1" applyAlignment="1">
      <alignment horizontal="left" vertical="center"/>
    </xf>
    <xf numFmtId="3" fontId="14" fillId="4" borderId="17" xfId="0" applyNumberFormat="1" applyFont="1" applyFill="1" applyBorder="1"/>
    <xf numFmtId="4" fontId="14" fillId="4" borderId="0" xfId="11" applyNumberFormat="1" applyFont="1" applyFill="1" applyAlignment="1">
      <alignment vertical="center"/>
    </xf>
    <xf numFmtId="0" fontId="15" fillId="4" borderId="0" xfId="11" applyFont="1" applyFill="1"/>
    <xf numFmtId="174" fontId="14" fillId="4" borderId="4" xfId="4" applyNumberFormat="1" applyFont="1" applyFill="1" applyBorder="1"/>
    <xf numFmtId="4" fontId="14" fillId="4" borderId="18" xfId="0" applyNumberFormat="1" applyFont="1" applyFill="1" applyBorder="1"/>
    <xf numFmtId="174" fontId="13" fillId="6" borderId="4" xfId="4" applyNumberFormat="1" applyFont="1" applyFill="1" applyBorder="1" applyAlignment="1">
      <alignment horizontal="center" vertical="center" wrapText="1"/>
    </xf>
    <xf numFmtId="0" fontId="14" fillId="4" borderId="4" xfId="0" applyFont="1" applyFill="1" applyBorder="1" applyAlignment="1">
      <alignment horizontal="left"/>
    </xf>
    <xf numFmtId="0" fontId="14" fillId="4" borderId="5" xfId="0" applyFont="1" applyFill="1" applyBorder="1" applyAlignment="1">
      <alignment horizontal="left"/>
    </xf>
    <xf numFmtId="0" fontId="14" fillId="4" borderId="3" xfId="0" applyFont="1" applyFill="1" applyBorder="1" applyAlignment="1">
      <alignment horizontal="left"/>
    </xf>
    <xf numFmtId="174" fontId="14" fillId="5" borderId="5" xfId="4" applyNumberFormat="1" applyFont="1" applyFill="1" applyBorder="1"/>
    <xf numFmtId="165" fontId="14" fillId="4" borderId="10" xfId="0" applyNumberFormat="1" applyFont="1" applyFill="1" applyBorder="1" applyAlignment="1">
      <alignment horizontal="center"/>
    </xf>
    <xf numFmtId="0" fontId="14" fillId="4" borderId="3" xfId="0" applyNumberFormat="1" applyFont="1" applyFill="1" applyBorder="1" applyAlignment="1">
      <alignment horizontal="center"/>
    </xf>
    <xf numFmtId="0" fontId="14" fillId="4" borderId="0" xfId="11" applyFont="1" applyFill="1" applyBorder="1" applyAlignment="1">
      <alignment vertical="center"/>
    </xf>
    <xf numFmtId="10" fontId="14" fillId="4" borderId="0" xfId="12" applyNumberFormat="1" applyFont="1" applyFill="1" applyAlignment="1">
      <alignment vertical="center"/>
    </xf>
    <xf numFmtId="10" fontId="14" fillId="4" borderId="0" xfId="12" applyNumberFormat="1" applyFont="1" applyFill="1"/>
    <xf numFmtId="10" fontId="14" fillId="4" borderId="3" xfId="12" applyNumberFormat="1" applyFont="1" applyFill="1" applyBorder="1"/>
    <xf numFmtId="10" fontId="14" fillId="4" borderId="4" xfId="12" applyNumberFormat="1" applyFont="1" applyFill="1" applyBorder="1"/>
    <xf numFmtId="10" fontId="14" fillId="4" borderId="5" xfId="12" applyNumberFormat="1" applyFont="1" applyFill="1" applyBorder="1"/>
    <xf numFmtId="4" fontId="14" fillId="4" borderId="15" xfId="0" applyNumberFormat="1" applyFont="1" applyFill="1" applyBorder="1"/>
    <xf numFmtId="10" fontId="14" fillId="4" borderId="15" xfId="12" applyNumberFormat="1" applyFont="1" applyFill="1" applyBorder="1"/>
    <xf numFmtId="0" fontId="13" fillId="6" borderId="4" xfId="0" applyFont="1" applyFill="1" applyBorder="1" applyAlignment="1">
      <alignment horizontal="center" vertical="center" wrapText="1"/>
    </xf>
    <xf numFmtId="0" fontId="13" fillId="6" borderId="3" xfId="0" applyFont="1" applyFill="1" applyBorder="1" applyAlignment="1">
      <alignment horizontal="center" vertical="center" wrapText="1"/>
    </xf>
    <xf numFmtId="10" fontId="14" fillId="4" borderId="8" xfId="12" applyNumberFormat="1" applyFont="1" applyFill="1" applyBorder="1"/>
    <xf numFmtId="10" fontId="14" fillId="4" borderId="9" xfId="12" applyNumberFormat="1" applyFont="1" applyFill="1" applyBorder="1"/>
    <xf numFmtId="10" fontId="14" fillId="4" borderId="10" xfId="12" applyNumberFormat="1" applyFont="1" applyFill="1" applyBorder="1"/>
    <xf numFmtId="0" fontId="14" fillId="4" borderId="3" xfId="0" applyFont="1" applyFill="1" applyBorder="1"/>
    <xf numFmtId="4" fontId="14" fillId="4" borderId="11" xfId="0" applyNumberFormat="1" applyFont="1" applyFill="1" applyBorder="1"/>
    <xf numFmtId="2" fontId="14" fillId="4" borderId="5" xfId="13" applyNumberFormat="1" applyFont="1" applyFill="1" applyBorder="1"/>
    <xf numFmtId="2" fontId="14" fillId="4" borderId="3" xfId="13" applyNumberFormat="1" applyFont="1" applyFill="1" applyBorder="1"/>
    <xf numFmtId="9" fontId="13" fillId="6" borderId="15" xfId="12" applyNumberFormat="1" applyFont="1" applyFill="1" applyBorder="1" applyAlignment="1">
      <alignment horizontal="center" vertical="center" wrapText="1"/>
    </xf>
    <xf numFmtId="0" fontId="13" fillId="6" borderId="15" xfId="0" applyFont="1" applyFill="1" applyBorder="1" applyAlignment="1">
      <alignment horizontal="center" vertical="center" wrapText="1"/>
    </xf>
    <xf numFmtId="9" fontId="13" fillId="6" borderId="15" xfId="12" applyNumberFormat="1" applyFont="1" applyFill="1" applyBorder="1" applyAlignment="1">
      <alignment horizontal="center" vertical="center"/>
    </xf>
    <xf numFmtId="164" fontId="13" fillId="6" borderId="15" xfId="4" applyFont="1" applyFill="1" applyBorder="1" applyAlignment="1">
      <alignment vertical="center" wrapText="1"/>
    </xf>
    <xf numFmtId="4" fontId="14" fillId="4" borderId="12" xfId="0" applyNumberFormat="1" applyFont="1" applyFill="1" applyBorder="1"/>
    <xf numFmtId="168" fontId="14" fillId="4" borderId="0" xfId="11" applyNumberFormat="1" applyFont="1" applyFill="1" applyAlignment="1">
      <alignment vertical="center"/>
    </xf>
    <xf numFmtId="174" fontId="14" fillId="4" borderId="8" xfId="4" applyNumberFormat="1" applyFont="1" applyFill="1" applyBorder="1"/>
    <xf numFmtId="174" fontId="14" fillId="4" borderId="16" xfId="4" applyNumberFormat="1" applyFont="1" applyFill="1" applyBorder="1"/>
    <xf numFmtId="174" fontId="14" fillId="4" borderId="10" xfId="4" applyNumberFormat="1" applyFont="1" applyFill="1" applyBorder="1"/>
    <xf numFmtId="174" fontId="14" fillId="4" borderId="17" xfId="4" applyNumberFormat="1" applyFont="1" applyFill="1" applyBorder="1"/>
    <xf numFmtId="174" fontId="14" fillId="4" borderId="18" xfId="4" applyNumberFormat="1" applyFont="1" applyFill="1" applyBorder="1"/>
    <xf numFmtId="174" fontId="14" fillId="4" borderId="6" xfId="4" applyNumberFormat="1" applyFont="1" applyFill="1" applyBorder="1"/>
    <xf numFmtId="169" fontId="14" fillId="4" borderId="0" xfId="0" applyNumberFormat="1" applyFont="1" applyFill="1"/>
    <xf numFmtId="0" fontId="14" fillId="4" borderId="0" xfId="0" applyFont="1" applyFill="1" applyAlignment="1">
      <alignment vertical="top"/>
    </xf>
    <xf numFmtId="3" fontId="14" fillId="4" borderId="0" xfId="0" applyNumberFormat="1" applyFont="1" applyFill="1" applyAlignment="1">
      <alignment vertical="top"/>
    </xf>
    <xf numFmtId="3" fontId="14" fillId="4" borderId="0" xfId="0" applyNumberFormat="1" applyFont="1" applyFill="1" applyBorder="1" applyAlignment="1">
      <alignment vertical="top" wrapText="1"/>
    </xf>
    <xf numFmtId="0" fontId="14" fillId="4" borderId="18" xfId="0" applyFont="1" applyFill="1" applyBorder="1"/>
    <xf numFmtId="0" fontId="14" fillId="4" borderId="6" xfId="0" applyFont="1" applyFill="1" applyBorder="1"/>
    <xf numFmtId="0" fontId="14" fillId="4" borderId="7" xfId="0" applyFont="1" applyFill="1" applyBorder="1"/>
    <xf numFmtId="0" fontId="14" fillId="4" borderId="15" xfId="0" applyFont="1" applyFill="1" applyBorder="1" applyAlignment="1">
      <alignment horizontal="center"/>
    </xf>
    <xf numFmtId="0" fontId="14" fillId="4" borderId="8" xfId="0" applyFont="1" applyFill="1" applyBorder="1"/>
    <xf numFmtId="0" fontId="14" fillId="4" borderId="12" xfId="0" applyFont="1" applyFill="1" applyBorder="1"/>
    <xf numFmtId="0" fontId="14" fillId="4" borderId="9" xfId="0" applyFont="1" applyFill="1" applyBorder="1"/>
    <xf numFmtId="0" fontId="14" fillId="4" borderId="11" xfId="0" applyFont="1" applyFill="1" applyBorder="1"/>
    <xf numFmtId="0" fontId="14" fillId="4" borderId="10" xfId="0" applyFont="1" applyFill="1" applyBorder="1"/>
    <xf numFmtId="0" fontId="14" fillId="4" borderId="13" xfId="0" applyFont="1" applyFill="1" applyBorder="1"/>
    <xf numFmtId="172" fontId="14" fillId="4" borderId="0" xfId="0" applyNumberFormat="1" applyFont="1" applyFill="1" applyAlignment="1">
      <alignment vertical="top"/>
    </xf>
    <xf numFmtId="164" fontId="13" fillId="6" borderId="3" xfId="4" applyFont="1" applyFill="1" applyBorder="1" applyAlignment="1">
      <alignment horizontal="center" vertical="center"/>
    </xf>
    <xf numFmtId="0" fontId="14" fillId="4" borderId="8" xfId="0" applyFont="1" applyFill="1" applyBorder="1" applyAlignment="1">
      <alignment horizontal="left"/>
    </xf>
    <xf numFmtId="0" fontId="14" fillId="4" borderId="9" xfId="0" applyFont="1" applyFill="1" applyBorder="1" applyAlignment="1">
      <alignment horizontal="left"/>
    </xf>
    <xf numFmtId="0" fontId="14" fillId="4" borderId="10" xfId="0" applyFont="1" applyFill="1" applyBorder="1" applyAlignment="1">
      <alignment horizontal="left"/>
    </xf>
    <xf numFmtId="174" fontId="14" fillId="4" borderId="12" xfId="4" applyNumberFormat="1" applyFont="1" applyFill="1" applyBorder="1"/>
    <xf numFmtId="164" fontId="14" fillId="4" borderId="4" xfId="4" applyFont="1" applyFill="1" applyBorder="1"/>
    <xf numFmtId="164" fontId="14" fillId="4" borderId="3" xfId="4" applyFont="1" applyFill="1" applyBorder="1"/>
    <xf numFmtId="3" fontId="14" fillId="4" borderId="8" xfId="0" applyNumberFormat="1" applyFont="1" applyFill="1" applyBorder="1"/>
    <xf numFmtId="3" fontId="14" fillId="4" borderId="10" xfId="0" applyNumberFormat="1" applyFont="1" applyFill="1" applyBorder="1"/>
    <xf numFmtId="3" fontId="14" fillId="4" borderId="18" xfId="0" applyNumberFormat="1" applyFont="1" applyFill="1" applyBorder="1"/>
    <xf numFmtId="3" fontId="14" fillId="4" borderId="13" xfId="0" applyNumberFormat="1" applyFont="1" applyFill="1" applyBorder="1" applyAlignment="1">
      <alignment horizontal="center" vertical="top" wrapText="1"/>
    </xf>
    <xf numFmtId="168" fontId="14" fillId="4" borderId="0" xfId="0" applyNumberFormat="1" applyFont="1" applyFill="1"/>
    <xf numFmtId="3" fontId="14" fillId="4" borderId="4" xfId="12" applyNumberFormat="1" applyFont="1" applyFill="1" applyBorder="1"/>
    <xf numFmtId="3" fontId="14" fillId="4" borderId="5" xfId="12" applyNumberFormat="1" applyFont="1" applyFill="1" applyBorder="1"/>
    <xf numFmtId="3" fontId="14" fillId="4" borderId="3" xfId="12" applyNumberFormat="1" applyFont="1" applyFill="1" applyBorder="1"/>
    <xf numFmtId="3" fontId="14" fillId="4" borderId="15" xfId="12" applyNumberFormat="1" applyFont="1" applyFill="1" applyBorder="1"/>
    <xf numFmtId="176" fontId="14" fillId="4" borderId="5" xfId="4" applyNumberFormat="1" applyFont="1" applyFill="1" applyBorder="1"/>
    <xf numFmtId="176" fontId="14" fillId="4" borderId="3" xfId="4" applyNumberFormat="1" applyFont="1" applyFill="1" applyBorder="1"/>
    <xf numFmtId="174" fontId="14" fillId="5" borderId="8" xfId="4" applyNumberFormat="1" applyFont="1" applyFill="1" applyBorder="1"/>
    <xf numFmtId="174" fontId="14" fillId="5" borderId="9" xfId="4" applyNumberFormat="1" applyFont="1" applyFill="1" applyBorder="1"/>
    <xf numFmtId="174" fontId="14" fillId="5" borderId="10" xfId="4" applyNumberFormat="1" applyFont="1" applyFill="1" applyBorder="1"/>
    <xf numFmtId="164" fontId="14" fillId="4" borderId="12" xfId="4" applyNumberFormat="1" applyFont="1" applyFill="1" applyBorder="1"/>
    <xf numFmtId="164" fontId="14" fillId="4" borderId="11" xfId="4" applyNumberFormat="1" applyFont="1" applyFill="1" applyBorder="1"/>
    <xf numFmtId="164" fontId="14" fillId="4" borderId="13" xfId="4" applyNumberFormat="1" applyFont="1" applyFill="1" applyBorder="1"/>
    <xf numFmtId="164" fontId="14" fillId="4" borderId="15" xfId="4" applyNumberFormat="1" applyFont="1" applyFill="1" applyBorder="1"/>
    <xf numFmtId="174" fontId="14" fillId="8" borderId="15" xfId="4" applyNumberFormat="1" applyFont="1" applyFill="1" applyBorder="1"/>
    <xf numFmtId="174" fontId="14" fillId="5" borderId="4" xfId="4" applyNumberFormat="1" applyFont="1" applyFill="1" applyBorder="1"/>
    <xf numFmtId="174" fontId="14" fillId="5" borderId="3" xfId="4" applyNumberFormat="1" applyFont="1" applyFill="1" applyBorder="1"/>
    <xf numFmtId="3" fontId="13" fillId="6" borderId="4" xfId="0" applyNumberFormat="1" applyFont="1" applyFill="1" applyBorder="1"/>
    <xf numFmtId="0" fontId="13" fillId="6" borderId="0" xfId="0" applyFont="1" applyFill="1"/>
    <xf numFmtId="0" fontId="13" fillId="6" borderId="5" xfId="0" applyFont="1" applyFill="1" applyBorder="1" applyAlignment="1">
      <alignment horizontal="center" vertical="top" wrapText="1"/>
    </xf>
    <xf numFmtId="164" fontId="13" fillId="6" borderId="3" xfId="4" applyNumberFormat="1" applyFont="1" applyFill="1" applyBorder="1"/>
    <xf numFmtId="0" fontId="13" fillId="6" borderId="3" xfId="0" applyFont="1" applyFill="1" applyBorder="1" applyAlignment="1">
      <alignment horizontal="center" vertical="top" wrapText="1"/>
    </xf>
    <xf numFmtId="0" fontId="14" fillId="4" borderId="8" xfId="0" applyFont="1" applyFill="1" applyBorder="1" applyAlignment="1">
      <alignment horizontal="center"/>
    </xf>
    <xf numFmtId="0" fontId="13" fillId="6" borderId="4" xfId="0" applyFont="1" applyFill="1" applyBorder="1" applyAlignment="1">
      <alignment horizontal="center"/>
    </xf>
    <xf numFmtId="0" fontId="13" fillId="6" borderId="3" xfId="0" applyFont="1" applyFill="1" applyBorder="1" applyAlignment="1">
      <alignment horizontal="center"/>
    </xf>
    <xf numFmtId="164" fontId="13" fillId="6" borderId="5" xfId="4" applyNumberFormat="1" applyFont="1" applyFill="1" applyBorder="1"/>
    <xf numFmtId="164" fontId="14" fillId="4" borderId="8" xfId="4" applyFont="1" applyFill="1" applyBorder="1"/>
    <xf numFmtId="164" fontId="14" fillId="4" borderId="9" xfId="4" applyFont="1" applyFill="1" applyBorder="1"/>
    <xf numFmtId="164" fontId="14" fillId="4" borderId="10" xfId="4" applyFont="1" applyFill="1" applyBorder="1"/>
    <xf numFmtId="174" fontId="14" fillId="4" borderId="13" xfId="4" applyNumberFormat="1" applyFont="1" applyFill="1" applyBorder="1"/>
    <xf numFmtId="4" fontId="14" fillId="4" borderId="8" xfId="12" applyNumberFormat="1" applyFont="1" applyFill="1" applyBorder="1"/>
    <xf numFmtId="2" fontId="14" fillId="4" borderId="4" xfId="0" applyNumberFormat="1" applyFont="1" applyFill="1" applyBorder="1"/>
    <xf numFmtId="10" fontId="14" fillId="4" borderId="4" xfId="0" applyNumberFormat="1" applyFont="1" applyFill="1" applyBorder="1"/>
    <xf numFmtId="2" fontId="14" fillId="4" borderId="0" xfId="0" applyNumberFormat="1" applyFont="1" applyFill="1"/>
    <xf numFmtId="4" fontId="14" fillId="4" borderId="9" xfId="12" applyNumberFormat="1" applyFont="1" applyFill="1" applyBorder="1"/>
    <xf numFmtId="10" fontId="14" fillId="4" borderId="5" xfId="0" applyNumberFormat="1" applyFont="1" applyFill="1" applyBorder="1"/>
    <xf numFmtId="9" fontId="14" fillId="4" borderId="0" xfId="0" applyNumberFormat="1" applyFont="1" applyFill="1"/>
    <xf numFmtId="4" fontId="14" fillId="4" borderId="10" xfId="12" applyNumberFormat="1" applyFont="1" applyFill="1" applyBorder="1"/>
    <xf numFmtId="2" fontId="14" fillId="4" borderId="3" xfId="0" applyNumberFormat="1" applyFont="1" applyFill="1" applyBorder="1"/>
    <xf numFmtId="10" fontId="14" fillId="4" borderId="3" xfId="0" applyNumberFormat="1" applyFont="1" applyFill="1" applyBorder="1"/>
    <xf numFmtId="4" fontId="14" fillId="4" borderId="15" xfId="12" applyNumberFormat="1" applyFont="1" applyFill="1" applyBorder="1"/>
    <xf numFmtId="1" fontId="14" fillId="4" borderId="3" xfId="0" applyNumberFormat="1" applyFont="1" applyFill="1" applyBorder="1"/>
    <xf numFmtId="4" fontId="14" fillId="4" borderId="16" xfId="12" applyNumberFormat="1" applyFont="1" applyFill="1" applyBorder="1"/>
    <xf numFmtId="4" fontId="14" fillId="4" borderId="0" xfId="12" applyNumberFormat="1" applyFont="1" applyFill="1" applyBorder="1"/>
    <xf numFmtId="4" fontId="14" fillId="4" borderId="17" xfId="12" applyNumberFormat="1" applyFont="1" applyFill="1" applyBorder="1"/>
    <xf numFmtId="0" fontId="14" fillId="4" borderId="17" xfId="0" applyFont="1" applyFill="1" applyBorder="1"/>
    <xf numFmtId="174" fontId="14" fillId="4" borderId="9" xfId="4" quotePrefix="1" applyNumberFormat="1" applyFont="1" applyFill="1" applyBorder="1"/>
    <xf numFmtId="0" fontId="13" fillId="6" borderId="4" xfId="0" applyFont="1" applyFill="1" applyBorder="1" applyAlignment="1">
      <alignment horizontal="center" vertical="top" wrapText="1"/>
    </xf>
    <xf numFmtId="9" fontId="13" fillId="6" borderId="4" xfId="0" applyNumberFormat="1" applyFont="1" applyFill="1" applyBorder="1" applyAlignment="1">
      <alignment horizontal="center"/>
    </xf>
    <xf numFmtId="174" fontId="14" fillId="5" borderId="12" xfId="4" applyNumberFormat="1" applyFont="1" applyFill="1" applyBorder="1"/>
    <xf numFmtId="174" fontId="14" fillId="5" borderId="11" xfId="4" applyNumberFormat="1" applyFont="1" applyFill="1" applyBorder="1"/>
    <xf numFmtId="174" fontId="14" fillId="5" borderId="13" xfId="4" applyNumberFormat="1" applyFont="1" applyFill="1" applyBorder="1"/>
    <xf numFmtId="3" fontId="14" fillId="4" borderId="18" xfId="12" applyNumberFormat="1" applyFont="1" applyFill="1" applyBorder="1"/>
    <xf numFmtId="169" fontId="14" fillId="4" borderId="0" xfId="0" applyNumberFormat="1" applyFont="1" applyFill="1" applyAlignment="1">
      <alignment horizontal="center"/>
    </xf>
    <xf numFmtId="170" fontId="14" fillId="4" borderId="0" xfId="0" applyNumberFormat="1" applyFont="1" applyFill="1"/>
    <xf numFmtId="2" fontId="13" fillId="6" borderId="3" xfId="0" applyNumberFormat="1" applyFont="1" applyFill="1" applyBorder="1" applyAlignment="1">
      <alignment horizontal="center" vertical="top" wrapText="1"/>
    </xf>
    <xf numFmtId="3" fontId="14" fillId="4" borderId="7" xfId="12" applyNumberFormat="1" applyFont="1" applyFill="1" applyBorder="1"/>
    <xf numFmtId="165" fontId="14" fillId="4" borderId="15" xfId="0" applyNumberFormat="1" applyFont="1" applyFill="1" applyBorder="1" applyAlignment="1">
      <alignment horizontal="center"/>
    </xf>
    <xf numFmtId="174" fontId="14" fillId="4" borderId="7" xfId="4" applyNumberFormat="1" applyFont="1" applyFill="1" applyBorder="1"/>
    <xf numFmtId="0" fontId="13" fillId="6" borderId="18" xfId="0" applyFont="1" applyFill="1" applyBorder="1"/>
    <xf numFmtId="0" fontId="13" fillId="6" borderId="6" xfId="0" applyFont="1" applyFill="1" applyBorder="1"/>
    <xf numFmtId="0" fontId="13" fillId="6" borderId="15" xfId="0" applyFont="1" applyFill="1" applyBorder="1" applyAlignment="1">
      <alignment horizontal="center"/>
    </xf>
    <xf numFmtId="164" fontId="14" fillId="7" borderId="13" xfId="4" applyNumberFormat="1" applyFont="1" applyFill="1" applyBorder="1"/>
    <xf numFmtId="166" fontId="14" fillId="4" borderId="4" xfId="0" applyNumberFormat="1" applyFont="1" applyFill="1" applyBorder="1"/>
    <xf numFmtId="0" fontId="3" fillId="4" borderId="0" xfId="0" applyFont="1" applyFill="1" applyBorder="1" applyAlignment="1">
      <alignment horizontal="left"/>
    </xf>
    <xf numFmtId="0" fontId="14" fillId="4" borderId="9" xfId="0" applyFont="1" applyFill="1" applyBorder="1" applyAlignment="1">
      <alignment horizontal="center"/>
    </xf>
    <xf numFmtId="166" fontId="14" fillId="4" borderId="5" xfId="0" applyNumberFormat="1" applyFont="1" applyFill="1" applyBorder="1"/>
    <xf numFmtId="0" fontId="3" fillId="4" borderId="0" xfId="0" applyFont="1" applyFill="1" applyAlignment="1">
      <alignment horizontal="left"/>
    </xf>
    <xf numFmtId="166" fontId="14" fillId="4" borderId="3" xfId="0" applyNumberFormat="1" applyFont="1" applyFill="1" applyBorder="1"/>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top" wrapText="1"/>
    </xf>
    <xf numFmtId="10" fontId="13" fillId="6" borderId="3" xfId="12" applyNumberFormat="1" applyFont="1" applyFill="1" applyBorder="1" applyAlignment="1">
      <alignment vertical="center"/>
    </xf>
    <xf numFmtId="174" fontId="14" fillId="3" borderId="4" xfId="4" applyNumberFormat="1" applyFont="1" applyFill="1" applyBorder="1"/>
    <xf numFmtId="174" fontId="14" fillId="5" borderId="16" xfId="4" applyNumberFormat="1" applyFont="1" applyFill="1" applyBorder="1"/>
    <xf numFmtId="174" fontId="14" fillId="5" borderId="0" xfId="4" applyNumberFormat="1" applyFont="1" applyFill="1" applyBorder="1"/>
    <xf numFmtId="174" fontId="14" fillId="3" borderId="3" xfId="4" applyNumberFormat="1" applyFont="1" applyFill="1" applyBorder="1"/>
    <xf numFmtId="174" fontId="14" fillId="5" borderId="17" xfId="4" applyNumberFormat="1" applyFont="1" applyFill="1" applyBorder="1"/>
    <xf numFmtId="174" fontId="14" fillId="5" borderId="7" xfId="4" applyNumberFormat="1" applyFont="1" applyFill="1" applyBorder="1"/>
    <xf numFmtId="164" fontId="14" fillId="4" borderId="0" xfId="4" applyFont="1" applyFill="1" applyBorder="1" applyAlignment="1">
      <alignment vertical="center"/>
    </xf>
    <xf numFmtId="164" fontId="14" fillId="4" borderId="0" xfId="4" applyFont="1" applyFill="1" applyAlignment="1">
      <alignment vertical="center"/>
    </xf>
    <xf numFmtId="4" fontId="14" fillId="4" borderId="4" xfId="12" applyNumberFormat="1" applyFont="1" applyFill="1" applyBorder="1"/>
    <xf numFmtId="4" fontId="14" fillId="4" borderId="5" xfId="12" applyNumberFormat="1" applyFont="1" applyFill="1" applyBorder="1"/>
    <xf numFmtId="4" fontId="14" fillId="4" borderId="3" xfId="12" applyNumberFormat="1" applyFont="1" applyFill="1" applyBorder="1"/>
    <xf numFmtId="4" fontId="14" fillId="4" borderId="12" xfId="12" applyNumberFormat="1" applyFont="1" applyFill="1" applyBorder="1"/>
    <xf numFmtId="4" fontId="14" fillId="4" borderId="18" xfId="12" applyNumberFormat="1" applyFont="1" applyFill="1" applyBorder="1"/>
    <xf numFmtId="0" fontId="14" fillId="4" borderId="0" xfId="0" applyFont="1" applyFill="1" applyBorder="1" applyAlignment="1">
      <alignment horizontal="center" vertical="top" wrapText="1"/>
    </xf>
    <xf numFmtId="4" fontId="14" fillId="4" borderId="11" xfId="12" applyNumberFormat="1" applyFont="1" applyFill="1" applyBorder="1"/>
    <xf numFmtId="4" fontId="14" fillId="4" borderId="13" xfId="12" applyNumberFormat="1" applyFont="1" applyFill="1" applyBorder="1"/>
    <xf numFmtId="176" fontId="14" fillId="4" borderId="14" xfId="4" applyNumberFormat="1" applyFont="1" applyFill="1" applyBorder="1"/>
    <xf numFmtId="176" fontId="14" fillId="4" borderId="0" xfId="11" applyNumberFormat="1" applyFont="1" applyFill="1" applyAlignment="1">
      <alignment vertical="center"/>
    </xf>
    <xf numFmtId="176" fontId="14" fillId="4" borderId="0" xfId="0" applyNumberFormat="1" applyFont="1" applyFill="1"/>
    <xf numFmtId="176" fontId="13" fillId="6" borderId="4" xfId="0" applyNumberFormat="1" applyFont="1" applyFill="1" applyBorder="1" applyAlignment="1">
      <alignment horizontal="center" vertical="top" wrapText="1"/>
    </xf>
    <xf numFmtId="2" fontId="13" fillId="6" borderId="5" xfId="0" applyNumberFormat="1" applyFont="1" applyFill="1" applyBorder="1" applyAlignment="1">
      <alignment horizontal="center" vertical="top" wrapText="1"/>
    </xf>
    <xf numFmtId="171" fontId="14" fillId="4" borderId="0" xfId="0" applyNumberFormat="1" applyFont="1" applyFill="1"/>
    <xf numFmtId="166" fontId="14" fillId="4" borderId="0" xfId="12" applyNumberFormat="1" applyFont="1" applyFill="1" applyBorder="1" applyAlignment="1">
      <alignment horizontal="center" vertical="top" wrapText="1"/>
    </xf>
    <xf numFmtId="166" fontId="14" fillId="4" borderId="12" xfId="0" applyNumberFormat="1" applyFont="1" applyFill="1" applyBorder="1"/>
    <xf numFmtId="171" fontId="14" fillId="4" borderId="0" xfId="0" applyNumberFormat="1" applyFont="1" applyFill="1" applyBorder="1"/>
    <xf numFmtId="166" fontId="14" fillId="4" borderId="11" xfId="0" applyNumberFormat="1" applyFont="1" applyFill="1" applyBorder="1"/>
    <xf numFmtId="166" fontId="14" fillId="4" borderId="13" xfId="0" applyNumberFormat="1" applyFont="1" applyFill="1" applyBorder="1"/>
    <xf numFmtId="171" fontId="14" fillId="4" borderId="15" xfId="0" applyNumberFormat="1" applyFont="1" applyFill="1" applyBorder="1"/>
    <xf numFmtId="171" fontId="14" fillId="4" borderId="0" xfId="12" applyNumberFormat="1" applyFont="1" applyFill="1" applyBorder="1"/>
    <xf numFmtId="3" fontId="14" fillId="3" borderId="12" xfId="0" applyNumberFormat="1" applyFont="1" applyFill="1" applyBorder="1"/>
    <xf numFmtId="171" fontId="14" fillId="3" borderId="8" xfId="0" applyNumberFormat="1" applyFont="1" applyFill="1" applyBorder="1"/>
    <xf numFmtId="171" fontId="14" fillId="3" borderId="4" xfId="0" applyNumberFormat="1" applyFont="1" applyFill="1" applyBorder="1"/>
    <xf numFmtId="3" fontId="14" fillId="3" borderId="4" xfId="12" applyNumberFormat="1" applyFont="1" applyFill="1" applyBorder="1"/>
    <xf numFmtId="3" fontId="14" fillId="3" borderId="11" xfId="0" applyNumberFormat="1" applyFont="1" applyFill="1" applyBorder="1"/>
    <xf numFmtId="171" fontId="14" fillId="3" borderId="9" xfId="0" applyNumberFormat="1" applyFont="1" applyFill="1" applyBorder="1"/>
    <xf numFmtId="171" fontId="14" fillId="3" borderId="5" xfId="0" applyNumberFormat="1" applyFont="1" applyFill="1" applyBorder="1"/>
    <xf numFmtId="3" fontId="14" fillId="3" borderId="5" xfId="12" applyNumberFormat="1" applyFont="1" applyFill="1" applyBorder="1"/>
    <xf numFmtId="3" fontId="14" fillId="3" borderId="13" xfId="0" applyNumberFormat="1" applyFont="1" applyFill="1" applyBorder="1"/>
    <xf numFmtId="3" fontId="14" fillId="3" borderId="7" xfId="12" applyNumberFormat="1" applyFont="1" applyFill="1" applyBorder="1"/>
    <xf numFmtId="0" fontId="18" fillId="4" borderId="0" xfId="0" applyFont="1" applyFill="1"/>
    <xf numFmtId="0" fontId="19" fillId="4" borderId="5" xfId="0" applyFont="1" applyFill="1" applyBorder="1" applyAlignment="1">
      <alignment horizontal="center"/>
    </xf>
    <xf numFmtId="0" fontId="19" fillId="4" borderId="5" xfId="0" applyFont="1" applyFill="1" applyBorder="1"/>
    <xf numFmtId="3" fontId="19" fillId="4" borderId="5" xfId="12" applyNumberFormat="1" applyFont="1" applyFill="1" applyBorder="1" applyAlignment="1">
      <alignment horizontal="right"/>
    </xf>
    <xf numFmtId="0" fontId="19" fillId="4" borderId="0" xfId="0" applyFont="1" applyFill="1"/>
    <xf numFmtId="0" fontId="19" fillId="4" borderId="3" xfId="0" applyFont="1" applyFill="1" applyBorder="1" applyAlignment="1">
      <alignment horizontal="center"/>
    </xf>
    <xf numFmtId="167" fontId="14" fillId="4" borderId="0" xfId="0" applyNumberFormat="1" applyFont="1" applyFill="1"/>
    <xf numFmtId="0" fontId="16" fillId="4" borderId="0" xfId="0" applyFont="1" applyFill="1" applyAlignment="1">
      <alignment vertical="center"/>
    </xf>
    <xf numFmtId="0" fontId="16" fillId="4" borderId="0" xfId="0" applyFont="1" applyFill="1" applyAlignment="1">
      <alignment horizontal="left" vertical="center"/>
    </xf>
    <xf numFmtId="3" fontId="19" fillId="4" borderId="4" xfId="12" applyNumberFormat="1" applyFont="1" applyFill="1" applyBorder="1"/>
    <xf numFmtId="3" fontId="19" fillId="4" borderId="5" xfId="12" applyNumberFormat="1" applyFont="1" applyFill="1" applyBorder="1"/>
    <xf numFmtId="171" fontId="14" fillId="4" borderId="15" xfId="12" applyNumberFormat="1" applyFont="1" applyFill="1" applyBorder="1"/>
    <xf numFmtId="171" fontId="19" fillId="4" borderId="4" xfId="0" applyNumberFormat="1" applyFont="1" applyFill="1" applyBorder="1"/>
    <xf numFmtId="171" fontId="19" fillId="4" borderId="5" xfId="0" applyNumberFormat="1" applyFont="1" applyFill="1" applyBorder="1"/>
    <xf numFmtId="0" fontId="14" fillId="8" borderId="0" xfId="0" applyFont="1" applyFill="1"/>
    <xf numFmtId="14" fontId="14" fillId="8" borderId="0" xfId="0" applyNumberFormat="1" applyFont="1" applyFill="1"/>
    <xf numFmtId="0" fontId="14" fillId="8" borderId="0" xfId="0" applyFont="1" applyFill="1" applyBorder="1"/>
    <xf numFmtId="0" fontId="15" fillId="8" borderId="0" xfId="0" applyFont="1" applyFill="1"/>
    <xf numFmtId="173" fontId="14" fillId="8" borderId="0" xfId="0" applyNumberFormat="1" applyFont="1" applyFill="1" applyBorder="1"/>
    <xf numFmtId="0" fontId="14" fillId="8" borderId="0" xfId="0" applyFont="1" applyFill="1" applyAlignment="1">
      <alignment horizontal="center" wrapText="1"/>
    </xf>
    <xf numFmtId="164" fontId="14" fillId="8" borderId="0" xfId="4" applyFont="1" applyFill="1"/>
    <xf numFmtId="3" fontId="14" fillId="8" borderId="0" xfId="0" applyNumberFormat="1" applyFont="1" applyFill="1"/>
    <xf numFmtId="2" fontId="14" fillId="8" borderId="0" xfId="0" applyNumberFormat="1" applyFont="1" applyFill="1"/>
    <xf numFmtId="0" fontId="14" fillId="8" borderId="0" xfId="0" applyFont="1" applyFill="1" applyAlignment="1">
      <alignment horizontal="center"/>
    </xf>
    <xf numFmtId="9" fontId="14" fillId="8" borderId="0" xfId="0" applyNumberFormat="1" applyFont="1" applyFill="1" applyBorder="1" applyAlignment="1">
      <alignment horizontal="center" vertical="top" wrapText="1"/>
    </xf>
    <xf numFmtId="2" fontId="14" fillId="8" borderId="0" xfId="0" applyNumberFormat="1" applyFont="1" applyFill="1" applyBorder="1" applyAlignment="1">
      <alignment horizontal="center"/>
    </xf>
    <xf numFmtId="10" fontId="14" fillId="8" borderId="15" xfId="0" applyNumberFormat="1" applyFont="1" applyFill="1" applyBorder="1" applyAlignment="1">
      <alignment horizontal="center" vertical="top" wrapText="1"/>
    </xf>
    <xf numFmtId="169" fontId="14" fillId="8" borderId="0" xfId="0" applyNumberFormat="1" applyFont="1" applyFill="1" applyBorder="1"/>
    <xf numFmtId="3" fontId="14" fillId="8" borderId="0" xfId="0" applyNumberFormat="1" applyFont="1" applyFill="1" applyBorder="1"/>
    <xf numFmtId="164" fontId="14" fillId="8" borderId="0" xfId="4" applyFont="1" applyFill="1" applyBorder="1"/>
    <xf numFmtId="0" fontId="14" fillId="8" borderId="15" xfId="0" applyFont="1" applyFill="1" applyBorder="1"/>
    <xf numFmtId="164" fontId="14" fillId="8" borderId="15" xfId="4" applyFont="1" applyFill="1" applyBorder="1"/>
    <xf numFmtId="0" fontId="14" fillId="8" borderId="0" xfId="0" applyFont="1" applyFill="1" applyAlignment="1">
      <alignment vertical="top"/>
    </xf>
    <xf numFmtId="0" fontId="16" fillId="8" borderId="0" xfId="0" applyFont="1" applyFill="1"/>
    <xf numFmtId="0" fontId="14" fillId="7" borderId="15" xfId="0" applyFont="1" applyFill="1" applyBorder="1" applyAlignment="1">
      <alignment horizontal="center"/>
    </xf>
    <xf numFmtId="14" fontId="14" fillId="7" borderId="15" xfId="0" applyNumberFormat="1" applyFont="1" applyFill="1" applyBorder="1" applyAlignment="1">
      <alignment horizontal="center"/>
    </xf>
    <xf numFmtId="9" fontId="14" fillId="7" borderId="15" xfId="0" applyNumberFormat="1" applyFont="1" applyFill="1" applyBorder="1" applyAlignment="1">
      <alignment horizontal="center" vertical="top" wrapText="1"/>
    </xf>
    <xf numFmtId="10" fontId="14" fillId="7" borderId="15" xfId="0" applyNumberFormat="1" applyFont="1" applyFill="1" applyBorder="1" applyAlignment="1">
      <alignment horizontal="center"/>
    </xf>
    <xf numFmtId="0" fontId="14" fillId="8" borderId="0" xfId="0" applyFont="1" applyFill="1" applyBorder="1" applyAlignment="1"/>
    <xf numFmtId="0" fontId="14" fillId="8" borderId="0" xfId="0" applyFont="1" applyFill="1" applyBorder="1" applyAlignment="1">
      <alignment horizontal="left" vertical="top"/>
    </xf>
    <xf numFmtId="0" fontId="14" fillId="8" borderId="0" xfId="0" applyFont="1" applyFill="1" applyBorder="1" applyAlignment="1">
      <alignment horizontal="left"/>
    </xf>
    <xf numFmtId="3" fontId="14" fillId="7" borderId="15" xfId="0" applyNumberFormat="1" applyFont="1" applyFill="1" applyBorder="1"/>
    <xf numFmtId="3" fontId="14" fillId="8" borderId="15" xfId="0" applyNumberFormat="1" applyFont="1" applyFill="1" applyBorder="1"/>
    <xf numFmtId="3" fontId="14" fillId="8" borderId="15" xfId="0" applyNumberFormat="1" applyFont="1" applyFill="1" applyBorder="1" applyAlignment="1">
      <alignment horizontal="center"/>
    </xf>
    <xf numFmtId="9" fontId="14" fillId="7" borderId="15" xfId="0" applyNumberFormat="1" applyFont="1" applyFill="1" applyBorder="1" applyAlignment="1">
      <alignment horizontal="center"/>
    </xf>
    <xf numFmtId="0" fontId="14" fillId="7" borderId="15" xfId="0" applyFont="1" applyFill="1" applyBorder="1" applyAlignment="1">
      <alignment horizontal="center" vertical="top" wrapText="1"/>
    </xf>
    <xf numFmtId="0" fontId="14" fillId="8" borderId="4" xfId="0" applyFont="1" applyFill="1" applyBorder="1" applyAlignment="1">
      <alignment horizontal="center" vertical="center" wrapText="1"/>
    </xf>
    <xf numFmtId="175" fontId="14" fillId="8" borderId="15" xfId="4" applyNumberFormat="1" applyFont="1" applyFill="1" applyBorder="1"/>
    <xf numFmtId="174" fontId="14" fillId="8" borderId="18" xfId="4" applyNumberFormat="1" applyFont="1" applyFill="1" applyBorder="1"/>
    <xf numFmtId="0" fontId="14" fillId="8" borderId="7" xfId="0" applyFont="1" applyFill="1" applyBorder="1"/>
    <xf numFmtId="2" fontId="14" fillId="8" borderId="4" xfId="0" applyNumberFormat="1" applyFont="1" applyFill="1" applyBorder="1"/>
    <xf numFmtId="174" fontId="14" fillId="7" borderId="18" xfId="4" applyNumberFormat="1" applyFont="1" applyFill="1" applyBorder="1"/>
    <xf numFmtId="0" fontId="14" fillId="8" borderId="0" xfId="0" quotePrefix="1" applyFont="1" applyFill="1" applyBorder="1"/>
    <xf numFmtId="169" fontId="14" fillId="8" borderId="15" xfId="0" applyNumberFormat="1" applyFont="1" applyFill="1" applyBorder="1"/>
    <xf numFmtId="173" fontId="14" fillId="8" borderId="15" xfId="0" applyNumberFormat="1" applyFont="1" applyFill="1" applyBorder="1"/>
    <xf numFmtId="0" fontId="14" fillId="8" borderId="0" xfId="0" applyFont="1" applyFill="1" applyBorder="1" applyAlignment="1">
      <alignment horizontal="center" vertical="center" wrapText="1"/>
    </xf>
    <xf numFmtId="0" fontId="20" fillId="8" borderId="0" xfId="0" applyFont="1" applyFill="1"/>
    <xf numFmtId="0" fontId="16" fillId="8" borderId="0" xfId="0" applyFont="1" applyFill="1" applyBorder="1"/>
    <xf numFmtId="0" fontId="13" fillId="6" borderId="4" xfId="0" applyFont="1" applyFill="1" applyBorder="1" applyAlignment="1">
      <alignment horizontal="center" vertical="center" wrapText="1"/>
    </xf>
    <xf numFmtId="0" fontId="13" fillId="6" borderId="3" xfId="0" applyFont="1" applyFill="1" applyBorder="1" applyAlignment="1">
      <alignment horizontal="center" vertical="center" wrapText="1"/>
    </xf>
    <xf numFmtId="9" fontId="13" fillId="6" borderId="5" xfId="12" applyFont="1" applyFill="1" applyBorder="1" applyAlignment="1">
      <alignment horizontal="center"/>
    </xf>
    <xf numFmtId="4" fontId="14" fillId="4" borderId="16" xfId="0" applyNumberFormat="1" applyFont="1" applyFill="1" applyBorder="1"/>
    <xf numFmtId="4" fontId="14" fillId="4" borderId="0" xfId="0" applyNumberFormat="1" applyFont="1" applyFill="1" applyBorder="1"/>
    <xf numFmtId="4" fontId="14" fillId="4" borderId="17" xfId="0" applyNumberFormat="1" applyFont="1" applyFill="1" applyBorder="1"/>
    <xf numFmtId="3" fontId="14" fillId="4" borderId="16" xfId="0" applyNumberFormat="1" applyFont="1" applyFill="1" applyBorder="1"/>
    <xf numFmtId="164" fontId="14" fillId="4" borderId="9" xfId="4" applyNumberFormat="1" applyFont="1" applyFill="1" applyBorder="1"/>
    <xf numFmtId="3" fontId="14" fillId="3" borderId="8" xfId="12" applyNumberFormat="1" applyFont="1" applyFill="1" applyBorder="1"/>
    <xf numFmtId="3" fontId="14" fillId="3" borderId="9" xfId="12" applyNumberFormat="1" applyFont="1" applyFill="1" applyBorder="1"/>
    <xf numFmtId="3" fontId="14" fillId="3" borderId="10" xfId="12" applyNumberFormat="1" applyFont="1" applyFill="1" applyBorder="1"/>
    <xf numFmtId="1" fontId="16" fillId="4" borderId="0" xfId="11" applyNumberFormat="1" applyFont="1" applyFill="1" applyAlignment="1">
      <alignment horizontal="left" vertical="center"/>
    </xf>
    <xf numFmtId="174" fontId="14" fillId="8" borderId="0" xfId="4" applyNumberFormat="1" applyFont="1" applyFill="1"/>
    <xf numFmtId="0" fontId="21" fillId="8" borderId="0" xfId="0" applyFont="1" applyFill="1"/>
    <xf numFmtId="174" fontId="21" fillId="8" borderId="0" xfId="4" applyNumberFormat="1" applyFont="1" applyFill="1"/>
    <xf numFmtId="174" fontId="13" fillId="6" borderId="0" xfId="4" applyNumberFormat="1" applyFont="1" applyFill="1"/>
    <xf numFmtId="0" fontId="21" fillId="8" borderId="0" xfId="0" applyFont="1" applyFill="1" applyAlignment="1">
      <alignment horizontal="right"/>
    </xf>
    <xf numFmtId="168" fontId="17" fillId="4" borderId="0" xfId="11" applyNumberFormat="1" applyFont="1" applyFill="1" applyAlignment="1">
      <alignment vertical="center"/>
    </xf>
    <xf numFmtId="168" fontId="17" fillId="4" borderId="0" xfId="11" applyNumberFormat="1" applyFont="1" applyFill="1" applyBorder="1" applyAlignment="1">
      <alignment vertical="center"/>
    </xf>
    <xf numFmtId="175" fontId="14" fillId="4" borderId="0" xfId="14" applyNumberFormat="1" applyFont="1" applyFill="1" applyBorder="1" applyAlignment="1">
      <alignment vertical="center"/>
    </xf>
    <xf numFmtId="0" fontId="15" fillId="4" borderId="0" xfId="11" applyFont="1" applyFill="1" applyBorder="1"/>
    <xf numFmtId="175" fontId="15" fillId="4" borderId="0" xfId="14" applyNumberFormat="1" applyFont="1" applyFill="1" applyBorder="1"/>
    <xf numFmtId="0" fontId="14" fillId="4" borderId="0" xfId="15" applyFont="1" applyFill="1"/>
    <xf numFmtId="0" fontId="14" fillId="4" borderId="0" xfId="15" applyFont="1" applyFill="1" applyBorder="1"/>
    <xf numFmtId="175" fontId="14" fillId="4" borderId="0" xfId="14" applyNumberFormat="1" applyFont="1" applyFill="1" applyBorder="1"/>
    <xf numFmtId="3" fontId="2" fillId="4" borderId="5" xfId="15" applyNumberFormat="1" applyFont="1" applyFill="1" applyBorder="1" applyAlignment="1">
      <alignment horizontal="right"/>
    </xf>
    <xf numFmtId="43" fontId="14" fillId="4" borderId="5" xfId="14" applyFont="1" applyFill="1" applyBorder="1"/>
    <xf numFmtId="175" fontId="2" fillId="4" borderId="0" xfId="14" applyNumberFormat="1" applyFont="1" applyFill="1" applyBorder="1" applyAlignment="1">
      <alignment horizontal="left"/>
    </xf>
    <xf numFmtId="3" fontId="2" fillId="4" borderId="0" xfId="15" applyNumberFormat="1" applyFont="1" applyFill="1" applyBorder="1" applyAlignment="1">
      <alignment horizontal="right"/>
    </xf>
    <xf numFmtId="175" fontId="14" fillId="4" borderId="0" xfId="15" applyNumberFormat="1" applyFont="1" applyFill="1" applyBorder="1"/>
    <xf numFmtId="3" fontId="14" fillId="4" borderId="0" xfId="15" applyNumberFormat="1" applyFont="1" applyFill="1"/>
    <xf numFmtId="0" fontId="13" fillId="4" borderId="0" xfId="15" applyFont="1" applyFill="1" applyBorder="1" applyAlignment="1">
      <alignment vertical="center"/>
    </xf>
    <xf numFmtId="175" fontId="13" fillId="4" borderId="0" xfId="14" applyNumberFormat="1" applyFont="1" applyFill="1" applyBorder="1" applyAlignment="1">
      <alignment horizontal="center" vertical="center" wrapText="1"/>
    </xf>
    <xf numFmtId="175" fontId="13" fillId="4" borderId="0" xfId="14" applyNumberFormat="1" applyFont="1" applyFill="1" applyBorder="1" applyAlignment="1">
      <alignment vertical="center"/>
    </xf>
    <xf numFmtId="0" fontId="13" fillId="4" borderId="0" xfId="15" applyFont="1" applyFill="1" applyAlignment="1">
      <alignment vertical="center"/>
    </xf>
    <xf numFmtId="0" fontId="14" fillId="4" borderId="4" xfId="15" applyFont="1" applyFill="1" applyBorder="1"/>
    <xf numFmtId="0" fontId="14" fillId="4" borderId="5" xfId="15" applyFont="1" applyFill="1" applyBorder="1"/>
    <xf numFmtId="0" fontId="14" fillId="4" borderId="3" xfId="15" applyFont="1" applyFill="1" applyBorder="1"/>
    <xf numFmtId="0" fontId="13" fillId="6" borderId="4" xfId="15" applyFont="1" applyFill="1" applyBorder="1" applyAlignment="1">
      <alignment horizontal="center" vertical="center" wrapText="1"/>
    </xf>
    <xf numFmtId="174" fontId="14" fillId="4" borderId="15" xfId="4" applyNumberFormat="1" applyFont="1" applyFill="1" applyBorder="1" applyAlignment="1">
      <alignment horizontal="center"/>
    </xf>
    <xf numFmtId="0" fontId="14" fillId="7" borderId="15" xfId="0" applyFont="1" applyFill="1" applyBorder="1"/>
    <xf numFmtId="174" fontId="14" fillId="4" borderId="7" xfId="4" applyNumberFormat="1" applyFont="1" applyFill="1" applyBorder="1" applyAlignment="1">
      <alignment horizontal="center"/>
    </xf>
    <xf numFmtId="174" fontId="14" fillId="5" borderId="15" xfId="4" applyNumberFormat="1" applyFont="1" applyFill="1" applyBorder="1" applyAlignment="1">
      <alignment horizontal="center"/>
    </xf>
    <xf numFmtId="171" fontId="19" fillId="5" borderId="4" xfId="0" applyNumberFormat="1" applyFont="1" applyFill="1" applyBorder="1"/>
    <xf numFmtId="171" fontId="19" fillId="5" borderId="5" xfId="0" applyNumberFormat="1" applyFont="1" applyFill="1" applyBorder="1"/>
    <xf numFmtId="171" fontId="14" fillId="5" borderId="15" xfId="0" applyNumberFormat="1" applyFont="1" applyFill="1" applyBorder="1"/>
    <xf numFmtId="171" fontId="19" fillId="5" borderId="3" xfId="0" applyNumberFormat="1" applyFont="1" applyFill="1" applyBorder="1"/>
    <xf numFmtId="0" fontId="14" fillId="7" borderId="15" xfId="15" applyFont="1" applyFill="1" applyBorder="1" applyAlignment="1">
      <alignment horizontal="center"/>
    </xf>
    <xf numFmtId="174" fontId="14" fillId="7" borderId="3" xfId="4" applyNumberFormat="1" applyFont="1" applyFill="1" applyBorder="1" applyAlignment="1">
      <alignment horizontal="center"/>
    </xf>
    <xf numFmtId="174" fontId="14" fillId="7" borderId="15" xfId="4" applyNumberFormat="1" applyFont="1" applyFill="1" applyBorder="1"/>
    <xf numFmtId="0" fontId="14" fillId="7" borderId="15" xfId="4" applyNumberFormat="1" applyFont="1" applyFill="1" applyBorder="1" applyAlignment="1">
      <alignment horizontal="center"/>
    </xf>
    <xf numFmtId="0" fontId="14" fillId="10" borderId="0" xfId="0" applyFont="1" applyFill="1"/>
    <xf numFmtId="0" fontId="21" fillId="10" borderId="0" xfId="0" applyFont="1" applyFill="1" applyAlignment="1">
      <alignment horizontal="right"/>
    </xf>
    <xf numFmtId="0" fontId="21" fillId="10" borderId="0" xfId="0" applyFont="1" applyFill="1"/>
    <xf numFmtId="0" fontId="26" fillId="4" borderId="0" xfId="16" applyFont="1" applyFill="1" applyBorder="1" applyAlignment="1">
      <alignment horizontal="left" vertical="top" wrapText="1"/>
    </xf>
    <xf numFmtId="0" fontId="26" fillId="4" borderId="0" xfId="16" applyFont="1" applyFill="1" applyBorder="1" applyAlignment="1">
      <alignment horizontal="left" vertical="top"/>
    </xf>
    <xf numFmtId="0" fontId="27" fillId="4" borderId="0" xfId="0" applyFont="1" applyFill="1" applyBorder="1"/>
    <xf numFmtId="0" fontId="27" fillId="10" borderId="0" xfId="0" applyFont="1" applyFill="1"/>
    <xf numFmtId="0" fontId="28" fillId="6" borderId="0" xfId="0" applyFont="1" applyFill="1"/>
    <xf numFmtId="0" fontId="24" fillId="6" borderId="0" xfId="0" applyFont="1" applyFill="1" applyAlignment="1">
      <alignment horizontal="center"/>
    </xf>
    <xf numFmtId="164" fontId="27" fillId="4" borderId="0" xfId="4" applyFont="1" applyFill="1" applyBorder="1"/>
    <xf numFmtId="0" fontId="13" fillId="6" borderId="0" xfId="0" applyFont="1" applyFill="1" applyAlignment="1"/>
    <xf numFmtId="164" fontId="13" fillId="6" borderId="0" xfId="4" applyFont="1" applyFill="1"/>
    <xf numFmtId="0" fontId="27" fillId="4" borderId="0" xfId="16" applyFont="1" applyFill="1" applyBorder="1" applyAlignment="1">
      <alignment horizontal="left" vertical="top" wrapText="1"/>
    </xf>
    <xf numFmtId="0" fontId="27" fillId="4" borderId="0" xfId="16" applyFont="1" applyFill="1" applyBorder="1" applyAlignment="1">
      <alignment horizontal="left" vertical="top"/>
    </xf>
    <xf numFmtId="178" fontId="27" fillId="4" borderId="0" xfId="16" applyNumberFormat="1" applyFont="1" applyFill="1" applyBorder="1" applyAlignment="1">
      <alignment horizontal="left" vertical="top" wrapText="1"/>
    </xf>
    <xf numFmtId="164" fontId="27" fillId="4" borderId="0" xfId="4" applyFont="1" applyFill="1" applyBorder="1" applyAlignment="1">
      <alignment horizontal="right"/>
    </xf>
    <xf numFmtId="0" fontId="27" fillId="4" borderId="19" xfId="16" applyFont="1" applyFill="1" applyBorder="1" applyAlignment="1">
      <alignment horizontal="left" vertical="top" wrapText="1"/>
    </xf>
    <xf numFmtId="0" fontId="27" fillId="4" borderId="19" xfId="16" applyFont="1" applyFill="1" applyBorder="1" applyAlignment="1">
      <alignment horizontal="left" vertical="top"/>
    </xf>
    <xf numFmtId="164" fontId="27" fillId="4" borderId="19" xfId="4" applyFont="1" applyFill="1" applyBorder="1"/>
    <xf numFmtId="0" fontId="33" fillId="4" borderId="0" xfId="16" applyFont="1" applyFill="1" applyBorder="1" applyAlignment="1">
      <alignment horizontal="left" vertical="top"/>
    </xf>
    <xf numFmtId="0" fontId="20" fillId="10" borderId="0" xfId="0" applyFont="1" applyFill="1"/>
    <xf numFmtId="0" fontId="27" fillId="10" borderId="0" xfId="0" applyFont="1" applyFill="1" applyAlignment="1"/>
    <xf numFmtId="0" fontId="27" fillId="4" borderId="0" xfId="0" applyFont="1" applyFill="1" applyAlignment="1"/>
    <xf numFmtId="0" fontId="26" fillId="4" borderId="0" xfId="16" applyFont="1" applyFill="1" applyBorder="1" applyAlignment="1">
      <alignment horizontal="left" vertical="center" wrapText="1"/>
    </xf>
    <xf numFmtId="0" fontId="26" fillId="4" borderId="0" xfId="16" applyFont="1" applyFill="1" applyBorder="1" applyAlignment="1">
      <alignment horizontal="left" vertical="center"/>
    </xf>
    <xf numFmtId="164" fontId="27" fillId="4" borderId="0" xfId="4" applyFont="1" applyFill="1" applyBorder="1" applyAlignment="1">
      <alignment vertical="center"/>
    </xf>
    <xf numFmtId="164" fontId="27" fillId="12" borderId="0" xfId="4" applyFont="1" applyFill="1" applyBorder="1" applyAlignment="1">
      <alignment vertical="center"/>
    </xf>
    <xf numFmtId="0" fontId="27" fillId="10" borderId="0" xfId="0" applyFont="1" applyFill="1" applyAlignment="1">
      <alignment vertical="center"/>
    </xf>
    <xf numFmtId="164" fontId="27" fillId="4" borderId="17" xfId="4" applyFont="1" applyFill="1" applyBorder="1" applyAlignment="1">
      <alignment vertical="center"/>
    </xf>
    <xf numFmtId="0" fontId="30" fillId="4" borderId="0" xfId="16" applyFont="1" applyFill="1" applyBorder="1" applyAlignment="1">
      <alignment horizontal="left" vertical="center"/>
    </xf>
    <xf numFmtId="164" fontId="31" fillId="4" borderId="0" xfId="4" applyFont="1" applyFill="1" applyBorder="1" applyAlignment="1">
      <alignment vertical="center"/>
    </xf>
    <xf numFmtId="164" fontId="32" fillId="4" borderId="0" xfId="4" applyFont="1" applyFill="1" applyBorder="1" applyAlignment="1">
      <alignment vertical="center"/>
    </xf>
    <xf numFmtId="0" fontId="28" fillId="6" borderId="0" xfId="0" applyFont="1" applyFill="1" applyAlignment="1">
      <alignment vertical="center"/>
    </xf>
    <xf numFmtId="0" fontId="13" fillId="6" borderId="0" xfId="0" applyFont="1" applyFill="1" applyAlignment="1">
      <alignment vertical="center"/>
    </xf>
    <xf numFmtId="0" fontId="24" fillId="6" borderId="0" xfId="0" applyFont="1" applyFill="1" applyAlignment="1">
      <alignment horizontal="center" vertical="center"/>
    </xf>
    <xf numFmtId="0" fontId="14" fillId="10" borderId="0" xfId="0" applyFont="1" applyFill="1" applyAlignment="1">
      <alignment vertical="center"/>
    </xf>
    <xf numFmtId="0" fontId="30" fillId="4" borderId="0" xfId="16" applyFont="1" applyFill="1" applyBorder="1" applyAlignment="1">
      <alignment horizontal="left" vertical="center" wrapText="1"/>
    </xf>
    <xf numFmtId="164" fontId="13" fillId="6" borderId="0" xfId="4" applyFont="1" applyFill="1" applyAlignment="1">
      <alignment vertical="center"/>
    </xf>
    <xf numFmtId="0" fontId="27" fillId="4" borderId="0" xfId="16" applyFont="1" applyFill="1" applyBorder="1" applyAlignment="1">
      <alignment horizontal="left" vertical="center" wrapText="1"/>
    </xf>
    <xf numFmtId="0" fontId="27" fillId="4" borderId="0" xfId="16" applyFont="1" applyFill="1" applyBorder="1" applyAlignment="1">
      <alignment horizontal="left" vertical="center"/>
    </xf>
    <xf numFmtId="0" fontId="27" fillId="4" borderId="0" xfId="0" applyFont="1" applyFill="1" applyAlignment="1">
      <alignment vertical="center"/>
    </xf>
    <xf numFmtId="174" fontId="27" fillId="4" borderId="0" xfId="4" applyNumberFormat="1" applyFont="1" applyFill="1" applyBorder="1" applyAlignment="1">
      <alignment vertical="center"/>
    </xf>
    <xf numFmtId="164" fontId="27" fillId="12" borderId="0" xfId="4" applyFont="1" applyFill="1" applyBorder="1" applyAlignment="1">
      <alignment vertical="center" wrapText="1"/>
    </xf>
    <xf numFmtId="0" fontId="14" fillId="7" borderId="4" xfId="15" applyFont="1" applyFill="1" applyBorder="1" applyAlignment="1">
      <alignment horizontal="center"/>
    </xf>
    <xf numFmtId="0" fontId="14" fillId="7" borderId="5" xfId="15" applyFont="1" applyFill="1" applyBorder="1" applyAlignment="1">
      <alignment horizontal="center"/>
    </xf>
    <xf numFmtId="174" fontId="14" fillId="4" borderId="0" xfId="15" applyNumberFormat="1" applyFont="1" applyFill="1"/>
    <xf numFmtId="0" fontId="13" fillId="6" borderId="5" xfId="15" quotePrefix="1" applyFont="1" applyFill="1" applyBorder="1" applyAlignment="1">
      <alignment horizontal="center" vertical="center" wrapText="1"/>
    </xf>
    <xf numFmtId="174" fontId="14" fillId="4" borderId="3" xfId="4" applyNumberFormat="1" applyFont="1" applyFill="1" applyBorder="1" applyAlignment="1">
      <alignment horizontal="center"/>
    </xf>
    <xf numFmtId="174" fontId="14" fillId="8" borderId="0" xfId="4" applyNumberFormat="1" applyFont="1" applyFill="1" applyBorder="1"/>
    <xf numFmtId="174" fontId="14" fillId="13" borderId="5" xfId="4" applyNumberFormat="1" applyFont="1" applyFill="1" applyBorder="1"/>
    <xf numFmtId="10" fontId="13" fillId="6" borderId="5" xfId="12" applyNumberFormat="1" applyFont="1" applyFill="1" applyBorder="1" applyAlignment="1">
      <alignment vertical="center"/>
    </xf>
    <xf numFmtId="164" fontId="14" fillId="7" borderId="15" xfId="4" applyFont="1" applyFill="1" applyBorder="1" applyAlignment="1">
      <alignment horizontal="center"/>
    </xf>
    <xf numFmtId="174" fontId="14" fillId="4" borderId="15" xfId="0" applyNumberFormat="1" applyFont="1" applyFill="1" applyBorder="1"/>
    <xf numFmtId="174" fontId="19" fillId="4" borderId="4" xfId="4" applyNumberFormat="1" applyFont="1" applyFill="1" applyBorder="1"/>
    <xf numFmtId="174" fontId="19" fillId="4" borderId="5" xfId="4" applyNumberFormat="1" applyFont="1" applyFill="1" applyBorder="1"/>
    <xf numFmtId="174" fontId="19" fillId="4" borderId="3" xfId="4" applyNumberFormat="1" applyFont="1" applyFill="1" applyBorder="1"/>
    <xf numFmtId="174" fontId="19" fillId="5" borderId="4" xfId="4" applyNumberFormat="1" applyFont="1" applyFill="1" applyBorder="1"/>
    <xf numFmtId="174" fontId="19" fillId="5" borderId="5" xfId="4" applyNumberFormat="1" applyFont="1" applyFill="1" applyBorder="1"/>
    <xf numFmtId="174" fontId="19" fillId="5" borderId="3" xfId="4" applyNumberFormat="1" applyFont="1" applyFill="1" applyBorder="1"/>
    <xf numFmtId="174" fontId="14" fillId="5" borderId="15" xfId="0" applyNumberFormat="1" applyFont="1" applyFill="1" applyBorder="1"/>
    <xf numFmtId="0" fontId="27" fillId="4" borderId="0" xfId="0" applyFont="1" applyFill="1"/>
    <xf numFmtId="174" fontId="27" fillId="4" borderId="0" xfId="4" applyNumberFormat="1" applyFont="1" applyFill="1"/>
    <xf numFmtId="0" fontId="27" fillId="8" borderId="0" xfId="0" applyFont="1" applyFill="1"/>
    <xf numFmtId="174" fontId="27" fillId="3" borderId="0" xfId="4" applyNumberFormat="1" applyFont="1" applyFill="1"/>
    <xf numFmtId="164" fontId="27" fillId="4" borderId="0" xfId="4" applyFont="1" applyFill="1"/>
    <xf numFmtId="174" fontId="27" fillId="4" borderId="17" xfId="4" applyNumberFormat="1" applyFont="1" applyFill="1" applyBorder="1"/>
    <xf numFmtId="174" fontId="31" fillId="4" borderId="0" xfId="4" applyNumberFormat="1" applyFont="1" applyFill="1"/>
    <xf numFmtId="0" fontId="31" fillId="4" borderId="0" xfId="0" applyFont="1" applyFill="1"/>
    <xf numFmtId="0" fontId="27" fillId="4" borderId="0" xfId="0" applyFont="1" applyFill="1" applyAlignment="1">
      <alignment horizontal="right"/>
    </xf>
    <xf numFmtId="0" fontId="27" fillId="4" borderId="0" xfId="0" applyFont="1" applyFill="1" applyAlignment="1">
      <alignment horizontal="left"/>
    </xf>
    <xf numFmtId="164" fontId="16" fillId="4" borderId="0" xfId="4" applyFont="1" applyFill="1" applyAlignment="1">
      <alignment vertical="center"/>
    </xf>
    <xf numFmtId="164" fontId="19" fillId="4" borderId="5" xfId="4" applyFont="1" applyFill="1" applyBorder="1"/>
    <xf numFmtId="164" fontId="19" fillId="4" borderId="15" xfId="4" applyFont="1" applyFill="1" applyBorder="1"/>
    <xf numFmtId="0" fontId="14" fillId="0" borderId="9" xfId="0" applyFont="1" applyFill="1" applyBorder="1" applyAlignment="1">
      <alignment horizontal="center"/>
    </xf>
    <xf numFmtId="3" fontId="14" fillId="0" borderId="5" xfId="0" applyNumberFormat="1" applyFont="1" applyFill="1" applyBorder="1"/>
    <xf numFmtId="174" fontId="14" fillId="0" borderId="11" xfId="4" applyNumberFormat="1" applyFont="1" applyFill="1" applyBorder="1"/>
    <xf numFmtId="174" fontId="14" fillId="0" borderId="5" xfId="4" applyNumberFormat="1" applyFont="1" applyFill="1" applyBorder="1"/>
    <xf numFmtId="174" fontId="14" fillId="0" borderId="9" xfId="4" applyNumberFormat="1" applyFont="1" applyFill="1" applyBorder="1"/>
    <xf numFmtId="0" fontId="3" fillId="0" borderId="0" xfId="0" applyFont="1" applyFill="1" applyAlignment="1">
      <alignment horizontal="left"/>
    </xf>
    <xf numFmtId="0" fontId="14" fillId="0" borderId="0" xfId="0" applyFont="1" applyFill="1"/>
    <xf numFmtId="164" fontId="13" fillId="6" borderId="3" xfId="4" applyNumberFormat="1" applyFont="1" applyFill="1" applyBorder="1" applyAlignment="1">
      <alignment horizontal="center" vertical="top" wrapText="1"/>
    </xf>
    <xf numFmtId="164" fontId="13" fillId="6" borderId="3" xfId="4" applyNumberFormat="1" applyFont="1" applyFill="1" applyBorder="1" applyAlignment="1">
      <alignment horizontal="center" vertical="center" wrapText="1"/>
    </xf>
    <xf numFmtId="164" fontId="13" fillId="6" borderId="3" xfId="15" quotePrefix="1" applyNumberFormat="1" applyFont="1" applyFill="1" applyBorder="1" applyAlignment="1">
      <alignment horizontal="center" vertical="center" wrapText="1"/>
    </xf>
    <xf numFmtId="10" fontId="14" fillId="8" borderId="3" xfId="12" applyNumberFormat="1" applyFont="1" applyFill="1" applyBorder="1"/>
    <xf numFmtId="2" fontId="14" fillId="8" borderId="15" xfId="0" applyNumberFormat="1" applyFont="1" applyFill="1" applyBorder="1" applyAlignment="1"/>
    <xf numFmtId="2" fontId="14" fillId="7" borderId="4" xfId="0" applyNumberFormat="1" applyFont="1" applyFill="1" applyBorder="1" applyAlignment="1"/>
    <xf numFmtId="2" fontId="14" fillId="8" borderId="15" xfId="4" applyNumberFormat="1" applyFont="1" applyFill="1" applyBorder="1"/>
    <xf numFmtId="4" fontId="14" fillId="4" borderId="4" xfId="0" applyNumberFormat="1" applyFont="1" applyFill="1" applyBorder="1"/>
    <xf numFmtId="4" fontId="14" fillId="4" borderId="5" xfId="0" applyNumberFormat="1" applyFont="1" applyFill="1" applyBorder="1"/>
    <xf numFmtId="4" fontId="14" fillId="0" borderId="5" xfId="0" applyNumberFormat="1" applyFont="1" applyFill="1" applyBorder="1"/>
    <xf numFmtId="4" fontId="14" fillId="4" borderId="3" xfId="0" applyNumberFormat="1" applyFont="1" applyFill="1" applyBorder="1"/>
    <xf numFmtId="164" fontId="14" fillId="4" borderId="5" xfId="4" applyNumberFormat="1" applyFont="1" applyFill="1" applyBorder="1"/>
    <xf numFmtId="175" fontId="14" fillId="5" borderId="15" xfId="4" applyNumberFormat="1" applyFont="1" applyFill="1" applyBorder="1"/>
    <xf numFmtId="0" fontId="16" fillId="4" borderId="0" xfId="0" applyFont="1" applyFill="1" applyAlignment="1">
      <alignment vertical="center"/>
    </xf>
    <xf numFmtId="174" fontId="14" fillId="7" borderId="15" xfId="4" applyNumberFormat="1" applyFont="1" applyFill="1" applyBorder="1" applyAlignment="1">
      <alignment horizontal="center" vertical="center" wrapText="1"/>
    </xf>
    <xf numFmtId="4" fontId="14" fillId="8" borderId="15" xfId="0" applyNumberFormat="1" applyFont="1" applyFill="1" applyBorder="1"/>
    <xf numFmtId="170" fontId="14" fillId="8" borderId="15" xfId="0" applyNumberFormat="1" applyFont="1" applyFill="1" applyBorder="1"/>
    <xf numFmtId="170" fontId="14" fillId="7" borderId="15" xfId="0" applyNumberFormat="1" applyFont="1" applyFill="1" applyBorder="1"/>
    <xf numFmtId="166" fontId="14" fillId="7" borderId="15" xfId="0" applyNumberFormat="1" applyFont="1" applyFill="1" applyBorder="1"/>
    <xf numFmtId="0" fontId="13" fillId="6" borderId="10" xfId="0" applyFont="1" applyFill="1" applyBorder="1" applyAlignment="1">
      <alignment horizontal="center" vertical="center" wrapText="1"/>
    </xf>
    <xf numFmtId="166" fontId="13" fillId="6" borderId="13" xfId="12" applyNumberFormat="1" applyFont="1" applyFill="1" applyBorder="1" applyAlignment="1">
      <alignment horizontal="center" vertical="center" wrapText="1"/>
    </xf>
    <xf numFmtId="0" fontId="0" fillId="4" borderId="0" xfId="0" applyFill="1"/>
    <xf numFmtId="166" fontId="13" fillId="6" borderId="17" xfId="12" applyNumberFormat="1" applyFont="1" applyFill="1" applyBorder="1" applyAlignment="1">
      <alignment horizontal="center" vertical="center" wrapText="1"/>
    </xf>
    <xf numFmtId="166" fontId="13" fillId="6" borderId="17" xfId="12" applyNumberFormat="1" applyFont="1" applyFill="1" applyBorder="1" applyAlignment="1">
      <alignment vertical="center" wrapText="1"/>
    </xf>
    <xf numFmtId="0" fontId="37" fillId="4" borderId="0" xfId="0" applyFont="1" applyFill="1" applyAlignment="1">
      <alignment horizontal="right"/>
    </xf>
    <xf numFmtId="174" fontId="27" fillId="12" borderId="20" xfId="4" applyNumberFormat="1" applyFont="1" applyFill="1" applyBorder="1"/>
    <xf numFmtId="174" fontId="27" fillId="12" borderId="0" xfId="4" applyNumberFormat="1" applyFont="1" applyFill="1"/>
    <xf numFmtId="174" fontId="27" fillId="12" borderId="24" xfId="4" applyNumberFormat="1" applyFont="1" applyFill="1" applyBorder="1"/>
    <xf numFmtId="174" fontId="27" fillId="12" borderId="17" xfId="4" applyNumberFormat="1" applyFont="1" applyFill="1" applyBorder="1"/>
    <xf numFmtId="0" fontId="27" fillId="3" borderId="22" xfId="0" applyFont="1" applyFill="1" applyBorder="1" applyAlignment="1">
      <alignment horizontal="center" vertical="center" wrapText="1"/>
    </xf>
    <xf numFmtId="174" fontId="27" fillId="3" borderId="21" xfId="4" applyNumberFormat="1" applyFont="1" applyFill="1" applyBorder="1" applyAlignment="1">
      <alignment horizontal="center" vertical="center" wrapText="1"/>
    </xf>
    <xf numFmtId="0" fontId="27" fillId="3" borderId="20" xfId="0" applyFont="1" applyFill="1" applyBorder="1"/>
    <xf numFmtId="174" fontId="27" fillId="12" borderId="20" xfId="0" applyNumberFormat="1" applyFont="1" applyFill="1" applyBorder="1"/>
    <xf numFmtId="174" fontId="31" fillId="12" borderId="23" xfId="0" applyNumberFormat="1" applyFont="1" applyFill="1" applyBorder="1"/>
    <xf numFmtId="0" fontId="31" fillId="3" borderId="22" xfId="0" applyFont="1" applyFill="1" applyBorder="1" applyAlignment="1">
      <alignment horizontal="center" vertical="center" wrapText="1"/>
    </xf>
    <xf numFmtId="0" fontId="36" fillId="4" borderId="0" xfId="0" applyFont="1" applyFill="1" applyAlignment="1">
      <alignment horizontal="center"/>
    </xf>
    <xf numFmtId="0" fontId="22" fillId="9" borderId="0" xfId="0" applyFont="1" applyFill="1" applyAlignment="1">
      <alignment horizontal="center"/>
    </xf>
    <xf numFmtId="0" fontId="38" fillId="4" borderId="0" xfId="0" applyFont="1" applyFill="1" applyAlignment="1">
      <alignment horizontal="left" vertical="top" wrapText="1"/>
    </xf>
    <xf numFmtId="0" fontId="21" fillId="11" borderId="0" xfId="0" applyFont="1" applyFill="1" applyAlignment="1">
      <alignment horizontal="center"/>
    </xf>
    <xf numFmtId="0" fontId="25" fillId="4" borderId="0" xfId="0" applyFont="1" applyFill="1" applyAlignment="1">
      <alignment horizontal="center"/>
    </xf>
    <xf numFmtId="0" fontId="27" fillId="4" borderId="0" xfId="16" applyFont="1" applyFill="1" applyBorder="1" applyAlignment="1">
      <alignment horizontal="center" vertical="top" wrapText="1"/>
    </xf>
    <xf numFmtId="177" fontId="27" fillId="4" borderId="0" xfId="16" applyNumberFormat="1" applyFont="1" applyFill="1" applyBorder="1" applyAlignment="1">
      <alignment horizontal="left" vertical="top" wrapText="1"/>
    </xf>
    <xf numFmtId="4" fontId="13" fillId="6" borderId="4" xfId="0" applyNumberFormat="1" applyFont="1" applyFill="1" applyBorder="1" applyAlignment="1">
      <alignment horizontal="center" vertical="center" textRotation="90" wrapText="1"/>
    </xf>
    <xf numFmtId="4" fontId="13" fillId="6" borderId="5" xfId="0" applyNumberFormat="1" applyFont="1" applyFill="1" applyBorder="1" applyAlignment="1">
      <alignment horizontal="center" vertical="center" textRotation="90" wrapText="1"/>
    </xf>
    <xf numFmtId="4" fontId="13" fillId="6" borderId="3" xfId="0" applyNumberFormat="1" applyFont="1" applyFill="1" applyBorder="1" applyAlignment="1">
      <alignment horizontal="center" vertical="center" textRotation="90" wrapText="1"/>
    </xf>
    <xf numFmtId="174" fontId="13" fillId="6" borderId="4" xfId="4" applyNumberFormat="1" applyFont="1" applyFill="1" applyBorder="1" applyAlignment="1">
      <alignment horizontal="center" vertical="center" textRotation="90" wrapText="1"/>
    </xf>
    <xf numFmtId="174" fontId="13" fillId="6" borderId="3" xfId="4" applyNumberFormat="1" applyFont="1" applyFill="1" applyBorder="1" applyAlignment="1">
      <alignment horizontal="center" vertical="center" textRotation="90" wrapText="1"/>
    </xf>
    <xf numFmtId="174" fontId="13" fillId="6" borderId="12" xfId="4" applyNumberFormat="1" applyFont="1" applyFill="1" applyBorder="1" applyAlignment="1">
      <alignment horizontal="center" vertical="center" textRotation="90" wrapText="1"/>
    </xf>
    <xf numFmtId="174" fontId="13" fillId="6" borderId="13" xfId="4" applyNumberFormat="1" applyFont="1" applyFill="1" applyBorder="1" applyAlignment="1">
      <alignment horizontal="center" vertical="center" textRotation="90" wrapText="1"/>
    </xf>
    <xf numFmtId="174" fontId="13" fillId="6" borderId="8" xfId="4" applyNumberFormat="1" applyFont="1" applyFill="1" applyBorder="1" applyAlignment="1">
      <alignment horizontal="center" vertical="center" textRotation="90" wrapText="1"/>
    </xf>
    <xf numFmtId="174" fontId="13" fillId="6" borderId="10" xfId="4" applyNumberFormat="1" applyFont="1" applyFill="1" applyBorder="1" applyAlignment="1">
      <alignment horizontal="center" vertical="center" textRotation="90" wrapText="1"/>
    </xf>
    <xf numFmtId="0" fontId="13" fillId="6" borderId="4" xfId="0" applyNumberFormat="1" applyFont="1" applyFill="1" applyBorder="1" applyAlignment="1">
      <alignment horizontal="center" vertical="center" wrapText="1"/>
    </xf>
    <xf numFmtId="0" fontId="13" fillId="6" borderId="5" xfId="0" applyNumberFormat="1" applyFont="1" applyFill="1" applyBorder="1" applyAlignment="1">
      <alignment horizontal="center" vertical="center" wrapText="1"/>
    </xf>
    <xf numFmtId="0" fontId="13" fillId="6" borderId="3" xfId="0" applyNumberFormat="1" applyFont="1" applyFill="1" applyBorder="1" applyAlignment="1">
      <alignment horizontal="center" vertical="center" wrapText="1"/>
    </xf>
    <xf numFmtId="3" fontId="13" fillId="6" borderId="4" xfId="0" applyNumberFormat="1" applyFont="1" applyFill="1" applyBorder="1" applyAlignment="1">
      <alignment horizontal="center" vertical="center" wrapText="1"/>
    </xf>
    <xf numFmtId="3" fontId="13" fillId="6" borderId="5" xfId="0" applyNumberFormat="1" applyFont="1" applyFill="1" applyBorder="1" applyAlignment="1">
      <alignment horizontal="center" vertical="center" wrapText="1"/>
    </xf>
    <xf numFmtId="3" fontId="13" fillId="6" borderId="3" xfId="0" applyNumberFormat="1" applyFont="1" applyFill="1" applyBorder="1" applyAlignment="1">
      <alignment horizontal="center" vertical="center" wrapText="1"/>
    </xf>
    <xf numFmtId="174" fontId="13" fillId="6" borderId="5" xfId="4" applyNumberFormat="1" applyFont="1" applyFill="1" applyBorder="1" applyAlignment="1">
      <alignment horizontal="center" vertical="center" textRotation="90" wrapText="1"/>
    </xf>
    <xf numFmtId="164" fontId="13" fillId="6" borderId="4" xfId="4" applyFont="1" applyFill="1" applyBorder="1" applyAlignment="1">
      <alignment horizontal="center" vertical="center" textRotation="90" wrapText="1"/>
    </xf>
    <xf numFmtId="164" fontId="13" fillId="6" borderId="3" xfId="4" applyFont="1" applyFill="1" applyBorder="1" applyAlignment="1">
      <alignment horizontal="center" vertical="center" textRotation="90" wrapText="1"/>
    </xf>
    <xf numFmtId="3" fontId="13" fillId="6" borderId="4" xfId="0" applyNumberFormat="1" applyFont="1" applyFill="1" applyBorder="1" applyAlignment="1">
      <alignment horizontal="center" vertical="center" textRotation="90" wrapText="1"/>
    </xf>
    <xf numFmtId="0" fontId="13" fillId="6" borderId="3" xfId="0" applyFont="1" applyFill="1" applyBorder="1" applyAlignment="1">
      <alignment horizontal="center" vertical="center" textRotation="90" wrapText="1"/>
    </xf>
    <xf numFmtId="3" fontId="13" fillId="6" borderId="5" xfId="0" applyNumberFormat="1" applyFont="1" applyFill="1" applyBorder="1" applyAlignment="1">
      <alignment horizontal="center" vertical="center" textRotation="90" wrapText="1"/>
    </xf>
    <xf numFmtId="3" fontId="13" fillId="6" borderId="3" xfId="0" applyNumberFormat="1" applyFont="1" applyFill="1" applyBorder="1" applyAlignment="1">
      <alignment horizontal="center" vertical="center" textRotation="90" wrapText="1"/>
    </xf>
    <xf numFmtId="0" fontId="13" fillId="6" borderId="4"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5" xfId="0" applyFont="1" applyFill="1" applyBorder="1" applyAlignment="1">
      <alignment horizontal="center" vertical="center" wrapText="1"/>
    </xf>
    <xf numFmtId="174" fontId="13" fillId="6" borderId="4" xfId="4" applyNumberFormat="1" applyFont="1" applyFill="1" applyBorder="1" applyAlignment="1">
      <alignment horizontal="center" vertical="center" wrapText="1"/>
    </xf>
    <xf numFmtId="174" fontId="13" fillId="6" borderId="5" xfId="4" applyNumberFormat="1" applyFont="1" applyFill="1" applyBorder="1" applyAlignment="1">
      <alignment horizontal="center" vertical="center" wrapText="1"/>
    </xf>
    <xf numFmtId="174" fontId="13" fillId="6" borderId="3" xfId="4" applyNumberFormat="1" applyFont="1" applyFill="1" applyBorder="1" applyAlignment="1">
      <alignment horizontal="center" vertical="center" wrapText="1"/>
    </xf>
    <xf numFmtId="4" fontId="13" fillId="6" borderId="4" xfId="0" applyNumberFormat="1" applyFont="1" applyFill="1" applyBorder="1" applyAlignment="1">
      <alignment horizontal="center" vertical="center" wrapText="1"/>
    </xf>
    <xf numFmtId="4" fontId="13" fillId="6" borderId="3" xfId="0" applyNumberFormat="1" applyFont="1" applyFill="1" applyBorder="1" applyAlignment="1">
      <alignment horizontal="center" vertical="center" wrapText="1"/>
    </xf>
    <xf numFmtId="10" fontId="13" fillId="6" borderId="4" xfId="12" applyNumberFormat="1" applyFont="1" applyFill="1" applyBorder="1" applyAlignment="1">
      <alignment horizontal="center" vertical="center" wrapText="1"/>
    </xf>
    <xf numFmtId="10" fontId="13" fillId="6" borderId="5" xfId="12" applyNumberFormat="1" applyFont="1" applyFill="1" applyBorder="1" applyAlignment="1">
      <alignment horizontal="center" vertical="center" wrapText="1"/>
    </xf>
    <xf numFmtId="0" fontId="13" fillId="6" borderId="18" xfId="0" applyFont="1" applyFill="1" applyBorder="1" applyAlignment="1">
      <alignment horizontal="center" vertical="center"/>
    </xf>
    <xf numFmtId="0" fontId="13" fillId="6" borderId="6" xfId="0" applyFont="1" applyFill="1" applyBorder="1" applyAlignment="1">
      <alignment horizontal="center" vertical="center"/>
    </xf>
    <xf numFmtId="0" fontId="13" fillId="6" borderId="7" xfId="0" applyFont="1" applyFill="1" applyBorder="1" applyAlignment="1">
      <alignment horizontal="center" vertical="center"/>
    </xf>
    <xf numFmtId="10" fontId="13" fillId="6" borderId="3" xfId="12" applyNumberFormat="1" applyFont="1" applyFill="1" applyBorder="1" applyAlignment="1">
      <alignment horizontal="center" vertical="center" wrapText="1"/>
    </xf>
    <xf numFmtId="0" fontId="13" fillId="6" borderId="18"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12"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6" borderId="18" xfId="0" applyFont="1" applyFill="1" applyBorder="1" applyAlignment="1">
      <alignment horizontal="center"/>
    </xf>
    <xf numFmtId="0" fontId="13" fillId="6" borderId="6" xfId="0" applyFont="1" applyFill="1" applyBorder="1" applyAlignment="1">
      <alignment horizontal="center"/>
    </xf>
    <xf numFmtId="0" fontId="13" fillId="6" borderId="7" xfId="0" applyFont="1" applyFill="1" applyBorder="1" applyAlignment="1">
      <alignment horizontal="center"/>
    </xf>
    <xf numFmtId="164" fontId="13" fillId="6" borderId="4" xfId="4" applyFont="1" applyFill="1" applyBorder="1" applyAlignment="1">
      <alignment horizontal="center" vertical="center" wrapText="1"/>
    </xf>
    <xf numFmtId="164" fontId="13" fillId="6" borderId="5" xfId="4" applyFont="1" applyFill="1" applyBorder="1" applyAlignment="1">
      <alignment horizontal="center" vertical="center" wrapText="1"/>
    </xf>
    <xf numFmtId="0" fontId="13" fillId="6" borderId="9"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0" xfId="0" applyFont="1" applyFill="1" applyBorder="1" applyAlignment="1">
      <alignment horizontal="center" vertical="center" wrapText="1"/>
    </xf>
    <xf numFmtId="164" fontId="13" fillId="6" borderId="3" xfId="4" applyFont="1" applyFill="1" applyBorder="1" applyAlignment="1">
      <alignment horizontal="center" vertical="center" wrapText="1"/>
    </xf>
    <xf numFmtId="0" fontId="3" fillId="3" borderId="18" xfId="11" applyFont="1" applyFill="1" applyBorder="1" applyAlignment="1">
      <alignment horizontal="center"/>
    </xf>
    <xf numFmtId="0" fontId="3" fillId="3" borderId="6" xfId="11" applyFont="1" applyFill="1" applyBorder="1" applyAlignment="1">
      <alignment horizontal="center"/>
    </xf>
    <xf numFmtId="0" fontId="3" fillId="3" borderId="7" xfId="11" applyFont="1" applyFill="1" applyBorder="1" applyAlignment="1">
      <alignment horizontal="center"/>
    </xf>
    <xf numFmtId="166" fontId="13" fillId="6" borderId="4" xfId="12" applyNumberFormat="1" applyFont="1" applyFill="1" applyBorder="1" applyAlignment="1">
      <alignment horizontal="center" vertical="center" wrapText="1"/>
    </xf>
    <xf numFmtId="166" fontId="13" fillId="6" borderId="3" xfId="12" applyNumberFormat="1" applyFont="1" applyFill="1" applyBorder="1" applyAlignment="1">
      <alignment horizontal="center" vertical="center" wrapText="1"/>
    </xf>
    <xf numFmtId="0" fontId="13" fillId="6" borderId="4" xfId="15" applyFont="1" applyFill="1" applyBorder="1" applyAlignment="1">
      <alignment horizontal="center" vertical="center" wrapText="1"/>
    </xf>
    <xf numFmtId="0" fontId="13" fillId="6" borderId="3" xfId="15" applyFont="1" applyFill="1" applyBorder="1" applyAlignment="1">
      <alignment horizontal="center" vertical="center" wrapText="1"/>
    </xf>
    <xf numFmtId="0" fontId="13" fillId="6" borderId="8" xfId="15" applyFont="1" applyFill="1" applyBorder="1" applyAlignment="1">
      <alignment horizontal="center" vertical="center" wrapText="1"/>
    </xf>
    <xf numFmtId="0" fontId="13" fillId="6" borderId="10" xfId="15" applyFont="1" applyFill="1" applyBorder="1" applyAlignment="1">
      <alignment horizontal="center" vertical="center" wrapText="1"/>
    </xf>
    <xf numFmtId="1" fontId="16" fillId="4" borderId="0" xfId="11" applyNumberFormat="1" applyFont="1" applyFill="1" applyAlignment="1">
      <alignment horizontal="left" vertical="center"/>
    </xf>
    <xf numFmtId="0" fontId="16" fillId="4" borderId="0" xfId="0" applyFont="1" applyFill="1" applyAlignment="1">
      <alignment vertical="center"/>
    </xf>
    <xf numFmtId="166" fontId="13" fillId="6" borderId="12" xfId="12" applyNumberFormat="1" applyFont="1" applyFill="1" applyBorder="1" applyAlignment="1">
      <alignment horizontal="center" vertical="center" wrapText="1"/>
    </xf>
    <xf numFmtId="166" fontId="13" fillId="6" borderId="13" xfId="12" applyNumberFormat="1" applyFont="1" applyFill="1" applyBorder="1" applyAlignment="1">
      <alignment horizontal="center" vertical="center" wrapText="1"/>
    </xf>
    <xf numFmtId="0" fontId="13" fillId="4" borderId="5" xfId="0" applyFont="1" applyFill="1" applyBorder="1" applyAlignment="1">
      <alignment horizontal="center"/>
    </xf>
    <xf numFmtId="166" fontId="13" fillId="6" borderId="16" xfId="12" applyNumberFormat="1" applyFont="1" applyFill="1" applyBorder="1" applyAlignment="1">
      <alignment horizontal="center" vertical="center" wrapText="1"/>
    </xf>
    <xf numFmtId="166" fontId="13" fillId="6" borderId="8" xfId="12" applyNumberFormat="1" applyFont="1" applyFill="1" applyBorder="1" applyAlignment="1">
      <alignment horizontal="center" vertical="center" wrapText="1"/>
    </xf>
  </cellXfs>
  <cellStyles count="19">
    <cellStyle name="cexColumnHeadings" xfId="1"/>
    <cellStyle name="cexReportTitle" xfId="2"/>
    <cellStyle name="cexTableEntry" xfId="3"/>
    <cellStyle name="Milliers" xfId="4" builtinId="3"/>
    <cellStyle name="Milliers 2" xfId="5"/>
    <cellStyle name="Milliers 3" xfId="6"/>
    <cellStyle name="Milliers 3 2" xfId="17"/>
    <cellStyle name="Milliers 4" xfId="14"/>
    <cellStyle name="Normal" xfId="0" builtinId="0"/>
    <cellStyle name="Normal 2" xfId="7"/>
    <cellStyle name="Normal 2 2" xfId="8"/>
    <cellStyle name="Normal 2 3" xfId="9"/>
    <cellStyle name="Normal 3" xfId="10"/>
    <cellStyle name="Normal 3 2" xfId="18"/>
    <cellStyle name="Normal 4" xfId="15"/>
    <cellStyle name="Normal_3crit_2002-03.xls" xfId="11"/>
    <cellStyle name="Normal_Rendement impôts-2004-SJIC" xfId="16"/>
    <cellStyle name="Pourcentage" xfId="12" builtinId="5"/>
    <cellStyle name="Pourcentage 2" xfId="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382"/>
  <sheetViews>
    <sheetView topLeftCell="A13" zoomScaleNormal="100" workbookViewId="0"/>
  </sheetViews>
  <sheetFormatPr baseColWidth="10" defaultColWidth="10.75" defaultRowHeight="15" x14ac:dyDescent="0.25"/>
  <cols>
    <col min="1" max="1" width="48" style="258" bestFit="1" customWidth="1"/>
    <col min="2" max="2" width="13.75" style="258" customWidth="1"/>
    <col min="3" max="3" width="16.625" style="258" customWidth="1"/>
    <col min="4" max="4" width="12.25" style="258" customWidth="1"/>
    <col min="5" max="6" width="11" style="258" bestFit="1" customWidth="1"/>
    <col min="7" max="7" width="12.5" style="258" bestFit="1" customWidth="1"/>
    <col min="8" max="8" width="12" style="258" bestFit="1" customWidth="1"/>
    <col min="9" max="10" width="12.125" style="258" bestFit="1" customWidth="1"/>
    <col min="11" max="11" width="14.375" style="258" bestFit="1" customWidth="1"/>
    <col min="12" max="16384" width="10.75" style="258"/>
  </cols>
  <sheetData>
    <row r="1" spans="1:6" ht="31.5" x14ac:dyDescent="0.5">
      <c r="A1" s="300" t="s">
        <v>423</v>
      </c>
    </row>
    <row r="4" spans="1:6" ht="21" x14ac:dyDescent="0.35">
      <c r="A4" s="277" t="s">
        <v>522</v>
      </c>
    </row>
    <row r="5" spans="1:6" x14ac:dyDescent="0.25">
      <c r="A5" s="258" t="s">
        <v>514</v>
      </c>
      <c r="B5" s="278" t="s">
        <v>638</v>
      </c>
    </row>
    <row r="6" spans="1:6" x14ac:dyDescent="0.25">
      <c r="A6" s="258" t="s">
        <v>619</v>
      </c>
      <c r="B6" s="278">
        <v>2014</v>
      </c>
    </row>
    <row r="7" spans="1:6" x14ac:dyDescent="0.25">
      <c r="A7" s="258" t="s">
        <v>569</v>
      </c>
      <c r="B7" s="279">
        <v>40907</v>
      </c>
    </row>
    <row r="8" spans="1:6" x14ac:dyDescent="0.25">
      <c r="A8" s="258" t="s">
        <v>570</v>
      </c>
      <c r="B8" s="352">
        <v>2015</v>
      </c>
    </row>
    <row r="10" spans="1:6" ht="21" x14ac:dyDescent="0.35">
      <c r="A10" s="277" t="s">
        <v>523</v>
      </c>
      <c r="C10" s="260"/>
      <c r="D10" s="260"/>
    </row>
    <row r="11" spans="1:6" x14ac:dyDescent="0.25">
      <c r="A11" s="258" t="s">
        <v>507</v>
      </c>
      <c r="B11" s="280">
        <v>0.5</v>
      </c>
      <c r="C11" s="268"/>
      <c r="D11" s="268"/>
    </row>
    <row r="12" spans="1:6" x14ac:dyDescent="0.25">
      <c r="A12" s="258" t="s">
        <v>625</v>
      </c>
      <c r="B12" s="280">
        <v>0.3</v>
      </c>
      <c r="C12" s="269"/>
      <c r="D12" s="269"/>
      <c r="F12" s="265"/>
    </row>
    <row r="14" spans="1:6" ht="21" x14ac:dyDescent="0.35">
      <c r="A14" s="277" t="s">
        <v>524</v>
      </c>
    </row>
    <row r="15" spans="1:6" x14ac:dyDescent="0.25">
      <c r="B15" s="270" t="s">
        <v>338</v>
      </c>
      <c r="C15" s="270" t="s">
        <v>335</v>
      </c>
      <c r="D15" s="270" t="s">
        <v>336</v>
      </c>
      <c r="E15" s="270" t="s">
        <v>455</v>
      </c>
    </row>
    <row r="16" spans="1:6" x14ac:dyDescent="0.25">
      <c r="A16" s="258" t="s">
        <v>624</v>
      </c>
      <c r="B16" s="281">
        <v>0.36</v>
      </c>
      <c r="C16" s="281">
        <v>0.46</v>
      </c>
      <c r="D16" s="281">
        <v>0.56000000000000005</v>
      </c>
      <c r="E16" s="281">
        <v>0.66</v>
      </c>
    </row>
    <row r="17" spans="1:12" x14ac:dyDescent="0.25">
      <c r="A17" s="258" t="s">
        <v>525</v>
      </c>
      <c r="B17" s="281">
        <v>1.2</v>
      </c>
      <c r="C17" s="281">
        <v>1.5</v>
      </c>
      <c r="D17" s="281">
        <v>2</v>
      </c>
      <c r="E17" s="281">
        <v>3</v>
      </c>
    </row>
    <row r="18" spans="1:12" x14ac:dyDescent="0.25">
      <c r="I18" s="260"/>
      <c r="J18" s="260"/>
      <c r="K18" s="260"/>
      <c r="L18" s="260"/>
    </row>
    <row r="19" spans="1:12" ht="21" x14ac:dyDescent="0.35">
      <c r="A19" s="277" t="s">
        <v>526</v>
      </c>
      <c r="B19" s="260"/>
      <c r="C19" s="260"/>
      <c r="D19" s="260"/>
      <c r="E19" s="271"/>
      <c r="F19" s="261"/>
      <c r="I19" s="260"/>
      <c r="J19" s="260"/>
      <c r="K19" s="260"/>
      <c r="L19" s="262"/>
    </row>
    <row r="20" spans="1:12" x14ac:dyDescent="0.25">
      <c r="A20" s="283" t="s">
        <v>621</v>
      </c>
      <c r="B20" s="287">
        <v>0</v>
      </c>
      <c r="C20" s="287">
        <v>1000</v>
      </c>
      <c r="D20" s="287">
        <v>3000</v>
      </c>
      <c r="E20" s="287">
        <v>5000</v>
      </c>
      <c r="F20" s="287">
        <v>9000</v>
      </c>
      <c r="G20" s="287">
        <v>12000</v>
      </c>
      <c r="H20" s="287">
        <v>15000</v>
      </c>
      <c r="I20" s="272"/>
      <c r="J20" s="272"/>
      <c r="K20" s="260"/>
      <c r="L20" s="260"/>
    </row>
    <row r="21" spans="1:12" x14ac:dyDescent="0.25">
      <c r="A21" s="283"/>
      <c r="B21" s="287">
        <v>1000</v>
      </c>
      <c r="C21" s="287">
        <v>3000</v>
      </c>
      <c r="D21" s="287">
        <v>5000</v>
      </c>
      <c r="E21" s="287">
        <v>9000</v>
      </c>
      <c r="F21" s="287">
        <v>12000</v>
      </c>
      <c r="G21" s="287">
        <v>15000</v>
      </c>
      <c r="H21" s="287"/>
      <c r="I21" s="272"/>
      <c r="J21" s="272"/>
      <c r="K21" s="260"/>
      <c r="L21" s="260"/>
    </row>
    <row r="22" spans="1:12" x14ac:dyDescent="0.25">
      <c r="A22" s="284" t="s">
        <v>527</v>
      </c>
      <c r="B22" s="404">
        <v>100</v>
      </c>
      <c r="C22" s="404">
        <v>350</v>
      </c>
      <c r="D22" s="404">
        <v>500</v>
      </c>
      <c r="E22" s="404">
        <v>600</v>
      </c>
      <c r="F22" s="404">
        <v>850</v>
      </c>
      <c r="G22" s="404">
        <v>1000</v>
      </c>
      <c r="H22" s="404">
        <v>1050</v>
      </c>
      <c r="I22" s="273"/>
      <c r="J22" s="273"/>
      <c r="K22" s="260"/>
      <c r="L22" s="260"/>
    </row>
    <row r="23" spans="1:12" x14ac:dyDescent="0.25">
      <c r="A23" s="260" t="s">
        <v>508</v>
      </c>
      <c r="B23" s="437">
        <v>99.4</v>
      </c>
      <c r="C23" s="282"/>
      <c r="D23" s="282"/>
      <c r="E23" s="282"/>
      <c r="F23" s="282"/>
      <c r="G23" s="282"/>
      <c r="H23" s="282"/>
      <c r="I23" s="260"/>
      <c r="J23" s="260"/>
      <c r="K23" s="260"/>
      <c r="L23" s="260"/>
    </row>
    <row r="24" spans="1:12" x14ac:dyDescent="0.25">
      <c r="A24" s="260" t="s">
        <v>509</v>
      </c>
      <c r="B24" s="438">
        <v>98.4</v>
      </c>
      <c r="C24" s="282"/>
      <c r="D24" s="282"/>
      <c r="E24" s="282"/>
      <c r="F24" s="282"/>
      <c r="G24" s="282"/>
      <c r="H24" s="282"/>
      <c r="I24" s="260"/>
      <c r="J24" s="260"/>
      <c r="K24" s="260"/>
      <c r="L24" s="260"/>
    </row>
    <row r="25" spans="1:12" x14ac:dyDescent="0.25">
      <c r="A25" s="260" t="s">
        <v>510</v>
      </c>
      <c r="B25" s="439">
        <f>+B22/$B$23*$B$24</f>
        <v>98.99396378269617</v>
      </c>
      <c r="C25" s="275">
        <f t="shared" ref="C25:H25" si="0">+C22/$B$23*$B$24</f>
        <v>346.47887323943661</v>
      </c>
      <c r="D25" s="275">
        <f t="shared" si="0"/>
        <v>494.96981891348088</v>
      </c>
      <c r="E25" s="275">
        <f t="shared" si="0"/>
        <v>593.96378269617708</v>
      </c>
      <c r="F25" s="275">
        <f t="shared" si="0"/>
        <v>841.44869215291749</v>
      </c>
      <c r="G25" s="275">
        <f t="shared" si="0"/>
        <v>989.93963782696176</v>
      </c>
      <c r="H25" s="275">
        <f t="shared" si="0"/>
        <v>1039.4366197183099</v>
      </c>
      <c r="I25" s="260"/>
      <c r="J25" s="260"/>
      <c r="K25" s="260"/>
      <c r="L25" s="260"/>
    </row>
    <row r="27" spans="1:12" ht="21" x14ac:dyDescent="0.35">
      <c r="A27" s="277" t="s">
        <v>528</v>
      </c>
    </row>
    <row r="28" spans="1:12" x14ac:dyDescent="0.25">
      <c r="A28" s="258" t="s">
        <v>622</v>
      </c>
      <c r="B28" s="288">
        <v>0.27</v>
      </c>
    </row>
    <row r="30" spans="1:12" ht="21" x14ac:dyDescent="0.35">
      <c r="A30" s="277" t="s">
        <v>529</v>
      </c>
    </row>
    <row r="31" spans="1:12" x14ac:dyDescent="0.25">
      <c r="A31" s="258" t="s">
        <v>425</v>
      </c>
      <c r="C31" s="263"/>
    </row>
    <row r="32" spans="1:12" x14ac:dyDescent="0.25">
      <c r="A32" s="258" t="s">
        <v>478</v>
      </c>
      <c r="B32" s="351">
        <v>5942365</v>
      </c>
      <c r="C32" s="147">
        <f>Synthèse!L324-Synthèse!F324</f>
        <v>449999.6463996172</v>
      </c>
      <c r="D32" s="286">
        <f>+'J) Plafonnement effort'!I323+'K) Plafonnement aide'!J323+'L) Plafonnement taux'!Q324</f>
        <v>5942364.6463987203</v>
      </c>
      <c r="L32" s="265"/>
    </row>
    <row r="33" spans="1:12" x14ac:dyDescent="0.25">
      <c r="A33" s="258" t="s">
        <v>623</v>
      </c>
      <c r="B33" s="351">
        <v>-450000</v>
      </c>
      <c r="C33" s="264"/>
      <c r="D33" s="265"/>
      <c r="L33" s="265"/>
    </row>
    <row r="34" spans="1:12" x14ac:dyDescent="0.25">
      <c r="G34" s="265"/>
      <c r="H34" s="266"/>
      <c r="L34" s="265"/>
    </row>
    <row r="35" spans="1:12" ht="21" x14ac:dyDescent="0.35">
      <c r="A35" s="277" t="s">
        <v>530</v>
      </c>
      <c r="G35" s="265"/>
      <c r="H35" s="266"/>
      <c r="L35" s="265"/>
    </row>
    <row r="36" spans="1:12" x14ac:dyDescent="0.25">
      <c r="A36" s="276"/>
      <c r="B36" s="290" t="s">
        <v>426</v>
      </c>
      <c r="C36" s="290" t="s">
        <v>424</v>
      </c>
      <c r="E36" s="274" t="s">
        <v>505</v>
      </c>
      <c r="F36" s="274"/>
      <c r="G36" s="292">
        <f>+'D) Ecrêtage'!M323</f>
        <v>33479424.883787204</v>
      </c>
      <c r="H36" s="294"/>
      <c r="I36" s="293" t="s">
        <v>506</v>
      </c>
      <c r="J36" s="274"/>
      <c r="K36" s="147">
        <f>+'I) Dépenses thématiques'!I323</f>
        <v>181971866.67031607</v>
      </c>
    </row>
    <row r="37" spans="1:12" x14ac:dyDescent="0.25">
      <c r="A37" s="258" t="s">
        <v>531</v>
      </c>
      <c r="B37" s="289">
        <v>8</v>
      </c>
      <c r="C37" s="270">
        <f>+H38</f>
        <v>0.70734979086029259</v>
      </c>
      <c r="E37" s="274" t="s">
        <v>620</v>
      </c>
      <c r="F37" s="274"/>
      <c r="G37" s="295">
        <v>4</v>
      </c>
      <c r="H37" s="342">
        <v>75</v>
      </c>
      <c r="I37" s="293" t="s">
        <v>251</v>
      </c>
      <c r="J37" s="274"/>
      <c r="K37" s="147">
        <f>+'I) Dépenses thématiques'!M323</f>
        <v>7351296.0216181371</v>
      </c>
    </row>
    <row r="38" spans="1:12" x14ac:dyDescent="0.25">
      <c r="A38" s="258" t="s">
        <v>626</v>
      </c>
      <c r="B38" s="289">
        <v>1</v>
      </c>
      <c r="C38" s="270">
        <f>+H38</f>
        <v>0.70734979086029259</v>
      </c>
      <c r="E38" s="274" t="s">
        <v>532</v>
      </c>
      <c r="F38" s="274"/>
      <c r="G38" s="291">
        <f>+G36*G37</f>
        <v>133917699.53514881</v>
      </c>
      <c r="H38" s="436">
        <f>IF((G38/K38)&gt;H37,H37,(G38/K38))</f>
        <v>0.70734979086029259</v>
      </c>
      <c r="I38" s="274" t="s">
        <v>172</v>
      </c>
      <c r="J38" s="274"/>
      <c r="K38" s="147">
        <f>SUM(K36:K37)</f>
        <v>189323162.6919342</v>
      </c>
    </row>
    <row r="40" spans="1:12" ht="21" x14ac:dyDescent="0.35">
      <c r="A40" s="277" t="s">
        <v>534</v>
      </c>
    </row>
    <row r="42" spans="1:12" x14ac:dyDescent="0.25">
      <c r="A42" s="258" t="s">
        <v>642</v>
      </c>
      <c r="B42" s="450">
        <v>54.002400000000002</v>
      </c>
    </row>
    <row r="43" spans="1:12" x14ac:dyDescent="0.25">
      <c r="A43" s="258" t="s">
        <v>627</v>
      </c>
      <c r="B43" s="449">
        <f>B42+B58</f>
        <v>55.298294413247966</v>
      </c>
    </row>
    <row r="44" spans="1:12" x14ac:dyDescent="0.25">
      <c r="A44" s="258" t="s">
        <v>629</v>
      </c>
      <c r="B44" s="451">
        <v>-5.5</v>
      </c>
    </row>
    <row r="45" spans="1:12" x14ac:dyDescent="0.25">
      <c r="A45" s="258" t="s">
        <v>628</v>
      </c>
      <c r="B45" s="448">
        <f>B43-B46+B47</f>
        <v>90.298294413247959</v>
      </c>
    </row>
    <row r="46" spans="1:12" x14ac:dyDescent="0.25">
      <c r="A46" s="258" t="s">
        <v>643</v>
      </c>
      <c r="B46" s="447">
        <v>50</v>
      </c>
    </row>
    <row r="47" spans="1:12" x14ac:dyDescent="0.25">
      <c r="A47" s="258" t="s">
        <v>644</v>
      </c>
      <c r="B47" s="447">
        <v>85</v>
      </c>
    </row>
    <row r="49" spans="1:6" x14ac:dyDescent="0.25">
      <c r="A49" s="267"/>
      <c r="B49" s="259"/>
    </row>
    <row r="50" spans="1:6" ht="21" x14ac:dyDescent="0.35">
      <c r="A50" s="301" t="s">
        <v>533</v>
      </c>
      <c r="B50" s="260"/>
      <c r="E50" s="260"/>
    </row>
    <row r="51" spans="1:6" ht="45" x14ac:dyDescent="0.25">
      <c r="B51" s="299" t="s">
        <v>497</v>
      </c>
      <c r="C51" s="260"/>
      <c r="D51" s="260"/>
      <c r="E51" s="260"/>
    </row>
    <row r="52" spans="1:6" x14ac:dyDescent="0.25">
      <c r="A52" s="260" t="s">
        <v>573</v>
      </c>
      <c r="B52" s="285">
        <v>664703002</v>
      </c>
      <c r="C52" s="260"/>
      <c r="D52" s="260"/>
      <c r="E52" s="260"/>
    </row>
    <row r="53" spans="1:6" x14ac:dyDescent="0.25">
      <c r="A53" s="260" t="s">
        <v>574</v>
      </c>
      <c r="B53" s="285">
        <v>710289734</v>
      </c>
      <c r="C53" s="272"/>
      <c r="D53" s="260"/>
      <c r="E53" s="260"/>
    </row>
    <row r="54" spans="1:6" x14ac:dyDescent="0.25">
      <c r="A54" s="260" t="s">
        <v>618</v>
      </c>
      <c r="B54" s="285">
        <v>34849855</v>
      </c>
      <c r="C54" s="260"/>
      <c r="D54" s="260"/>
      <c r="E54" s="260"/>
    </row>
    <row r="55" spans="1:6" x14ac:dyDescent="0.25">
      <c r="A55" s="260" t="s">
        <v>575</v>
      </c>
      <c r="B55" s="285">
        <f>'B) D RI'!U325</f>
        <v>35177813.511629909</v>
      </c>
      <c r="C55" s="272"/>
      <c r="D55" s="260"/>
      <c r="E55" s="260"/>
    </row>
    <row r="56" spans="1:6" x14ac:dyDescent="0.25">
      <c r="A56" s="260" t="s">
        <v>498</v>
      </c>
      <c r="B56" s="297">
        <f>(B53-B52)*100/B52</f>
        <v>6.8582106388621362</v>
      </c>
      <c r="C56" s="260"/>
      <c r="D56" s="260"/>
      <c r="E56" s="260"/>
    </row>
    <row r="57" spans="1:6" x14ac:dyDescent="0.25">
      <c r="A57" s="260" t="s">
        <v>499</v>
      </c>
      <c r="B57" s="297">
        <f>(B55-B54)*100/B54</f>
        <v>0.94106133764375566</v>
      </c>
      <c r="C57" s="272"/>
      <c r="D57" s="260"/>
      <c r="E57" s="260"/>
    </row>
    <row r="58" spans="1:6" x14ac:dyDescent="0.25">
      <c r="A58" s="260" t="s">
        <v>500</v>
      </c>
      <c r="B58" s="298">
        <f>(B53-B52)/B55</f>
        <v>1.2958944132479657</v>
      </c>
      <c r="C58" s="296"/>
      <c r="D58" s="260"/>
      <c r="E58" s="260"/>
    </row>
    <row r="59" spans="1:6" x14ac:dyDescent="0.25">
      <c r="A59" s="260"/>
      <c r="B59" s="260"/>
      <c r="C59" s="260"/>
      <c r="D59" s="260"/>
      <c r="E59" s="260"/>
    </row>
    <row r="60" spans="1:6" ht="21" x14ac:dyDescent="0.35">
      <c r="A60" s="301" t="s">
        <v>560</v>
      </c>
      <c r="B60" s="260"/>
      <c r="C60" s="260"/>
      <c r="D60" s="260"/>
      <c r="E60" s="260"/>
    </row>
    <row r="61" spans="1:6" x14ac:dyDescent="0.25">
      <c r="A61" s="260" t="s">
        <v>561</v>
      </c>
      <c r="B61" s="342">
        <v>2</v>
      </c>
      <c r="C61" s="260">
        <v>2013</v>
      </c>
      <c r="D61" s="401">
        <v>62118300</v>
      </c>
      <c r="E61" s="258">
        <v>2016</v>
      </c>
      <c r="F61" s="401">
        <f>D63*101.5%</f>
        <v>64955763.00176248</v>
      </c>
    </row>
    <row r="62" spans="1:6" x14ac:dyDescent="0.25">
      <c r="A62" s="260" t="s">
        <v>568</v>
      </c>
      <c r="B62" s="351">
        <v>63995826</v>
      </c>
      <c r="C62" s="260">
        <v>2014</v>
      </c>
      <c r="D62" s="401">
        <f>D61*101.5%</f>
        <v>63050074.499999993</v>
      </c>
      <c r="E62" s="260"/>
    </row>
    <row r="63" spans="1:6" x14ac:dyDescent="0.25">
      <c r="A63" s="260"/>
      <c r="B63" s="260"/>
      <c r="C63" s="260">
        <v>2015</v>
      </c>
      <c r="D63" s="401">
        <f>D62*101.5%</f>
        <v>63995825.617499985</v>
      </c>
      <c r="E63" s="260"/>
    </row>
    <row r="64" spans="1:6" ht="21" x14ac:dyDescent="0.35">
      <c r="A64" s="301" t="s">
        <v>538</v>
      </c>
    </row>
    <row r="65" spans="1:2" x14ac:dyDescent="0.25">
      <c r="A65" s="258" t="s">
        <v>450</v>
      </c>
      <c r="B65" s="258">
        <v>5621</v>
      </c>
    </row>
    <row r="66" spans="1:2" x14ac:dyDescent="0.25">
      <c r="A66" s="258" t="s">
        <v>371</v>
      </c>
      <c r="B66" s="258">
        <v>5742</v>
      </c>
    </row>
    <row r="67" spans="1:2" x14ac:dyDescent="0.25">
      <c r="A67" s="258" t="s">
        <v>301</v>
      </c>
      <c r="B67" s="258">
        <v>5401</v>
      </c>
    </row>
    <row r="68" spans="1:2" x14ac:dyDescent="0.25">
      <c r="A68" s="258" t="s">
        <v>21</v>
      </c>
      <c r="B68" s="258">
        <v>5851</v>
      </c>
    </row>
    <row r="69" spans="1:2" x14ac:dyDescent="0.25">
      <c r="A69" s="258" t="s">
        <v>80</v>
      </c>
      <c r="B69" s="258">
        <v>5421</v>
      </c>
    </row>
    <row r="70" spans="1:2" x14ac:dyDescent="0.25">
      <c r="A70" s="258" t="s">
        <v>144</v>
      </c>
      <c r="B70" s="258">
        <v>5701</v>
      </c>
    </row>
    <row r="71" spans="1:2" x14ac:dyDescent="0.25">
      <c r="A71" s="258" t="s">
        <v>305</v>
      </c>
      <c r="B71" s="258">
        <v>5743</v>
      </c>
    </row>
    <row r="72" spans="1:2" x14ac:dyDescent="0.25">
      <c r="A72" s="258" t="s">
        <v>503</v>
      </c>
      <c r="B72" s="258">
        <v>5702</v>
      </c>
    </row>
    <row r="73" spans="1:2" x14ac:dyDescent="0.25">
      <c r="A73" s="258" t="s">
        <v>210</v>
      </c>
      <c r="B73" s="258">
        <v>5511</v>
      </c>
    </row>
    <row r="74" spans="1:2" x14ac:dyDescent="0.25">
      <c r="A74" s="258" t="s">
        <v>81</v>
      </c>
      <c r="B74" s="258">
        <v>5422</v>
      </c>
    </row>
    <row r="75" spans="1:2" x14ac:dyDescent="0.25">
      <c r="A75" s="258" t="s">
        <v>392</v>
      </c>
      <c r="B75" s="258">
        <v>5451</v>
      </c>
    </row>
    <row r="76" spans="1:2" x14ac:dyDescent="0.25">
      <c r="A76" s="258" t="s">
        <v>306</v>
      </c>
      <c r="B76" s="258">
        <v>5744</v>
      </c>
    </row>
    <row r="77" spans="1:2" x14ac:dyDescent="0.25">
      <c r="A77" s="258" t="s">
        <v>82</v>
      </c>
      <c r="B77" s="258">
        <v>5423</v>
      </c>
    </row>
    <row r="78" spans="1:2" x14ac:dyDescent="0.25">
      <c r="A78" s="258" t="s">
        <v>145</v>
      </c>
      <c r="B78" s="258">
        <v>5703</v>
      </c>
    </row>
    <row r="79" spans="1:2" x14ac:dyDescent="0.25">
      <c r="A79" s="258" t="s">
        <v>307</v>
      </c>
      <c r="B79" s="258">
        <v>5745</v>
      </c>
    </row>
    <row r="80" spans="1:2" x14ac:dyDescent="0.25">
      <c r="A80" s="258" t="s">
        <v>308</v>
      </c>
      <c r="B80" s="258">
        <v>5746</v>
      </c>
    </row>
    <row r="81" spans="1:2" x14ac:dyDescent="0.25">
      <c r="A81" s="258" t="s">
        <v>257</v>
      </c>
      <c r="B81" s="258">
        <v>5704</v>
      </c>
    </row>
    <row r="82" spans="1:2" x14ac:dyDescent="0.25">
      <c r="A82" s="258" t="s">
        <v>434</v>
      </c>
      <c r="B82" s="258">
        <v>5581</v>
      </c>
    </row>
    <row r="83" spans="1:2" x14ac:dyDescent="0.25">
      <c r="A83" s="258" t="s">
        <v>60</v>
      </c>
      <c r="B83" s="258">
        <v>5902</v>
      </c>
    </row>
    <row r="84" spans="1:2" x14ac:dyDescent="0.25">
      <c r="A84" s="258" t="s">
        <v>211</v>
      </c>
      <c r="B84" s="258">
        <v>5512</v>
      </c>
    </row>
    <row r="85" spans="1:2" x14ac:dyDescent="0.25">
      <c r="A85" s="258" t="s">
        <v>83</v>
      </c>
      <c r="B85" s="258">
        <v>5424</v>
      </c>
    </row>
    <row r="86" spans="1:2" x14ac:dyDescent="0.25">
      <c r="A86" s="258" t="s">
        <v>395</v>
      </c>
      <c r="B86" s="258">
        <v>5471</v>
      </c>
    </row>
    <row r="87" spans="1:2" x14ac:dyDescent="0.25">
      <c r="A87" s="258" t="s">
        <v>302</v>
      </c>
      <c r="B87" s="258">
        <v>5402</v>
      </c>
    </row>
    <row r="88" spans="1:2" x14ac:dyDescent="0.25">
      <c r="A88" s="258" t="s">
        <v>84</v>
      </c>
      <c r="B88" s="258">
        <v>5425</v>
      </c>
    </row>
    <row r="89" spans="1:2" x14ac:dyDescent="0.25">
      <c r="A89" s="258" t="s">
        <v>61</v>
      </c>
      <c r="B89" s="258">
        <v>5903</v>
      </c>
    </row>
    <row r="90" spans="1:2" x14ac:dyDescent="0.25">
      <c r="A90" s="258" t="s">
        <v>212</v>
      </c>
      <c r="B90" s="258">
        <v>5513</v>
      </c>
    </row>
    <row r="91" spans="1:2" x14ac:dyDescent="0.25">
      <c r="A91" s="258" t="s">
        <v>242</v>
      </c>
      <c r="B91" s="258">
        <v>5881</v>
      </c>
    </row>
    <row r="92" spans="1:2" x14ac:dyDescent="0.25">
      <c r="A92" s="258" t="s">
        <v>309</v>
      </c>
      <c r="B92" s="258">
        <v>5747</v>
      </c>
    </row>
    <row r="93" spans="1:2" x14ac:dyDescent="0.25">
      <c r="A93" s="258" t="s">
        <v>258</v>
      </c>
      <c r="B93" s="258">
        <v>5705</v>
      </c>
    </row>
    <row r="94" spans="1:2" x14ac:dyDescent="0.25">
      <c r="A94" s="258" t="s">
        <v>38</v>
      </c>
      <c r="B94" s="258">
        <v>5551</v>
      </c>
    </row>
    <row r="95" spans="1:2" x14ac:dyDescent="0.25">
      <c r="A95" s="258" t="s">
        <v>259</v>
      </c>
      <c r="B95" s="258">
        <v>5706</v>
      </c>
    </row>
    <row r="96" spans="1:2" x14ac:dyDescent="0.25">
      <c r="A96" s="258" t="s">
        <v>213</v>
      </c>
      <c r="B96" s="258">
        <v>5514</v>
      </c>
    </row>
    <row r="97" spans="1:2" x14ac:dyDescent="0.25">
      <c r="A97" s="258" t="s">
        <v>78</v>
      </c>
      <c r="B97" s="258">
        <v>5426</v>
      </c>
    </row>
    <row r="98" spans="1:2" x14ac:dyDescent="0.25">
      <c r="A98" s="258" t="s">
        <v>237</v>
      </c>
      <c r="B98" s="258">
        <v>5661</v>
      </c>
    </row>
    <row r="99" spans="1:2" x14ac:dyDescent="0.25">
      <c r="A99" s="258" t="s">
        <v>487</v>
      </c>
      <c r="B99" s="258">
        <v>5613</v>
      </c>
    </row>
    <row r="100" spans="1:2" x14ac:dyDescent="0.25">
      <c r="A100" s="258" t="s">
        <v>396</v>
      </c>
      <c r="B100" s="258">
        <v>5472</v>
      </c>
    </row>
    <row r="101" spans="1:2" x14ac:dyDescent="0.25">
      <c r="A101" s="258" t="s">
        <v>245</v>
      </c>
      <c r="B101" s="258">
        <v>5473</v>
      </c>
    </row>
    <row r="102" spans="1:2" x14ac:dyDescent="0.25">
      <c r="A102" s="258" t="s">
        <v>181</v>
      </c>
      <c r="B102" s="258">
        <v>5622</v>
      </c>
    </row>
    <row r="103" spans="1:2" x14ac:dyDescent="0.25">
      <c r="A103" s="258" t="s">
        <v>238</v>
      </c>
      <c r="B103" s="258">
        <v>5662</v>
      </c>
    </row>
    <row r="104" spans="1:2" x14ac:dyDescent="0.25">
      <c r="A104" s="258" t="s">
        <v>214</v>
      </c>
      <c r="B104" s="258">
        <v>5515</v>
      </c>
    </row>
    <row r="105" spans="1:2" x14ac:dyDescent="0.25">
      <c r="A105" s="258" t="s">
        <v>310</v>
      </c>
      <c r="B105" s="258">
        <v>5748</v>
      </c>
    </row>
    <row r="106" spans="1:2" x14ac:dyDescent="0.25">
      <c r="A106" s="258" t="s">
        <v>182</v>
      </c>
      <c r="B106" s="258">
        <v>5623</v>
      </c>
    </row>
    <row r="107" spans="1:2" x14ac:dyDescent="0.25">
      <c r="A107" s="258" t="s">
        <v>39</v>
      </c>
      <c r="B107" s="258">
        <v>5552</v>
      </c>
    </row>
    <row r="108" spans="1:2" x14ac:dyDescent="0.25">
      <c r="A108" s="258" t="s">
        <v>22</v>
      </c>
      <c r="B108" s="258">
        <v>5852</v>
      </c>
    </row>
    <row r="109" spans="1:2" x14ac:dyDescent="0.25">
      <c r="A109" s="258" t="s">
        <v>23</v>
      </c>
      <c r="B109" s="258">
        <v>5853</v>
      </c>
    </row>
    <row r="110" spans="1:2" x14ac:dyDescent="0.25">
      <c r="A110" s="258" t="s">
        <v>24</v>
      </c>
      <c r="B110" s="258">
        <v>5854</v>
      </c>
    </row>
    <row r="111" spans="1:2" x14ac:dyDescent="0.25">
      <c r="A111" s="258" t="s">
        <v>502</v>
      </c>
      <c r="B111" s="258">
        <v>5624</v>
      </c>
    </row>
    <row r="112" spans="1:2" x14ac:dyDescent="0.25">
      <c r="A112" s="258" t="s">
        <v>345</v>
      </c>
      <c r="B112" s="258">
        <v>5625</v>
      </c>
    </row>
    <row r="113" spans="1:2" x14ac:dyDescent="0.25">
      <c r="A113" s="258" t="s">
        <v>239</v>
      </c>
      <c r="B113" s="258">
        <v>5663</v>
      </c>
    </row>
    <row r="114" spans="1:2" x14ac:dyDescent="0.25">
      <c r="A114" s="258" t="s">
        <v>318</v>
      </c>
      <c r="B114" s="258">
        <v>5782</v>
      </c>
    </row>
    <row r="115" spans="1:2" x14ac:dyDescent="0.25">
      <c r="A115" s="258" t="s">
        <v>62</v>
      </c>
      <c r="B115" s="258">
        <v>5904</v>
      </c>
    </row>
    <row r="116" spans="1:2" x14ac:dyDescent="0.25">
      <c r="A116" s="258" t="s">
        <v>40</v>
      </c>
      <c r="B116" s="258">
        <v>5553</v>
      </c>
    </row>
    <row r="117" spans="1:2" x14ac:dyDescent="0.25">
      <c r="A117" s="258" t="s">
        <v>432</v>
      </c>
      <c r="B117" s="258">
        <v>5812</v>
      </c>
    </row>
    <row r="118" spans="1:2" x14ac:dyDescent="0.25">
      <c r="A118" s="258" t="s">
        <v>63</v>
      </c>
      <c r="B118" s="258">
        <v>5905</v>
      </c>
    </row>
    <row r="119" spans="1:2" x14ac:dyDescent="0.25">
      <c r="A119" s="258" t="s">
        <v>243</v>
      </c>
      <c r="B119" s="258">
        <v>5882</v>
      </c>
    </row>
    <row r="120" spans="1:2" x14ac:dyDescent="0.25">
      <c r="A120" s="258" t="s">
        <v>18</v>
      </c>
      <c r="B120" s="258">
        <v>5841</v>
      </c>
    </row>
    <row r="121" spans="1:2" x14ac:dyDescent="0.25">
      <c r="A121" s="258" t="s">
        <v>260</v>
      </c>
      <c r="B121" s="258">
        <v>5707</v>
      </c>
    </row>
    <row r="122" spans="1:2" x14ac:dyDescent="0.25">
      <c r="A122" s="258" t="s">
        <v>261</v>
      </c>
      <c r="B122" s="258">
        <v>5708</v>
      </c>
    </row>
    <row r="123" spans="1:2" x14ac:dyDescent="0.25">
      <c r="A123" s="258" t="s">
        <v>64</v>
      </c>
      <c r="B123" s="258">
        <v>5907</v>
      </c>
    </row>
    <row r="124" spans="1:2" x14ac:dyDescent="0.25">
      <c r="A124" s="258" t="s">
        <v>418</v>
      </c>
      <c r="B124" s="258">
        <v>5475</v>
      </c>
    </row>
    <row r="125" spans="1:2" x14ac:dyDescent="0.25">
      <c r="A125" s="258" t="s">
        <v>292</v>
      </c>
      <c r="B125" s="258">
        <v>5627</v>
      </c>
    </row>
    <row r="126" spans="1:2" x14ac:dyDescent="0.25">
      <c r="A126" s="258" t="s">
        <v>127</v>
      </c>
      <c r="B126" s="258">
        <v>5665</v>
      </c>
    </row>
    <row r="127" spans="1:2" x14ac:dyDescent="0.25">
      <c r="A127" s="258" t="s">
        <v>311</v>
      </c>
      <c r="B127" s="258">
        <v>5749</v>
      </c>
    </row>
    <row r="128" spans="1:2" x14ac:dyDescent="0.25">
      <c r="A128" s="258" t="s">
        <v>65</v>
      </c>
      <c r="B128" s="258">
        <v>5908</v>
      </c>
    </row>
    <row r="129" spans="1:2" x14ac:dyDescent="0.25">
      <c r="A129" s="258" t="s">
        <v>128</v>
      </c>
      <c r="B129" s="258">
        <v>5666</v>
      </c>
    </row>
    <row r="130" spans="1:2" x14ac:dyDescent="0.25">
      <c r="A130" s="258" t="s">
        <v>66</v>
      </c>
      <c r="B130" s="258">
        <v>5909</v>
      </c>
    </row>
    <row r="131" spans="1:2" x14ac:dyDescent="0.25">
      <c r="A131" s="258" t="s">
        <v>435</v>
      </c>
      <c r="B131" s="258">
        <v>5582</v>
      </c>
    </row>
    <row r="132" spans="1:2" x14ac:dyDescent="0.25">
      <c r="A132" s="258" t="s">
        <v>262</v>
      </c>
      <c r="B132" s="258">
        <v>5709</v>
      </c>
    </row>
    <row r="133" spans="1:2" x14ac:dyDescent="0.25">
      <c r="A133" s="258" t="s">
        <v>146</v>
      </c>
      <c r="B133" s="258">
        <v>5403</v>
      </c>
    </row>
    <row r="134" spans="1:2" x14ac:dyDescent="0.25">
      <c r="A134" s="258" t="s">
        <v>419</v>
      </c>
      <c r="B134" s="258">
        <v>5476</v>
      </c>
    </row>
    <row r="135" spans="1:2" x14ac:dyDescent="0.25">
      <c r="A135" s="258" t="s">
        <v>433</v>
      </c>
      <c r="B135" s="258">
        <v>5813</v>
      </c>
    </row>
    <row r="136" spans="1:2" x14ac:dyDescent="0.25">
      <c r="A136" s="258" t="s">
        <v>342</v>
      </c>
      <c r="B136" s="258">
        <v>5601</v>
      </c>
    </row>
    <row r="137" spans="1:2" x14ac:dyDescent="0.25">
      <c r="A137" s="258" t="s">
        <v>293</v>
      </c>
      <c r="B137" s="258">
        <v>5628</v>
      </c>
    </row>
    <row r="138" spans="1:2" x14ac:dyDescent="0.25">
      <c r="A138" s="258" t="s">
        <v>185</v>
      </c>
      <c r="B138" s="258">
        <v>5629</v>
      </c>
    </row>
    <row r="139" spans="1:2" x14ac:dyDescent="0.25">
      <c r="A139" s="258" t="s">
        <v>263</v>
      </c>
      <c r="B139" s="258">
        <v>5710</v>
      </c>
    </row>
    <row r="140" spans="1:2" x14ac:dyDescent="0.25">
      <c r="A140" s="258" t="s">
        <v>264</v>
      </c>
      <c r="B140" s="258">
        <v>5711</v>
      </c>
    </row>
    <row r="141" spans="1:2" x14ac:dyDescent="0.25">
      <c r="A141" s="258" t="s">
        <v>41</v>
      </c>
      <c r="B141" s="258">
        <v>5554</v>
      </c>
    </row>
    <row r="142" spans="1:2" x14ac:dyDescent="0.25">
      <c r="A142" s="258" t="s">
        <v>265</v>
      </c>
      <c r="B142" s="258">
        <v>5712</v>
      </c>
    </row>
    <row r="143" spans="1:2" x14ac:dyDescent="0.25">
      <c r="A143" s="258" t="s">
        <v>147</v>
      </c>
      <c r="B143" s="258">
        <v>5404</v>
      </c>
    </row>
    <row r="144" spans="1:2" x14ac:dyDescent="0.25">
      <c r="A144" s="258" t="s">
        <v>320</v>
      </c>
      <c r="B144" s="258">
        <v>5785</v>
      </c>
    </row>
    <row r="145" spans="1:2" x14ac:dyDescent="0.25">
      <c r="A145" s="258" t="s">
        <v>42</v>
      </c>
      <c r="B145" s="258">
        <v>5555</v>
      </c>
    </row>
    <row r="146" spans="1:2" x14ac:dyDescent="0.25">
      <c r="A146" s="258" t="s">
        <v>11</v>
      </c>
      <c r="B146" s="258">
        <v>5816</v>
      </c>
    </row>
    <row r="147" spans="1:2" x14ac:dyDescent="0.25">
      <c r="A147" s="258" t="s">
        <v>376</v>
      </c>
      <c r="B147" s="258">
        <v>5751</v>
      </c>
    </row>
    <row r="148" spans="1:2" x14ac:dyDescent="0.25">
      <c r="A148" s="258" t="s">
        <v>244</v>
      </c>
      <c r="B148" s="258">
        <v>5883</v>
      </c>
    </row>
    <row r="149" spans="1:2" x14ac:dyDescent="0.25">
      <c r="A149" s="258" t="s">
        <v>54</v>
      </c>
      <c r="B149" s="258">
        <v>5884</v>
      </c>
    </row>
    <row r="150" spans="1:2" x14ac:dyDescent="0.25">
      <c r="A150" s="258" t="s">
        <v>420</v>
      </c>
      <c r="B150" s="258">
        <v>5477</v>
      </c>
    </row>
    <row r="151" spans="1:2" x14ac:dyDescent="0.25">
      <c r="A151" s="258" t="s">
        <v>277</v>
      </c>
      <c r="B151" s="258">
        <v>5478</v>
      </c>
    </row>
    <row r="152" spans="1:2" x14ac:dyDescent="0.25">
      <c r="A152" s="258" t="s">
        <v>266</v>
      </c>
      <c r="B152" s="258">
        <v>5713</v>
      </c>
    </row>
    <row r="153" spans="1:2" x14ac:dyDescent="0.25">
      <c r="A153" s="258" t="s">
        <v>267</v>
      </c>
      <c r="B153" s="258">
        <v>5714</v>
      </c>
    </row>
    <row r="154" spans="1:2" x14ac:dyDescent="0.25">
      <c r="A154" s="258" t="s">
        <v>129</v>
      </c>
      <c r="B154" s="258">
        <v>5668</v>
      </c>
    </row>
    <row r="155" spans="1:2" x14ac:dyDescent="0.25">
      <c r="A155" s="258" t="s">
        <v>436</v>
      </c>
      <c r="B155" s="258">
        <v>5583</v>
      </c>
    </row>
    <row r="156" spans="1:2" x14ac:dyDescent="0.25">
      <c r="A156" s="258" t="s">
        <v>67</v>
      </c>
      <c r="B156" s="258">
        <v>5910</v>
      </c>
    </row>
    <row r="157" spans="1:2" x14ac:dyDescent="0.25">
      <c r="A157" s="258" t="s">
        <v>377</v>
      </c>
      <c r="B157" s="258">
        <v>5752</v>
      </c>
    </row>
    <row r="158" spans="1:2" x14ac:dyDescent="0.25">
      <c r="A158" s="258" t="s">
        <v>278</v>
      </c>
      <c r="B158" s="258">
        <v>5479</v>
      </c>
    </row>
    <row r="159" spans="1:2" x14ac:dyDescent="0.25">
      <c r="A159" s="258" t="s">
        <v>68</v>
      </c>
      <c r="B159" s="258">
        <v>5911</v>
      </c>
    </row>
    <row r="160" spans="1:2" x14ac:dyDescent="0.25">
      <c r="A160" s="258" t="s">
        <v>393</v>
      </c>
      <c r="B160" s="258">
        <v>5456</v>
      </c>
    </row>
    <row r="161" spans="1:2" x14ac:dyDescent="0.25">
      <c r="A161" s="258" t="s">
        <v>215</v>
      </c>
      <c r="B161" s="258">
        <v>5516</v>
      </c>
    </row>
    <row r="162" spans="1:2" x14ac:dyDescent="0.25">
      <c r="A162" s="258" t="s">
        <v>130</v>
      </c>
      <c r="B162" s="258">
        <v>5669</v>
      </c>
    </row>
    <row r="163" spans="1:2" x14ac:dyDescent="0.25">
      <c r="A163" s="258" t="s">
        <v>279</v>
      </c>
      <c r="B163" s="258">
        <v>5480</v>
      </c>
    </row>
    <row r="164" spans="1:2" x14ac:dyDescent="0.25">
      <c r="A164" s="258" t="s">
        <v>69</v>
      </c>
      <c r="B164" s="258">
        <v>5912</v>
      </c>
    </row>
    <row r="165" spans="1:2" x14ac:dyDescent="0.25">
      <c r="A165" s="258" t="s">
        <v>186</v>
      </c>
      <c r="B165" s="258">
        <v>5631</v>
      </c>
    </row>
    <row r="166" spans="1:2" x14ac:dyDescent="0.25">
      <c r="A166" s="258" t="s">
        <v>187</v>
      </c>
      <c r="B166" s="258">
        <v>5632</v>
      </c>
    </row>
    <row r="167" spans="1:2" x14ac:dyDescent="0.25">
      <c r="A167" s="258" t="s">
        <v>280</v>
      </c>
      <c r="B167" s="258">
        <v>5481</v>
      </c>
    </row>
    <row r="168" spans="1:2" x14ac:dyDescent="0.25">
      <c r="A168" s="258" t="s">
        <v>131</v>
      </c>
      <c r="B168" s="258">
        <v>5671</v>
      </c>
    </row>
    <row r="169" spans="1:2" x14ac:dyDescent="0.25">
      <c r="A169" s="258" t="s">
        <v>70</v>
      </c>
      <c r="B169" s="258">
        <v>5913</v>
      </c>
    </row>
    <row r="170" spans="1:2" x14ac:dyDescent="0.25">
      <c r="A170" s="258" t="s">
        <v>268</v>
      </c>
      <c r="B170" s="258">
        <v>5715</v>
      </c>
    </row>
    <row r="171" spans="1:2" x14ac:dyDescent="0.25">
      <c r="A171" s="258" t="s">
        <v>25</v>
      </c>
      <c r="B171" s="258">
        <v>5855</v>
      </c>
    </row>
    <row r="172" spans="1:2" x14ac:dyDescent="0.25">
      <c r="A172" s="258" t="s">
        <v>216</v>
      </c>
      <c r="B172" s="258">
        <v>5518</v>
      </c>
    </row>
    <row r="173" spans="1:2" x14ac:dyDescent="0.25">
      <c r="A173" s="258" t="s">
        <v>188</v>
      </c>
      <c r="B173" s="258">
        <v>5633</v>
      </c>
    </row>
    <row r="174" spans="1:2" x14ac:dyDescent="0.25">
      <c r="A174" s="258" t="s">
        <v>189</v>
      </c>
      <c r="B174" s="258">
        <v>5634</v>
      </c>
    </row>
    <row r="175" spans="1:2" x14ac:dyDescent="0.25">
      <c r="A175" s="258" t="s">
        <v>281</v>
      </c>
      <c r="B175" s="258">
        <v>5482</v>
      </c>
    </row>
    <row r="176" spans="1:2" x14ac:dyDescent="0.25">
      <c r="A176" s="258" t="s">
        <v>190</v>
      </c>
      <c r="B176" s="258">
        <v>5635</v>
      </c>
    </row>
    <row r="177" spans="1:2" x14ac:dyDescent="0.25">
      <c r="A177" s="258" t="s">
        <v>437</v>
      </c>
      <c r="B177" s="258">
        <v>5584</v>
      </c>
    </row>
    <row r="178" spans="1:2" x14ac:dyDescent="0.25">
      <c r="A178" s="258" t="s">
        <v>71</v>
      </c>
      <c r="B178" s="258">
        <v>5914</v>
      </c>
    </row>
    <row r="179" spans="1:2" x14ac:dyDescent="0.25">
      <c r="A179" s="258" t="s">
        <v>321</v>
      </c>
      <c r="B179" s="258">
        <v>5788</v>
      </c>
    </row>
    <row r="180" spans="1:2" x14ac:dyDescent="0.25">
      <c r="A180" s="258" t="s">
        <v>26</v>
      </c>
      <c r="B180" s="258">
        <v>5856</v>
      </c>
    </row>
    <row r="181" spans="1:2" x14ac:dyDescent="0.25">
      <c r="A181" s="258" t="s">
        <v>217</v>
      </c>
      <c r="B181" s="258">
        <v>5520</v>
      </c>
    </row>
    <row r="182" spans="1:2" x14ac:dyDescent="0.25">
      <c r="A182" s="258" t="s">
        <v>72</v>
      </c>
      <c r="B182" s="258">
        <v>5915</v>
      </c>
    </row>
    <row r="183" spans="1:2" x14ac:dyDescent="0.25">
      <c r="A183" s="258" t="s">
        <v>218</v>
      </c>
      <c r="B183" s="258">
        <v>5521</v>
      </c>
    </row>
    <row r="184" spans="1:2" x14ac:dyDescent="0.25">
      <c r="A184" s="258" t="s">
        <v>191</v>
      </c>
      <c r="B184" s="258">
        <v>5636</v>
      </c>
    </row>
    <row r="185" spans="1:2" x14ac:dyDescent="0.25">
      <c r="A185" s="258" t="s">
        <v>269</v>
      </c>
      <c r="B185" s="258">
        <v>5716</v>
      </c>
    </row>
    <row r="186" spans="1:2" x14ac:dyDescent="0.25">
      <c r="A186" s="258" t="s">
        <v>394</v>
      </c>
      <c r="B186" s="258">
        <v>5458</v>
      </c>
    </row>
    <row r="187" spans="1:2" x14ac:dyDescent="0.25">
      <c r="A187" s="258" t="s">
        <v>387</v>
      </c>
      <c r="B187" s="258">
        <v>5427</v>
      </c>
    </row>
    <row r="188" spans="1:2" x14ac:dyDescent="0.25">
      <c r="A188" s="258" t="s">
        <v>322</v>
      </c>
      <c r="B188" s="258">
        <v>5789</v>
      </c>
    </row>
    <row r="189" spans="1:2" x14ac:dyDescent="0.25">
      <c r="A189" s="258" t="s">
        <v>174</v>
      </c>
      <c r="B189" s="258">
        <v>5483</v>
      </c>
    </row>
    <row r="190" spans="1:2" x14ac:dyDescent="0.25">
      <c r="A190" s="258" t="s">
        <v>219</v>
      </c>
      <c r="B190" s="258">
        <v>5522</v>
      </c>
    </row>
    <row r="191" spans="1:2" x14ac:dyDescent="0.25">
      <c r="A191" s="258" t="s">
        <v>43</v>
      </c>
      <c r="B191" s="258">
        <v>5556</v>
      </c>
    </row>
    <row r="192" spans="1:2" x14ac:dyDescent="0.25">
      <c r="A192" s="258" t="s">
        <v>44</v>
      </c>
      <c r="B192" s="258">
        <v>5557</v>
      </c>
    </row>
    <row r="193" spans="1:2" x14ac:dyDescent="0.25">
      <c r="A193" s="258" t="s">
        <v>177</v>
      </c>
      <c r="B193" s="258">
        <v>5604</v>
      </c>
    </row>
    <row r="194" spans="1:2" x14ac:dyDescent="0.25">
      <c r="A194" s="258" t="s">
        <v>132</v>
      </c>
      <c r="B194" s="258">
        <v>5672</v>
      </c>
    </row>
    <row r="195" spans="1:2" x14ac:dyDescent="0.25">
      <c r="A195" s="258" t="s">
        <v>270</v>
      </c>
      <c r="B195" s="258">
        <v>5717</v>
      </c>
    </row>
    <row r="196" spans="1:2" x14ac:dyDescent="0.25">
      <c r="A196" s="258" t="s">
        <v>220</v>
      </c>
      <c r="B196" s="258">
        <v>5523</v>
      </c>
    </row>
    <row r="197" spans="1:2" x14ac:dyDescent="0.25">
      <c r="A197" s="258" t="s">
        <v>271</v>
      </c>
      <c r="B197" s="258">
        <v>5718</v>
      </c>
    </row>
    <row r="198" spans="1:2" x14ac:dyDescent="0.25">
      <c r="A198" s="258" t="s">
        <v>45</v>
      </c>
      <c r="B198" s="258">
        <v>5559</v>
      </c>
    </row>
    <row r="199" spans="1:2" x14ac:dyDescent="0.25">
      <c r="A199" s="258" t="s">
        <v>27</v>
      </c>
      <c r="B199" s="258">
        <v>5857</v>
      </c>
    </row>
    <row r="200" spans="1:2" x14ac:dyDescent="0.25">
      <c r="A200" s="258" t="s">
        <v>388</v>
      </c>
      <c r="B200" s="258">
        <v>5428</v>
      </c>
    </row>
    <row r="201" spans="1:2" x14ac:dyDescent="0.25">
      <c r="A201" s="258" t="s">
        <v>272</v>
      </c>
      <c r="B201" s="258">
        <v>5719</v>
      </c>
    </row>
    <row r="202" spans="1:2" x14ac:dyDescent="0.25">
      <c r="A202" s="258" t="s">
        <v>273</v>
      </c>
      <c r="B202" s="258">
        <v>5720</v>
      </c>
    </row>
    <row r="203" spans="1:2" x14ac:dyDescent="0.25">
      <c r="A203" s="258" t="s">
        <v>274</v>
      </c>
      <c r="B203" s="258">
        <v>5721</v>
      </c>
    </row>
    <row r="204" spans="1:2" x14ac:dyDescent="0.25">
      <c r="A204" s="258" t="s">
        <v>175</v>
      </c>
      <c r="B204" s="258">
        <v>5484</v>
      </c>
    </row>
    <row r="205" spans="1:2" x14ac:dyDescent="0.25">
      <c r="A205" s="258" t="s">
        <v>490</v>
      </c>
      <c r="B205" s="258">
        <v>5541</v>
      </c>
    </row>
    <row r="206" spans="1:2" x14ac:dyDescent="0.25">
      <c r="A206" s="258" t="s">
        <v>176</v>
      </c>
      <c r="B206" s="258">
        <v>5485</v>
      </c>
    </row>
    <row r="207" spans="1:2" x14ac:dyDescent="0.25">
      <c r="A207" s="258" t="s">
        <v>12</v>
      </c>
      <c r="B207" s="258">
        <v>5817</v>
      </c>
    </row>
    <row r="208" spans="1:2" x14ac:dyDescent="0.25">
      <c r="A208" s="258" t="s">
        <v>46</v>
      </c>
      <c r="B208" s="258">
        <v>5560</v>
      </c>
    </row>
    <row r="209" spans="1:2" x14ac:dyDescent="0.25">
      <c r="A209" s="258" t="s">
        <v>47</v>
      </c>
      <c r="B209" s="258">
        <v>5561</v>
      </c>
    </row>
    <row r="210" spans="1:2" x14ac:dyDescent="0.25">
      <c r="A210" s="258" t="s">
        <v>275</v>
      </c>
      <c r="B210" s="258">
        <v>5722</v>
      </c>
    </row>
    <row r="211" spans="1:2" x14ac:dyDescent="0.25">
      <c r="A211" s="258" t="s">
        <v>148</v>
      </c>
      <c r="B211" s="258">
        <v>5405</v>
      </c>
    </row>
    <row r="212" spans="1:2" x14ac:dyDescent="0.25">
      <c r="A212" s="258" t="s">
        <v>13</v>
      </c>
      <c r="B212" s="258">
        <v>5819</v>
      </c>
    </row>
    <row r="213" spans="1:2" x14ac:dyDescent="0.25">
      <c r="A213" s="258" t="s">
        <v>133</v>
      </c>
      <c r="B213" s="258">
        <v>5673</v>
      </c>
    </row>
    <row r="214" spans="1:2" x14ac:dyDescent="0.25">
      <c r="A214" s="258" t="s">
        <v>55</v>
      </c>
      <c r="B214" s="258">
        <v>5885</v>
      </c>
    </row>
    <row r="215" spans="1:2" x14ac:dyDescent="0.25">
      <c r="A215" s="258" t="s">
        <v>492</v>
      </c>
      <c r="B215" s="258">
        <v>5804</v>
      </c>
    </row>
    <row r="216" spans="1:2" x14ac:dyDescent="0.25">
      <c r="A216" s="258" t="s">
        <v>438</v>
      </c>
      <c r="B216" s="258">
        <v>5585</v>
      </c>
    </row>
    <row r="217" spans="1:2" x14ac:dyDescent="0.25">
      <c r="A217" s="258" t="s">
        <v>378</v>
      </c>
      <c r="B217" s="258">
        <v>5754</v>
      </c>
    </row>
    <row r="218" spans="1:2" x14ac:dyDescent="0.25">
      <c r="A218" s="258" t="s">
        <v>246</v>
      </c>
      <c r="B218" s="258">
        <v>5474</v>
      </c>
    </row>
    <row r="219" spans="1:2" x14ac:dyDescent="0.25">
      <c r="A219" s="258" t="s">
        <v>253</v>
      </c>
      <c r="B219" s="258">
        <v>5758</v>
      </c>
    </row>
    <row r="220" spans="1:2" x14ac:dyDescent="0.25">
      <c r="A220" s="258" t="s">
        <v>363</v>
      </c>
      <c r="B220" s="258">
        <v>5726</v>
      </c>
    </row>
    <row r="221" spans="1:2" x14ac:dyDescent="0.25">
      <c r="A221" s="258" t="s">
        <v>205</v>
      </c>
      <c r="B221" s="258">
        <v>5498</v>
      </c>
    </row>
    <row r="222" spans="1:2" x14ac:dyDescent="0.25">
      <c r="A222" s="258" t="s">
        <v>57</v>
      </c>
      <c r="B222" s="258">
        <v>5889</v>
      </c>
    </row>
    <row r="223" spans="1:2" x14ac:dyDescent="0.25">
      <c r="A223" s="258" t="s">
        <v>34</v>
      </c>
      <c r="B223" s="258">
        <v>5871</v>
      </c>
    </row>
    <row r="224" spans="1:2" x14ac:dyDescent="0.25">
      <c r="A224" s="258" t="s">
        <v>370</v>
      </c>
      <c r="B224" s="258">
        <v>5741</v>
      </c>
    </row>
    <row r="225" spans="1:2" x14ac:dyDescent="0.25">
      <c r="A225" s="258" t="s">
        <v>154</v>
      </c>
      <c r="B225" s="258">
        <v>5586</v>
      </c>
    </row>
    <row r="226" spans="1:2" x14ac:dyDescent="0.25">
      <c r="A226" s="258" t="s">
        <v>149</v>
      </c>
      <c r="B226" s="258">
        <v>5406</v>
      </c>
    </row>
    <row r="227" spans="1:2" x14ac:dyDescent="0.25">
      <c r="A227" s="258" t="s">
        <v>192</v>
      </c>
      <c r="B227" s="258">
        <v>5637</v>
      </c>
    </row>
    <row r="228" spans="1:2" x14ac:dyDescent="0.25">
      <c r="A228" s="258" t="s">
        <v>240</v>
      </c>
      <c r="B228" s="258">
        <v>5872</v>
      </c>
    </row>
    <row r="229" spans="1:2" x14ac:dyDescent="0.25">
      <c r="A229" s="258" t="s">
        <v>241</v>
      </c>
      <c r="B229" s="258">
        <v>5873</v>
      </c>
    </row>
    <row r="230" spans="1:2" x14ac:dyDescent="0.25">
      <c r="A230" s="258" t="s">
        <v>155</v>
      </c>
      <c r="B230" s="258">
        <v>5587</v>
      </c>
    </row>
    <row r="231" spans="1:2" x14ac:dyDescent="0.25">
      <c r="A231" s="258" t="s">
        <v>368</v>
      </c>
      <c r="B231" s="258">
        <v>5731</v>
      </c>
    </row>
    <row r="232" spans="1:2" x14ac:dyDescent="0.25">
      <c r="A232" s="258" t="s">
        <v>312</v>
      </c>
      <c r="B232" s="258">
        <v>5750</v>
      </c>
    </row>
    <row r="233" spans="1:2" x14ac:dyDescent="0.25">
      <c r="A233" s="258" t="s">
        <v>150</v>
      </c>
      <c r="B233" s="258">
        <v>5407</v>
      </c>
    </row>
    <row r="234" spans="1:2" x14ac:dyDescent="0.25">
      <c r="A234" s="258" t="s">
        <v>379</v>
      </c>
      <c r="B234" s="258">
        <v>5755</v>
      </c>
    </row>
    <row r="235" spans="1:2" x14ac:dyDescent="0.25">
      <c r="A235" s="258" t="s">
        <v>6</v>
      </c>
      <c r="B235" s="258">
        <v>5486</v>
      </c>
    </row>
    <row r="236" spans="1:2" x14ac:dyDescent="0.25">
      <c r="A236" s="258" t="s">
        <v>193</v>
      </c>
      <c r="B236" s="258">
        <v>5638</v>
      </c>
    </row>
    <row r="237" spans="1:2" x14ac:dyDescent="0.25">
      <c r="A237" s="258" t="s">
        <v>408</v>
      </c>
      <c r="B237" s="258">
        <v>5429</v>
      </c>
    </row>
    <row r="238" spans="1:2" x14ac:dyDescent="0.25">
      <c r="A238" s="258" t="s">
        <v>134</v>
      </c>
      <c r="B238" s="258">
        <v>5674</v>
      </c>
    </row>
    <row r="239" spans="1:2" x14ac:dyDescent="0.25">
      <c r="A239" s="258" t="s">
        <v>135</v>
      </c>
      <c r="B239" s="258">
        <v>5675</v>
      </c>
    </row>
    <row r="240" spans="1:2" x14ac:dyDescent="0.25">
      <c r="A240" s="258" t="s">
        <v>28</v>
      </c>
      <c r="B240" s="258">
        <v>5858</v>
      </c>
    </row>
    <row r="241" spans="1:2" x14ac:dyDescent="0.25">
      <c r="A241" s="258" t="s">
        <v>194</v>
      </c>
      <c r="B241" s="258">
        <v>5639</v>
      </c>
    </row>
    <row r="242" spans="1:2" x14ac:dyDescent="0.25">
      <c r="A242" s="258" t="s">
        <v>7</v>
      </c>
      <c r="B242" s="258">
        <v>5487</v>
      </c>
    </row>
    <row r="243" spans="1:2" x14ac:dyDescent="0.25">
      <c r="A243" s="258" t="s">
        <v>195</v>
      </c>
      <c r="B243" s="258">
        <v>5640</v>
      </c>
    </row>
    <row r="244" spans="1:2" x14ac:dyDescent="0.25">
      <c r="A244" s="258" t="s">
        <v>178</v>
      </c>
      <c r="B244" s="258">
        <v>5606</v>
      </c>
    </row>
    <row r="245" spans="1:2" x14ac:dyDescent="0.25">
      <c r="A245" s="258" t="s">
        <v>323</v>
      </c>
      <c r="B245" s="258">
        <v>5790</v>
      </c>
    </row>
    <row r="246" spans="1:2" x14ac:dyDescent="0.25">
      <c r="A246" s="258" t="s">
        <v>409</v>
      </c>
      <c r="B246" s="258">
        <v>5430</v>
      </c>
    </row>
    <row r="247" spans="1:2" x14ac:dyDescent="0.25">
      <c r="A247" s="258" t="s">
        <v>439</v>
      </c>
      <c r="B247" s="258">
        <v>5919</v>
      </c>
    </row>
    <row r="248" spans="1:2" x14ac:dyDescent="0.25">
      <c r="A248" s="258" t="s">
        <v>48</v>
      </c>
      <c r="B248" s="258">
        <v>5562</v>
      </c>
    </row>
    <row r="249" spans="1:2" x14ac:dyDescent="0.25">
      <c r="A249" s="258" t="s">
        <v>8</v>
      </c>
      <c r="B249" s="258">
        <v>5488</v>
      </c>
    </row>
    <row r="250" spans="1:2" x14ac:dyDescent="0.25">
      <c r="A250" s="258" t="s">
        <v>9</v>
      </c>
      <c r="B250" s="258">
        <v>5489</v>
      </c>
    </row>
    <row r="251" spans="1:2" x14ac:dyDescent="0.25">
      <c r="A251" s="258" t="s">
        <v>324</v>
      </c>
      <c r="B251" s="258">
        <v>5791</v>
      </c>
    </row>
    <row r="252" spans="1:2" x14ac:dyDescent="0.25">
      <c r="A252" s="258" t="s">
        <v>276</v>
      </c>
      <c r="B252" s="258">
        <v>5723</v>
      </c>
    </row>
    <row r="253" spans="1:2" x14ac:dyDescent="0.25">
      <c r="A253" s="258" t="s">
        <v>14</v>
      </c>
      <c r="B253" s="258">
        <v>5821</v>
      </c>
    </row>
    <row r="254" spans="1:2" x14ac:dyDescent="0.25">
      <c r="A254" s="258" t="s">
        <v>10</v>
      </c>
      <c r="B254" s="258">
        <v>5490</v>
      </c>
    </row>
    <row r="255" spans="1:2" x14ac:dyDescent="0.25">
      <c r="A255" s="258" t="s">
        <v>410</v>
      </c>
      <c r="B255" s="258">
        <v>5431</v>
      </c>
    </row>
    <row r="256" spans="1:2" x14ac:dyDescent="0.25">
      <c r="A256" s="258" t="s">
        <v>440</v>
      </c>
      <c r="B256" s="258">
        <v>5921</v>
      </c>
    </row>
    <row r="257" spans="1:2" x14ac:dyDescent="0.25">
      <c r="A257" s="258" t="s">
        <v>313</v>
      </c>
      <c r="B257" s="258">
        <v>5922</v>
      </c>
    </row>
    <row r="258" spans="1:2" x14ac:dyDescent="0.25">
      <c r="A258" s="258" t="s">
        <v>504</v>
      </c>
      <c r="B258" s="258">
        <v>5693</v>
      </c>
    </row>
    <row r="259" spans="1:2" x14ac:dyDescent="0.25">
      <c r="A259" s="258" t="s">
        <v>380</v>
      </c>
      <c r="B259" s="258">
        <v>5756</v>
      </c>
    </row>
    <row r="260" spans="1:2" x14ac:dyDescent="0.25">
      <c r="A260" s="258" t="s">
        <v>411</v>
      </c>
      <c r="B260" s="258">
        <v>5432</v>
      </c>
    </row>
    <row r="261" spans="1:2" x14ac:dyDescent="0.25">
      <c r="A261" s="258" t="s">
        <v>491</v>
      </c>
      <c r="B261" s="258">
        <v>5540</v>
      </c>
    </row>
    <row r="262" spans="1:2" x14ac:dyDescent="0.25">
      <c r="A262" s="258" t="s">
        <v>198</v>
      </c>
      <c r="B262" s="258">
        <v>5491</v>
      </c>
    </row>
    <row r="263" spans="1:2" x14ac:dyDescent="0.25">
      <c r="A263" s="258" t="s">
        <v>325</v>
      </c>
      <c r="B263" s="258">
        <v>5792</v>
      </c>
    </row>
    <row r="264" spans="1:2" x14ac:dyDescent="0.25">
      <c r="A264" s="258" t="s">
        <v>56</v>
      </c>
      <c r="B264" s="258">
        <v>5886</v>
      </c>
    </row>
    <row r="265" spans="1:2" x14ac:dyDescent="0.25">
      <c r="A265" s="258" t="s">
        <v>199</v>
      </c>
      <c r="B265" s="258">
        <v>5492</v>
      </c>
    </row>
    <row r="266" spans="1:2" x14ac:dyDescent="0.25">
      <c r="A266" s="258" t="s">
        <v>29</v>
      </c>
      <c r="B266" s="258">
        <v>5859</v>
      </c>
    </row>
    <row r="267" spans="1:2" x14ac:dyDescent="0.25">
      <c r="A267" s="258" t="s">
        <v>196</v>
      </c>
      <c r="B267" s="258">
        <v>5642</v>
      </c>
    </row>
    <row r="268" spans="1:2" x14ac:dyDescent="0.25">
      <c r="A268" s="258" t="s">
        <v>221</v>
      </c>
      <c r="B268" s="258">
        <v>5527</v>
      </c>
    </row>
    <row r="269" spans="1:2" x14ac:dyDescent="0.25">
      <c r="A269" s="258" t="s">
        <v>136</v>
      </c>
      <c r="B269" s="258">
        <v>5678</v>
      </c>
    </row>
    <row r="270" spans="1:2" x14ac:dyDescent="0.25">
      <c r="A270" s="258" t="s">
        <v>328</v>
      </c>
      <c r="B270" s="258">
        <v>5563</v>
      </c>
    </row>
    <row r="271" spans="1:2" x14ac:dyDescent="0.25">
      <c r="A271" s="258" t="s">
        <v>329</v>
      </c>
      <c r="B271" s="258">
        <v>5564</v>
      </c>
    </row>
    <row r="272" spans="1:2" x14ac:dyDescent="0.25">
      <c r="A272" s="258" t="s">
        <v>151</v>
      </c>
      <c r="B272" s="258">
        <v>5408</v>
      </c>
    </row>
    <row r="273" spans="1:2" x14ac:dyDescent="0.25">
      <c r="A273" s="258" t="s">
        <v>76</v>
      </c>
      <c r="B273" s="258">
        <v>5724</v>
      </c>
    </row>
    <row r="274" spans="1:2" x14ac:dyDescent="0.25">
      <c r="A274" s="258" t="s">
        <v>137</v>
      </c>
      <c r="B274" s="258">
        <v>5680</v>
      </c>
    </row>
    <row r="275" spans="1:2" x14ac:dyDescent="0.25">
      <c r="A275" s="258" t="s">
        <v>152</v>
      </c>
      <c r="B275" s="258">
        <v>5409</v>
      </c>
    </row>
    <row r="276" spans="1:2" x14ac:dyDescent="0.25">
      <c r="A276" s="258" t="s">
        <v>330</v>
      </c>
      <c r="B276" s="258">
        <v>5565</v>
      </c>
    </row>
    <row r="277" spans="1:2" x14ac:dyDescent="0.25">
      <c r="A277" s="258" t="s">
        <v>314</v>
      </c>
      <c r="B277" s="258">
        <v>5923</v>
      </c>
    </row>
    <row r="278" spans="1:2" x14ac:dyDescent="0.25">
      <c r="A278" s="258" t="s">
        <v>381</v>
      </c>
      <c r="B278" s="258">
        <v>5757</v>
      </c>
    </row>
    <row r="279" spans="1:2" x14ac:dyDescent="0.25">
      <c r="A279" s="258" t="s">
        <v>315</v>
      </c>
      <c r="B279" s="258">
        <v>5924</v>
      </c>
    </row>
    <row r="280" spans="1:2" x14ac:dyDescent="0.25">
      <c r="A280" s="258" t="s">
        <v>164</v>
      </c>
      <c r="B280" s="258">
        <v>5410</v>
      </c>
    </row>
    <row r="281" spans="1:2" x14ac:dyDescent="0.25">
      <c r="A281" s="258" t="s">
        <v>165</v>
      </c>
      <c r="B281" s="258">
        <v>5411</v>
      </c>
    </row>
    <row r="282" spans="1:2" x14ac:dyDescent="0.25">
      <c r="A282" s="258" t="s">
        <v>200</v>
      </c>
      <c r="B282" s="258">
        <v>5493</v>
      </c>
    </row>
    <row r="283" spans="1:2" x14ac:dyDescent="0.25">
      <c r="A283" s="258" t="s">
        <v>494</v>
      </c>
      <c r="B283" s="258">
        <v>5805</v>
      </c>
    </row>
    <row r="284" spans="1:2" x14ac:dyDescent="0.25">
      <c r="A284" s="258" t="s">
        <v>444</v>
      </c>
      <c r="B284" s="258">
        <v>5925</v>
      </c>
    </row>
    <row r="285" spans="1:2" x14ac:dyDescent="0.25">
      <c r="A285" s="258" t="s">
        <v>222</v>
      </c>
      <c r="B285" s="258">
        <v>5529</v>
      </c>
    </row>
    <row r="286" spans="1:2" x14ac:dyDescent="0.25">
      <c r="A286" s="258" t="s">
        <v>223</v>
      </c>
      <c r="B286" s="258">
        <v>5530</v>
      </c>
    </row>
    <row r="287" spans="1:2" x14ac:dyDescent="0.25">
      <c r="A287" s="258" t="s">
        <v>201</v>
      </c>
      <c r="B287" s="258">
        <v>5494</v>
      </c>
    </row>
    <row r="288" spans="1:2" x14ac:dyDescent="0.25">
      <c r="A288" s="258" t="s">
        <v>156</v>
      </c>
      <c r="B288" s="258">
        <v>5588</v>
      </c>
    </row>
    <row r="289" spans="1:2" x14ac:dyDescent="0.25">
      <c r="A289" s="258" t="s">
        <v>15</v>
      </c>
      <c r="B289" s="258">
        <v>5822</v>
      </c>
    </row>
    <row r="290" spans="1:2" x14ac:dyDescent="0.25">
      <c r="A290" s="258" t="s">
        <v>202</v>
      </c>
      <c r="B290" s="258">
        <v>5495</v>
      </c>
    </row>
    <row r="291" spans="1:2" x14ac:dyDescent="0.25">
      <c r="A291" s="258" t="s">
        <v>203</v>
      </c>
      <c r="B291" s="258">
        <v>5496</v>
      </c>
    </row>
    <row r="292" spans="1:2" x14ac:dyDescent="0.25">
      <c r="A292" s="258" t="s">
        <v>224</v>
      </c>
      <c r="B292" s="258">
        <v>5531</v>
      </c>
    </row>
    <row r="293" spans="1:2" x14ac:dyDescent="0.25">
      <c r="A293" s="258" t="s">
        <v>30</v>
      </c>
      <c r="B293" s="258">
        <v>5860</v>
      </c>
    </row>
    <row r="294" spans="1:2" x14ac:dyDescent="0.25">
      <c r="A294" s="258" t="s">
        <v>225</v>
      </c>
      <c r="B294" s="258">
        <v>5533</v>
      </c>
    </row>
    <row r="295" spans="1:2" x14ac:dyDescent="0.25">
      <c r="A295" s="258" t="s">
        <v>204</v>
      </c>
      <c r="B295" s="258">
        <v>5497</v>
      </c>
    </row>
    <row r="296" spans="1:2" x14ac:dyDescent="0.25">
      <c r="A296" s="258" t="s">
        <v>445</v>
      </c>
      <c r="B296" s="258">
        <v>5926</v>
      </c>
    </row>
    <row r="297" spans="1:2" x14ac:dyDescent="0.25">
      <c r="A297" s="258" t="s">
        <v>77</v>
      </c>
      <c r="B297" s="258">
        <v>5725</v>
      </c>
    </row>
    <row r="298" spans="1:2" x14ac:dyDescent="0.25">
      <c r="A298" s="258" t="s">
        <v>254</v>
      </c>
      <c r="B298" s="258">
        <v>5759</v>
      </c>
    </row>
    <row r="299" spans="1:2" x14ac:dyDescent="0.25">
      <c r="A299" s="258" t="s">
        <v>197</v>
      </c>
      <c r="B299" s="258">
        <v>5643</v>
      </c>
    </row>
    <row r="300" spans="1:2" x14ac:dyDescent="0.25">
      <c r="A300" s="258" t="s">
        <v>138</v>
      </c>
      <c r="B300" s="258">
        <v>5683</v>
      </c>
    </row>
    <row r="301" spans="1:2" x14ac:dyDescent="0.25">
      <c r="A301" s="258" t="s">
        <v>157</v>
      </c>
      <c r="B301" s="258">
        <v>5589</v>
      </c>
    </row>
    <row r="302" spans="1:2" x14ac:dyDescent="0.25">
      <c r="A302" s="258" t="s">
        <v>331</v>
      </c>
      <c r="B302" s="258">
        <v>5566</v>
      </c>
    </row>
    <row r="303" spans="1:2" x14ac:dyDescent="0.25">
      <c r="A303" s="258" t="s">
        <v>344</v>
      </c>
      <c r="B303" s="258">
        <v>5607</v>
      </c>
    </row>
    <row r="304" spans="1:2" x14ac:dyDescent="0.25">
      <c r="A304" s="258" t="s">
        <v>158</v>
      </c>
      <c r="B304" s="258">
        <v>5590</v>
      </c>
    </row>
    <row r="305" spans="1:2" x14ac:dyDescent="0.25">
      <c r="A305" s="258" t="s">
        <v>255</v>
      </c>
      <c r="B305" s="258">
        <v>5760</v>
      </c>
    </row>
    <row r="306" spans="1:2" x14ac:dyDescent="0.25">
      <c r="A306" s="258" t="s">
        <v>441</v>
      </c>
      <c r="B306" s="258">
        <v>5591</v>
      </c>
    </row>
    <row r="307" spans="1:2" x14ac:dyDescent="0.25">
      <c r="A307" s="258" t="s">
        <v>166</v>
      </c>
      <c r="B307" s="258">
        <v>5412</v>
      </c>
    </row>
    <row r="308" spans="1:2" x14ac:dyDescent="0.25">
      <c r="A308" s="258" t="s">
        <v>356</v>
      </c>
      <c r="B308" s="258">
        <v>5644</v>
      </c>
    </row>
    <row r="309" spans="1:2" x14ac:dyDescent="0.25">
      <c r="A309" s="258" t="s">
        <v>162</v>
      </c>
      <c r="B309" s="258">
        <v>5609</v>
      </c>
    </row>
    <row r="310" spans="1:2" x14ac:dyDescent="0.25">
      <c r="A310" s="258" t="s">
        <v>167</v>
      </c>
      <c r="B310" s="258">
        <v>5413</v>
      </c>
    </row>
    <row r="311" spans="1:2" x14ac:dyDescent="0.25">
      <c r="A311" s="258" t="s">
        <v>31</v>
      </c>
      <c r="B311" s="258">
        <v>5861</v>
      </c>
    </row>
    <row r="312" spans="1:2" x14ac:dyDescent="0.25">
      <c r="A312" s="258" t="s">
        <v>169</v>
      </c>
      <c r="B312" s="258">
        <v>5761</v>
      </c>
    </row>
    <row r="313" spans="1:2" x14ac:dyDescent="0.25">
      <c r="A313" s="258" t="s">
        <v>252</v>
      </c>
      <c r="B313" s="258">
        <v>5592</v>
      </c>
    </row>
    <row r="314" spans="1:2" x14ac:dyDescent="0.25">
      <c r="A314" s="258" t="s">
        <v>357</v>
      </c>
      <c r="B314" s="258">
        <v>5645</v>
      </c>
    </row>
    <row r="315" spans="1:2" x14ac:dyDescent="0.25">
      <c r="A315" s="258" t="s">
        <v>326</v>
      </c>
      <c r="B315" s="258">
        <v>5798</v>
      </c>
    </row>
    <row r="316" spans="1:2" x14ac:dyDescent="0.25">
      <c r="A316" s="258" t="s">
        <v>139</v>
      </c>
      <c r="B316" s="258">
        <v>5684</v>
      </c>
    </row>
    <row r="317" spans="1:2" x14ac:dyDescent="0.25">
      <c r="A317" s="258" t="s">
        <v>19</v>
      </c>
      <c r="B317" s="258">
        <v>5842</v>
      </c>
    </row>
    <row r="318" spans="1:2" x14ac:dyDescent="0.25">
      <c r="A318" s="258" t="s">
        <v>20</v>
      </c>
      <c r="B318" s="258">
        <v>5843</v>
      </c>
    </row>
    <row r="319" spans="1:2" x14ac:dyDescent="0.25">
      <c r="A319" s="258" t="s">
        <v>446</v>
      </c>
      <c r="B319" s="258">
        <v>5928</v>
      </c>
    </row>
    <row r="320" spans="1:2" x14ac:dyDescent="0.25">
      <c r="A320" s="258" t="s">
        <v>226</v>
      </c>
      <c r="B320" s="258">
        <v>5534</v>
      </c>
    </row>
    <row r="321" spans="1:2" x14ac:dyDescent="0.25">
      <c r="A321" s="258" t="s">
        <v>35</v>
      </c>
      <c r="B321" s="258">
        <v>5535</v>
      </c>
    </row>
    <row r="322" spans="1:2" x14ac:dyDescent="0.25">
      <c r="A322" s="258" t="s">
        <v>364</v>
      </c>
      <c r="B322" s="258">
        <v>5727</v>
      </c>
    </row>
    <row r="323" spans="1:2" x14ac:dyDescent="0.25">
      <c r="A323" s="258" t="s">
        <v>153</v>
      </c>
      <c r="B323" s="258">
        <v>5568</v>
      </c>
    </row>
    <row r="324" spans="1:2" x14ac:dyDescent="0.25">
      <c r="A324" s="258" t="s">
        <v>412</v>
      </c>
      <c r="B324" s="258">
        <v>5434</v>
      </c>
    </row>
    <row r="325" spans="1:2" x14ac:dyDescent="0.25">
      <c r="A325" s="258" t="s">
        <v>389</v>
      </c>
      <c r="B325" s="258">
        <v>5435</v>
      </c>
    </row>
    <row r="326" spans="1:2" x14ac:dyDescent="0.25">
      <c r="A326" s="258" t="s">
        <v>390</v>
      </c>
      <c r="B326" s="258">
        <v>5436</v>
      </c>
    </row>
    <row r="327" spans="1:2" x14ac:dyDescent="0.25">
      <c r="A327" s="258" t="s">
        <v>358</v>
      </c>
      <c r="B327" s="258">
        <v>5646</v>
      </c>
    </row>
    <row r="328" spans="1:2" x14ac:dyDescent="0.25">
      <c r="A328" s="258" t="s">
        <v>359</v>
      </c>
      <c r="B328" s="258">
        <v>5648</v>
      </c>
    </row>
    <row r="329" spans="1:2" x14ac:dyDescent="0.25">
      <c r="A329" s="258" t="s">
        <v>140</v>
      </c>
      <c r="B329" s="258">
        <v>5686</v>
      </c>
    </row>
    <row r="330" spans="1:2" x14ac:dyDescent="0.25">
      <c r="A330" s="258" t="s">
        <v>391</v>
      </c>
      <c r="B330" s="258">
        <v>5437</v>
      </c>
    </row>
    <row r="331" spans="1:2" x14ac:dyDescent="0.25">
      <c r="A331" s="258" t="s">
        <v>341</v>
      </c>
      <c r="B331" s="258">
        <v>5611</v>
      </c>
    </row>
    <row r="332" spans="1:2" x14ac:dyDescent="0.25">
      <c r="A332" s="258" t="s">
        <v>206</v>
      </c>
      <c r="B332" s="258">
        <v>5499</v>
      </c>
    </row>
    <row r="333" spans="1:2" x14ac:dyDescent="0.25">
      <c r="A333" s="258" t="s">
        <v>170</v>
      </c>
      <c r="B333" s="258">
        <v>5762</v>
      </c>
    </row>
    <row r="334" spans="1:2" x14ac:dyDescent="0.25">
      <c r="A334" s="258" t="s">
        <v>327</v>
      </c>
      <c r="B334" s="258">
        <v>5799</v>
      </c>
    </row>
    <row r="335" spans="1:2" x14ac:dyDescent="0.25">
      <c r="A335" s="258" t="s">
        <v>207</v>
      </c>
      <c r="B335" s="258">
        <v>5500</v>
      </c>
    </row>
    <row r="336" spans="1:2" x14ac:dyDescent="0.25">
      <c r="A336" s="258" t="s">
        <v>365</v>
      </c>
      <c r="B336" s="258">
        <v>5728</v>
      </c>
    </row>
    <row r="337" spans="1:2" x14ac:dyDescent="0.25">
      <c r="A337" s="258" t="s">
        <v>640</v>
      </c>
      <c r="B337" s="258">
        <v>5888</v>
      </c>
    </row>
    <row r="338" spans="1:2" x14ac:dyDescent="0.25">
      <c r="A338" s="258" t="s">
        <v>163</v>
      </c>
      <c r="B338" s="258">
        <v>5610</v>
      </c>
    </row>
    <row r="339" spans="1:2" x14ac:dyDescent="0.25">
      <c r="A339" s="258" t="s">
        <v>447</v>
      </c>
      <c r="B339" s="258">
        <v>5929</v>
      </c>
    </row>
    <row r="340" spans="1:2" x14ac:dyDescent="0.25">
      <c r="A340" s="258" t="s">
        <v>208</v>
      </c>
      <c r="B340" s="258">
        <v>5501</v>
      </c>
    </row>
    <row r="341" spans="1:2" x14ac:dyDescent="0.25">
      <c r="A341" s="258" t="s">
        <v>448</v>
      </c>
      <c r="B341" s="258">
        <v>5930</v>
      </c>
    </row>
    <row r="342" spans="1:2" x14ac:dyDescent="0.25">
      <c r="A342" s="258" t="s">
        <v>141</v>
      </c>
      <c r="B342" s="258">
        <v>5688</v>
      </c>
    </row>
    <row r="343" spans="1:2" x14ac:dyDescent="0.25">
      <c r="A343" s="258" t="s">
        <v>366</v>
      </c>
      <c r="B343" s="258">
        <v>5729</v>
      </c>
    </row>
    <row r="344" spans="1:2" x14ac:dyDescent="0.25">
      <c r="A344" s="258" t="s">
        <v>32</v>
      </c>
      <c r="B344" s="258">
        <v>5862</v>
      </c>
    </row>
    <row r="345" spans="1:2" x14ac:dyDescent="0.25">
      <c r="A345" s="258" t="s">
        <v>488</v>
      </c>
      <c r="B345" s="258">
        <v>5571</v>
      </c>
    </row>
    <row r="346" spans="1:2" x14ac:dyDescent="0.25">
      <c r="A346" s="258" t="s">
        <v>360</v>
      </c>
      <c r="B346" s="258">
        <v>5649</v>
      </c>
    </row>
    <row r="347" spans="1:2" x14ac:dyDescent="0.25">
      <c r="A347" s="258" t="s">
        <v>367</v>
      </c>
      <c r="B347" s="258">
        <v>5730</v>
      </c>
    </row>
    <row r="348" spans="1:2" x14ac:dyDescent="0.25">
      <c r="A348" s="258" t="s">
        <v>16</v>
      </c>
      <c r="B348" s="258">
        <v>5827</v>
      </c>
    </row>
    <row r="349" spans="1:2" x14ac:dyDescent="0.25">
      <c r="A349" s="258" t="s">
        <v>449</v>
      </c>
      <c r="B349" s="258">
        <v>5931</v>
      </c>
    </row>
    <row r="350" spans="1:2" x14ac:dyDescent="0.25">
      <c r="A350" s="258" t="s">
        <v>639</v>
      </c>
      <c r="B350" s="258">
        <v>5828</v>
      </c>
    </row>
    <row r="351" spans="1:2" x14ac:dyDescent="0.25">
      <c r="A351" s="258" t="s">
        <v>316</v>
      </c>
      <c r="B351" s="258">
        <v>5932</v>
      </c>
    </row>
    <row r="352" spans="1:2" x14ac:dyDescent="0.25">
      <c r="A352" s="258" t="s">
        <v>493</v>
      </c>
      <c r="B352" s="258">
        <v>5831</v>
      </c>
    </row>
    <row r="353" spans="1:2" x14ac:dyDescent="0.25">
      <c r="A353" s="258" t="s">
        <v>442</v>
      </c>
      <c r="B353" s="258">
        <v>5933</v>
      </c>
    </row>
    <row r="354" spans="1:2" x14ac:dyDescent="0.25">
      <c r="A354" s="258" t="s">
        <v>171</v>
      </c>
      <c r="B354" s="258">
        <v>5763</v>
      </c>
    </row>
    <row r="355" spans="1:2" x14ac:dyDescent="0.25">
      <c r="A355" s="258" t="s">
        <v>443</v>
      </c>
      <c r="B355" s="258">
        <v>5934</v>
      </c>
    </row>
    <row r="356" spans="1:2" x14ac:dyDescent="0.25">
      <c r="A356" s="258" t="s">
        <v>382</v>
      </c>
      <c r="B356" s="258">
        <v>5764</v>
      </c>
    </row>
    <row r="357" spans="1:2" x14ac:dyDescent="0.25">
      <c r="A357" s="258" t="s">
        <v>383</v>
      </c>
      <c r="B357" s="258">
        <v>5765</v>
      </c>
    </row>
    <row r="358" spans="1:2" x14ac:dyDescent="0.25">
      <c r="A358" s="258" t="s">
        <v>361</v>
      </c>
      <c r="B358" s="258">
        <v>5650</v>
      </c>
    </row>
    <row r="359" spans="1:2" x14ac:dyDescent="0.25">
      <c r="A359" s="258" t="s">
        <v>58</v>
      </c>
      <c r="B359" s="258">
        <v>5890</v>
      </c>
    </row>
    <row r="360" spans="1:2" x14ac:dyDescent="0.25">
      <c r="A360" s="258" t="s">
        <v>59</v>
      </c>
      <c r="B360" s="258">
        <v>5891</v>
      </c>
    </row>
    <row r="361" spans="1:2" x14ac:dyDescent="0.25">
      <c r="A361" s="258" t="s">
        <v>369</v>
      </c>
      <c r="B361" s="258">
        <v>5732</v>
      </c>
    </row>
    <row r="362" spans="1:2" x14ac:dyDescent="0.25">
      <c r="A362" s="258" t="s">
        <v>343</v>
      </c>
      <c r="B362" s="258">
        <v>5935</v>
      </c>
    </row>
    <row r="363" spans="1:2" x14ac:dyDescent="0.25">
      <c r="A363" s="258" t="s">
        <v>142</v>
      </c>
      <c r="B363" s="258">
        <v>5690</v>
      </c>
    </row>
    <row r="364" spans="1:2" x14ac:dyDescent="0.25">
      <c r="A364" s="258" t="s">
        <v>36</v>
      </c>
      <c r="B364" s="258">
        <v>5537</v>
      </c>
    </row>
    <row r="365" spans="1:2" x14ac:dyDescent="0.25">
      <c r="A365" s="258" t="s">
        <v>362</v>
      </c>
      <c r="B365" s="258">
        <v>5651</v>
      </c>
    </row>
    <row r="366" spans="1:2" x14ac:dyDescent="0.25">
      <c r="A366" s="258" t="s">
        <v>233</v>
      </c>
      <c r="B366" s="258">
        <v>5652</v>
      </c>
    </row>
    <row r="367" spans="1:2" x14ac:dyDescent="0.25">
      <c r="A367" s="258" t="s">
        <v>17</v>
      </c>
      <c r="B367" s="258">
        <v>5830</v>
      </c>
    </row>
    <row r="368" spans="1:2" x14ac:dyDescent="0.25">
      <c r="A368" s="258" t="s">
        <v>168</v>
      </c>
      <c r="B368" s="258">
        <v>5414</v>
      </c>
    </row>
    <row r="369" spans="1:2" x14ac:dyDescent="0.25">
      <c r="A369" s="258" t="s">
        <v>33</v>
      </c>
      <c r="B369" s="258">
        <v>5863</v>
      </c>
    </row>
    <row r="370" spans="1:2" x14ac:dyDescent="0.25">
      <c r="A370" s="258" t="s">
        <v>37</v>
      </c>
      <c r="B370" s="258">
        <v>5539</v>
      </c>
    </row>
    <row r="371" spans="1:2" x14ac:dyDescent="0.25">
      <c r="A371" s="258" t="s">
        <v>143</v>
      </c>
      <c r="B371" s="258">
        <v>5692</v>
      </c>
    </row>
    <row r="372" spans="1:2" x14ac:dyDescent="0.25">
      <c r="A372" s="258" t="s">
        <v>209</v>
      </c>
      <c r="B372" s="258">
        <v>5503</v>
      </c>
    </row>
    <row r="373" spans="1:2" x14ac:dyDescent="0.25">
      <c r="A373" s="258" t="s">
        <v>234</v>
      </c>
      <c r="B373" s="258">
        <v>5653</v>
      </c>
    </row>
    <row r="374" spans="1:2" x14ac:dyDescent="0.25">
      <c r="A374" s="258" t="s">
        <v>317</v>
      </c>
      <c r="B374" s="258">
        <v>5937</v>
      </c>
    </row>
    <row r="375" spans="1:2" x14ac:dyDescent="0.25">
      <c r="A375" s="258" t="s">
        <v>384</v>
      </c>
      <c r="B375" s="258">
        <v>5766</v>
      </c>
    </row>
    <row r="376" spans="1:2" x14ac:dyDescent="0.25">
      <c r="A376" s="258" t="s">
        <v>431</v>
      </c>
      <c r="B376" s="258">
        <v>5803</v>
      </c>
    </row>
    <row r="377" spans="1:2" x14ac:dyDescent="0.25">
      <c r="A377" s="258" t="s">
        <v>235</v>
      </c>
      <c r="B377" s="258">
        <v>5654</v>
      </c>
    </row>
    <row r="378" spans="1:2" x14ac:dyDescent="0.25">
      <c r="A378" s="258" t="s">
        <v>489</v>
      </c>
      <c r="B378" s="258">
        <v>5464</v>
      </c>
    </row>
    <row r="379" spans="1:2" x14ac:dyDescent="0.25">
      <c r="A379" s="258" t="s">
        <v>236</v>
      </c>
      <c r="B379" s="258">
        <v>5655</v>
      </c>
    </row>
    <row r="380" spans="1:2" x14ac:dyDescent="0.25">
      <c r="A380" s="258" t="s">
        <v>184</v>
      </c>
      <c r="B380" s="258">
        <v>5938</v>
      </c>
    </row>
    <row r="381" spans="1:2" x14ac:dyDescent="0.25">
      <c r="A381" s="258" t="s">
        <v>183</v>
      </c>
      <c r="B381" s="258">
        <v>5939</v>
      </c>
    </row>
    <row r="382" spans="1:2" x14ac:dyDescent="0.25">
      <c r="A382" s="258" t="s">
        <v>79</v>
      </c>
      <c r="B382" s="258">
        <v>5415</v>
      </c>
    </row>
  </sheetData>
  <sheetProtection sheet="1" objects="1" scenarios="1"/>
  <protectedRanges>
    <protectedRange sqref="B22:H22" name="Plage2"/>
    <protectedRange sqref="A65:A420 B11:B12 B16:E17 B24 B28 B32:B33 B37:B38 G37 B43:B44 B52:B54 B61:B62 B5:B8" name="Plage1"/>
  </protectedRanges>
  <sortState ref="A56:A373">
    <sortCondition ref="A56"/>
  </sortState>
  <phoneticPr fontId="7" type="noConversion"/>
  <printOptions horizontalCentered="1"/>
  <pageMargins left="0" right="0" top="0" bottom="0" header="0.51181102362204722" footer="0.51181102362204722"/>
  <pageSetup paperSize="9"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23"/>
  <sheetViews>
    <sheetView workbookViewId="0"/>
  </sheetViews>
  <sheetFormatPr baseColWidth="10" defaultColWidth="11" defaultRowHeight="15" x14ac:dyDescent="0.25"/>
  <cols>
    <col min="1" max="1" width="7.25" style="18" customWidth="1"/>
    <col min="2" max="2" width="25.375" style="18" customWidth="1"/>
    <col min="3" max="3" width="8.375" style="18" bestFit="1" customWidth="1"/>
    <col min="4" max="4" width="13.625" style="18" customWidth="1"/>
    <col min="5" max="5" width="9" style="18" bestFit="1" customWidth="1"/>
    <col min="6" max="6" width="10.875" style="19" bestFit="1" customWidth="1"/>
    <col min="7" max="7" width="11" style="20"/>
    <col min="8" max="8" width="11" style="18"/>
    <col min="9" max="9" width="13.375" style="8" customWidth="1"/>
    <col min="10" max="12" width="11" style="18"/>
    <col min="13" max="13" width="11.625" style="20" bestFit="1" customWidth="1"/>
    <col min="14" max="16384" width="11" style="18"/>
  </cols>
  <sheetData>
    <row r="1" spans="1:12" ht="21" x14ac:dyDescent="0.25">
      <c r="A1" s="65" t="s">
        <v>517</v>
      </c>
      <c r="B1" s="53"/>
      <c r="C1" s="133"/>
      <c r="D1" s="133"/>
    </row>
    <row r="3" spans="1:12" ht="60" x14ac:dyDescent="0.25">
      <c r="A3" s="497" t="s">
        <v>51</v>
      </c>
      <c r="B3" s="497" t="s">
        <v>121</v>
      </c>
      <c r="C3" s="497" t="s">
        <v>348</v>
      </c>
      <c r="D3" s="497" t="s">
        <v>4</v>
      </c>
      <c r="E3" s="180" t="s">
        <v>399</v>
      </c>
      <c r="F3" s="500" t="s">
        <v>355</v>
      </c>
      <c r="G3" s="521" t="s">
        <v>92</v>
      </c>
      <c r="H3" s="497" t="s">
        <v>397</v>
      </c>
      <c r="I3" s="500" t="s">
        <v>398</v>
      </c>
    </row>
    <row r="4" spans="1:12" x14ac:dyDescent="0.25">
      <c r="A4" s="499"/>
      <c r="B4" s="499"/>
      <c r="C4" s="499"/>
      <c r="D4" s="498"/>
      <c r="E4" s="181">
        <f>+Paramètres!B28</f>
        <v>0.27</v>
      </c>
      <c r="F4" s="502"/>
      <c r="G4" s="522"/>
      <c r="H4" s="499"/>
      <c r="I4" s="502"/>
    </row>
    <row r="5" spans="1:12" x14ac:dyDescent="0.25">
      <c r="A5" s="57">
        <f>'A) Base RI'!A7</f>
        <v>5401</v>
      </c>
      <c r="B5" s="129" t="str">
        <f>'A) Base RI'!B7</f>
        <v>Aigle</v>
      </c>
      <c r="C5" s="134">
        <f>'A) Base RI'!AN7</f>
        <v>9757</v>
      </c>
      <c r="D5" s="175">
        <f>'D) Ecrêtage'!N5</f>
        <v>26.734185325635153</v>
      </c>
      <c r="E5" s="164">
        <f t="shared" ref="E5:E15" si="0">IF($D$323-D5&lt;0,0,$D$323-D5)</f>
        <v>16.887442518402082</v>
      </c>
      <c r="F5" s="179">
        <f t="shared" ref="F5:F68" si="1">(C5*E5*G5)*$E$4</f>
        <v>3002947.4044835959</v>
      </c>
      <c r="G5" s="159">
        <f>'A) Base RI'!AM7</f>
        <v>67.5</v>
      </c>
      <c r="H5" s="165">
        <f>G5/$G$323</f>
        <v>0.99459026899864322</v>
      </c>
      <c r="I5" s="182">
        <f>F5*H5</f>
        <v>2986702.2668141169</v>
      </c>
      <c r="J5" s="60"/>
      <c r="K5" s="166"/>
      <c r="L5" s="20"/>
    </row>
    <row r="6" spans="1:12" x14ac:dyDescent="0.25">
      <c r="A6" s="61">
        <f>'A) Base RI'!A8</f>
        <v>5402</v>
      </c>
      <c r="B6" s="13" t="str">
        <f>'A) Base RI'!B8</f>
        <v>Bex</v>
      </c>
      <c r="C6" s="135">
        <f>'A) Base RI'!AN8</f>
        <v>7236</v>
      </c>
      <c r="D6" s="176">
        <f>'D) Ecrêtage'!N6</f>
        <v>24.307753233052264</v>
      </c>
      <c r="E6" s="44">
        <f t="shared" si="0"/>
        <v>19.313874610984971</v>
      </c>
      <c r="F6" s="179">
        <f t="shared" si="1"/>
        <v>2679107.1204531225</v>
      </c>
      <c r="G6" s="160">
        <f>'A) Base RI'!AM8</f>
        <v>71</v>
      </c>
      <c r="H6" s="168">
        <f t="shared" ref="H6:H69" si="2">G6/$G$323</f>
        <v>1.0461616162800542</v>
      </c>
      <c r="I6" s="183">
        <f t="shared" ref="I6:I61" si="3">F6*H6</f>
        <v>2802779.0353206405</v>
      </c>
      <c r="J6" s="60"/>
      <c r="L6" s="169"/>
    </row>
    <row r="7" spans="1:12" x14ac:dyDescent="0.25">
      <c r="A7" s="61">
        <f>'A) Base RI'!A9</f>
        <v>5403</v>
      </c>
      <c r="B7" s="13" t="str">
        <f>'A) Base RI'!B9</f>
        <v>Chessel</v>
      </c>
      <c r="C7" s="135">
        <f>'A) Base RI'!AN9</f>
        <v>396</v>
      </c>
      <c r="D7" s="176">
        <f>'D) Ecrêtage'!N7</f>
        <v>20.920652578415741</v>
      </c>
      <c r="E7" s="44">
        <f t="shared" si="0"/>
        <v>22.700975265621494</v>
      </c>
      <c r="F7" s="179">
        <f t="shared" si="1"/>
        <v>184466.30893041901</v>
      </c>
      <c r="G7" s="160">
        <f>'A) Base RI'!AM9</f>
        <v>76</v>
      </c>
      <c r="H7" s="168">
        <f t="shared" si="2"/>
        <v>1.1198349695392131</v>
      </c>
      <c r="I7" s="183">
        <f t="shared" si="3"/>
        <v>206571.82344210683</v>
      </c>
      <c r="J7" s="60"/>
      <c r="L7" s="169"/>
    </row>
    <row r="8" spans="1:12" x14ac:dyDescent="0.25">
      <c r="A8" s="61">
        <f>'A) Base RI'!A10</f>
        <v>5404</v>
      </c>
      <c r="B8" s="13" t="str">
        <f>'A) Base RI'!B10</f>
        <v>Corbeyrier</v>
      </c>
      <c r="C8" s="135">
        <f>'A) Base RI'!AN10</f>
        <v>433</v>
      </c>
      <c r="D8" s="176">
        <f>'D) Ecrêtage'!N8</f>
        <v>23.016601781590232</v>
      </c>
      <c r="E8" s="44">
        <f t="shared" si="0"/>
        <v>20.605026062447003</v>
      </c>
      <c r="F8" s="179">
        <f t="shared" si="1"/>
        <v>168625.35178724755</v>
      </c>
      <c r="G8" s="160">
        <f>'A) Base RI'!AM10</f>
        <v>70</v>
      </c>
      <c r="H8" s="168">
        <f t="shared" si="2"/>
        <v>1.0314269456282226</v>
      </c>
      <c r="I8" s="183">
        <f t="shared" si="3"/>
        <v>173924.73154940529</v>
      </c>
    </row>
    <row r="9" spans="1:12" x14ac:dyDescent="0.25">
      <c r="A9" s="61">
        <f>'A) Base RI'!A11</f>
        <v>5405</v>
      </c>
      <c r="B9" s="13" t="str">
        <f>'A) Base RI'!B11</f>
        <v>Gryon</v>
      </c>
      <c r="C9" s="135">
        <f>'A) Base RI'!AN11</f>
        <v>1265</v>
      </c>
      <c r="D9" s="176">
        <f>'D) Ecrêtage'!N9</f>
        <v>56.323083311311173</v>
      </c>
      <c r="E9" s="44">
        <f t="shared" si="0"/>
        <v>0</v>
      </c>
      <c r="F9" s="179">
        <f t="shared" si="1"/>
        <v>0</v>
      </c>
      <c r="G9" s="160">
        <f>'A) Base RI'!AM11</f>
        <v>75</v>
      </c>
      <c r="H9" s="168">
        <f t="shared" si="2"/>
        <v>1.1051002988873813</v>
      </c>
      <c r="I9" s="183">
        <f t="shared" si="3"/>
        <v>0</v>
      </c>
    </row>
    <row r="10" spans="1:12" x14ac:dyDescent="0.25">
      <c r="A10" s="61">
        <f>'A) Base RI'!A12</f>
        <v>5406</v>
      </c>
      <c r="B10" s="13" t="str">
        <f>'A) Base RI'!B12</f>
        <v>Lavey-Morcles</v>
      </c>
      <c r="C10" s="135">
        <f>'A) Base RI'!AN12</f>
        <v>907</v>
      </c>
      <c r="D10" s="176">
        <f>'D) Ecrêtage'!N10</f>
        <v>21.864882967553434</v>
      </c>
      <c r="E10" s="44">
        <f t="shared" si="0"/>
        <v>21.756744876483801</v>
      </c>
      <c r="F10" s="179">
        <f t="shared" si="1"/>
        <v>378288.65694895043</v>
      </c>
      <c r="G10" s="160">
        <f>'A) Base RI'!AM12</f>
        <v>71</v>
      </c>
      <c r="H10" s="168">
        <f t="shared" si="2"/>
        <v>1.0461616162800542</v>
      </c>
      <c r="I10" s="183">
        <f t="shared" si="3"/>
        <v>395751.07277412497</v>
      </c>
    </row>
    <row r="11" spans="1:12" x14ac:dyDescent="0.25">
      <c r="A11" s="61">
        <f>'A) Base RI'!A13</f>
        <v>5407</v>
      </c>
      <c r="B11" s="13" t="str">
        <f>'A) Base RI'!B13</f>
        <v>Leysin</v>
      </c>
      <c r="C11" s="135">
        <f>'A) Base RI'!AN13</f>
        <v>4148</v>
      </c>
      <c r="D11" s="176">
        <f>'D) Ecrêtage'!N11</f>
        <v>24.782808798803252</v>
      </c>
      <c r="E11" s="44">
        <f t="shared" si="0"/>
        <v>18.838819045233983</v>
      </c>
      <c r="F11" s="179">
        <f t="shared" si="1"/>
        <v>1645700.4546762197</v>
      </c>
      <c r="G11" s="160">
        <f>'A) Base RI'!AM13</f>
        <v>78</v>
      </c>
      <c r="H11" s="168">
        <f t="shared" si="2"/>
        <v>1.1493043108428767</v>
      </c>
      <c r="I11" s="183">
        <f t="shared" si="3"/>
        <v>1891410.6269154614</v>
      </c>
    </row>
    <row r="12" spans="1:12" x14ac:dyDescent="0.25">
      <c r="A12" s="61">
        <f>'A) Base RI'!A14</f>
        <v>5408</v>
      </c>
      <c r="B12" s="13" t="str">
        <f>'A) Base RI'!B14</f>
        <v>Noville</v>
      </c>
      <c r="C12" s="135">
        <f>'A) Base RI'!AN14</f>
        <v>1029</v>
      </c>
      <c r="D12" s="176">
        <f>'D) Ecrêtage'!N12</f>
        <v>33.766014826919552</v>
      </c>
      <c r="E12" s="44">
        <f t="shared" si="0"/>
        <v>9.8556130171176832</v>
      </c>
      <c r="F12" s="179">
        <f t="shared" si="1"/>
        <v>214947.51971684577</v>
      </c>
      <c r="G12" s="160">
        <f>'A) Base RI'!AM14</f>
        <v>78.5</v>
      </c>
      <c r="H12" s="168">
        <f t="shared" si="2"/>
        <v>1.1566716461687925</v>
      </c>
      <c r="I12" s="183">
        <f t="shared" si="3"/>
        <v>248623.70147078298</v>
      </c>
    </row>
    <row r="13" spans="1:12" x14ac:dyDescent="0.25">
      <c r="A13" s="61">
        <f>'A) Base RI'!A15</f>
        <v>5409</v>
      </c>
      <c r="B13" s="13" t="str">
        <f>'A) Base RI'!B15</f>
        <v>Ollon</v>
      </c>
      <c r="C13" s="135">
        <f>'A) Base RI'!AN15</f>
        <v>7419</v>
      </c>
      <c r="D13" s="176">
        <f>'D) Ecrêtage'!N13</f>
        <v>69.799770861585799</v>
      </c>
      <c r="E13" s="44">
        <f t="shared" si="0"/>
        <v>0</v>
      </c>
      <c r="F13" s="179">
        <f t="shared" si="1"/>
        <v>0</v>
      </c>
      <c r="G13" s="160">
        <f>'A) Base RI'!AM15</f>
        <v>68</v>
      </c>
      <c r="H13" s="168">
        <f t="shared" si="2"/>
        <v>1.001957604324559</v>
      </c>
      <c r="I13" s="183">
        <f t="shared" si="3"/>
        <v>0</v>
      </c>
    </row>
    <row r="14" spans="1:12" x14ac:dyDescent="0.25">
      <c r="A14" s="61">
        <f>'A) Base RI'!A16</f>
        <v>5410</v>
      </c>
      <c r="B14" s="13" t="str">
        <f>'A) Base RI'!B16</f>
        <v>Ormont-Dessous</v>
      </c>
      <c r="C14" s="135">
        <f>'A) Base RI'!AN16</f>
        <v>1119</v>
      </c>
      <c r="D14" s="176">
        <f>'D) Ecrêtage'!N14</f>
        <v>31.487219101070291</v>
      </c>
      <c r="E14" s="44">
        <f t="shared" si="0"/>
        <v>12.134408742966944</v>
      </c>
      <c r="F14" s="179">
        <f t="shared" si="1"/>
        <v>287794.25971073931</v>
      </c>
      <c r="G14" s="160">
        <f>'A) Base RI'!AM16</f>
        <v>78.5</v>
      </c>
      <c r="H14" s="168">
        <f t="shared" si="2"/>
        <v>1.1566716461687925</v>
      </c>
      <c r="I14" s="183">
        <f t="shared" si="3"/>
        <v>332883.46013754985</v>
      </c>
    </row>
    <row r="15" spans="1:12" x14ac:dyDescent="0.25">
      <c r="A15" s="61">
        <f>'A) Base RI'!A17</f>
        <v>5411</v>
      </c>
      <c r="B15" s="13" t="str">
        <f>'A) Base RI'!B17</f>
        <v>Ormont-Dessus</v>
      </c>
      <c r="C15" s="135">
        <f>'A) Base RI'!AN17</f>
        <v>1481</v>
      </c>
      <c r="D15" s="176">
        <f>'D) Ecrêtage'!N15</f>
        <v>48.474148453510551</v>
      </c>
      <c r="E15" s="44">
        <f t="shared" si="0"/>
        <v>0</v>
      </c>
      <c r="F15" s="179">
        <f t="shared" si="1"/>
        <v>0</v>
      </c>
      <c r="G15" s="160">
        <f>'A) Base RI'!AM17</f>
        <v>76</v>
      </c>
      <c r="H15" s="168">
        <f t="shared" si="2"/>
        <v>1.1198349695392131</v>
      </c>
      <c r="I15" s="183">
        <f t="shared" si="3"/>
        <v>0</v>
      </c>
    </row>
    <row r="16" spans="1:12" x14ac:dyDescent="0.25">
      <c r="A16" s="61">
        <f>'A) Base RI'!A18</f>
        <v>5412</v>
      </c>
      <c r="B16" s="13" t="str">
        <f>'A) Base RI'!B18</f>
        <v>Rennaz</v>
      </c>
      <c r="C16" s="135">
        <f>'A) Base RI'!AN18</f>
        <v>843</v>
      </c>
      <c r="D16" s="176">
        <f>'D) Ecrêtage'!N16</f>
        <v>31.43741364614911</v>
      </c>
      <c r="E16" s="44">
        <f t="shared" ref="E16:E79" si="4">IF($D$323-D16&lt;0,0,$D$323-D16)</f>
        <v>12.184214197888124</v>
      </c>
      <c r="F16" s="179">
        <f t="shared" si="1"/>
        <v>187194.30706673884</v>
      </c>
      <c r="G16" s="160">
        <f>'A) Base RI'!AM18</f>
        <v>67.5</v>
      </c>
      <c r="H16" s="168">
        <f t="shared" si="2"/>
        <v>0.99459026899864322</v>
      </c>
      <c r="I16" s="183">
        <f t="shared" si="3"/>
        <v>186181.6362205224</v>
      </c>
    </row>
    <row r="17" spans="1:9" x14ac:dyDescent="0.25">
      <c r="A17" s="61">
        <f>'A) Base RI'!A19</f>
        <v>5413</v>
      </c>
      <c r="B17" s="13" t="str">
        <f>'A) Base RI'!B19</f>
        <v>Roche</v>
      </c>
      <c r="C17" s="135">
        <f>'A) Base RI'!AN19</f>
        <v>1507</v>
      </c>
      <c r="D17" s="176">
        <f>'D) Ecrêtage'!N17</f>
        <v>23.132861060150667</v>
      </c>
      <c r="E17" s="44">
        <f t="shared" si="4"/>
        <v>20.488766783886568</v>
      </c>
      <c r="F17" s="179">
        <f t="shared" si="1"/>
        <v>566893.85353530128</v>
      </c>
      <c r="G17" s="160">
        <f>'A) Base RI'!AM19</f>
        <v>68</v>
      </c>
      <c r="H17" s="168">
        <f t="shared" si="2"/>
        <v>1.001957604324559</v>
      </c>
      <c r="I17" s="183">
        <f t="shared" si="3"/>
        <v>568003.6073945479</v>
      </c>
    </row>
    <row r="18" spans="1:9" x14ac:dyDescent="0.25">
      <c r="A18" s="61">
        <f>'A) Base RI'!A20</f>
        <v>5414</v>
      </c>
      <c r="B18" s="13" t="str">
        <f>'A) Base RI'!B20</f>
        <v>Villeneuve</v>
      </c>
      <c r="C18" s="135">
        <f>'A) Base RI'!AN20</f>
        <v>5428</v>
      </c>
      <c r="D18" s="176">
        <f>'D) Ecrêtage'!N18</f>
        <v>30.952343511368852</v>
      </c>
      <c r="E18" s="44">
        <f t="shared" si="4"/>
        <v>12.669284332668383</v>
      </c>
      <c r="F18" s="179">
        <f t="shared" si="1"/>
        <v>1281164.147914398</v>
      </c>
      <c r="G18" s="160">
        <f>'A) Base RI'!AM20</f>
        <v>69</v>
      </c>
      <c r="H18" s="168">
        <f t="shared" si="2"/>
        <v>1.0166922749763909</v>
      </c>
      <c r="I18" s="183">
        <f t="shared" si="3"/>
        <v>1302549.6921612788</v>
      </c>
    </row>
    <row r="19" spans="1:9" x14ac:dyDescent="0.25">
      <c r="A19" s="61">
        <f>'A) Base RI'!A21</f>
        <v>5415</v>
      </c>
      <c r="B19" s="13" t="str">
        <f>'A) Base RI'!B21</f>
        <v>Yvorne</v>
      </c>
      <c r="C19" s="135">
        <f>'A) Base RI'!AN21</f>
        <v>1032</v>
      </c>
      <c r="D19" s="176">
        <f>'D) Ecrêtage'!N19</f>
        <v>41.720904769988117</v>
      </c>
      <c r="E19" s="44">
        <f t="shared" si="4"/>
        <v>1.9007230740491181</v>
      </c>
      <c r="F19" s="179">
        <f t="shared" si="1"/>
        <v>36278.797198683671</v>
      </c>
      <c r="G19" s="160">
        <f>'A) Base RI'!AM21</f>
        <v>68.5</v>
      </c>
      <c r="H19" s="168">
        <f t="shared" si="2"/>
        <v>1.0093249396504749</v>
      </c>
      <c r="I19" s="183">
        <f t="shared" si="3"/>
        <v>36617.094793153214</v>
      </c>
    </row>
    <row r="20" spans="1:9" x14ac:dyDescent="0.25">
      <c r="A20" s="61">
        <f>'A) Base RI'!A22</f>
        <v>5421</v>
      </c>
      <c r="B20" s="13" t="str">
        <f>'A) Base RI'!B22</f>
        <v>Apples</v>
      </c>
      <c r="C20" s="135">
        <f>'A) Base RI'!AN22</f>
        <v>1363</v>
      </c>
      <c r="D20" s="176">
        <f>'D) Ecrêtage'!N20</f>
        <v>42.106890248313057</v>
      </c>
      <c r="E20" s="44">
        <f t="shared" si="4"/>
        <v>1.5147375957241778</v>
      </c>
      <c r="F20" s="179">
        <f t="shared" si="1"/>
        <v>39578.139364774273</v>
      </c>
      <c r="G20" s="160">
        <f>'A) Base RI'!AM22</f>
        <v>71</v>
      </c>
      <c r="H20" s="168">
        <f t="shared" si="2"/>
        <v>1.0461616162800542</v>
      </c>
      <c r="I20" s="183">
        <f t="shared" si="3"/>
        <v>41405.13024720949</v>
      </c>
    </row>
    <row r="21" spans="1:9" x14ac:dyDescent="0.25">
      <c r="A21" s="61">
        <f>'A) Base RI'!A23</f>
        <v>5422</v>
      </c>
      <c r="B21" s="13" t="str">
        <f>'A) Base RI'!B23</f>
        <v>Aubonne</v>
      </c>
      <c r="C21" s="135">
        <f>'A) Base RI'!AN23</f>
        <v>3227</v>
      </c>
      <c r="D21" s="176">
        <f>'D) Ecrêtage'!N21</f>
        <v>65.42297743137982</v>
      </c>
      <c r="E21" s="44">
        <f t="shared" si="4"/>
        <v>0</v>
      </c>
      <c r="F21" s="179">
        <f t="shared" si="1"/>
        <v>0</v>
      </c>
      <c r="G21" s="160">
        <f>'A) Base RI'!AM23</f>
        <v>68</v>
      </c>
      <c r="H21" s="168">
        <f t="shared" si="2"/>
        <v>1.001957604324559</v>
      </c>
      <c r="I21" s="183">
        <f t="shared" si="3"/>
        <v>0</v>
      </c>
    </row>
    <row r="22" spans="1:9" x14ac:dyDescent="0.25">
      <c r="A22" s="61">
        <f>'A) Base RI'!A24</f>
        <v>5423</v>
      </c>
      <c r="B22" s="13" t="str">
        <f>'A) Base RI'!B24</f>
        <v>Ballens</v>
      </c>
      <c r="C22" s="135">
        <f>'A) Base RI'!AN24</f>
        <v>509</v>
      </c>
      <c r="D22" s="176">
        <f>'D) Ecrêtage'!N22</f>
        <v>38.824895646479305</v>
      </c>
      <c r="E22" s="44">
        <f t="shared" si="4"/>
        <v>4.7967321975579296</v>
      </c>
      <c r="F22" s="179">
        <f t="shared" si="1"/>
        <v>45485.828507816659</v>
      </c>
      <c r="G22" s="160">
        <f>'A) Base RI'!AM24</f>
        <v>69</v>
      </c>
      <c r="H22" s="168">
        <f t="shared" si="2"/>
        <v>1.0166922749763909</v>
      </c>
      <c r="I22" s="183">
        <f t="shared" si="3"/>
        <v>46245.090464798093</v>
      </c>
    </row>
    <row r="23" spans="1:9" x14ac:dyDescent="0.25">
      <c r="A23" s="61">
        <f>'A) Base RI'!A25</f>
        <v>5424</v>
      </c>
      <c r="B23" s="13" t="str">
        <f>'A) Base RI'!B25</f>
        <v>Berolle</v>
      </c>
      <c r="C23" s="135">
        <f>'A) Base RI'!AN25</f>
        <v>292</v>
      </c>
      <c r="D23" s="176">
        <f>'D) Ecrêtage'!N23</f>
        <v>32.055226827966557</v>
      </c>
      <c r="E23" s="44">
        <f t="shared" si="4"/>
        <v>11.566401016070678</v>
      </c>
      <c r="F23" s="179">
        <f t="shared" si="1"/>
        <v>70215.919320239947</v>
      </c>
      <c r="G23" s="160">
        <f>'A) Base RI'!AM25</f>
        <v>77</v>
      </c>
      <c r="H23" s="168">
        <f t="shared" si="2"/>
        <v>1.1345696401910448</v>
      </c>
      <c r="I23" s="183">
        <f t="shared" si="3"/>
        <v>79664.850318848068</v>
      </c>
    </row>
    <row r="24" spans="1:9" x14ac:dyDescent="0.25">
      <c r="A24" s="61">
        <f>'A) Base RI'!A26</f>
        <v>5425</v>
      </c>
      <c r="B24" s="13" t="str">
        <f>'A) Base RI'!B26</f>
        <v>Bière</v>
      </c>
      <c r="C24" s="135">
        <f>'A) Base RI'!AN26</f>
        <v>1550</v>
      </c>
      <c r="D24" s="176">
        <f>'D) Ecrêtage'!N24</f>
        <v>26.314454174573054</v>
      </c>
      <c r="E24" s="44">
        <f t="shared" si="4"/>
        <v>17.307173669464181</v>
      </c>
      <c r="F24" s="179">
        <f t="shared" si="1"/>
        <v>492527.54828561167</v>
      </c>
      <c r="G24" s="160">
        <f>'A) Base RI'!AM26</f>
        <v>68</v>
      </c>
      <c r="H24" s="168">
        <f t="shared" si="2"/>
        <v>1.001957604324559</v>
      </c>
      <c r="I24" s="183">
        <f t="shared" si="3"/>
        <v>493491.72234410007</v>
      </c>
    </row>
    <row r="25" spans="1:9" x14ac:dyDescent="0.25">
      <c r="A25" s="61">
        <f>'A) Base RI'!A27</f>
        <v>5426</v>
      </c>
      <c r="B25" s="13" t="str">
        <f>'A) Base RI'!B27</f>
        <v>Bougy-Villars</v>
      </c>
      <c r="C25" s="135">
        <f>'A) Base RI'!AN27</f>
        <v>481</v>
      </c>
      <c r="D25" s="176">
        <f>'D) Ecrêtage'!N25</f>
        <v>73.954828316307186</v>
      </c>
      <c r="E25" s="44">
        <f t="shared" si="4"/>
        <v>0</v>
      </c>
      <c r="F25" s="179">
        <f t="shared" si="1"/>
        <v>0</v>
      </c>
      <c r="G25" s="160">
        <f>'A) Base RI'!AM27</f>
        <v>62</v>
      </c>
      <c r="H25" s="168">
        <f t="shared" si="2"/>
        <v>0.9135495804135686</v>
      </c>
      <c r="I25" s="183">
        <f t="shared" si="3"/>
        <v>0</v>
      </c>
    </row>
    <row r="26" spans="1:9" x14ac:dyDescent="0.25">
      <c r="A26" s="61">
        <f>'A) Base RI'!A28</f>
        <v>5427</v>
      </c>
      <c r="B26" s="13" t="str">
        <f>'A) Base RI'!B28</f>
        <v>Féchy</v>
      </c>
      <c r="C26" s="135">
        <f>'A) Base RI'!AN28</f>
        <v>860</v>
      </c>
      <c r="D26" s="176">
        <f>'D) Ecrêtage'!N26</f>
        <v>67.085951550602488</v>
      </c>
      <c r="E26" s="44">
        <f t="shared" si="4"/>
        <v>0</v>
      </c>
      <c r="F26" s="179">
        <f t="shared" si="1"/>
        <v>0</v>
      </c>
      <c r="G26" s="160">
        <f>'A) Base RI'!AM28</f>
        <v>64</v>
      </c>
      <c r="H26" s="168">
        <f t="shared" si="2"/>
        <v>0.94301892171723201</v>
      </c>
      <c r="I26" s="183">
        <f t="shared" si="3"/>
        <v>0</v>
      </c>
    </row>
    <row r="27" spans="1:9" x14ac:dyDescent="0.25">
      <c r="A27" s="61">
        <f>'A) Base RI'!A29</f>
        <v>5428</v>
      </c>
      <c r="B27" s="13" t="str">
        <f>'A) Base RI'!B29</f>
        <v>Gimel</v>
      </c>
      <c r="C27" s="135">
        <f>'A) Base RI'!AN29</f>
        <v>1907</v>
      </c>
      <c r="D27" s="176">
        <f>'D) Ecrêtage'!N27</f>
        <v>30.176221160416233</v>
      </c>
      <c r="E27" s="44">
        <f t="shared" si="4"/>
        <v>13.445406683621002</v>
      </c>
      <c r="F27" s="179">
        <f t="shared" si="1"/>
        <v>494987.73948406772</v>
      </c>
      <c r="G27" s="160">
        <f>'A) Base RI'!AM29</f>
        <v>71.5</v>
      </c>
      <c r="H27" s="168">
        <f t="shared" si="2"/>
        <v>1.0535289516059703</v>
      </c>
      <c r="I27" s="183">
        <f t="shared" si="3"/>
        <v>521483.91423645901</v>
      </c>
    </row>
    <row r="28" spans="1:9" x14ac:dyDescent="0.25">
      <c r="A28" s="61">
        <f>'A) Base RI'!A30</f>
        <v>5429</v>
      </c>
      <c r="B28" s="13" t="str">
        <f>'A) Base RI'!B30</f>
        <v>Longirod</v>
      </c>
      <c r="C28" s="135">
        <f>'A) Base RI'!AN30</f>
        <v>463</v>
      </c>
      <c r="D28" s="176">
        <f>'D) Ecrêtage'!N28</f>
        <v>29.471150574620701</v>
      </c>
      <c r="E28" s="44">
        <f t="shared" si="4"/>
        <v>14.150477269416534</v>
      </c>
      <c r="F28" s="179">
        <f t="shared" si="1"/>
        <v>143285.04423943063</v>
      </c>
      <c r="G28" s="160">
        <f>'A) Base RI'!AM30</f>
        <v>81</v>
      </c>
      <c r="H28" s="168">
        <f t="shared" si="2"/>
        <v>1.1935083227983718</v>
      </c>
      <c r="I28" s="183">
        <f t="shared" si="3"/>
        <v>171011.89283229335</v>
      </c>
    </row>
    <row r="29" spans="1:9" x14ac:dyDescent="0.25">
      <c r="A29" s="61">
        <f>'A) Base RI'!A31</f>
        <v>5430</v>
      </c>
      <c r="B29" s="13" t="str">
        <f>'A) Base RI'!B31</f>
        <v>Marchissy</v>
      </c>
      <c r="C29" s="135">
        <f>'A) Base RI'!AN31</f>
        <v>448</v>
      </c>
      <c r="D29" s="176">
        <f>'D) Ecrêtage'!N29</f>
        <v>28.798407462522047</v>
      </c>
      <c r="E29" s="44">
        <f t="shared" si="4"/>
        <v>14.823220381515188</v>
      </c>
      <c r="F29" s="179">
        <f t="shared" si="1"/>
        <v>145234.35572519427</v>
      </c>
      <c r="G29" s="160">
        <f>'A) Base RI'!AM31</f>
        <v>81</v>
      </c>
      <c r="H29" s="168">
        <f t="shared" si="2"/>
        <v>1.1935083227983718</v>
      </c>
      <c r="I29" s="183">
        <f t="shared" si="3"/>
        <v>173338.41231427871</v>
      </c>
    </row>
    <row r="30" spans="1:9" x14ac:dyDescent="0.25">
      <c r="A30" s="61">
        <f>'A) Base RI'!A32</f>
        <v>5431</v>
      </c>
      <c r="B30" s="13" t="str">
        <f>'A) Base RI'!B32</f>
        <v>Mollens</v>
      </c>
      <c r="C30" s="135">
        <f>'A) Base RI'!AN32</f>
        <v>294</v>
      </c>
      <c r="D30" s="176">
        <f>'D) Ecrêtage'!N30</f>
        <v>30.494270086412946</v>
      </c>
      <c r="E30" s="44">
        <f t="shared" si="4"/>
        <v>13.127357757624289</v>
      </c>
      <c r="F30" s="179">
        <f t="shared" si="1"/>
        <v>77111.674751215993</v>
      </c>
      <c r="G30" s="160">
        <f>'A) Base RI'!AM32</f>
        <v>74</v>
      </c>
      <c r="H30" s="168">
        <f t="shared" si="2"/>
        <v>1.0903656282355496</v>
      </c>
      <c r="I30" s="183">
        <f t="shared" si="3"/>
        <v>84079.919684404987</v>
      </c>
    </row>
    <row r="31" spans="1:9" x14ac:dyDescent="0.25">
      <c r="A31" s="61">
        <f>'A) Base RI'!A33</f>
        <v>5432</v>
      </c>
      <c r="B31" s="13" t="str">
        <f>'A) Base RI'!B33</f>
        <v>Montherod</v>
      </c>
      <c r="C31" s="135">
        <f>'A) Base RI'!AN33</f>
        <v>518</v>
      </c>
      <c r="D31" s="176">
        <f>'D) Ecrêtage'!N31</f>
        <v>36.561146822498173</v>
      </c>
      <c r="E31" s="44">
        <f t="shared" si="4"/>
        <v>7.0604810215390614</v>
      </c>
      <c r="F31" s="179">
        <f t="shared" si="1"/>
        <v>73073.436799761548</v>
      </c>
      <c r="G31" s="160">
        <f>'A) Base RI'!AM33</f>
        <v>74</v>
      </c>
      <c r="H31" s="168">
        <f t="shared" si="2"/>
        <v>1.0903656282355496</v>
      </c>
      <c r="I31" s="183">
        <f t="shared" si="3"/>
        <v>79676.763823502726</v>
      </c>
    </row>
    <row r="32" spans="1:9" x14ac:dyDescent="0.25">
      <c r="A32" s="61">
        <f>'A) Base RI'!A34</f>
        <v>5434</v>
      </c>
      <c r="B32" s="13" t="str">
        <f>'A) Base RI'!B34</f>
        <v>Saint-George</v>
      </c>
      <c r="C32" s="135">
        <f>'A) Base RI'!AN34</f>
        <v>949</v>
      </c>
      <c r="D32" s="176">
        <f>'D) Ecrêtage'!N32</f>
        <v>34.79006545499297</v>
      </c>
      <c r="E32" s="44">
        <f t="shared" si="4"/>
        <v>8.8315623890442652</v>
      </c>
      <c r="F32" s="179">
        <f t="shared" si="1"/>
        <v>155009.41931971963</v>
      </c>
      <c r="G32" s="160">
        <f>'A) Base RI'!AM34</f>
        <v>68.5</v>
      </c>
      <c r="H32" s="168">
        <f t="shared" si="2"/>
        <v>1.0093249396504749</v>
      </c>
      <c r="I32" s="183">
        <f t="shared" si="3"/>
        <v>156454.87280013118</v>
      </c>
    </row>
    <row r="33" spans="1:9" x14ac:dyDescent="0.25">
      <c r="A33" s="61">
        <f>'A) Base RI'!A35</f>
        <v>5435</v>
      </c>
      <c r="B33" s="13" t="str">
        <f>'A) Base RI'!B35</f>
        <v>Saint-Livres</v>
      </c>
      <c r="C33" s="135">
        <f>'A) Base RI'!AN35</f>
        <v>713</v>
      </c>
      <c r="D33" s="176">
        <f>'D) Ecrêtage'!N33</f>
        <v>34.130793137792956</v>
      </c>
      <c r="E33" s="44">
        <f t="shared" si="4"/>
        <v>9.4908347062442786</v>
      </c>
      <c r="F33" s="179">
        <f t="shared" si="1"/>
        <v>126068.56066163695</v>
      </c>
      <c r="G33" s="160">
        <f>'A) Base RI'!AM35</f>
        <v>69</v>
      </c>
      <c r="H33" s="168">
        <f t="shared" si="2"/>
        <v>1.0166922749763909</v>
      </c>
      <c r="I33" s="183">
        <f t="shared" si="3"/>
        <v>128172.93174207881</v>
      </c>
    </row>
    <row r="34" spans="1:9" x14ac:dyDescent="0.25">
      <c r="A34" s="61">
        <f>'A) Base RI'!A36</f>
        <v>5436</v>
      </c>
      <c r="B34" s="13" t="str">
        <f>'A) Base RI'!B36</f>
        <v>Saint-Oyens</v>
      </c>
      <c r="C34" s="135">
        <f>'A) Base RI'!AN36</f>
        <v>345</v>
      </c>
      <c r="D34" s="176">
        <f>'D) Ecrêtage'!N34</f>
        <v>28.805124172481658</v>
      </c>
      <c r="E34" s="44">
        <f t="shared" si="4"/>
        <v>14.816503671555576</v>
      </c>
      <c r="F34" s="179">
        <f t="shared" si="1"/>
        <v>111792.74267743758</v>
      </c>
      <c r="G34" s="160">
        <f>'A) Base RI'!AM36</f>
        <v>81</v>
      </c>
      <c r="H34" s="168">
        <f t="shared" si="2"/>
        <v>1.1935083227983718</v>
      </c>
      <c r="I34" s="183">
        <f t="shared" si="3"/>
        <v>133425.56881397849</v>
      </c>
    </row>
    <row r="35" spans="1:9" x14ac:dyDescent="0.25">
      <c r="A35" s="61">
        <f>'A) Base RI'!A37</f>
        <v>5437</v>
      </c>
      <c r="B35" s="13" t="str">
        <f>'A) Base RI'!B37</f>
        <v>Saubraz</v>
      </c>
      <c r="C35" s="135">
        <f>'A) Base RI'!AN37</f>
        <v>391</v>
      </c>
      <c r="D35" s="176">
        <f>'D) Ecrêtage'!N35</f>
        <v>23.387867377438134</v>
      </c>
      <c r="E35" s="44">
        <f t="shared" si="4"/>
        <v>20.233760466599101</v>
      </c>
      <c r="F35" s="179">
        <f t="shared" si="1"/>
        <v>177294.48167408598</v>
      </c>
      <c r="G35" s="160">
        <f>'A) Base RI'!AM37</f>
        <v>83</v>
      </c>
      <c r="H35" s="168">
        <f t="shared" si="2"/>
        <v>1.2229776641020353</v>
      </c>
      <c r="I35" s="183">
        <f t="shared" si="3"/>
        <v>216827.19105595478</v>
      </c>
    </row>
    <row r="36" spans="1:9" x14ac:dyDescent="0.25">
      <c r="A36" s="61">
        <f>'A) Base RI'!A38</f>
        <v>5451</v>
      </c>
      <c r="B36" s="13" t="str">
        <f>'A) Base RI'!B38</f>
        <v>Avenches</v>
      </c>
      <c r="C36" s="135">
        <f>'A) Base RI'!AN38</f>
        <v>4090</v>
      </c>
      <c r="D36" s="176">
        <f>'D) Ecrêtage'!N36</f>
        <v>24.945920909439572</v>
      </c>
      <c r="E36" s="44">
        <f t="shared" si="4"/>
        <v>18.675706934597663</v>
      </c>
      <c r="F36" s="179">
        <f t="shared" si="1"/>
        <v>1402403.6554155815</v>
      </c>
      <c r="G36" s="160">
        <f>'A) Base RI'!AM38</f>
        <v>68</v>
      </c>
      <c r="H36" s="168">
        <f t="shared" si="2"/>
        <v>1.001957604324559</v>
      </c>
      <c r="I36" s="183">
        <f t="shared" si="3"/>
        <v>1405149.0068762004</v>
      </c>
    </row>
    <row r="37" spans="1:9" x14ac:dyDescent="0.25">
      <c r="A37" s="61">
        <f>'A) Base RI'!A39</f>
        <v>5456</v>
      </c>
      <c r="B37" s="13" t="str">
        <f>'A) Base RI'!B39</f>
        <v>Cudrefin</v>
      </c>
      <c r="C37" s="135">
        <f>'A) Base RI'!AN39</f>
        <v>1516</v>
      </c>
      <c r="D37" s="176">
        <f>'D) Ecrêtage'!N37</f>
        <v>29.863040114485042</v>
      </c>
      <c r="E37" s="44">
        <f t="shared" si="4"/>
        <v>13.758587729552193</v>
      </c>
      <c r="F37" s="179">
        <f t="shared" si="1"/>
        <v>332268.24263815791</v>
      </c>
      <c r="G37" s="160">
        <f>'A) Base RI'!AM39</f>
        <v>59</v>
      </c>
      <c r="H37" s="168">
        <f t="shared" si="2"/>
        <v>0.86934556845807331</v>
      </c>
      <c r="I37" s="183">
        <f t="shared" si="3"/>
        <v>288855.92427683441</v>
      </c>
    </row>
    <row r="38" spans="1:9" x14ac:dyDescent="0.25">
      <c r="A38" s="61">
        <f>'A) Base RI'!A40</f>
        <v>5458</v>
      </c>
      <c r="B38" s="13" t="str">
        <f>'A) Base RI'!B40</f>
        <v>Faoug</v>
      </c>
      <c r="C38" s="135">
        <f>'A) Base RI'!AN40</f>
        <v>853</v>
      </c>
      <c r="D38" s="176">
        <f>'D) Ecrêtage'!N38</f>
        <v>32.99412276824323</v>
      </c>
      <c r="E38" s="44">
        <f t="shared" si="4"/>
        <v>10.627505075794005</v>
      </c>
      <c r="F38" s="179">
        <f t="shared" si="1"/>
        <v>149304.86233437317</v>
      </c>
      <c r="G38" s="160">
        <f>'A) Base RI'!AM40</f>
        <v>61</v>
      </c>
      <c r="H38" s="168">
        <f t="shared" si="2"/>
        <v>0.89881490976173684</v>
      </c>
      <c r="I38" s="183">
        <f t="shared" si="3"/>
        <v>134197.43636605816</v>
      </c>
    </row>
    <row r="39" spans="1:9" x14ac:dyDescent="0.25">
      <c r="A39" s="61">
        <f>'A) Base RI'!A41</f>
        <v>5464</v>
      </c>
      <c r="B39" s="13" t="str">
        <f>'A) Base RI'!B41</f>
        <v>Vully-les-Lacs</v>
      </c>
      <c r="C39" s="135">
        <f>'A) Base RI'!AN41</f>
        <v>2825</v>
      </c>
      <c r="D39" s="176">
        <f>'D) Ecrêtage'!N39</f>
        <v>34.288838427332365</v>
      </c>
      <c r="E39" s="44">
        <f t="shared" si="4"/>
        <v>9.3327894167048697</v>
      </c>
      <c r="F39" s="179">
        <f t="shared" si="1"/>
        <v>476945.2035486399</v>
      </c>
      <c r="G39" s="160">
        <f>'A) Base RI'!AM41</f>
        <v>67</v>
      </c>
      <c r="H39" s="168">
        <f t="shared" si="2"/>
        <v>0.98722293367272729</v>
      </c>
      <c r="I39" s="183">
        <f t="shared" si="3"/>
        <v>470851.24304842437</v>
      </c>
    </row>
    <row r="40" spans="1:9" x14ac:dyDescent="0.25">
      <c r="A40" s="61">
        <f>'A) Base RI'!A42</f>
        <v>5471</v>
      </c>
      <c r="B40" s="13" t="str">
        <f>'A) Base RI'!B42</f>
        <v>Bettens</v>
      </c>
      <c r="C40" s="135">
        <f>'A) Base RI'!AN42</f>
        <v>557</v>
      </c>
      <c r="D40" s="176">
        <f>'D) Ecrêtage'!N40</f>
        <v>32.618055769285576</v>
      </c>
      <c r="E40" s="44">
        <f t="shared" si="4"/>
        <v>11.003572074751659</v>
      </c>
      <c r="F40" s="179">
        <f t="shared" si="1"/>
        <v>115837.90430253315</v>
      </c>
      <c r="G40" s="160">
        <f>'A) Base RI'!AM42</f>
        <v>70</v>
      </c>
      <c r="H40" s="168">
        <f t="shared" si="2"/>
        <v>1.0314269456282226</v>
      </c>
      <c r="I40" s="183">
        <f t="shared" si="3"/>
        <v>119478.3358227361</v>
      </c>
    </row>
    <row r="41" spans="1:9" x14ac:dyDescent="0.25">
      <c r="A41" s="61">
        <f>'A) Base RI'!A43</f>
        <v>5472</v>
      </c>
      <c r="B41" s="13" t="str">
        <f>'A) Base RI'!B43</f>
        <v>Bournens</v>
      </c>
      <c r="C41" s="135">
        <f>'A) Base RI'!AN43</f>
        <v>373</v>
      </c>
      <c r="D41" s="176">
        <f>'D) Ecrêtage'!N41</f>
        <v>35.425248994638068</v>
      </c>
      <c r="E41" s="44">
        <f t="shared" si="4"/>
        <v>8.1963788493991672</v>
      </c>
      <c r="F41" s="179">
        <f t="shared" si="1"/>
        <v>66036.585113839217</v>
      </c>
      <c r="G41" s="160">
        <f>'A) Base RI'!AM43</f>
        <v>80</v>
      </c>
      <c r="H41" s="168">
        <f t="shared" si="2"/>
        <v>1.1787736521465402</v>
      </c>
      <c r="I41" s="183">
        <f t="shared" si="3"/>
        <v>77842.18660992611</v>
      </c>
    </row>
    <row r="42" spans="1:9" x14ac:dyDescent="0.25">
      <c r="A42" s="61">
        <f>'A) Base RI'!A44</f>
        <v>5473</v>
      </c>
      <c r="B42" s="13" t="str">
        <f>'A) Base RI'!B44</f>
        <v>Boussens</v>
      </c>
      <c r="C42" s="135">
        <f>'A) Base RI'!AN44</f>
        <v>958</v>
      </c>
      <c r="D42" s="176">
        <f>'D) Ecrêtage'!N42</f>
        <v>34.454854467338365</v>
      </c>
      <c r="E42" s="44">
        <f t="shared" si="4"/>
        <v>9.1667733766988704</v>
      </c>
      <c r="F42" s="179">
        <f t="shared" si="1"/>
        <v>163604.35451156818</v>
      </c>
      <c r="G42" s="160">
        <f>'A) Base RI'!AM44</f>
        <v>69</v>
      </c>
      <c r="H42" s="168">
        <f t="shared" si="2"/>
        <v>1.0166922749763909</v>
      </c>
      <c r="I42" s="183">
        <f t="shared" si="3"/>
        <v>166335.28338441023</v>
      </c>
    </row>
    <row r="43" spans="1:9" x14ac:dyDescent="0.25">
      <c r="A43" s="61">
        <f>'A) Base RI'!A45</f>
        <v>5474</v>
      </c>
      <c r="B43" s="13" t="str">
        <f>'A) Base RI'!B45</f>
        <v>La Chaux (Cossonay)</v>
      </c>
      <c r="C43" s="135">
        <f>'A) Base RI'!AN45</f>
        <v>421</v>
      </c>
      <c r="D43" s="176">
        <f>'D) Ecrêtage'!N43</f>
        <v>30.1435826366824</v>
      </c>
      <c r="E43" s="44">
        <f t="shared" si="4"/>
        <v>13.478045207354835</v>
      </c>
      <c r="F43" s="179">
        <f t="shared" si="1"/>
        <v>117967.80370144187</v>
      </c>
      <c r="G43" s="160">
        <f>'A) Base RI'!AM45</f>
        <v>77</v>
      </c>
      <c r="H43" s="168">
        <f t="shared" si="2"/>
        <v>1.1345696401910448</v>
      </c>
      <c r="I43" s="183">
        <f t="shared" si="3"/>
        <v>133842.68859967269</v>
      </c>
    </row>
    <row r="44" spans="1:9" x14ac:dyDescent="0.25">
      <c r="A44" s="61">
        <f>'A) Base RI'!A46</f>
        <v>5475</v>
      </c>
      <c r="B44" s="13" t="str">
        <f>'A) Base RI'!B46</f>
        <v>Chavannes-le-Veyron</v>
      </c>
      <c r="C44" s="135">
        <f>'A) Base RI'!AN46</f>
        <v>120</v>
      </c>
      <c r="D44" s="176">
        <f>'D) Ecrêtage'!N44</f>
        <v>22.917954545454542</v>
      </c>
      <c r="E44" s="44">
        <f t="shared" si="4"/>
        <v>20.703673298582693</v>
      </c>
      <c r="F44" s="179">
        <f t="shared" si="1"/>
        <v>51651.524145304102</v>
      </c>
      <c r="G44" s="160">
        <f>'A) Base RI'!AM46</f>
        <v>77</v>
      </c>
      <c r="H44" s="168">
        <f t="shared" si="2"/>
        <v>1.1345696401910448</v>
      </c>
      <c r="I44" s="183">
        <f t="shared" si="3"/>
        <v>58602.251164856738</v>
      </c>
    </row>
    <row r="45" spans="1:9" x14ac:dyDescent="0.25">
      <c r="A45" s="61">
        <f>'A) Base RI'!A47</f>
        <v>5476</v>
      </c>
      <c r="B45" s="13" t="str">
        <f>'A) Base RI'!B47</f>
        <v>Chevilly</v>
      </c>
      <c r="C45" s="135">
        <f>'A) Base RI'!AN47</f>
        <v>286</v>
      </c>
      <c r="D45" s="176">
        <f>'D) Ecrêtage'!N45</f>
        <v>27.579083821583822</v>
      </c>
      <c r="E45" s="44">
        <f t="shared" si="4"/>
        <v>16.042544022453413</v>
      </c>
      <c r="F45" s="179">
        <f t="shared" si="1"/>
        <v>91671.588456625104</v>
      </c>
      <c r="G45" s="160">
        <f>'A) Base RI'!AM47</f>
        <v>74</v>
      </c>
      <c r="H45" s="168">
        <f t="shared" si="2"/>
        <v>1.0903656282355496</v>
      </c>
      <c r="I45" s="183">
        <f t="shared" si="3"/>
        <v>99955.549138858783</v>
      </c>
    </row>
    <row r="46" spans="1:9" x14ac:dyDescent="0.25">
      <c r="A46" s="61">
        <f>'A) Base RI'!A48</f>
        <v>5477</v>
      </c>
      <c r="B46" s="13" t="str">
        <f>'A) Base RI'!B48</f>
        <v>Cossonay</v>
      </c>
      <c r="C46" s="135">
        <f>'A) Base RI'!AN48</f>
        <v>3642</v>
      </c>
      <c r="D46" s="176">
        <f>'D) Ecrêtage'!N46</f>
        <v>33.110857377414213</v>
      </c>
      <c r="E46" s="44">
        <f t="shared" si="4"/>
        <v>10.510770466623022</v>
      </c>
      <c r="F46" s="179">
        <f t="shared" si="1"/>
        <v>716261.30942398147</v>
      </c>
      <c r="G46" s="160">
        <f>'A) Base RI'!AM48</f>
        <v>69.3</v>
      </c>
      <c r="H46" s="168">
        <f t="shared" si="2"/>
        <v>1.0211126761719402</v>
      </c>
      <c r="I46" s="183">
        <f t="shared" si="3"/>
        <v>731383.50250433991</v>
      </c>
    </row>
    <row r="47" spans="1:9" x14ac:dyDescent="0.25">
      <c r="A47" s="61">
        <f>'A) Base RI'!A49</f>
        <v>5478</v>
      </c>
      <c r="B47" s="13" t="str">
        <f>'A) Base RI'!B49</f>
        <v>Cottens</v>
      </c>
      <c r="C47" s="135">
        <f>'A) Base RI'!AN49</f>
        <v>473</v>
      </c>
      <c r="D47" s="176">
        <f>'D) Ecrêtage'!N47</f>
        <v>32.693939687573405</v>
      </c>
      <c r="E47" s="44">
        <f t="shared" si="4"/>
        <v>10.92768815646383</v>
      </c>
      <c r="F47" s="179">
        <f t="shared" si="1"/>
        <v>100481.4039212637</v>
      </c>
      <c r="G47" s="160">
        <f>'A) Base RI'!AM49</f>
        <v>72</v>
      </c>
      <c r="H47" s="168">
        <f t="shared" si="2"/>
        <v>1.0608962869318861</v>
      </c>
      <c r="I47" s="183">
        <f t="shared" si="3"/>
        <v>106600.34832577172</v>
      </c>
    </row>
    <row r="48" spans="1:9" x14ac:dyDescent="0.25">
      <c r="A48" s="61">
        <f>'A) Base RI'!A50</f>
        <v>5479</v>
      </c>
      <c r="B48" s="13" t="str">
        <f>'A) Base RI'!B50</f>
        <v>Cuarnens</v>
      </c>
      <c r="C48" s="135">
        <f>'A) Base RI'!AN50</f>
        <v>439</v>
      </c>
      <c r="D48" s="176">
        <f>'D) Ecrêtage'!N48</f>
        <v>26.891856639943196</v>
      </c>
      <c r="E48" s="44">
        <f t="shared" si="4"/>
        <v>16.729771204094039</v>
      </c>
      <c r="F48" s="179">
        <f t="shared" si="1"/>
        <v>152689.44312323752</v>
      </c>
      <c r="G48" s="160">
        <f>'A) Base RI'!AM50</f>
        <v>77</v>
      </c>
      <c r="H48" s="168">
        <f t="shared" si="2"/>
        <v>1.1345696401910448</v>
      </c>
      <c r="I48" s="183">
        <f t="shared" si="3"/>
        <v>173236.80654530259</v>
      </c>
    </row>
    <row r="49" spans="1:9" x14ac:dyDescent="0.25">
      <c r="A49" s="61">
        <f>'A) Base RI'!A51</f>
        <v>5480</v>
      </c>
      <c r="B49" s="13" t="str">
        <f>'A) Base RI'!B51</f>
        <v>Daillens</v>
      </c>
      <c r="C49" s="135">
        <f>'A) Base RI'!AN51</f>
        <v>940</v>
      </c>
      <c r="D49" s="176">
        <f>'D) Ecrêtage'!N49</f>
        <v>44.801967785436013</v>
      </c>
      <c r="E49" s="44">
        <f t="shared" si="4"/>
        <v>0</v>
      </c>
      <c r="F49" s="179">
        <f t="shared" si="1"/>
        <v>0</v>
      </c>
      <c r="G49" s="160">
        <f>'A) Base RI'!AM51</f>
        <v>71</v>
      </c>
      <c r="H49" s="168">
        <f t="shared" si="2"/>
        <v>1.0461616162800542</v>
      </c>
      <c r="I49" s="183">
        <f t="shared" si="3"/>
        <v>0</v>
      </c>
    </row>
    <row r="50" spans="1:9" x14ac:dyDescent="0.25">
      <c r="A50" s="61">
        <f>'A) Base RI'!A52</f>
        <v>5481</v>
      </c>
      <c r="B50" s="13" t="str">
        <f>'A) Base RI'!B52</f>
        <v>Dizy</v>
      </c>
      <c r="C50" s="135">
        <f>'A) Base RI'!AN52</f>
        <v>221</v>
      </c>
      <c r="D50" s="176">
        <f>'D) Ecrêtage'!N50</f>
        <v>37.289571970160203</v>
      </c>
      <c r="E50" s="44">
        <f t="shared" si="4"/>
        <v>6.3320558738770316</v>
      </c>
      <c r="F50" s="179">
        <f t="shared" si="1"/>
        <v>27959.699275573945</v>
      </c>
      <c r="G50" s="160">
        <f>'A) Base RI'!AM52</f>
        <v>74</v>
      </c>
      <c r="H50" s="168">
        <f t="shared" si="2"/>
        <v>1.0903656282355496</v>
      </c>
      <c r="I50" s="183">
        <f t="shared" si="3"/>
        <v>30486.295065888226</v>
      </c>
    </row>
    <row r="51" spans="1:9" x14ac:dyDescent="0.25">
      <c r="A51" s="61">
        <f>'A) Base RI'!A53</f>
        <v>5482</v>
      </c>
      <c r="B51" s="13" t="str">
        <f>'A) Base RI'!B53</f>
        <v>Eclépens</v>
      </c>
      <c r="C51" s="135">
        <f>'A) Base RI'!AN53</f>
        <v>1039</v>
      </c>
      <c r="D51" s="176">
        <f>'D) Ecrêtage'!N51</f>
        <v>59.56301076888834</v>
      </c>
      <c r="E51" s="44">
        <f t="shared" si="4"/>
        <v>0</v>
      </c>
      <c r="F51" s="179">
        <f t="shared" si="1"/>
        <v>0</v>
      </c>
      <c r="G51" s="160">
        <f>'A) Base RI'!AM53</f>
        <v>46</v>
      </c>
      <c r="H51" s="168">
        <f t="shared" si="2"/>
        <v>0.67779484998426054</v>
      </c>
      <c r="I51" s="183">
        <f t="shared" si="3"/>
        <v>0</v>
      </c>
    </row>
    <row r="52" spans="1:9" x14ac:dyDescent="0.25">
      <c r="A52" s="61">
        <f>'A) Base RI'!A54</f>
        <v>5483</v>
      </c>
      <c r="B52" s="13" t="str">
        <f>'A) Base RI'!B54</f>
        <v>Ferreyres</v>
      </c>
      <c r="C52" s="135">
        <f>'A) Base RI'!AN54</f>
        <v>313</v>
      </c>
      <c r="D52" s="176">
        <f>'D) Ecrêtage'!N52</f>
        <v>29.065680174878086</v>
      </c>
      <c r="E52" s="44">
        <f t="shared" si="4"/>
        <v>14.555947669159149</v>
      </c>
      <c r="F52" s="179">
        <f t="shared" si="1"/>
        <v>93489.358451568638</v>
      </c>
      <c r="G52" s="160">
        <f>'A) Base RI'!AM54</f>
        <v>76</v>
      </c>
      <c r="H52" s="168">
        <f t="shared" si="2"/>
        <v>1.1198349695392131</v>
      </c>
      <c r="I52" s="183">
        <f t="shared" si="3"/>
        <v>104692.65287385295</v>
      </c>
    </row>
    <row r="53" spans="1:9" x14ac:dyDescent="0.25">
      <c r="A53" s="61">
        <f>'A) Base RI'!A55</f>
        <v>5484</v>
      </c>
      <c r="B53" s="13" t="str">
        <f>'A) Base RI'!B55</f>
        <v>Gollion</v>
      </c>
      <c r="C53" s="135">
        <f>'A) Base RI'!AN55</f>
        <v>857</v>
      </c>
      <c r="D53" s="176">
        <f>'D) Ecrêtage'!N53</f>
        <v>27.028013024693305</v>
      </c>
      <c r="E53" s="44">
        <f t="shared" si="4"/>
        <v>16.59361481934393</v>
      </c>
      <c r="F53" s="179">
        <f t="shared" si="1"/>
        <v>284130.1434455514</v>
      </c>
      <c r="G53" s="160">
        <f>'A) Base RI'!AM55</f>
        <v>74</v>
      </c>
      <c r="H53" s="168">
        <f t="shared" si="2"/>
        <v>1.0903656282355496</v>
      </c>
      <c r="I53" s="183">
        <f t="shared" si="3"/>
        <v>309805.74235866545</v>
      </c>
    </row>
    <row r="54" spans="1:9" x14ac:dyDescent="0.25">
      <c r="A54" s="61">
        <f>'A) Base RI'!A56</f>
        <v>5485</v>
      </c>
      <c r="B54" s="13" t="str">
        <f>'A) Base RI'!B56</f>
        <v>Grancy</v>
      </c>
      <c r="C54" s="135">
        <f>'A) Base RI'!AN56</f>
        <v>396</v>
      </c>
      <c r="D54" s="176">
        <f>'D) Ecrêtage'!N54</f>
        <v>43.682716810966816</v>
      </c>
      <c r="E54" s="44">
        <f t="shared" si="4"/>
        <v>0</v>
      </c>
      <c r="F54" s="179">
        <f t="shared" si="1"/>
        <v>0</v>
      </c>
      <c r="G54" s="160">
        <f>'A) Base RI'!AM56</f>
        <v>70</v>
      </c>
      <c r="H54" s="168">
        <f t="shared" si="2"/>
        <v>1.0314269456282226</v>
      </c>
      <c r="I54" s="183">
        <f t="shared" si="3"/>
        <v>0</v>
      </c>
    </row>
    <row r="55" spans="1:9" x14ac:dyDescent="0.25">
      <c r="A55" s="61">
        <f>'A) Base RI'!A57</f>
        <v>5486</v>
      </c>
      <c r="B55" s="13" t="str">
        <f>'A) Base RI'!B57</f>
        <v>L'Isle</v>
      </c>
      <c r="C55" s="135">
        <f>'A) Base RI'!AN57</f>
        <v>1032</v>
      </c>
      <c r="D55" s="176">
        <f>'D) Ecrêtage'!N55</f>
        <v>26.368648893308851</v>
      </c>
      <c r="E55" s="44">
        <f t="shared" si="4"/>
        <v>17.252978950728384</v>
      </c>
      <c r="F55" s="179">
        <f t="shared" si="1"/>
        <v>365360.12416715274</v>
      </c>
      <c r="G55" s="160">
        <f>'A) Base RI'!AM57</f>
        <v>76</v>
      </c>
      <c r="H55" s="168">
        <f t="shared" si="2"/>
        <v>1.1198349695392131</v>
      </c>
      <c r="I55" s="183">
        <f t="shared" si="3"/>
        <v>409143.04351756664</v>
      </c>
    </row>
    <row r="56" spans="1:9" x14ac:dyDescent="0.25">
      <c r="A56" s="61">
        <f>'A) Base RI'!A58</f>
        <v>5487</v>
      </c>
      <c r="B56" s="13" t="str">
        <f>'A) Base RI'!B58</f>
        <v>Lussery-Villars</v>
      </c>
      <c r="C56" s="135">
        <f>'A) Base RI'!AN58</f>
        <v>423</v>
      </c>
      <c r="D56" s="176">
        <f>'D) Ecrêtage'!N56</f>
        <v>28.067847656793212</v>
      </c>
      <c r="E56" s="44">
        <f t="shared" si="4"/>
        <v>15.553780187244023</v>
      </c>
      <c r="F56" s="179">
        <f t="shared" si="1"/>
        <v>120795.01199258951</v>
      </c>
      <c r="G56" s="160">
        <f>'A) Base RI'!AM58</f>
        <v>68</v>
      </c>
      <c r="H56" s="168">
        <f t="shared" si="2"/>
        <v>1.001957604324559</v>
      </c>
      <c r="I56" s="183">
        <f t="shared" si="3"/>
        <v>121031.48083045137</v>
      </c>
    </row>
    <row r="57" spans="1:9" x14ac:dyDescent="0.25">
      <c r="A57" s="61">
        <f>'A) Base RI'!A59</f>
        <v>5488</v>
      </c>
      <c r="B57" s="13" t="str">
        <f>'A) Base RI'!B59</f>
        <v>Mauraz</v>
      </c>
      <c r="C57" s="135">
        <f>'A) Base RI'!AN59</f>
        <v>49</v>
      </c>
      <c r="D57" s="176">
        <f>'D) Ecrêtage'!N57</f>
        <v>28.929092664092664</v>
      </c>
      <c r="E57" s="44">
        <f t="shared" si="4"/>
        <v>14.692535179944571</v>
      </c>
      <c r="F57" s="179">
        <f t="shared" si="1"/>
        <v>14384.285791869333</v>
      </c>
      <c r="G57" s="160">
        <f>'A) Base RI'!AM59</f>
        <v>74</v>
      </c>
      <c r="H57" s="168">
        <f t="shared" si="2"/>
        <v>1.0903656282355496</v>
      </c>
      <c r="I57" s="183">
        <f t="shared" si="3"/>
        <v>15684.130814171296</v>
      </c>
    </row>
    <row r="58" spans="1:9" x14ac:dyDescent="0.25">
      <c r="A58" s="61">
        <f>'A) Base RI'!A60</f>
        <v>5489</v>
      </c>
      <c r="B58" s="13" t="str">
        <f>'A) Base RI'!B60</f>
        <v>Mex</v>
      </c>
      <c r="C58" s="135">
        <f>'A) Base RI'!AN60</f>
        <v>678</v>
      </c>
      <c r="D58" s="176">
        <f>'D) Ecrêtage'!N58</f>
        <v>54.751158663378312</v>
      </c>
      <c r="E58" s="44">
        <f t="shared" si="4"/>
        <v>0</v>
      </c>
      <c r="F58" s="179">
        <f t="shared" si="1"/>
        <v>0</v>
      </c>
      <c r="G58" s="160">
        <f>'A) Base RI'!AM60</f>
        <v>61</v>
      </c>
      <c r="H58" s="168">
        <f t="shared" si="2"/>
        <v>0.89881490976173684</v>
      </c>
      <c r="I58" s="183">
        <f t="shared" si="3"/>
        <v>0</v>
      </c>
    </row>
    <row r="59" spans="1:9" x14ac:dyDescent="0.25">
      <c r="A59" s="61">
        <f>'A) Base RI'!A61</f>
        <v>5490</v>
      </c>
      <c r="B59" s="13" t="str">
        <f>'A) Base RI'!B61</f>
        <v>Moiry</v>
      </c>
      <c r="C59" s="135">
        <f>'A) Base RI'!AN61</f>
        <v>290</v>
      </c>
      <c r="D59" s="176">
        <f>'D) Ecrêtage'!N59</f>
        <v>25.247334610472542</v>
      </c>
      <c r="E59" s="44">
        <f t="shared" si="4"/>
        <v>18.374293233564693</v>
      </c>
      <c r="F59" s="179">
        <f t="shared" si="1"/>
        <v>116535.27997523735</v>
      </c>
      <c r="G59" s="160">
        <f>'A) Base RI'!AM61</f>
        <v>81</v>
      </c>
      <c r="H59" s="168">
        <f t="shared" si="2"/>
        <v>1.1935083227983718</v>
      </c>
      <c r="I59" s="183">
        <f t="shared" si="3"/>
        <v>139085.82655008422</v>
      </c>
    </row>
    <row r="60" spans="1:9" x14ac:dyDescent="0.25">
      <c r="A60" s="61">
        <f>'A) Base RI'!A62</f>
        <v>5491</v>
      </c>
      <c r="B60" s="13" t="str">
        <f>'A) Base RI'!B62</f>
        <v>Mont-la-Ville</v>
      </c>
      <c r="C60" s="135">
        <f>'A) Base RI'!AN62</f>
        <v>382</v>
      </c>
      <c r="D60" s="176">
        <f>'D) Ecrêtage'!N60</f>
        <v>22.512253720033073</v>
      </c>
      <c r="E60" s="44">
        <f t="shared" si="4"/>
        <v>21.109374124004162</v>
      </c>
      <c r="F60" s="179">
        <f t="shared" si="1"/>
        <v>165468.78438338399</v>
      </c>
      <c r="G60" s="160">
        <f>'A) Base RI'!AM62</f>
        <v>76</v>
      </c>
      <c r="H60" s="168">
        <f t="shared" si="2"/>
        <v>1.1198349695392131</v>
      </c>
      <c r="I60" s="183">
        <f t="shared" si="3"/>
        <v>185297.73111965743</v>
      </c>
    </row>
    <row r="61" spans="1:9" x14ac:dyDescent="0.25">
      <c r="A61" s="61">
        <f>'A) Base RI'!A63</f>
        <v>5492</v>
      </c>
      <c r="B61" s="13" t="str">
        <f>'A) Base RI'!B63</f>
        <v>Montricher</v>
      </c>
      <c r="C61" s="135">
        <f>'A) Base RI'!AN63</f>
        <v>961</v>
      </c>
      <c r="D61" s="176">
        <f>'D) Ecrêtage'!N61</f>
        <v>115.76233014733748</v>
      </c>
      <c r="E61" s="44">
        <f t="shared" si="4"/>
        <v>0</v>
      </c>
      <c r="F61" s="179">
        <f t="shared" si="1"/>
        <v>0</v>
      </c>
      <c r="G61" s="160">
        <f>'A) Base RI'!AM63</f>
        <v>64</v>
      </c>
      <c r="H61" s="168">
        <f t="shared" si="2"/>
        <v>0.94301892171723201</v>
      </c>
      <c r="I61" s="183">
        <f t="shared" si="3"/>
        <v>0</v>
      </c>
    </row>
    <row r="62" spans="1:9" x14ac:dyDescent="0.25">
      <c r="A62" s="61">
        <f>'A) Base RI'!A64</f>
        <v>5493</v>
      </c>
      <c r="B62" s="13" t="str">
        <f>'A) Base RI'!B64</f>
        <v>Orny</v>
      </c>
      <c r="C62" s="135">
        <f>'A) Base RI'!AN64</f>
        <v>375</v>
      </c>
      <c r="D62" s="176">
        <f>'D) Ecrêtage'!N62</f>
        <v>28.304866062521953</v>
      </c>
      <c r="E62" s="44">
        <f t="shared" si="4"/>
        <v>15.316761781515282</v>
      </c>
      <c r="F62" s="179">
        <f t="shared" si="1"/>
        <v>113210.01551762484</v>
      </c>
      <c r="G62" s="160">
        <f>'A) Base RI'!AM64</f>
        <v>73</v>
      </c>
      <c r="H62" s="168">
        <f t="shared" si="2"/>
        <v>1.0756309575837177</v>
      </c>
      <c r="I62" s="183">
        <f t="shared" ref="I62:I116" si="5">F62*H62</f>
        <v>121772.19739929035</v>
      </c>
    </row>
    <row r="63" spans="1:9" x14ac:dyDescent="0.25">
      <c r="A63" s="61">
        <f>'A) Base RI'!A65</f>
        <v>5494</v>
      </c>
      <c r="B63" s="13" t="str">
        <f>'A) Base RI'!B65</f>
        <v>Pampigny</v>
      </c>
      <c r="C63" s="135">
        <f>'A) Base RI'!AN65</f>
        <v>1124</v>
      </c>
      <c r="D63" s="176">
        <f>'D) Ecrêtage'!N63</f>
        <v>30.233177551827374</v>
      </c>
      <c r="E63" s="44">
        <f t="shared" si="4"/>
        <v>13.38845029220986</v>
      </c>
      <c r="F63" s="179">
        <f t="shared" si="1"/>
        <v>304734.51710098865</v>
      </c>
      <c r="G63" s="160">
        <f>'A) Base RI'!AM65</f>
        <v>75</v>
      </c>
      <c r="H63" s="168">
        <f t="shared" si="2"/>
        <v>1.1051002988873813</v>
      </c>
      <c r="I63" s="183">
        <f t="shared" si="5"/>
        <v>336762.20592960436</v>
      </c>
    </row>
    <row r="64" spans="1:9" x14ac:dyDescent="0.25">
      <c r="A64" s="61">
        <f>'A) Base RI'!A66</f>
        <v>5495</v>
      </c>
      <c r="B64" s="13" t="str">
        <f>'A) Base RI'!B66</f>
        <v>Penthalaz</v>
      </c>
      <c r="C64" s="135">
        <f>'A) Base RI'!AN66</f>
        <v>3241</v>
      </c>
      <c r="D64" s="176">
        <f>'D) Ecrêtage'!N64</f>
        <v>29.670571228433001</v>
      </c>
      <c r="E64" s="44">
        <f t="shared" si="4"/>
        <v>13.951056615604234</v>
      </c>
      <c r="F64" s="179">
        <f t="shared" si="1"/>
        <v>903403.18233364297</v>
      </c>
      <c r="G64" s="160">
        <f>'A) Base RI'!AM66</f>
        <v>74</v>
      </c>
      <c r="H64" s="168">
        <f t="shared" si="2"/>
        <v>1.0903656282355496</v>
      </c>
      <c r="I64" s="183">
        <f t="shared" si="5"/>
        <v>985039.77845521737</v>
      </c>
    </row>
    <row r="65" spans="1:9" x14ac:dyDescent="0.25">
      <c r="A65" s="61">
        <f>'A) Base RI'!A67</f>
        <v>5496</v>
      </c>
      <c r="B65" s="13" t="str">
        <f>'A) Base RI'!B67</f>
        <v>Penthaz</v>
      </c>
      <c r="C65" s="135">
        <f>'A) Base RI'!AN67</f>
        <v>1653</v>
      </c>
      <c r="D65" s="176">
        <f>'D) Ecrêtage'!N65</f>
        <v>34.426207748609016</v>
      </c>
      <c r="E65" s="44">
        <f t="shared" si="4"/>
        <v>9.1954200954282186</v>
      </c>
      <c r="F65" s="179">
        <f t="shared" si="1"/>
        <v>291384.56393813039</v>
      </c>
      <c r="G65" s="160">
        <f>'A) Base RI'!AM67</f>
        <v>71</v>
      </c>
      <c r="H65" s="168">
        <f t="shared" si="2"/>
        <v>1.0461616162800542</v>
      </c>
      <c r="I65" s="183">
        <f t="shared" si="5"/>
        <v>304835.34636857331</v>
      </c>
    </row>
    <row r="66" spans="1:9" x14ac:dyDescent="0.25">
      <c r="A66" s="61">
        <f>'A) Base RI'!A68</f>
        <v>5497</v>
      </c>
      <c r="B66" s="13" t="str">
        <f>'A) Base RI'!B68</f>
        <v>Pompaples</v>
      </c>
      <c r="C66" s="135">
        <f>'A) Base RI'!AN68</f>
        <v>834</v>
      </c>
      <c r="D66" s="176">
        <f>'D) Ecrêtage'!N66</f>
        <v>26.651333660344456</v>
      </c>
      <c r="E66" s="44">
        <f t="shared" si="4"/>
        <v>16.970294183692779</v>
      </c>
      <c r="F66" s="179">
        <f t="shared" si="1"/>
        <v>252210.47572274006</v>
      </c>
      <c r="G66" s="160">
        <f>'A) Base RI'!AM68</f>
        <v>66</v>
      </c>
      <c r="H66" s="168">
        <f t="shared" si="2"/>
        <v>0.97248826302089553</v>
      </c>
      <c r="I66" s="183">
        <f t="shared" si="5"/>
        <v>245271.72745128121</v>
      </c>
    </row>
    <row r="67" spans="1:9" x14ac:dyDescent="0.25">
      <c r="A67" s="61">
        <f>'A) Base RI'!A69</f>
        <v>5498</v>
      </c>
      <c r="B67" s="13" t="str">
        <f>'A) Base RI'!B69</f>
        <v>La Sarraz</v>
      </c>
      <c r="C67" s="135">
        <f>'A) Base RI'!AN69</f>
        <v>2559</v>
      </c>
      <c r="D67" s="176">
        <f>'D) Ecrêtage'!N67</f>
        <v>28.176682297772569</v>
      </c>
      <c r="E67" s="44">
        <f t="shared" si="4"/>
        <v>15.444945546264666</v>
      </c>
      <c r="F67" s="179">
        <f t="shared" si="1"/>
        <v>682968.07848196139</v>
      </c>
      <c r="G67" s="160">
        <f>'A) Base RI'!AM69</f>
        <v>64</v>
      </c>
      <c r="H67" s="168">
        <f t="shared" si="2"/>
        <v>0.94301892171723201</v>
      </c>
      <c r="I67" s="183">
        <f t="shared" si="5"/>
        <v>644051.82093734911</v>
      </c>
    </row>
    <row r="68" spans="1:9" x14ac:dyDescent="0.25">
      <c r="A68" s="61">
        <f>'A) Base RI'!A70</f>
        <v>5499</v>
      </c>
      <c r="B68" s="13" t="str">
        <f>'A) Base RI'!B70</f>
        <v>Senarclens</v>
      </c>
      <c r="C68" s="135">
        <f>'A) Base RI'!AN70</f>
        <v>451</v>
      </c>
      <c r="D68" s="176">
        <f>'D) Ecrêtage'!N68</f>
        <v>48.110189845760431</v>
      </c>
      <c r="E68" s="44">
        <f t="shared" si="4"/>
        <v>0</v>
      </c>
      <c r="F68" s="179">
        <f t="shared" si="1"/>
        <v>0</v>
      </c>
      <c r="G68" s="160">
        <f>'A) Base RI'!AM70</f>
        <v>68.5</v>
      </c>
      <c r="H68" s="168">
        <f t="shared" si="2"/>
        <v>1.0093249396504749</v>
      </c>
      <c r="I68" s="183">
        <f t="shared" si="5"/>
        <v>0</v>
      </c>
    </row>
    <row r="69" spans="1:9" x14ac:dyDescent="0.25">
      <c r="A69" s="61">
        <f>'A) Base RI'!A71</f>
        <v>5500</v>
      </c>
      <c r="B69" s="13" t="str">
        <f>'A) Base RI'!B71</f>
        <v>Sévery</v>
      </c>
      <c r="C69" s="135">
        <f>'A) Base RI'!AN71</f>
        <v>231</v>
      </c>
      <c r="D69" s="176">
        <f>'D) Ecrêtage'!N69</f>
        <v>29.295032752335384</v>
      </c>
      <c r="E69" s="44">
        <f t="shared" si="4"/>
        <v>14.326595091701851</v>
      </c>
      <c r="F69" s="179">
        <f t="shared" ref="F69:F132" si="6">(C69*E69*G69)*$E$4</f>
        <v>67909.779926077783</v>
      </c>
      <c r="G69" s="160">
        <f>'A) Base RI'!AM71</f>
        <v>76</v>
      </c>
      <c r="H69" s="168">
        <f t="shared" si="2"/>
        <v>1.1198349695392131</v>
      </c>
      <c r="I69" s="183">
        <f t="shared" si="5"/>
        <v>76047.746334933981</v>
      </c>
    </row>
    <row r="70" spans="1:9" x14ac:dyDescent="0.25">
      <c r="A70" s="61">
        <f>'A) Base RI'!A72</f>
        <v>5501</v>
      </c>
      <c r="B70" s="13" t="str">
        <f>'A) Base RI'!B72</f>
        <v>Sullens</v>
      </c>
      <c r="C70" s="135">
        <f>'A) Base RI'!AN72</f>
        <v>925</v>
      </c>
      <c r="D70" s="176">
        <f>'D) Ecrêtage'!N70</f>
        <v>38.797677683397694</v>
      </c>
      <c r="E70" s="44">
        <f t="shared" si="4"/>
        <v>4.8239501606395407</v>
      </c>
      <c r="F70" s="179">
        <f t="shared" si="6"/>
        <v>84334.70868338077</v>
      </c>
      <c r="G70" s="160">
        <f>'A) Base RI'!AM72</f>
        <v>70</v>
      </c>
      <c r="H70" s="168">
        <f t="shared" ref="H70:H133" si="7">G70/$G$323</f>
        <v>1.0314269456282226</v>
      </c>
      <c r="I70" s="183">
        <f t="shared" si="5"/>
        <v>86985.090987745367</v>
      </c>
    </row>
    <row r="71" spans="1:9" x14ac:dyDescent="0.25">
      <c r="A71" s="61">
        <f>'A) Base RI'!A73</f>
        <v>5503</v>
      </c>
      <c r="B71" s="13" t="str">
        <f>'A) Base RI'!B73</f>
        <v>Vufflens-la-Ville</v>
      </c>
      <c r="C71" s="135">
        <f>'A) Base RI'!AN73</f>
        <v>1216</v>
      </c>
      <c r="D71" s="176">
        <f>'D) Ecrêtage'!N71</f>
        <v>50.476518353953914</v>
      </c>
      <c r="E71" s="44">
        <f t="shared" si="4"/>
        <v>0</v>
      </c>
      <c r="F71" s="179">
        <f t="shared" si="6"/>
        <v>0</v>
      </c>
      <c r="G71" s="160">
        <f>'A) Base RI'!AM73</f>
        <v>67</v>
      </c>
      <c r="H71" s="168">
        <f t="shared" si="7"/>
        <v>0.98722293367272729</v>
      </c>
      <c r="I71" s="183">
        <f t="shared" si="5"/>
        <v>0</v>
      </c>
    </row>
    <row r="72" spans="1:9" x14ac:dyDescent="0.25">
      <c r="A72" s="61">
        <f>'A) Base RI'!A74</f>
        <v>5511</v>
      </c>
      <c r="B72" s="13" t="str">
        <f>'A) Base RI'!B74</f>
        <v>Assens</v>
      </c>
      <c r="C72" s="135">
        <f>'A) Base RI'!AN74</f>
        <v>1031</v>
      </c>
      <c r="D72" s="176">
        <f>'D) Ecrêtage'!N72</f>
        <v>40.177121795760009</v>
      </c>
      <c r="E72" s="44">
        <f t="shared" si="4"/>
        <v>3.4445060482772263</v>
      </c>
      <c r="F72" s="179">
        <f t="shared" si="6"/>
        <v>67119.300406125214</v>
      </c>
      <c r="G72" s="160">
        <f>'A) Base RI'!AM74</f>
        <v>70</v>
      </c>
      <c r="H72" s="168">
        <f t="shared" si="7"/>
        <v>1.0314269456282226</v>
      </c>
      <c r="I72" s="183">
        <f t="shared" si="5"/>
        <v>69228.655010592847</v>
      </c>
    </row>
    <row r="73" spans="1:9" x14ac:dyDescent="0.25">
      <c r="A73" s="61">
        <f>'A) Base RI'!A75</f>
        <v>5512</v>
      </c>
      <c r="B73" s="13" t="str">
        <f>'A) Base RI'!B75</f>
        <v>Bercher</v>
      </c>
      <c r="C73" s="135">
        <f>'A) Base RI'!AN75</f>
        <v>1148</v>
      </c>
      <c r="D73" s="176">
        <f>'D) Ecrêtage'!N73</f>
        <v>27.943546839853571</v>
      </c>
      <c r="E73" s="44">
        <f t="shared" si="4"/>
        <v>15.678081004183664</v>
      </c>
      <c r="F73" s="179">
        <f t="shared" si="6"/>
        <v>383906.66105648474</v>
      </c>
      <c r="G73" s="160">
        <f>'A) Base RI'!AM75</f>
        <v>79</v>
      </c>
      <c r="H73" s="168">
        <f t="shared" si="7"/>
        <v>1.1640389814947083</v>
      </c>
      <c r="I73" s="183">
        <f t="shared" si="5"/>
        <v>446882.3187252247</v>
      </c>
    </row>
    <row r="74" spans="1:9" x14ac:dyDescent="0.25">
      <c r="A74" s="61">
        <f>'A) Base RI'!A76</f>
        <v>5513</v>
      </c>
      <c r="B74" s="13" t="str">
        <f>'A) Base RI'!B76</f>
        <v>Bioley-Orjulaz</v>
      </c>
      <c r="C74" s="135">
        <f>'A) Base RI'!AN76</f>
        <v>471</v>
      </c>
      <c r="D74" s="176">
        <f>'D) Ecrêtage'!N74</f>
        <v>51.007370520491534</v>
      </c>
      <c r="E74" s="44">
        <f t="shared" si="4"/>
        <v>0</v>
      </c>
      <c r="F74" s="179">
        <f t="shared" si="6"/>
        <v>0</v>
      </c>
      <c r="G74" s="160">
        <f>'A) Base RI'!AM76</f>
        <v>66</v>
      </c>
      <c r="H74" s="168">
        <f t="shared" si="7"/>
        <v>0.97248826302089553</v>
      </c>
      <c r="I74" s="183">
        <f t="shared" si="5"/>
        <v>0</v>
      </c>
    </row>
    <row r="75" spans="1:9" x14ac:dyDescent="0.25">
      <c r="A75" s="61">
        <f>'A) Base RI'!A77</f>
        <v>5514</v>
      </c>
      <c r="B75" s="13" t="str">
        <f>'A) Base RI'!B77</f>
        <v>Bottens</v>
      </c>
      <c r="C75" s="135">
        <f>'A) Base RI'!AN77</f>
        <v>1220</v>
      </c>
      <c r="D75" s="176">
        <f>'D) Ecrêtage'!N75</f>
        <v>31.431705274411971</v>
      </c>
      <c r="E75" s="44">
        <f t="shared" si="4"/>
        <v>12.189922569625264</v>
      </c>
      <c r="F75" s="179">
        <f t="shared" si="6"/>
        <v>277059.87411598477</v>
      </c>
      <c r="G75" s="160">
        <f>'A) Base RI'!AM77</f>
        <v>69</v>
      </c>
      <c r="H75" s="168">
        <f t="shared" si="7"/>
        <v>1.0166922749763909</v>
      </c>
      <c r="I75" s="183">
        <f t="shared" si="5"/>
        <v>281684.63371965307</v>
      </c>
    </row>
    <row r="76" spans="1:9" x14ac:dyDescent="0.25">
      <c r="A76" s="61">
        <f>'A) Base RI'!A78</f>
        <v>5515</v>
      </c>
      <c r="B76" s="13" t="str">
        <f>'A) Base RI'!B78</f>
        <v>Bretigny-sur-Morrens</v>
      </c>
      <c r="C76" s="135">
        <f>'A) Base RI'!AN78</f>
        <v>797</v>
      </c>
      <c r="D76" s="176">
        <f>'D) Ecrêtage'!N76</f>
        <v>30.546231415754292</v>
      </c>
      <c r="E76" s="44">
        <f t="shared" si="4"/>
        <v>13.075396428282943</v>
      </c>
      <c r="F76" s="179">
        <f t="shared" si="6"/>
        <v>205399.70269036107</v>
      </c>
      <c r="G76" s="160">
        <f>'A) Base RI'!AM78</f>
        <v>73</v>
      </c>
      <c r="H76" s="168">
        <f t="shared" si="7"/>
        <v>1.0756309575837177</v>
      </c>
      <c r="I76" s="183">
        <f t="shared" si="5"/>
        <v>220934.27889224401</v>
      </c>
    </row>
    <row r="77" spans="1:9" x14ac:dyDescent="0.25">
      <c r="A77" s="61">
        <f>'A) Base RI'!A79</f>
        <v>5516</v>
      </c>
      <c r="B77" s="13" t="str">
        <f>'A) Base RI'!B79</f>
        <v>Cugy</v>
      </c>
      <c r="C77" s="135">
        <f>'A) Base RI'!AN79</f>
        <v>2755</v>
      </c>
      <c r="D77" s="176">
        <f>'D) Ecrêtage'!N77</f>
        <v>38.088993471842237</v>
      </c>
      <c r="E77" s="44">
        <f t="shared" si="4"/>
        <v>5.5326343721949982</v>
      </c>
      <c r="F77" s="179">
        <f t="shared" si="6"/>
        <v>275735.15520973573</v>
      </c>
      <c r="G77" s="160">
        <f>'A) Base RI'!AM79</f>
        <v>67</v>
      </c>
      <c r="H77" s="168">
        <f t="shared" si="7"/>
        <v>0.98722293367272729</v>
      </c>
      <c r="I77" s="183">
        <f t="shared" si="5"/>
        <v>272212.06884286011</v>
      </c>
    </row>
    <row r="78" spans="1:9" x14ac:dyDescent="0.25">
      <c r="A78" s="61">
        <f>'A) Base RI'!A80</f>
        <v>5518</v>
      </c>
      <c r="B78" s="13" t="str">
        <f>'A) Base RI'!B80</f>
        <v>Echallens</v>
      </c>
      <c r="C78" s="135">
        <f>'A) Base RI'!AN80</f>
        <v>5606</v>
      </c>
      <c r="D78" s="176">
        <f>'D) Ecrêtage'!N78</f>
        <v>32.362319498413861</v>
      </c>
      <c r="E78" s="44">
        <f t="shared" si="4"/>
        <v>11.259308345623374</v>
      </c>
      <c r="F78" s="179">
        <f t="shared" si="6"/>
        <v>1261131.2580595817</v>
      </c>
      <c r="G78" s="160">
        <f>'A) Base RI'!AM80</f>
        <v>74</v>
      </c>
      <c r="H78" s="168">
        <f t="shared" si="7"/>
        <v>1.0903656282355496</v>
      </c>
      <c r="I78" s="183">
        <f t="shared" si="5"/>
        <v>1375094.1764816248</v>
      </c>
    </row>
    <row r="79" spans="1:9" x14ac:dyDescent="0.25">
      <c r="A79" s="61">
        <f>'A) Base RI'!A81</f>
        <v>5520</v>
      </c>
      <c r="B79" s="13" t="str">
        <f>'A) Base RI'!B81</f>
        <v>Essertines-sur-Yverdon</v>
      </c>
      <c r="C79" s="135">
        <f>'A) Base RI'!AN81</f>
        <v>945</v>
      </c>
      <c r="D79" s="176">
        <f>'D) Ecrêtage'!N79</f>
        <v>29.65246517358846</v>
      </c>
      <c r="E79" s="44">
        <f t="shared" si="4"/>
        <v>13.969162670448775</v>
      </c>
      <c r="F79" s="179">
        <f t="shared" si="6"/>
        <v>260188.92544164541</v>
      </c>
      <c r="G79" s="160">
        <f>'A) Base RI'!AM81</f>
        <v>73</v>
      </c>
      <c r="H79" s="168">
        <f t="shared" si="7"/>
        <v>1.0756309575837177</v>
      </c>
      <c r="I79" s="183">
        <f t="shared" si="5"/>
        <v>279867.26302547561</v>
      </c>
    </row>
    <row r="80" spans="1:9" x14ac:dyDescent="0.25">
      <c r="A80" s="61">
        <f>'A) Base RI'!A82</f>
        <v>5521</v>
      </c>
      <c r="B80" s="13" t="str">
        <f>'A) Base RI'!B82</f>
        <v>Etagnières</v>
      </c>
      <c r="C80" s="135">
        <f>'A) Base RI'!AN82</f>
        <v>1146</v>
      </c>
      <c r="D80" s="176">
        <f>'D) Ecrêtage'!N80</f>
        <v>36.935239188123077</v>
      </c>
      <c r="E80" s="44">
        <f t="shared" ref="E80:E143" si="8">IF($D$323-D80&lt;0,0,$D$323-D80)</f>
        <v>6.6863886559141577</v>
      </c>
      <c r="F80" s="179">
        <f t="shared" si="6"/>
        <v>151029.873587646</v>
      </c>
      <c r="G80" s="160">
        <f>'A) Base RI'!AM82</f>
        <v>73</v>
      </c>
      <c r="H80" s="168">
        <f t="shared" si="7"/>
        <v>1.0756309575837177</v>
      </c>
      <c r="I80" s="183">
        <f t="shared" si="5"/>
        <v>162452.40755082751</v>
      </c>
    </row>
    <row r="81" spans="1:9" x14ac:dyDescent="0.25">
      <c r="A81" s="61">
        <f>'A) Base RI'!A83</f>
        <v>5522</v>
      </c>
      <c r="B81" s="13" t="str">
        <f>'A) Base RI'!B83</f>
        <v>Fey</v>
      </c>
      <c r="C81" s="135">
        <f>'A) Base RI'!AN83</f>
        <v>635</v>
      </c>
      <c r="D81" s="176">
        <f>'D) Ecrêtage'!N81</f>
        <v>28.690570708661415</v>
      </c>
      <c r="E81" s="44">
        <f t="shared" si="8"/>
        <v>14.93105713537582</v>
      </c>
      <c r="F81" s="179">
        <f t="shared" si="6"/>
        <v>191994.73093951383</v>
      </c>
      <c r="G81" s="160">
        <f>'A) Base RI'!AM83</f>
        <v>75</v>
      </c>
      <c r="H81" s="168">
        <f t="shared" si="7"/>
        <v>1.1051002988873813</v>
      </c>
      <c r="I81" s="183">
        <f t="shared" si="5"/>
        <v>212173.43454605908</v>
      </c>
    </row>
    <row r="82" spans="1:9" x14ac:dyDescent="0.25">
      <c r="A82" s="61">
        <f>'A) Base RI'!A84</f>
        <v>5523</v>
      </c>
      <c r="B82" s="13" t="str">
        <f>'A) Base RI'!B84</f>
        <v>Froideville</v>
      </c>
      <c r="C82" s="135">
        <f>'A) Base RI'!AN84</f>
        <v>2422</v>
      </c>
      <c r="D82" s="176">
        <f>'D) Ecrêtage'!N82</f>
        <v>32.130329381980964</v>
      </c>
      <c r="E82" s="44">
        <f t="shared" si="8"/>
        <v>11.491298462056271</v>
      </c>
      <c r="F82" s="179">
        <f t="shared" si="6"/>
        <v>571111.09843705804</v>
      </c>
      <c r="G82" s="160">
        <f>'A) Base RI'!AM84</f>
        <v>76</v>
      </c>
      <c r="H82" s="168">
        <f t="shared" si="7"/>
        <v>1.1198349695392131</v>
      </c>
      <c r="I82" s="183">
        <f t="shared" si="5"/>
        <v>639550.1795217694</v>
      </c>
    </row>
    <row r="83" spans="1:9" x14ac:dyDescent="0.25">
      <c r="A83" s="61">
        <f>'A) Base RI'!A85</f>
        <v>5527</v>
      </c>
      <c r="B83" s="13" t="str">
        <f>'A) Base RI'!B85</f>
        <v>Morrens</v>
      </c>
      <c r="C83" s="135">
        <f>'A) Base RI'!AN85</f>
        <v>1055</v>
      </c>
      <c r="D83" s="176">
        <f>'D) Ecrêtage'!N83</f>
        <v>35.069836192510508</v>
      </c>
      <c r="E83" s="44">
        <f t="shared" si="8"/>
        <v>8.5517916515267274</v>
      </c>
      <c r="F83" s="179">
        <f t="shared" si="6"/>
        <v>172954.42748755458</v>
      </c>
      <c r="G83" s="160">
        <f>'A) Base RI'!AM85</f>
        <v>71</v>
      </c>
      <c r="H83" s="168">
        <f t="shared" si="7"/>
        <v>1.0461616162800542</v>
      </c>
      <c r="I83" s="183">
        <f t="shared" si="5"/>
        <v>180938.28340317155</v>
      </c>
    </row>
    <row r="84" spans="1:9" x14ac:dyDescent="0.25">
      <c r="A84" s="61">
        <f>'A) Base RI'!A86</f>
        <v>5529</v>
      </c>
      <c r="B84" s="13" t="str">
        <f>'A) Base RI'!B86</f>
        <v>Oulens-sous-Echallens</v>
      </c>
      <c r="C84" s="135">
        <f>'A) Base RI'!AN86</f>
        <v>532</v>
      </c>
      <c r="D84" s="176">
        <f>'D) Ecrêtage'!N84</f>
        <v>31.637105527904271</v>
      </c>
      <c r="E84" s="44">
        <f t="shared" si="8"/>
        <v>11.984522316132963</v>
      </c>
      <c r="F84" s="179">
        <f t="shared" si="6"/>
        <v>122223.43176974308</v>
      </c>
      <c r="G84" s="160">
        <f>'A) Base RI'!AM86</f>
        <v>71</v>
      </c>
      <c r="H84" s="168">
        <f t="shared" si="7"/>
        <v>1.0461616162800542</v>
      </c>
      <c r="I84" s="183">
        <f t="shared" si="5"/>
        <v>127865.46292752936</v>
      </c>
    </row>
    <row r="85" spans="1:9" x14ac:dyDescent="0.25">
      <c r="A85" s="61">
        <f>'A) Base RI'!A87</f>
        <v>5530</v>
      </c>
      <c r="B85" s="13" t="str">
        <f>'A) Base RI'!B87</f>
        <v>Pailly</v>
      </c>
      <c r="C85" s="135">
        <f>'A) Base RI'!AN87</f>
        <v>533</v>
      </c>
      <c r="D85" s="176">
        <f>'D) Ecrêtage'!N85</f>
        <v>29.996465613589134</v>
      </c>
      <c r="E85" s="44">
        <f t="shared" si="8"/>
        <v>13.625162230448101</v>
      </c>
      <c r="F85" s="179">
        <f t="shared" si="6"/>
        <v>151961.77498524345</v>
      </c>
      <c r="G85" s="160">
        <f>'A) Base RI'!AM87</f>
        <v>77.5</v>
      </c>
      <c r="H85" s="168">
        <f t="shared" si="7"/>
        <v>1.1419369755169606</v>
      </c>
      <c r="I85" s="183">
        <f t="shared" si="5"/>
        <v>173530.76972083782</v>
      </c>
    </row>
    <row r="86" spans="1:9" x14ac:dyDescent="0.25">
      <c r="A86" s="61">
        <f>'A) Base RI'!A88</f>
        <v>5531</v>
      </c>
      <c r="B86" s="13" t="str">
        <f>'A) Base RI'!B88</f>
        <v>Penthéréaz</v>
      </c>
      <c r="C86" s="135">
        <f>'A) Base RI'!AN88</f>
        <v>389</v>
      </c>
      <c r="D86" s="176">
        <f>'D) Ecrêtage'!N86</f>
        <v>29.89382242436227</v>
      </c>
      <c r="E86" s="44">
        <f t="shared" si="8"/>
        <v>13.727805419674965</v>
      </c>
      <c r="F86" s="179">
        <f t="shared" si="6"/>
        <v>112462.84945182002</v>
      </c>
      <c r="G86" s="160">
        <f>'A) Base RI'!AM88</f>
        <v>78</v>
      </c>
      <c r="H86" s="168">
        <f t="shared" si="7"/>
        <v>1.1493043108428767</v>
      </c>
      <c r="I86" s="183">
        <f t="shared" si="5"/>
        <v>129254.03768465019</v>
      </c>
    </row>
    <row r="87" spans="1:9" x14ac:dyDescent="0.25">
      <c r="A87" s="61">
        <f>'A) Base RI'!A89</f>
        <v>5533</v>
      </c>
      <c r="B87" s="13" t="str">
        <f>'A) Base RI'!B89</f>
        <v>Poliez-Pittet</v>
      </c>
      <c r="C87" s="135">
        <f>'A) Base RI'!AN89</f>
        <v>815</v>
      </c>
      <c r="D87" s="176">
        <f>'D) Ecrêtage'!N87</f>
        <v>26.118915003312306</v>
      </c>
      <c r="E87" s="44">
        <f t="shared" si="8"/>
        <v>17.502712840724929</v>
      </c>
      <c r="F87" s="179">
        <f t="shared" si="6"/>
        <v>273454.50920270797</v>
      </c>
      <c r="G87" s="160">
        <f>'A) Base RI'!AM89</f>
        <v>71</v>
      </c>
      <c r="H87" s="168">
        <f t="shared" si="7"/>
        <v>1.0461616162800542</v>
      </c>
      <c r="I87" s="183">
        <f t="shared" si="5"/>
        <v>286077.61132657394</v>
      </c>
    </row>
    <row r="88" spans="1:9" x14ac:dyDescent="0.25">
      <c r="A88" s="61">
        <f>'A) Base RI'!A90</f>
        <v>5534</v>
      </c>
      <c r="B88" s="13" t="str">
        <f>'A) Base RI'!B90</f>
        <v>Rueyres</v>
      </c>
      <c r="C88" s="135">
        <f>'A) Base RI'!AN90</f>
        <v>265</v>
      </c>
      <c r="D88" s="176">
        <f>'D) Ecrêtage'!N88</f>
        <v>30.653397777203413</v>
      </c>
      <c r="E88" s="44">
        <f t="shared" si="8"/>
        <v>12.968230066833822</v>
      </c>
      <c r="F88" s="179">
        <f t="shared" si="6"/>
        <v>67735.010873583073</v>
      </c>
      <c r="G88" s="160">
        <f>'A) Base RI'!AM90</f>
        <v>73</v>
      </c>
      <c r="H88" s="168">
        <f t="shared" si="7"/>
        <v>1.0756309575837177</v>
      </c>
      <c r="I88" s="183">
        <f t="shared" si="5"/>
        <v>72857.87460789569</v>
      </c>
    </row>
    <row r="89" spans="1:9" x14ac:dyDescent="0.25">
      <c r="A89" s="61">
        <f>'A) Base RI'!A91</f>
        <v>5535</v>
      </c>
      <c r="B89" s="13" t="str">
        <f>'A) Base RI'!B91</f>
        <v>Saint-Barthélemy</v>
      </c>
      <c r="C89" s="135">
        <f>'A) Base RI'!AN91</f>
        <v>782</v>
      </c>
      <c r="D89" s="176">
        <f>'D) Ecrêtage'!N89</f>
        <v>27.688976641091219</v>
      </c>
      <c r="E89" s="44">
        <f t="shared" si="8"/>
        <v>15.932651202946015</v>
      </c>
      <c r="F89" s="179">
        <f t="shared" si="6"/>
        <v>252301.49812425164</v>
      </c>
      <c r="G89" s="160">
        <f>'A) Base RI'!AM91</f>
        <v>75</v>
      </c>
      <c r="H89" s="168">
        <f t="shared" si="7"/>
        <v>1.1051002988873813</v>
      </c>
      <c r="I89" s="183">
        <f t="shared" si="5"/>
        <v>278818.46098684456</v>
      </c>
    </row>
    <row r="90" spans="1:9" x14ac:dyDescent="0.25">
      <c r="A90" s="61">
        <f>'A) Base RI'!A92</f>
        <v>5537</v>
      </c>
      <c r="B90" s="13" t="str">
        <f>'A) Base RI'!B92</f>
        <v>Villars-le-Terroir</v>
      </c>
      <c r="C90" s="135">
        <f>'A) Base RI'!AN92</f>
        <v>1033</v>
      </c>
      <c r="D90" s="176">
        <f>'D) Ecrêtage'!N90</f>
        <v>27.281441207282949</v>
      </c>
      <c r="E90" s="44">
        <f t="shared" si="8"/>
        <v>16.340186636754286</v>
      </c>
      <c r="F90" s="179">
        <f t="shared" si="6"/>
        <v>332693.22620457108</v>
      </c>
      <c r="G90" s="160">
        <f>'A) Base RI'!AM92</f>
        <v>73</v>
      </c>
      <c r="H90" s="168">
        <f t="shared" si="7"/>
        <v>1.0756309575837177</v>
      </c>
      <c r="I90" s="183">
        <f t="shared" si="5"/>
        <v>357855.13348403922</v>
      </c>
    </row>
    <row r="91" spans="1:9" x14ac:dyDescent="0.25">
      <c r="A91" s="61">
        <f>'A) Base RI'!A93</f>
        <v>5539</v>
      </c>
      <c r="B91" s="13" t="str">
        <f>'A) Base RI'!B93</f>
        <v>Vuarrens</v>
      </c>
      <c r="C91" s="135">
        <f>'A) Base RI'!AN93</f>
        <v>935</v>
      </c>
      <c r="D91" s="176">
        <f>'D) Ecrêtage'!N91</f>
        <v>24.33815286987522</v>
      </c>
      <c r="E91" s="44">
        <f t="shared" si="8"/>
        <v>19.283474974162015</v>
      </c>
      <c r="F91" s="179">
        <f t="shared" si="6"/>
        <v>365108.49429204006</v>
      </c>
      <c r="G91" s="160">
        <f>'A) Base RI'!AM93</f>
        <v>75</v>
      </c>
      <c r="H91" s="168">
        <f t="shared" si="7"/>
        <v>1.1051002988873813</v>
      </c>
      <c r="I91" s="183">
        <f t="shared" si="5"/>
        <v>403481.50616845523</v>
      </c>
    </row>
    <row r="92" spans="1:9" x14ac:dyDescent="0.25">
      <c r="A92" s="61">
        <f>'A) Base RI'!A94</f>
        <v>5540</v>
      </c>
      <c r="B92" s="13" t="str">
        <f>'A) Base RI'!B94</f>
        <v>Montilliez</v>
      </c>
      <c r="C92" s="135">
        <f>'A) Base RI'!AN94</f>
        <v>1656</v>
      </c>
      <c r="D92" s="176">
        <f>'D) Ecrêtage'!N92</f>
        <v>28.50197167955999</v>
      </c>
      <c r="E92" s="44">
        <f t="shared" si="8"/>
        <v>15.119656164477245</v>
      </c>
      <c r="F92" s="179">
        <f t="shared" si="6"/>
        <v>500262.24915531895</v>
      </c>
      <c r="G92" s="160">
        <f>'A) Base RI'!AM94</f>
        <v>74</v>
      </c>
      <c r="H92" s="168">
        <f t="shared" si="7"/>
        <v>1.0903656282355496</v>
      </c>
      <c r="I92" s="183">
        <f>F92*H92</f>
        <v>545468.76158276841</v>
      </c>
    </row>
    <row r="93" spans="1:9" x14ac:dyDescent="0.25">
      <c r="A93" s="61">
        <f>'A) Base RI'!A95</f>
        <v>5541</v>
      </c>
      <c r="B93" s="13" t="str">
        <f>'A) Base RI'!B95</f>
        <v>Goumoëns</v>
      </c>
      <c r="C93" s="135">
        <f>'A) Base RI'!AN95</f>
        <v>1055</v>
      </c>
      <c r="D93" s="176">
        <f>'D) Ecrêtage'!N93</f>
        <v>33.75136529820891</v>
      </c>
      <c r="E93" s="44">
        <f t="shared" si="8"/>
        <v>9.8702625458283251</v>
      </c>
      <c r="F93" s="179">
        <f t="shared" si="6"/>
        <v>216488.9100357983</v>
      </c>
      <c r="G93" s="160">
        <f>'A) Base RI'!AM95</f>
        <v>77</v>
      </c>
      <c r="H93" s="168">
        <f t="shared" si="7"/>
        <v>1.1345696401910448</v>
      </c>
      <c r="I93" s="183">
        <f>F93*H93</f>
        <v>245621.74476466715</v>
      </c>
    </row>
    <row r="94" spans="1:9" x14ac:dyDescent="0.25">
      <c r="A94" s="61">
        <f>'A) Base RI'!A96</f>
        <v>5551</v>
      </c>
      <c r="B94" s="13" t="str">
        <f>'A) Base RI'!B96</f>
        <v>Bonvillars</v>
      </c>
      <c r="C94" s="135">
        <f>'A) Base RI'!AN96</f>
        <v>506</v>
      </c>
      <c r="D94" s="176">
        <f>'D) Ecrêtage'!N94</f>
        <v>31.597689594989994</v>
      </c>
      <c r="E94" s="44">
        <f t="shared" si="8"/>
        <v>12.023938249047241</v>
      </c>
      <c r="F94" s="179">
        <f t="shared" si="6"/>
        <v>90349.074397165881</v>
      </c>
      <c r="G94" s="160">
        <f>'A) Base RI'!AM96</f>
        <v>55</v>
      </c>
      <c r="H94" s="168">
        <f t="shared" si="7"/>
        <v>0.81040688585074627</v>
      </c>
      <c r="I94" s="183">
        <f t="shared" si="5"/>
        <v>73219.512021704591</v>
      </c>
    </row>
    <row r="95" spans="1:9" x14ac:dyDescent="0.25">
      <c r="A95" s="61">
        <f>'A) Base RI'!A97</f>
        <v>5552</v>
      </c>
      <c r="B95" s="13" t="str">
        <f>'A) Base RI'!B97</f>
        <v>Bullet</v>
      </c>
      <c r="C95" s="135">
        <f>'A) Base RI'!AN97</f>
        <v>606</v>
      </c>
      <c r="D95" s="176">
        <f>'D) Ecrêtage'!N95</f>
        <v>25.619814474304579</v>
      </c>
      <c r="E95" s="44">
        <f t="shared" si="8"/>
        <v>18.001813369732655</v>
      </c>
      <c r="F95" s="179">
        <f t="shared" si="6"/>
        <v>206181.969248896</v>
      </c>
      <c r="G95" s="160">
        <f>'A) Base RI'!AM97</f>
        <v>70</v>
      </c>
      <c r="H95" s="168">
        <f t="shared" si="7"/>
        <v>1.0314269456282226</v>
      </c>
      <c r="I95" s="183">
        <f t="shared" si="5"/>
        <v>212661.6387860009</v>
      </c>
    </row>
    <row r="96" spans="1:9" x14ac:dyDescent="0.25">
      <c r="A96" s="61">
        <f>'A) Base RI'!A98</f>
        <v>5553</v>
      </c>
      <c r="B96" s="13" t="str">
        <f>'A) Base RI'!B98</f>
        <v>Champagne</v>
      </c>
      <c r="C96" s="135">
        <f>'A) Base RI'!AN98</f>
        <v>1048</v>
      </c>
      <c r="D96" s="176">
        <f>'D) Ecrêtage'!N96</f>
        <v>52.799971676965946</v>
      </c>
      <c r="E96" s="44">
        <f t="shared" si="8"/>
        <v>0</v>
      </c>
      <c r="F96" s="179">
        <f t="shared" si="6"/>
        <v>0</v>
      </c>
      <c r="G96" s="160">
        <f>'A) Base RI'!AM98</f>
        <v>63</v>
      </c>
      <c r="H96" s="168">
        <f t="shared" si="7"/>
        <v>0.92828425106540036</v>
      </c>
      <c r="I96" s="183">
        <f t="shared" si="5"/>
        <v>0</v>
      </c>
    </row>
    <row r="97" spans="1:9" x14ac:dyDescent="0.25">
      <c r="A97" s="61">
        <f>'A) Base RI'!A99</f>
        <v>5554</v>
      </c>
      <c r="B97" s="13" t="str">
        <f>'A) Base RI'!B99</f>
        <v>Concise</v>
      </c>
      <c r="C97" s="135">
        <f>'A) Base RI'!AN99</f>
        <v>954</v>
      </c>
      <c r="D97" s="176">
        <f>'D) Ecrêtage'!N97</f>
        <v>31.122747309573722</v>
      </c>
      <c r="E97" s="44">
        <f t="shared" si="8"/>
        <v>12.498880534463513</v>
      </c>
      <c r="F97" s="179">
        <f t="shared" si="6"/>
        <v>241459.62360503338</v>
      </c>
      <c r="G97" s="160">
        <f>'A) Base RI'!AM99</f>
        <v>75</v>
      </c>
      <c r="H97" s="168">
        <f t="shared" si="7"/>
        <v>1.1051002988873813</v>
      </c>
      <c r="I97" s="183">
        <f t="shared" si="5"/>
        <v>266837.10221515695</v>
      </c>
    </row>
    <row r="98" spans="1:9" x14ac:dyDescent="0.25">
      <c r="A98" s="61">
        <f>'A) Base RI'!A100</f>
        <v>5555</v>
      </c>
      <c r="B98" s="13" t="str">
        <f>'A) Base RI'!B100</f>
        <v>Corcelles-près-Concise</v>
      </c>
      <c r="C98" s="135">
        <f>'A) Base RI'!AN100</f>
        <v>337</v>
      </c>
      <c r="D98" s="176">
        <f>'D) Ecrêtage'!N98</f>
        <v>28.969396915618333</v>
      </c>
      <c r="E98" s="44">
        <f t="shared" si="8"/>
        <v>14.652230928418902</v>
      </c>
      <c r="F98" s="179">
        <f t="shared" si="6"/>
        <v>94657.660944555362</v>
      </c>
      <c r="G98" s="160">
        <f>'A) Base RI'!AM100</f>
        <v>71</v>
      </c>
      <c r="H98" s="168">
        <f t="shared" si="7"/>
        <v>1.0461616162800542</v>
      </c>
      <c r="I98" s="183">
        <f t="shared" si="5"/>
        <v>99027.211567045408</v>
      </c>
    </row>
    <row r="99" spans="1:9" x14ac:dyDescent="0.25">
      <c r="A99" s="61">
        <f>'A) Base RI'!A101</f>
        <v>5556</v>
      </c>
      <c r="B99" s="13" t="str">
        <f>'A) Base RI'!B101</f>
        <v>Fiez</v>
      </c>
      <c r="C99" s="135">
        <f>'A) Base RI'!AN101</f>
        <v>421</v>
      </c>
      <c r="D99" s="176">
        <f>'D) Ecrêtage'!N99</f>
        <v>25.653045256864836</v>
      </c>
      <c r="E99" s="44">
        <f t="shared" si="8"/>
        <v>17.968582587172399</v>
      </c>
      <c r="F99" s="179">
        <f t="shared" si="6"/>
        <v>140931.72600518819</v>
      </c>
      <c r="G99" s="160">
        <f>'A) Base RI'!AM101</f>
        <v>69</v>
      </c>
      <c r="H99" s="168">
        <f t="shared" si="7"/>
        <v>1.0166922749763909</v>
      </c>
      <c r="I99" s="183">
        <f t="shared" si="5"/>
        <v>143284.19712856418</v>
      </c>
    </row>
    <row r="100" spans="1:9" x14ac:dyDescent="0.25">
      <c r="A100" s="61">
        <f>'A) Base RI'!A102</f>
        <v>5557</v>
      </c>
      <c r="B100" s="13" t="str">
        <f>'A) Base RI'!B102</f>
        <v>Fontaines-sur-Grandson</v>
      </c>
      <c r="C100" s="135">
        <f>'A) Base RI'!AN102</f>
        <v>191</v>
      </c>
      <c r="D100" s="176">
        <f>'D) Ecrêtage'!N100</f>
        <v>21.99294407769937</v>
      </c>
      <c r="E100" s="44">
        <f t="shared" si="8"/>
        <v>21.628683766337865</v>
      </c>
      <c r="F100" s="179">
        <f t="shared" si="6"/>
        <v>76961.994306273016</v>
      </c>
      <c r="G100" s="160">
        <f>'A) Base RI'!AM102</f>
        <v>69</v>
      </c>
      <c r="H100" s="168">
        <f t="shared" si="7"/>
        <v>1.0166922749763909</v>
      </c>
      <c r="I100" s="183">
        <f t="shared" si="5"/>
        <v>78246.665077964761</v>
      </c>
    </row>
    <row r="101" spans="1:9" x14ac:dyDescent="0.25">
      <c r="A101" s="61">
        <f>'A) Base RI'!A103</f>
        <v>5559</v>
      </c>
      <c r="B101" s="13" t="str">
        <f>'A) Base RI'!B103</f>
        <v>Giez</v>
      </c>
      <c r="C101" s="135">
        <f>'A) Base RI'!AN103</f>
        <v>389</v>
      </c>
      <c r="D101" s="176">
        <f>'D) Ecrêtage'!N101</f>
        <v>46.268595466230437</v>
      </c>
      <c r="E101" s="44">
        <f t="shared" si="8"/>
        <v>0</v>
      </c>
      <c r="F101" s="179">
        <f t="shared" si="6"/>
        <v>0</v>
      </c>
      <c r="G101" s="160">
        <f>'A) Base RI'!AM103</f>
        <v>66</v>
      </c>
      <c r="H101" s="168">
        <f t="shared" si="7"/>
        <v>0.97248826302089553</v>
      </c>
      <c r="I101" s="183">
        <f t="shared" si="5"/>
        <v>0</v>
      </c>
    </row>
    <row r="102" spans="1:9" x14ac:dyDescent="0.25">
      <c r="A102" s="61">
        <f>'A) Base RI'!A104</f>
        <v>5560</v>
      </c>
      <c r="B102" s="13" t="str">
        <f>'A) Base RI'!B104</f>
        <v>Grandevent</v>
      </c>
      <c r="C102" s="135">
        <f>'A) Base RI'!AN104</f>
        <v>232</v>
      </c>
      <c r="D102" s="176">
        <f>'D) Ecrêtage'!N102</f>
        <v>27.569587981744419</v>
      </c>
      <c r="E102" s="44">
        <f t="shared" si="8"/>
        <v>16.052039862292816</v>
      </c>
      <c r="F102" s="179">
        <f t="shared" si="6"/>
        <v>68373.984834233503</v>
      </c>
      <c r="G102" s="160">
        <f>'A) Base RI'!AM104</f>
        <v>68</v>
      </c>
      <c r="H102" s="168">
        <f t="shared" si="7"/>
        <v>1.001957604324559</v>
      </c>
      <c r="I102" s="183">
        <f t="shared" si="5"/>
        <v>68507.834042632327</v>
      </c>
    </row>
    <row r="103" spans="1:9" x14ac:dyDescent="0.25">
      <c r="A103" s="61">
        <f>'A) Base RI'!A105</f>
        <v>5561</v>
      </c>
      <c r="B103" s="13" t="str">
        <f>'A) Base RI'!B105</f>
        <v>Grandson</v>
      </c>
      <c r="C103" s="135">
        <f>'A) Base RI'!AN105</f>
        <v>3303</v>
      </c>
      <c r="D103" s="176">
        <f>'D) Ecrêtage'!N103</f>
        <v>32.245797276959465</v>
      </c>
      <c r="E103" s="44">
        <f t="shared" si="8"/>
        <v>11.37583056707777</v>
      </c>
      <c r="F103" s="179">
        <f t="shared" si="6"/>
        <v>700010.48260376835</v>
      </c>
      <c r="G103" s="160">
        <f>'A) Base RI'!AM105</f>
        <v>69</v>
      </c>
      <c r="H103" s="168">
        <f t="shared" si="7"/>
        <v>1.0166922749763909</v>
      </c>
      <c r="I103" s="183">
        <f t="shared" si="5"/>
        <v>711695.2500657466</v>
      </c>
    </row>
    <row r="104" spans="1:9" x14ac:dyDescent="0.25">
      <c r="A104" s="61">
        <f>'A) Base RI'!A106</f>
        <v>5562</v>
      </c>
      <c r="B104" s="13" t="str">
        <f>'A) Base RI'!B106</f>
        <v>Mauborget</v>
      </c>
      <c r="C104" s="135">
        <f>'A) Base RI'!AN106</f>
        <v>119</v>
      </c>
      <c r="D104" s="176">
        <f>'D) Ecrêtage'!N104</f>
        <v>32.915394357743097</v>
      </c>
      <c r="E104" s="44">
        <f t="shared" si="8"/>
        <v>10.706233486294138</v>
      </c>
      <c r="F104" s="179">
        <f t="shared" si="6"/>
        <v>24079.389734024146</v>
      </c>
      <c r="G104" s="160">
        <f>'A) Base RI'!AM106</f>
        <v>70</v>
      </c>
      <c r="H104" s="168">
        <f t="shared" si="7"/>
        <v>1.0314269456282226</v>
      </c>
      <c r="I104" s="183">
        <f t="shared" si="5"/>
        <v>24836.131405956105</v>
      </c>
    </row>
    <row r="105" spans="1:9" x14ac:dyDescent="0.25">
      <c r="A105" s="61">
        <f>'A) Base RI'!A107</f>
        <v>5563</v>
      </c>
      <c r="B105" s="13" t="str">
        <f>'A) Base RI'!B107</f>
        <v>Mutrux</v>
      </c>
      <c r="C105" s="135">
        <f>'A) Base RI'!AN107</f>
        <v>153</v>
      </c>
      <c r="D105" s="176">
        <f>'D) Ecrêtage'!N105</f>
        <v>26.811857957620418</v>
      </c>
      <c r="E105" s="44">
        <f t="shared" si="8"/>
        <v>16.809769886416817</v>
      </c>
      <c r="F105" s="179">
        <f t="shared" si="6"/>
        <v>54511.310129618476</v>
      </c>
      <c r="G105" s="160">
        <f>'A) Base RI'!AM107</f>
        <v>78.5</v>
      </c>
      <c r="H105" s="168">
        <f t="shared" si="7"/>
        <v>1.1566716461687925</v>
      </c>
      <c r="I105" s="183">
        <f t="shared" si="5"/>
        <v>63051.686822443378</v>
      </c>
    </row>
    <row r="106" spans="1:9" x14ac:dyDescent="0.25">
      <c r="A106" s="61">
        <f>'A) Base RI'!A108</f>
        <v>5564</v>
      </c>
      <c r="B106" s="13" t="str">
        <f>'A) Base RI'!B108</f>
        <v>Novalles</v>
      </c>
      <c r="C106" s="135">
        <f>'A) Base RI'!AN108</f>
        <v>102</v>
      </c>
      <c r="D106" s="176">
        <f>'D) Ecrêtage'!N106</f>
        <v>20.786250322497416</v>
      </c>
      <c r="E106" s="44">
        <f t="shared" si="8"/>
        <v>22.835377521539819</v>
      </c>
      <c r="F106" s="179">
        <f t="shared" si="6"/>
        <v>47795.358567683703</v>
      </c>
      <c r="G106" s="160">
        <f>'A) Base RI'!AM108</f>
        <v>76</v>
      </c>
      <c r="H106" s="168">
        <f t="shared" si="7"/>
        <v>1.1198349695392131</v>
      </c>
      <c r="I106" s="183">
        <f t="shared" si="5"/>
        <v>53522.91390575785</v>
      </c>
    </row>
    <row r="107" spans="1:9" x14ac:dyDescent="0.25">
      <c r="A107" s="61">
        <f>'A) Base RI'!A109</f>
        <v>5565</v>
      </c>
      <c r="B107" s="13" t="str">
        <f>'A) Base RI'!B109</f>
        <v>Onnens</v>
      </c>
      <c r="C107" s="135">
        <f>'A) Base RI'!AN109</f>
        <v>493</v>
      </c>
      <c r="D107" s="176">
        <f>'D) Ecrêtage'!N107</f>
        <v>45.544492432516776</v>
      </c>
      <c r="E107" s="44">
        <f t="shared" si="8"/>
        <v>0</v>
      </c>
      <c r="F107" s="179">
        <f t="shared" si="6"/>
        <v>0</v>
      </c>
      <c r="G107" s="160">
        <f>'A) Base RI'!AM109</f>
        <v>65</v>
      </c>
      <c r="H107" s="168">
        <f t="shared" si="7"/>
        <v>0.95775359236906377</v>
      </c>
      <c r="I107" s="183">
        <f t="shared" si="5"/>
        <v>0</v>
      </c>
    </row>
    <row r="108" spans="1:9" x14ac:dyDescent="0.25">
      <c r="A108" s="61">
        <f>'A) Base RI'!A110</f>
        <v>5566</v>
      </c>
      <c r="B108" s="13" t="str">
        <f>'A) Base RI'!B110</f>
        <v>Provence</v>
      </c>
      <c r="C108" s="135">
        <f>'A) Base RI'!AN110</f>
        <v>385</v>
      </c>
      <c r="D108" s="176">
        <f>'D) Ecrêtage'!N108</f>
        <v>20.296446689113353</v>
      </c>
      <c r="E108" s="44">
        <f t="shared" si="8"/>
        <v>23.325181154923882</v>
      </c>
      <c r="F108" s="179">
        <f t="shared" si="6"/>
        <v>196396.85906540134</v>
      </c>
      <c r="G108" s="160">
        <f>'A) Base RI'!AM110</f>
        <v>81</v>
      </c>
      <c r="H108" s="168">
        <f t="shared" si="7"/>
        <v>1.1935083227983718</v>
      </c>
      <c r="I108" s="183">
        <f t="shared" si="5"/>
        <v>234401.28586601536</v>
      </c>
    </row>
    <row r="109" spans="1:9" x14ac:dyDescent="0.25">
      <c r="A109" s="61">
        <f>'A) Base RI'!A111</f>
        <v>5568</v>
      </c>
      <c r="B109" s="13" t="str">
        <f>'A) Base RI'!B111</f>
        <v>Sainte-Croix</v>
      </c>
      <c r="C109" s="135">
        <f>'A) Base RI'!AN111</f>
        <v>4763</v>
      </c>
      <c r="D109" s="176">
        <f>'D) Ecrêtage'!N109</f>
        <v>19.616844365795867</v>
      </c>
      <c r="E109" s="44">
        <f t="shared" si="8"/>
        <v>24.004783478241368</v>
      </c>
      <c r="F109" s="179">
        <f t="shared" si="6"/>
        <v>2160927.4120597225</v>
      </c>
      <c r="G109" s="160">
        <f>'A) Base RI'!AM111</f>
        <v>70</v>
      </c>
      <c r="H109" s="168">
        <f t="shared" si="7"/>
        <v>1.0314269456282226</v>
      </c>
      <c r="I109" s="183">
        <f t="shared" si="5"/>
        <v>2228838.760345059</v>
      </c>
    </row>
    <row r="110" spans="1:9" x14ac:dyDescent="0.25">
      <c r="A110" s="61">
        <f>'A) Base RI'!A112</f>
        <v>5571</v>
      </c>
      <c r="B110" s="13" t="str">
        <f>'A) Base RI'!B112</f>
        <v>Tévenon</v>
      </c>
      <c r="C110" s="135">
        <f>'A) Base RI'!AN112</f>
        <v>811</v>
      </c>
      <c r="D110" s="176">
        <f>'D) Ecrêtage'!N110</f>
        <v>25.605650389338383</v>
      </c>
      <c r="E110" s="44">
        <f t="shared" si="8"/>
        <v>18.015977454698852</v>
      </c>
      <c r="F110" s="179">
        <f t="shared" si="6"/>
        <v>287981.97657764482</v>
      </c>
      <c r="G110" s="160">
        <f>'A) Base RI'!AM112</f>
        <v>73</v>
      </c>
      <c r="H110" s="168">
        <f t="shared" si="7"/>
        <v>1.0756309575837177</v>
      </c>
      <c r="I110" s="183">
        <f t="shared" si="5"/>
        <v>309762.32923306385</v>
      </c>
    </row>
    <row r="111" spans="1:9" x14ac:dyDescent="0.25">
      <c r="A111" s="61">
        <f>'A) Base RI'!A113</f>
        <v>5581</v>
      </c>
      <c r="B111" s="13" t="str">
        <f>'A) Base RI'!B113</f>
        <v>Belmont-sur-Lausanne</v>
      </c>
      <c r="C111" s="135">
        <f>'A) Base RI'!AN113</f>
        <v>3602</v>
      </c>
      <c r="D111" s="176">
        <f>'D) Ecrêtage'!N111</f>
        <v>48.038409716424525</v>
      </c>
      <c r="E111" s="44">
        <f t="shared" si="8"/>
        <v>0</v>
      </c>
      <c r="F111" s="179">
        <f t="shared" si="6"/>
        <v>0</v>
      </c>
      <c r="G111" s="160">
        <f>'A) Base RI'!AM113</f>
        <v>69.5</v>
      </c>
      <c r="H111" s="168">
        <f t="shared" si="7"/>
        <v>1.0240596103023067</v>
      </c>
      <c r="I111" s="183">
        <f t="shared" si="5"/>
        <v>0</v>
      </c>
    </row>
    <row r="112" spans="1:9" x14ac:dyDescent="0.25">
      <c r="A112" s="61">
        <f>'A) Base RI'!A114</f>
        <v>5582</v>
      </c>
      <c r="B112" s="13" t="str">
        <f>'A) Base RI'!B114</f>
        <v>Cheseaux-sur-Lausanne</v>
      </c>
      <c r="C112" s="135">
        <f>'A) Base RI'!AN114</f>
        <v>4297</v>
      </c>
      <c r="D112" s="176">
        <f>'D) Ecrêtage'!N112</f>
        <v>38.479508662981665</v>
      </c>
      <c r="E112" s="44">
        <f t="shared" si="8"/>
        <v>5.1421191810555698</v>
      </c>
      <c r="F112" s="179">
        <f t="shared" si="6"/>
        <v>444454.7263238302</v>
      </c>
      <c r="G112" s="160">
        <f>'A) Base RI'!AM114</f>
        <v>74.5</v>
      </c>
      <c r="H112" s="168">
        <f t="shared" si="7"/>
        <v>1.0977329635614654</v>
      </c>
      <c r="I112" s="183">
        <f t="shared" si="5"/>
        <v>487892.60389635817</v>
      </c>
    </row>
    <row r="113" spans="1:9" x14ac:dyDescent="0.25">
      <c r="A113" s="61">
        <f>'A) Base RI'!A115</f>
        <v>5583</v>
      </c>
      <c r="B113" s="13" t="str">
        <f>'A) Base RI'!B115</f>
        <v>Crissier</v>
      </c>
      <c r="C113" s="135">
        <f>'A) Base RI'!AN115</f>
        <v>7542</v>
      </c>
      <c r="D113" s="176">
        <f>'D) Ecrêtage'!N113</f>
        <v>42.949578320380233</v>
      </c>
      <c r="E113" s="44">
        <f t="shared" si="8"/>
        <v>0.67204952365700166</v>
      </c>
      <c r="F113" s="179">
        <f t="shared" si="6"/>
        <v>88953.886255240417</v>
      </c>
      <c r="G113" s="160">
        <f>'A) Base RI'!AM115</f>
        <v>65</v>
      </c>
      <c r="H113" s="168">
        <f t="shared" si="7"/>
        <v>0.95775359236906377</v>
      </c>
      <c r="I113" s="183">
        <f t="shared" si="5"/>
        <v>85195.904116145597</v>
      </c>
    </row>
    <row r="114" spans="1:9" x14ac:dyDescent="0.25">
      <c r="A114" s="61">
        <f>'A) Base RI'!A116</f>
        <v>5584</v>
      </c>
      <c r="B114" s="13" t="str">
        <f>'A) Base RI'!B116</f>
        <v>Epalinges</v>
      </c>
      <c r="C114" s="135">
        <f>'A) Base RI'!AN116</f>
        <v>9185</v>
      </c>
      <c r="D114" s="176">
        <f>'D) Ecrêtage'!N114</f>
        <v>49.637845070190203</v>
      </c>
      <c r="E114" s="44">
        <f t="shared" si="8"/>
        <v>0</v>
      </c>
      <c r="F114" s="179">
        <f t="shared" si="6"/>
        <v>0</v>
      </c>
      <c r="G114" s="160">
        <f>'A) Base RI'!AM116</f>
        <v>66</v>
      </c>
      <c r="H114" s="168">
        <f t="shared" si="7"/>
        <v>0.97248826302089553</v>
      </c>
      <c r="I114" s="183">
        <f t="shared" si="5"/>
        <v>0</v>
      </c>
    </row>
    <row r="115" spans="1:9" x14ac:dyDescent="0.25">
      <c r="A115" s="61">
        <f>'A) Base RI'!A117</f>
        <v>5585</v>
      </c>
      <c r="B115" s="13" t="str">
        <f>'A) Base RI'!B117</f>
        <v>Jouxtens-Mézery</v>
      </c>
      <c r="C115" s="135">
        <f>'A) Base RI'!AN117</f>
        <v>1405</v>
      </c>
      <c r="D115" s="176">
        <f>'D) Ecrêtage'!N115</f>
        <v>85.691897998982228</v>
      </c>
      <c r="E115" s="44">
        <f t="shared" si="8"/>
        <v>0</v>
      </c>
      <c r="F115" s="179">
        <f t="shared" si="6"/>
        <v>0</v>
      </c>
      <c r="G115" s="160">
        <f>'A) Base RI'!AM117</f>
        <v>53</v>
      </c>
      <c r="H115" s="168">
        <f t="shared" si="7"/>
        <v>0.78093754454708275</v>
      </c>
      <c r="I115" s="183">
        <f t="shared" si="5"/>
        <v>0</v>
      </c>
    </row>
    <row r="116" spans="1:9" x14ac:dyDescent="0.25">
      <c r="A116" s="61">
        <f>'A) Base RI'!A118</f>
        <v>5586</v>
      </c>
      <c r="B116" s="13" t="str">
        <f>'A) Base RI'!B118</f>
        <v>Lausanne</v>
      </c>
      <c r="C116" s="135">
        <f>'A) Base RI'!AN118</f>
        <v>134937</v>
      </c>
      <c r="D116" s="176">
        <f>'D) Ecrêtage'!N116</f>
        <v>43.705426270343565</v>
      </c>
      <c r="E116" s="44">
        <f t="shared" si="8"/>
        <v>0</v>
      </c>
      <c r="F116" s="179">
        <f t="shared" si="6"/>
        <v>0</v>
      </c>
      <c r="G116" s="160">
        <f>'A) Base RI'!AM118</f>
        <v>79</v>
      </c>
      <c r="H116" s="168">
        <f t="shared" si="7"/>
        <v>1.1640389814947083</v>
      </c>
      <c r="I116" s="183">
        <f t="shared" si="5"/>
        <v>0</v>
      </c>
    </row>
    <row r="117" spans="1:9" x14ac:dyDescent="0.25">
      <c r="A117" s="61">
        <f>'A) Base RI'!A119</f>
        <v>5587</v>
      </c>
      <c r="B117" s="13" t="str">
        <f>'A) Base RI'!B119</f>
        <v>Le Mont-sur-Lausanne</v>
      </c>
      <c r="C117" s="135">
        <f>'A) Base RI'!AN119</f>
        <v>7271</v>
      </c>
      <c r="D117" s="176">
        <f>'D) Ecrêtage'!N117</f>
        <v>52.324164968902338</v>
      </c>
      <c r="E117" s="44">
        <f t="shared" si="8"/>
        <v>0</v>
      </c>
      <c r="F117" s="179">
        <f t="shared" si="6"/>
        <v>0</v>
      </c>
      <c r="G117" s="160">
        <f>'A) Base RI'!AM119</f>
        <v>75</v>
      </c>
      <c r="H117" s="168">
        <f t="shared" si="7"/>
        <v>1.1051002988873813</v>
      </c>
      <c r="I117" s="183">
        <f t="shared" ref="I117:I170" si="9">F117*H117</f>
        <v>0</v>
      </c>
    </row>
    <row r="118" spans="1:9" x14ac:dyDescent="0.25">
      <c r="A118" s="61">
        <f>'A) Base RI'!A120</f>
        <v>5588</v>
      </c>
      <c r="B118" s="13" t="str">
        <f>'A) Base RI'!B120</f>
        <v>Paudex</v>
      </c>
      <c r="C118" s="135">
        <f>'A) Base RI'!AN120</f>
        <v>1485</v>
      </c>
      <c r="D118" s="176">
        <f>'D) Ecrêtage'!N118</f>
        <v>81.113647015381844</v>
      </c>
      <c r="E118" s="44">
        <f t="shared" si="8"/>
        <v>0</v>
      </c>
      <c r="F118" s="179">
        <f t="shared" si="6"/>
        <v>0</v>
      </c>
      <c r="G118" s="160">
        <f>'A) Base RI'!AM120</f>
        <v>61.5</v>
      </c>
      <c r="H118" s="168">
        <f t="shared" si="7"/>
        <v>0.90618224508765266</v>
      </c>
      <c r="I118" s="183">
        <f t="shared" si="9"/>
        <v>0</v>
      </c>
    </row>
    <row r="119" spans="1:9" x14ac:dyDescent="0.25">
      <c r="A119" s="61">
        <f>'A) Base RI'!A121</f>
        <v>5589</v>
      </c>
      <c r="B119" s="13" t="str">
        <f>'A) Base RI'!B121</f>
        <v>Prilly</v>
      </c>
      <c r="C119" s="135">
        <f>'A) Base RI'!AN121</f>
        <v>11782</v>
      </c>
      <c r="D119" s="176">
        <f>'D) Ecrêtage'!N119</f>
        <v>39.247578769413053</v>
      </c>
      <c r="E119" s="44">
        <f t="shared" si="8"/>
        <v>4.3740490746241818</v>
      </c>
      <c r="F119" s="179">
        <f t="shared" si="6"/>
        <v>1022712.9917838728</v>
      </c>
      <c r="G119" s="160">
        <f>'A) Base RI'!AM121</f>
        <v>73.5</v>
      </c>
      <c r="H119" s="168">
        <f t="shared" si="7"/>
        <v>1.0829982929096338</v>
      </c>
      <c r="I119" s="183">
        <f t="shared" si="9"/>
        <v>1107596.4242384385</v>
      </c>
    </row>
    <row r="120" spans="1:9" x14ac:dyDescent="0.25">
      <c r="A120" s="61">
        <f>'A) Base RI'!A122</f>
        <v>5590</v>
      </c>
      <c r="B120" s="13" t="str">
        <f>'A) Base RI'!B122</f>
        <v>Pully</v>
      </c>
      <c r="C120" s="135">
        <f>'A) Base RI'!AN122</f>
        <v>17811</v>
      </c>
      <c r="D120" s="176">
        <f>'D) Ecrêtage'!N120</f>
        <v>68.111269067888301</v>
      </c>
      <c r="E120" s="44">
        <f t="shared" si="8"/>
        <v>0</v>
      </c>
      <c r="F120" s="179">
        <f t="shared" si="6"/>
        <v>0</v>
      </c>
      <c r="G120" s="160">
        <f>'A) Base RI'!AM122</f>
        <v>63</v>
      </c>
      <c r="H120" s="168">
        <f t="shared" si="7"/>
        <v>0.92828425106540036</v>
      </c>
      <c r="I120" s="183">
        <f t="shared" si="9"/>
        <v>0</v>
      </c>
    </row>
    <row r="121" spans="1:9" x14ac:dyDescent="0.25">
      <c r="A121" s="61">
        <f>'A) Base RI'!A123</f>
        <v>5591</v>
      </c>
      <c r="B121" s="13" t="str">
        <f>'A) Base RI'!B123</f>
        <v>Renens</v>
      </c>
      <c r="C121" s="135">
        <f>'A) Base RI'!AN123</f>
        <v>20362</v>
      </c>
      <c r="D121" s="176">
        <f>'D) Ecrêtage'!N121</f>
        <v>26.858623204797535</v>
      </c>
      <c r="E121" s="44">
        <f t="shared" si="8"/>
        <v>16.7630046392397</v>
      </c>
      <c r="F121" s="179">
        <f t="shared" si="6"/>
        <v>7234453.3283386929</v>
      </c>
      <c r="G121" s="160">
        <f>'A) Base RI'!AM123</f>
        <v>78.5</v>
      </c>
      <c r="H121" s="168">
        <f t="shared" si="7"/>
        <v>1.1566716461687925</v>
      </c>
      <c r="I121" s="183">
        <f t="shared" si="9"/>
        <v>8367887.0404208153</v>
      </c>
    </row>
    <row r="122" spans="1:9" x14ac:dyDescent="0.25">
      <c r="A122" s="61">
        <f>'A) Base RI'!A124</f>
        <v>5592</v>
      </c>
      <c r="B122" s="13" t="str">
        <f>'A) Base RI'!B124</f>
        <v>Romanel-sur-Lausanne</v>
      </c>
      <c r="C122" s="135">
        <f>'A) Base RI'!AN124</f>
        <v>3351</v>
      </c>
      <c r="D122" s="176">
        <f>'D) Ecrêtage'!N122</f>
        <v>32.907740461269555</v>
      </c>
      <c r="E122" s="44">
        <f t="shared" si="8"/>
        <v>10.71388738276768</v>
      </c>
      <c r="F122" s="179">
        <f t="shared" si="6"/>
        <v>678552.27211147</v>
      </c>
      <c r="G122" s="160">
        <f>'A) Base RI'!AM124</f>
        <v>70</v>
      </c>
      <c r="H122" s="168">
        <f t="shared" si="7"/>
        <v>1.0314269456282226</v>
      </c>
      <c r="I122" s="183">
        <f t="shared" si="9"/>
        <v>699877.09747302404</v>
      </c>
    </row>
    <row r="123" spans="1:9" x14ac:dyDescent="0.25">
      <c r="A123" s="61">
        <f>'A) Base RI'!A125</f>
        <v>5601</v>
      </c>
      <c r="B123" s="13" t="str">
        <f>'A) Base RI'!B125</f>
        <v>Chexbres</v>
      </c>
      <c r="C123" s="135">
        <f>'A) Base RI'!AN125</f>
        <v>2218</v>
      </c>
      <c r="D123" s="176">
        <f>'D) Ecrêtage'!N123</f>
        <v>47.103228485685307</v>
      </c>
      <c r="E123" s="44">
        <f t="shared" si="8"/>
        <v>0</v>
      </c>
      <c r="F123" s="179">
        <f t="shared" si="6"/>
        <v>0</v>
      </c>
      <c r="G123" s="160">
        <f>'A) Base RI'!AM125</f>
        <v>64</v>
      </c>
      <c r="H123" s="168">
        <f t="shared" si="7"/>
        <v>0.94301892171723201</v>
      </c>
      <c r="I123" s="183">
        <f t="shared" si="9"/>
        <v>0</v>
      </c>
    </row>
    <row r="124" spans="1:9" x14ac:dyDescent="0.25">
      <c r="A124" s="61">
        <f>'A) Base RI'!A126</f>
        <v>5604</v>
      </c>
      <c r="B124" s="13" t="str">
        <f>'A) Base RI'!B126</f>
        <v>Forel (Lavaux)</v>
      </c>
      <c r="C124" s="135">
        <f>'A) Base RI'!AN126</f>
        <v>2085</v>
      </c>
      <c r="D124" s="176">
        <f>'D) Ecrêtage'!N124</f>
        <v>31.421918394696007</v>
      </c>
      <c r="E124" s="44">
        <f t="shared" si="8"/>
        <v>12.199709449341228</v>
      </c>
      <c r="F124" s="179">
        <f t="shared" si="6"/>
        <v>467012.19754645188</v>
      </c>
      <c r="G124" s="160">
        <f>'A) Base RI'!AM126</f>
        <v>68</v>
      </c>
      <c r="H124" s="168">
        <f t="shared" si="7"/>
        <v>1.001957604324559</v>
      </c>
      <c r="I124" s="183">
        <f t="shared" si="9"/>
        <v>467926.42264399066</v>
      </c>
    </row>
    <row r="125" spans="1:9" x14ac:dyDescent="0.25">
      <c r="A125" s="61">
        <f>'A) Base RI'!A127</f>
        <v>5606</v>
      </c>
      <c r="B125" s="13" t="str">
        <f>'A) Base RI'!B127</f>
        <v>Lutry</v>
      </c>
      <c r="C125" s="135">
        <f>'A) Base RI'!AN127</f>
        <v>9739</v>
      </c>
      <c r="D125" s="176">
        <f>'D) Ecrêtage'!N125</f>
        <v>67.843590399379735</v>
      </c>
      <c r="E125" s="44">
        <f t="shared" si="8"/>
        <v>0</v>
      </c>
      <c r="F125" s="179">
        <f t="shared" si="6"/>
        <v>0</v>
      </c>
      <c r="G125" s="160">
        <f>'A) Base RI'!AM127</f>
        <v>56</v>
      </c>
      <c r="H125" s="168">
        <f t="shared" si="7"/>
        <v>0.82514155650257803</v>
      </c>
      <c r="I125" s="183">
        <f t="shared" si="9"/>
        <v>0</v>
      </c>
    </row>
    <row r="126" spans="1:9" x14ac:dyDescent="0.25">
      <c r="A126" s="61">
        <f>'A) Base RI'!A128</f>
        <v>5607</v>
      </c>
      <c r="B126" s="13" t="str">
        <f>'A) Base RI'!B128</f>
        <v>Puidoux</v>
      </c>
      <c r="C126" s="135">
        <f>'A) Base RI'!AN128</f>
        <v>2858</v>
      </c>
      <c r="D126" s="176">
        <f>'D) Ecrêtage'!N126</f>
        <v>35.291274322626485</v>
      </c>
      <c r="E126" s="44">
        <f t="shared" si="8"/>
        <v>8.3303535214107498</v>
      </c>
      <c r="F126" s="179">
        <f t="shared" si="6"/>
        <v>437117.64068656374</v>
      </c>
      <c r="G126" s="160">
        <f>'A) Base RI'!AM128</f>
        <v>68</v>
      </c>
      <c r="H126" s="168">
        <f t="shared" si="7"/>
        <v>1.001957604324559</v>
      </c>
      <c r="I126" s="183">
        <f t="shared" si="9"/>
        <v>437973.3440703128</v>
      </c>
    </row>
    <row r="127" spans="1:9" x14ac:dyDescent="0.25">
      <c r="A127" s="61">
        <f>'A) Base RI'!A129</f>
        <v>5609</v>
      </c>
      <c r="B127" s="13" t="str">
        <f>'A) Base RI'!B129</f>
        <v>Rivaz</v>
      </c>
      <c r="C127" s="135">
        <f>'A) Base RI'!AN129</f>
        <v>360</v>
      </c>
      <c r="D127" s="176">
        <f>'D) Ecrêtage'!N127</f>
        <v>44.78401224846894</v>
      </c>
      <c r="E127" s="44">
        <f t="shared" si="8"/>
        <v>0</v>
      </c>
      <c r="F127" s="179">
        <f t="shared" si="6"/>
        <v>0</v>
      </c>
      <c r="G127" s="160">
        <f>'A) Base RI'!AM129</f>
        <v>63.5</v>
      </c>
      <c r="H127" s="168">
        <f t="shared" si="7"/>
        <v>0.93565158639131618</v>
      </c>
      <c r="I127" s="183">
        <f t="shared" si="9"/>
        <v>0</v>
      </c>
    </row>
    <row r="128" spans="1:9" x14ac:dyDescent="0.25">
      <c r="A128" s="61">
        <f>'A) Base RI'!A130</f>
        <v>5610</v>
      </c>
      <c r="B128" s="13" t="str">
        <f>'A) Base RI'!B130</f>
        <v>St-Saphorin (Lavaux)</v>
      </c>
      <c r="C128" s="135">
        <f>'A) Base RI'!AN130</f>
        <v>383</v>
      </c>
      <c r="D128" s="176">
        <f>'D) Ecrêtage'!N128</f>
        <v>54.763673881916951</v>
      </c>
      <c r="E128" s="44">
        <f t="shared" si="8"/>
        <v>0</v>
      </c>
      <c r="F128" s="179">
        <f t="shared" si="6"/>
        <v>0</v>
      </c>
      <c r="G128" s="160">
        <f>'A) Base RI'!AM130</f>
        <v>62</v>
      </c>
      <c r="H128" s="168">
        <f t="shared" si="7"/>
        <v>0.9135495804135686</v>
      </c>
      <c r="I128" s="183">
        <f t="shared" si="9"/>
        <v>0</v>
      </c>
    </row>
    <row r="129" spans="1:9" x14ac:dyDescent="0.25">
      <c r="A129" s="61">
        <f>'A) Base RI'!A131</f>
        <v>5611</v>
      </c>
      <c r="B129" s="13" t="str">
        <f>'A) Base RI'!B131</f>
        <v>Savigny</v>
      </c>
      <c r="C129" s="135">
        <f>'A) Base RI'!AN131</f>
        <v>3304</v>
      </c>
      <c r="D129" s="176">
        <f>'D) Ecrêtage'!N129</f>
        <v>39.440801064291136</v>
      </c>
      <c r="E129" s="44">
        <f t="shared" si="8"/>
        <v>4.1808267797460985</v>
      </c>
      <c r="F129" s="179">
        <f t="shared" si="6"/>
        <v>249885.34089628528</v>
      </c>
      <c r="G129" s="160">
        <f>'A) Base RI'!AM131</f>
        <v>67</v>
      </c>
      <c r="H129" s="168">
        <f t="shared" si="7"/>
        <v>0.98722293367272729</v>
      </c>
      <c r="I129" s="183">
        <f t="shared" si="9"/>
        <v>246692.5393214403</v>
      </c>
    </row>
    <row r="130" spans="1:9" x14ac:dyDescent="0.25">
      <c r="A130" s="61">
        <f>'A) Base RI'!A132</f>
        <v>5613</v>
      </c>
      <c r="B130" s="13" t="str">
        <f>'A) Base RI'!B132</f>
        <v>Bourg-en-Lavaux</v>
      </c>
      <c r="C130" s="135">
        <f>'A) Base RI'!AN132</f>
        <v>5247</v>
      </c>
      <c r="D130" s="176">
        <f>'D) Ecrêtage'!N130</f>
        <v>55.863348018560863</v>
      </c>
      <c r="E130" s="44">
        <f t="shared" si="8"/>
        <v>0</v>
      </c>
      <c r="F130" s="179">
        <f t="shared" si="6"/>
        <v>0</v>
      </c>
      <c r="G130" s="160">
        <f>'A) Base RI'!AM132</f>
        <v>61</v>
      </c>
      <c r="H130" s="168">
        <f t="shared" si="7"/>
        <v>0.89881490976173684</v>
      </c>
      <c r="I130" s="183">
        <f t="shared" si="9"/>
        <v>0</v>
      </c>
    </row>
    <row r="131" spans="1:9" x14ac:dyDescent="0.25">
      <c r="A131" s="61">
        <f>'A) Base RI'!A133</f>
        <v>5621</v>
      </c>
      <c r="B131" s="13" t="str">
        <f>'A) Base RI'!B133</f>
        <v>Aclens</v>
      </c>
      <c r="C131" s="135">
        <f>'A) Base RI'!AN133</f>
        <v>528</v>
      </c>
      <c r="D131" s="176">
        <f>'D) Ecrêtage'!N131</f>
        <v>60.720925189238223</v>
      </c>
      <c r="E131" s="44">
        <f t="shared" si="8"/>
        <v>0</v>
      </c>
      <c r="F131" s="179">
        <f t="shared" si="6"/>
        <v>0</v>
      </c>
      <c r="G131" s="160">
        <f>'A) Base RI'!AM133</f>
        <v>62</v>
      </c>
      <c r="H131" s="168">
        <f t="shared" si="7"/>
        <v>0.9135495804135686</v>
      </c>
      <c r="I131" s="183">
        <f t="shared" si="9"/>
        <v>0</v>
      </c>
    </row>
    <row r="132" spans="1:9" x14ac:dyDescent="0.25">
      <c r="A132" s="61">
        <f>'A) Base RI'!A134</f>
        <v>5622</v>
      </c>
      <c r="B132" s="13" t="str">
        <f>'A) Base RI'!B134</f>
        <v>Bremblens</v>
      </c>
      <c r="C132" s="135">
        <f>'A) Base RI'!AN134</f>
        <v>511</v>
      </c>
      <c r="D132" s="176">
        <f>'D) Ecrêtage'!N132</f>
        <v>55.027177059102712</v>
      </c>
      <c r="E132" s="44">
        <f t="shared" si="8"/>
        <v>0</v>
      </c>
      <c r="F132" s="179">
        <f t="shared" si="6"/>
        <v>0</v>
      </c>
      <c r="G132" s="160">
        <f>'A) Base RI'!AM134</f>
        <v>66</v>
      </c>
      <c r="H132" s="168">
        <f t="shared" si="7"/>
        <v>0.97248826302089553</v>
      </c>
      <c r="I132" s="183">
        <f t="shared" si="9"/>
        <v>0</v>
      </c>
    </row>
    <row r="133" spans="1:9" x14ac:dyDescent="0.25">
      <c r="A133" s="61">
        <f>'A) Base RI'!A135</f>
        <v>5623</v>
      </c>
      <c r="B133" s="13" t="str">
        <f>'A) Base RI'!B135</f>
        <v>Buchillon</v>
      </c>
      <c r="C133" s="135">
        <f>'A) Base RI'!AN135</f>
        <v>624</v>
      </c>
      <c r="D133" s="176">
        <f>'D) Ecrêtage'!N133</f>
        <v>96.476747580102995</v>
      </c>
      <c r="E133" s="44">
        <f t="shared" si="8"/>
        <v>0</v>
      </c>
      <c r="F133" s="179">
        <f t="shared" ref="F133:F196" si="10">(C133*E133*G133)*$E$4</f>
        <v>0</v>
      </c>
      <c r="G133" s="160">
        <f>'A) Base RI'!AM135</f>
        <v>53</v>
      </c>
      <c r="H133" s="168">
        <f t="shared" si="7"/>
        <v>0.78093754454708275</v>
      </c>
      <c r="I133" s="183">
        <f t="shared" si="9"/>
        <v>0</v>
      </c>
    </row>
    <row r="134" spans="1:9" x14ac:dyDescent="0.25">
      <c r="A134" s="61">
        <f>'A) Base RI'!A136</f>
        <v>5624</v>
      </c>
      <c r="B134" s="13" t="str">
        <f>'A) Base RI'!B136</f>
        <v>Bussigny</v>
      </c>
      <c r="C134" s="135">
        <f>'A) Base RI'!AN136</f>
        <v>8215</v>
      </c>
      <c r="D134" s="176">
        <f>'D) Ecrêtage'!N134</f>
        <v>38.000588891288551</v>
      </c>
      <c r="E134" s="44">
        <f t="shared" si="8"/>
        <v>5.6210389527486839</v>
      </c>
      <c r="F134" s="179">
        <f t="shared" si="10"/>
        <v>773000.21784694155</v>
      </c>
      <c r="G134" s="160">
        <f>'A) Base RI'!AM136</f>
        <v>62</v>
      </c>
      <c r="H134" s="168">
        <f t="shared" ref="H134:H197" si="11">G134/$G$323</f>
        <v>0.9135495804135686</v>
      </c>
      <c r="I134" s="183">
        <f t="shared" si="9"/>
        <v>706174.02467367053</v>
      </c>
    </row>
    <row r="135" spans="1:9" x14ac:dyDescent="0.25">
      <c r="A135" s="61">
        <f>'A) Base RI'!A137</f>
        <v>5625</v>
      </c>
      <c r="B135" s="13" t="str">
        <f>'A) Base RI'!B137</f>
        <v>Bussy-Chardonney</v>
      </c>
      <c r="C135" s="135">
        <f>'A) Base RI'!AN137</f>
        <v>377</v>
      </c>
      <c r="D135" s="176">
        <f>'D) Ecrêtage'!N135</f>
        <v>42.898188861683565</v>
      </c>
      <c r="E135" s="44">
        <f t="shared" si="8"/>
        <v>0.72343898235367021</v>
      </c>
      <c r="F135" s="179">
        <f t="shared" si="10"/>
        <v>5743.8306130748479</v>
      </c>
      <c r="G135" s="160">
        <f>'A) Base RI'!AM137</f>
        <v>78</v>
      </c>
      <c r="H135" s="168">
        <f t="shared" si="11"/>
        <v>1.1493043108428767</v>
      </c>
      <c r="I135" s="183">
        <f t="shared" si="9"/>
        <v>6601.4092843582057</v>
      </c>
    </row>
    <row r="136" spans="1:9" x14ac:dyDescent="0.25">
      <c r="A136" s="61">
        <f>'A) Base RI'!A138</f>
        <v>5627</v>
      </c>
      <c r="B136" s="13" t="str">
        <f>'A) Base RI'!B138</f>
        <v>Chavannes-près-Renens</v>
      </c>
      <c r="C136" s="135">
        <f>'A) Base RI'!AN138</f>
        <v>7374</v>
      </c>
      <c r="D136" s="176">
        <f>'D) Ecrêtage'!N136</f>
        <v>22.03850317972028</v>
      </c>
      <c r="E136" s="44">
        <f t="shared" si="8"/>
        <v>21.583124664316955</v>
      </c>
      <c r="F136" s="179">
        <f t="shared" si="10"/>
        <v>3394753.9939887803</v>
      </c>
      <c r="G136" s="160">
        <f>'A) Base RI'!AM138</f>
        <v>79</v>
      </c>
      <c r="H136" s="168">
        <f t="shared" si="11"/>
        <v>1.1640389814947083</v>
      </c>
      <c r="I136" s="183">
        <f t="shared" si="9"/>
        <v>3951625.9815877927</v>
      </c>
    </row>
    <row r="137" spans="1:9" x14ac:dyDescent="0.25">
      <c r="A137" s="61">
        <f>'A) Base RI'!A139</f>
        <v>5628</v>
      </c>
      <c r="B137" s="13" t="str">
        <f>'A) Base RI'!B139</f>
        <v>Chigny</v>
      </c>
      <c r="C137" s="135">
        <f>'A) Base RI'!AN139</f>
        <v>331</v>
      </c>
      <c r="D137" s="176">
        <f>'D) Ecrêtage'!N137</f>
        <v>56.661958725296955</v>
      </c>
      <c r="E137" s="44">
        <f t="shared" si="8"/>
        <v>0</v>
      </c>
      <c r="F137" s="179">
        <f t="shared" si="10"/>
        <v>0</v>
      </c>
      <c r="G137" s="160">
        <f>'A) Base RI'!AM139</f>
        <v>62</v>
      </c>
      <c r="H137" s="168">
        <f t="shared" si="11"/>
        <v>0.9135495804135686</v>
      </c>
      <c r="I137" s="183">
        <f t="shared" si="9"/>
        <v>0</v>
      </c>
    </row>
    <row r="138" spans="1:9" x14ac:dyDescent="0.25">
      <c r="A138" s="61">
        <f>'A) Base RI'!A140</f>
        <v>5629</v>
      </c>
      <c r="B138" s="13" t="str">
        <f>'A) Base RI'!B140</f>
        <v>Clarmont</v>
      </c>
      <c r="C138" s="135">
        <f>'A) Base RI'!AN140</f>
        <v>160</v>
      </c>
      <c r="D138" s="176">
        <f>'D) Ecrêtage'!N138</f>
        <v>47.386869166666663</v>
      </c>
      <c r="E138" s="44">
        <f t="shared" si="8"/>
        <v>0</v>
      </c>
      <c r="F138" s="179">
        <f t="shared" si="10"/>
        <v>0</v>
      </c>
      <c r="G138" s="160">
        <f>'A) Base RI'!AM140</f>
        <v>75</v>
      </c>
      <c r="H138" s="168">
        <f t="shared" si="11"/>
        <v>1.1051002988873813</v>
      </c>
      <c r="I138" s="183">
        <f t="shared" si="9"/>
        <v>0</v>
      </c>
    </row>
    <row r="139" spans="1:9" x14ac:dyDescent="0.25">
      <c r="A139" s="61">
        <f>'A) Base RI'!A141</f>
        <v>5631</v>
      </c>
      <c r="B139" s="13" t="str">
        <f>'A) Base RI'!B141</f>
        <v>Denens</v>
      </c>
      <c r="C139" s="135">
        <f>'A) Base RI'!AN141</f>
        <v>714</v>
      </c>
      <c r="D139" s="176">
        <f>'D) Ecrêtage'!N139</f>
        <v>47.924873331685632</v>
      </c>
      <c r="E139" s="44">
        <f t="shared" si="8"/>
        <v>0</v>
      </c>
      <c r="F139" s="179">
        <f t="shared" si="10"/>
        <v>0</v>
      </c>
      <c r="G139" s="160">
        <f>'A) Base RI'!AM141</f>
        <v>68</v>
      </c>
      <c r="H139" s="168">
        <f t="shared" si="11"/>
        <v>1.001957604324559</v>
      </c>
      <c r="I139" s="183">
        <f t="shared" si="9"/>
        <v>0</v>
      </c>
    </row>
    <row r="140" spans="1:9" x14ac:dyDescent="0.25">
      <c r="A140" s="61">
        <f>'A) Base RI'!A142</f>
        <v>5632</v>
      </c>
      <c r="B140" s="13" t="str">
        <f>'A) Base RI'!B142</f>
        <v>Denges</v>
      </c>
      <c r="C140" s="135">
        <f>'A) Base RI'!AN142</f>
        <v>1651</v>
      </c>
      <c r="D140" s="176">
        <f>'D) Ecrêtage'!N140</f>
        <v>42.761719681131666</v>
      </c>
      <c r="E140" s="44">
        <f t="shared" si="8"/>
        <v>0.85990816290556893</v>
      </c>
      <c r="F140" s="179">
        <f t="shared" si="10"/>
        <v>23765.918230261759</v>
      </c>
      <c r="G140" s="160">
        <f>'A) Base RI'!AM142</f>
        <v>62</v>
      </c>
      <c r="H140" s="168">
        <f t="shared" si="11"/>
        <v>0.9135495804135686</v>
      </c>
      <c r="I140" s="183">
        <f t="shared" si="9"/>
        <v>21711.344627398812</v>
      </c>
    </row>
    <row r="141" spans="1:9" x14ac:dyDescent="0.25">
      <c r="A141" s="61">
        <f>'A) Base RI'!A143</f>
        <v>5633</v>
      </c>
      <c r="B141" s="13" t="str">
        <f>'A) Base RI'!B143</f>
        <v>Echandens</v>
      </c>
      <c r="C141" s="135">
        <f>'A) Base RI'!AN143</f>
        <v>2631</v>
      </c>
      <c r="D141" s="176">
        <f>'D) Ecrêtage'!N141</f>
        <v>46.755399639533607</v>
      </c>
      <c r="E141" s="44">
        <f t="shared" si="8"/>
        <v>0</v>
      </c>
      <c r="F141" s="179">
        <f t="shared" si="10"/>
        <v>0</v>
      </c>
      <c r="G141" s="160">
        <f>'A) Base RI'!AM143</f>
        <v>62</v>
      </c>
      <c r="H141" s="168">
        <f t="shared" si="11"/>
        <v>0.9135495804135686</v>
      </c>
      <c r="I141" s="183">
        <f t="shared" si="9"/>
        <v>0</v>
      </c>
    </row>
    <row r="142" spans="1:9" x14ac:dyDescent="0.25">
      <c r="A142" s="61">
        <f>'A) Base RI'!A144</f>
        <v>5634</v>
      </c>
      <c r="B142" s="13" t="str">
        <f>'A) Base RI'!B144</f>
        <v>Echichens</v>
      </c>
      <c r="C142" s="135">
        <f>'A) Base RI'!AN144</f>
        <v>2585</v>
      </c>
      <c r="D142" s="176">
        <f>'D) Ecrêtage'!N142</f>
        <v>47.063907839344644</v>
      </c>
      <c r="E142" s="44">
        <f t="shared" si="8"/>
        <v>0</v>
      </c>
      <c r="F142" s="179">
        <f t="shared" si="10"/>
        <v>0</v>
      </c>
      <c r="G142" s="160">
        <f>'A) Base RI'!AM144</f>
        <v>68</v>
      </c>
      <c r="H142" s="168">
        <f t="shared" si="11"/>
        <v>1.001957604324559</v>
      </c>
      <c r="I142" s="183">
        <f t="shared" si="9"/>
        <v>0</v>
      </c>
    </row>
    <row r="143" spans="1:9" x14ac:dyDescent="0.25">
      <c r="A143" s="61">
        <f>'A) Base RI'!A145</f>
        <v>5635</v>
      </c>
      <c r="B143" s="13" t="str">
        <f>'A) Base RI'!B145</f>
        <v>Ecublens</v>
      </c>
      <c r="C143" s="135">
        <f>'A) Base RI'!AN145</f>
        <v>12288</v>
      </c>
      <c r="D143" s="176">
        <f>'D) Ecrêtage'!N143</f>
        <v>38.255839061035438</v>
      </c>
      <c r="E143" s="44">
        <f t="shared" si="8"/>
        <v>5.365788783001797</v>
      </c>
      <c r="F143" s="179">
        <f t="shared" si="10"/>
        <v>1103748.7623469068</v>
      </c>
      <c r="G143" s="160">
        <f>'A) Base RI'!AM145</f>
        <v>62</v>
      </c>
      <c r="H143" s="168">
        <f t="shared" si="11"/>
        <v>0.9135495804135686</v>
      </c>
      <c r="I143" s="183">
        <f t="shared" si="9"/>
        <v>1008329.2187240124</v>
      </c>
    </row>
    <row r="144" spans="1:9" x14ac:dyDescent="0.25">
      <c r="A144" s="61">
        <f>'A) Base RI'!A146</f>
        <v>5636</v>
      </c>
      <c r="B144" s="13" t="str">
        <f>'A) Base RI'!B146</f>
        <v>Etoy</v>
      </c>
      <c r="C144" s="135">
        <f>'A) Base RI'!AN146</f>
        <v>2932</v>
      </c>
      <c r="D144" s="176">
        <f>'D) Ecrêtage'!N144</f>
        <v>54.153834343479531</v>
      </c>
      <c r="E144" s="44">
        <f t="shared" ref="E144:E207" si="12">IF($D$323-D144&lt;0,0,$D$323-D144)</f>
        <v>0</v>
      </c>
      <c r="F144" s="179">
        <f t="shared" si="10"/>
        <v>0</v>
      </c>
      <c r="G144" s="160">
        <f>'A) Base RI'!AM146</f>
        <v>61</v>
      </c>
      <c r="H144" s="168">
        <f t="shared" si="11"/>
        <v>0.89881490976173684</v>
      </c>
      <c r="I144" s="183">
        <f t="shared" si="9"/>
        <v>0</v>
      </c>
    </row>
    <row r="145" spans="1:9" x14ac:dyDescent="0.25">
      <c r="A145" s="61">
        <f>'A) Base RI'!A147</f>
        <v>5637</v>
      </c>
      <c r="B145" s="13" t="str">
        <f>'A) Base RI'!B147</f>
        <v>Lavigny</v>
      </c>
      <c r="C145" s="135">
        <f>'A) Base RI'!AN147</f>
        <v>981</v>
      </c>
      <c r="D145" s="176">
        <f>'D) Ecrêtage'!N145</f>
        <v>31.677256144143659</v>
      </c>
      <c r="E145" s="44">
        <f t="shared" si="12"/>
        <v>11.944371699893576</v>
      </c>
      <c r="F145" s="179">
        <f t="shared" si="10"/>
        <v>235696.07704523549</v>
      </c>
      <c r="G145" s="160">
        <f>'A) Base RI'!AM147</f>
        <v>74.5</v>
      </c>
      <c r="H145" s="168">
        <f t="shared" si="11"/>
        <v>1.0977329635614654</v>
      </c>
      <c r="I145" s="183">
        <f t="shared" si="9"/>
        <v>258731.35315467784</v>
      </c>
    </row>
    <row r="146" spans="1:9" x14ac:dyDescent="0.25">
      <c r="A146" s="61">
        <f>'A) Base RI'!A148</f>
        <v>5638</v>
      </c>
      <c r="B146" s="13" t="str">
        <f>'A) Base RI'!B148</f>
        <v>Lonay</v>
      </c>
      <c r="C146" s="135">
        <f>'A) Base RI'!AN148</f>
        <v>2536</v>
      </c>
      <c r="D146" s="176">
        <f>'D) Ecrêtage'!N146</f>
        <v>58.280153442100911</v>
      </c>
      <c r="E146" s="44">
        <f t="shared" si="12"/>
        <v>0</v>
      </c>
      <c r="F146" s="179">
        <f t="shared" si="10"/>
        <v>0</v>
      </c>
      <c r="G146" s="160">
        <f>'A) Base RI'!AM148</f>
        <v>55</v>
      </c>
      <c r="H146" s="168">
        <f t="shared" si="11"/>
        <v>0.81040688585074627</v>
      </c>
      <c r="I146" s="183">
        <f t="shared" si="9"/>
        <v>0</v>
      </c>
    </row>
    <row r="147" spans="1:9" x14ac:dyDescent="0.25">
      <c r="A147" s="61">
        <f>'A) Base RI'!A149</f>
        <v>5639</v>
      </c>
      <c r="B147" s="13" t="str">
        <f>'A) Base RI'!B149</f>
        <v>Lully</v>
      </c>
      <c r="C147" s="135">
        <f>'A) Base RI'!AN149</f>
        <v>760</v>
      </c>
      <c r="D147" s="176">
        <f>'D) Ecrêtage'!N147</f>
        <v>55.437085438806037</v>
      </c>
      <c r="E147" s="44">
        <f t="shared" si="12"/>
        <v>0</v>
      </c>
      <c r="F147" s="179">
        <f t="shared" si="10"/>
        <v>0</v>
      </c>
      <c r="G147" s="160">
        <f>'A) Base RI'!AM149</f>
        <v>61</v>
      </c>
      <c r="H147" s="168">
        <f t="shared" si="11"/>
        <v>0.89881490976173684</v>
      </c>
      <c r="I147" s="183">
        <f t="shared" si="9"/>
        <v>0</v>
      </c>
    </row>
    <row r="148" spans="1:9" x14ac:dyDescent="0.25">
      <c r="A148" s="61">
        <f>'A) Base RI'!A150</f>
        <v>5640</v>
      </c>
      <c r="B148" s="13" t="str">
        <f>'A) Base RI'!B150</f>
        <v>Lussy-sur-Morges</v>
      </c>
      <c r="C148" s="135">
        <f>'A) Base RI'!AN150</f>
        <v>646</v>
      </c>
      <c r="D148" s="176">
        <f>'D) Ecrêtage'!N148</f>
        <v>64.551630763410415</v>
      </c>
      <c r="E148" s="44">
        <f t="shared" si="12"/>
        <v>0</v>
      </c>
      <c r="F148" s="179">
        <f t="shared" si="10"/>
        <v>0</v>
      </c>
      <c r="G148" s="160">
        <f>'A) Base RI'!AM150</f>
        <v>66</v>
      </c>
      <c r="H148" s="168">
        <f t="shared" si="11"/>
        <v>0.97248826302089553</v>
      </c>
      <c r="I148" s="183">
        <f t="shared" si="9"/>
        <v>0</v>
      </c>
    </row>
    <row r="149" spans="1:9" x14ac:dyDescent="0.25">
      <c r="A149" s="61">
        <f>'A) Base RI'!A151</f>
        <v>5642</v>
      </c>
      <c r="B149" s="13" t="str">
        <f>'A) Base RI'!B151</f>
        <v>Morges</v>
      </c>
      <c r="C149" s="135">
        <f>'A) Base RI'!AN151</f>
        <v>15623</v>
      </c>
      <c r="D149" s="176">
        <f>'D) Ecrêtage'!N149</f>
        <v>45.790189506300599</v>
      </c>
      <c r="E149" s="44">
        <f t="shared" si="12"/>
        <v>0</v>
      </c>
      <c r="F149" s="179">
        <f t="shared" si="10"/>
        <v>0</v>
      </c>
      <c r="G149" s="160">
        <f>'A) Base RI'!AM151</f>
        <v>68.5</v>
      </c>
      <c r="H149" s="168">
        <f t="shared" si="11"/>
        <v>1.0093249396504749</v>
      </c>
      <c r="I149" s="183">
        <f t="shared" si="9"/>
        <v>0</v>
      </c>
    </row>
    <row r="150" spans="1:9" x14ac:dyDescent="0.25">
      <c r="A150" s="61">
        <f>'A) Base RI'!A152</f>
        <v>5643</v>
      </c>
      <c r="B150" s="13" t="str">
        <f>'A) Base RI'!B152</f>
        <v>Préverenges</v>
      </c>
      <c r="C150" s="135">
        <f>'A) Base RI'!AN152</f>
        <v>5263</v>
      </c>
      <c r="D150" s="176">
        <f>'D) Ecrêtage'!N150</f>
        <v>47.462195783060992</v>
      </c>
      <c r="E150" s="44">
        <f t="shared" si="12"/>
        <v>0</v>
      </c>
      <c r="F150" s="179">
        <f t="shared" si="10"/>
        <v>0</v>
      </c>
      <c r="G150" s="160">
        <f>'A) Base RI'!AM152</f>
        <v>64</v>
      </c>
      <c r="H150" s="168">
        <f t="shared" si="11"/>
        <v>0.94301892171723201</v>
      </c>
      <c r="I150" s="183">
        <f t="shared" si="9"/>
        <v>0</v>
      </c>
    </row>
    <row r="151" spans="1:9" x14ac:dyDescent="0.25">
      <c r="A151" s="61">
        <f>'A) Base RI'!A153</f>
        <v>5644</v>
      </c>
      <c r="B151" s="13" t="str">
        <f>'A) Base RI'!B153</f>
        <v>Reverolle</v>
      </c>
      <c r="C151" s="135">
        <f>'A) Base RI'!AN153</f>
        <v>360</v>
      </c>
      <c r="D151" s="176">
        <f>'D) Ecrêtage'!N151</f>
        <v>43.319048976608194</v>
      </c>
      <c r="E151" s="44">
        <f t="shared" si="12"/>
        <v>0.30257886742904105</v>
      </c>
      <c r="F151" s="179">
        <f t="shared" si="10"/>
        <v>2235.2106094718124</v>
      </c>
      <c r="G151" s="160">
        <f>'A) Base RI'!AM153</f>
        <v>76</v>
      </c>
      <c r="H151" s="168">
        <f t="shared" si="11"/>
        <v>1.1198349695392131</v>
      </c>
      <c r="I151" s="183">
        <f t="shared" si="9"/>
        <v>2503.067004771593</v>
      </c>
    </row>
    <row r="152" spans="1:9" x14ac:dyDescent="0.25">
      <c r="A152" s="61">
        <f>'A) Base RI'!A154</f>
        <v>5645</v>
      </c>
      <c r="B152" s="13" t="str">
        <f>'A) Base RI'!B154</f>
        <v>Romanel-sur-Morges</v>
      </c>
      <c r="C152" s="135">
        <f>'A) Base RI'!AN154</f>
        <v>459</v>
      </c>
      <c r="D152" s="176">
        <f>'D) Ecrêtage'!N152</f>
        <v>55.18680475728867</v>
      </c>
      <c r="E152" s="44">
        <f t="shared" si="12"/>
        <v>0</v>
      </c>
      <c r="F152" s="179">
        <f t="shared" si="10"/>
        <v>0</v>
      </c>
      <c r="G152" s="160">
        <f>'A) Base RI'!AM154</f>
        <v>56</v>
      </c>
      <c r="H152" s="168">
        <f t="shared" si="11"/>
        <v>0.82514155650257803</v>
      </c>
      <c r="I152" s="183">
        <f t="shared" si="9"/>
        <v>0</v>
      </c>
    </row>
    <row r="153" spans="1:9" x14ac:dyDescent="0.25">
      <c r="A153" s="61">
        <f>'A) Base RI'!A155</f>
        <v>5646</v>
      </c>
      <c r="B153" s="13" t="str">
        <f>'A) Base RI'!B155</f>
        <v>Saint-Prex</v>
      </c>
      <c r="C153" s="135">
        <f>'A) Base RI'!AN155</f>
        <v>5604</v>
      </c>
      <c r="D153" s="176">
        <f>'D) Ecrêtage'!N153</f>
        <v>54.838979560054511</v>
      </c>
      <c r="E153" s="44">
        <f t="shared" si="12"/>
        <v>0</v>
      </c>
      <c r="F153" s="179">
        <f t="shared" si="10"/>
        <v>0</v>
      </c>
      <c r="G153" s="160">
        <f>'A) Base RI'!AM155</f>
        <v>55</v>
      </c>
      <c r="H153" s="168">
        <f t="shared" si="11"/>
        <v>0.81040688585074627</v>
      </c>
      <c r="I153" s="183">
        <f t="shared" si="9"/>
        <v>0</v>
      </c>
    </row>
    <row r="154" spans="1:9" x14ac:dyDescent="0.25">
      <c r="A154" s="61">
        <f>'A) Base RI'!A156</f>
        <v>5648</v>
      </c>
      <c r="B154" s="13" t="str">
        <f>'A) Base RI'!B156</f>
        <v>Saint-Sulpice</v>
      </c>
      <c r="C154" s="135">
        <f>'A) Base RI'!AN156</f>
        <v>3898</v>
      </c>
      <c r="D154" s="176">
        <f>'D) Ecrêtage'!N154</f>
        <v>69.251688318677381</v>
      </c>
      <c r="E154" s="44">
        <f t="shared" si="12"/>
        <v>0</v>
      </c>
      <c r="F154" s="179">
        <f t="shared" si="10"/>
        <v>0</v>
      </c>
      <c r="G154" s="160">
        <f>'A) Base RI'!AM156</f>
        <v>55</v>
      </c>
      <c r="H154" s="168">
        <f t="shared" si="11"/>
        <v>0.81040688585074627</v>
      </c>
      <c r="I154" s="183">
        <f t="shared" si="9"/>
        <v>0</v>
      </c>
    </row>
    <row r="155" spans="1:9" x14ac:dyDescent="0.25">
      <c r="A155" s="61">
        <f>'A) Base RI'!A157</f>
        <v>5649</v>
      </c>
      <c r="B155" s="13" t="str">
        <f>'A) Base RI'!B157</f>
        <v>Tolochenaz</v>
      </c>
      <c r="C155" s="135">
        <f>'A) Base RI'!AN157</f>
        <v>1855</v>
      </c>
      <c r="D155" s="176">
        <f>'D) Ecrêtage'!N155</f>
        <v>57.531230876925115</v>
      </c>
      <c r="E155" s="44">
        <f t="shared" si="12"/>
        <v>0</v>
      </c>
      <c r="F155" s="179">
        <f t="shared" si="10"/>
        <v>0</v>
      </c>
      <c r="G155" s="160">
        <f>'A) Base RI'!AM157</f>
        <v>65</v>
      </c>
      <c r="H155" s="168">
        <f t="shared" si="11"/>
        <v>0.95775359236906377</v>
      </c>
      <c r="I155" s="183">
        <f t="shared" si="9"/>
        <v>0</v>
      </c>
    </row>
    <row r="156" spans="1:9" x14ac:dyDescent="0.25">
      <c r="A156" s="61">
        <f>'A) Base RI'!A158</f>
        <v>5650</v>
      </c>
      <c r="B156" s="13" t="str">
        <f>'A) Base RI'!B158</f>
        <v>Vaux-sur-Morges</v>
      </c>
      <c r="C156" s="135">
        <f>'A) Base RI'!AN158</f>
        <v>203</v>
      </c>
      <c r="D156" s="176">
        <f>'D) Ecrêtage'!N156</f>
        <v>359.54812336832191</v>
      </c>
      <c r="E156" s="44">
        <f t="shared" si="12"/>
        <v>0</v>
      </c>
      <c r="F156" s="179">
        <f t="shared" si="10"/>
        <v>0</v>
      </c>
      <c r="G156" s="160">
        <f>'A) Base RI'!AM158</f>
        <v>39</v>
      </c>
      <c r="H156" s="168">
        <f t="shared" si="11"/>
        <v>0.57465215542143833</v>
      </c>
      <c r="I156" s="183">
        <f t="shared" si="9"/>
        <v>0</v>
      </c>
    </row>
    <row r="157" spans="1:9" x14ac:dyDescent="0.25">
      <c r="A157" s="61">
        <f>'A) Base RI'!A159</f>
        <v>5651</v>
      </c>
      <c r="B157" s="13" t="str">
        <f>'A) Base RI'!B159</f>
        <v>Villars-Sainte-Croix</v>
      </c>
      <c r="C157" s="135">
        <f>'A) Base RI'!AN159</f>
        <v>709</v>
      </c>
      <c r="D157" s="176">
        <f>'D) Ecrêtage'!N157</f>
        <v>53.347387583371194</v>
      </c>
      <c r="E157" s="44">
        <f t="shared" si="12"/>
        <v>0</v>
      </c>
      <c r="F157" s="179">
        <f t="shared" si="10"/>
        <v>0</v>
      </c>
      <c r="G157" s="160">
        <f>'A) Base RI'!AM159</f>
        <v>59</v>
      </c>
      <c r="H157" s="168">
        <f t="shared" si="11"/>
        <v>0.86934556845807331</v>
      </c>
      <c r="I157" s="183">
        <f t="shared" si="9"/>
        <v>0</v>
      </c>
    </row>
    <row r="158" spans="1:9" x14ac:dyDescent="0.25">
      <c r="A158" s="61">
        <f>'A) Base RI'!A160</f>
        <v>5652</v>
      </c>
      <c r="B158" s="13" t="str">
        <f>'A) Base RI'!B160</f>
        <v>Villars-sous-Yens</v>
      </c>
      <c r="C158" s="135">
        <f>'A) Base RI'!AN160</f>
        <v>564</v>
      </c>
      <c r="D158" s="176">
        <f>'D) Ecrêtage'!N158</f>
        <v>41.915392559412716</v>
      </c>
      <c r="E158" s="44">
        <f t="shared" si="12"/>
        <v>1.706235284624519</v>
      </c>
      <c r="F158" s="179">
        <f t="shared" si="10"/>
        <v>19746.738694839256</v>
      </c>
      <c r="G158" s="160">
        <f>'A) Base RI'!AM160</f>
        <v>76</v>
      </c>
      <c r="H158" s="168">
        <f t="shared" si="11"/>
        <v>1.1198349695392131</v>
      </c>
      <c r="I158" s="183">
        <f t="shared" si="9"/>
        <v>22113.088524834118</v>
      </c>
    </row>
    <row r="159" spans="1:9" x14ac:dyDescent="0.25">
      <c r="A159" s="61">
        <f>'A) Base RI'!A161</f>
        <v>5653</v>
      </c>
      <c r="B159" s="13" t="str">
        <f>'A) Base RI'!B161</f>
        <v>Vufflens-le-Château</v>
      </c>
      <c r="C159" s="135">
        <f>'A) Base RI'!AN161</f>
        <v>821</v>
      </c>
      <c r="D159" s="176">
        <f>'D) Ecrêtage'!N159</f>
        <v>66.014762983133139</v>
      </c>
      <c r="E159" s="44">
        <f t="shared" si="12"/>
        <v>0</v>
      </c>
      <c r="F159" s="179">
        <f t="shared" si="10"/>
        <v>0</v>
      </c>
      <c r="G159" s="160">
        <f>'A) Base RI'!AM161</f>
        <v>55</v>
      </c>
      <c r="H159" s="168">
        <f t="shared" si="11"/>
        <v>0.81040688585074627</v>
      </c>
      <c r="I159" s="183">
        <f t="shared" si="9"/>
        <v>0</v>
      </c>
    </row>
    <row r="160" spans="1:9" x14ac:dyDescent="0.25">
      <c r="A160" s="61">
        <f>'A) Base RI'!A162</f>
        <v>5654</v>
      </c>
      <c r="B160" s="13" t="str">
        <f>'A) Base RI'!B162</f>
        <v>Vullierens</v>
      </c>
      <c r="C160" s="135">
        <f>'A) Base RI'!AN162</f>
        <v>460</v>
      </c>
      <c r="D160" s="176">
        <f>'D) Ecrêtage'!N160</f>
        <v>36.845413901601837</v>
      </c>
      <c r="E160" s="44">
        <f t="shared" si="12"/>
        <v>6.7762139424353975</v>
      </c>
      <c r="F160" s="179">
        <f t="shared" si="10"/>
        <v>63962.038645436209</v>
      </c>
      <c r="G160" s="160">
        <f>'A) Base RI'!AM162</f>
        <v>76</v>
      </c>
      <c r="H160" s="168">
        <f t="shared" si="11"/>
        <v>1.1198349695392131</v>
      </c>
      <c r="I160" s="183">
        <f t="shared" si="9"/>
        <v>71626.927598178023</v>
      </c>
    </row>
    <row r="161" spans="1:9" x14ac:dyDescent="0.25">
      <c r="A161" s="61">
        <f>'A) Base RI'!A163</f>
        <v>5655</v>
      </c>
      <c r="B161" s="13" t="str">
        <f>'A) Base RI'!B163</f>
        <v>Yens</v>
      </c>
      <c r="C161" s="135">
        <f>'A) Base RI'!AN163</f>
        <v>1405</v>
      </c>
      <c r="D161" s="176">
        <f>'D) Ecrêtage'!N161</f>
        <v>48.474933944327994</v>
      </c>
      <c r="E161" s="44">
        <f t="shared" si="12"/>
        <v>0</v>
      </c>
      <c r="F161" s="179">
        <f t="shared" si="10"/>
        <v>0</v>
      </c>
      <c r="G161" s="160">
        <f>'A) Base RI'!AM163</f>
        <v>73</v>
      </c>
      <c r="H161" s="168">
        <f t="shared" si="11"/>
        <v>1.0756309575837177</v>
      </c>
      <c r="I161" s="183">
        <f t="shared" si="9"/>
        <v>0</v>
      </c>
    </row>
    <row r="162" spans="1:9" x14ac:dyDescent="0.25">
      <c r="A162" s="61">
        <f>'A) Base RI'!A164</f>
        <v>5661</v>
      </c>
      <c r="B162" s="13" t="str">
        <f>'A) Base RI'!B164</f>
        <v>Boulens</v>
      </c>
      <c r="C162" s="135">
        <f>'A) Base RI'!AN164</f>
        <v>325</v>
      </c>
      <c r="D162" s="176">
        <f>'D) Ecrêtage'!N162</f>
        <v>22.392231353456673</v>
      </c>
      <c r="E162" s="44">
        <f t="shared" si="12"/>
        <v>21.229396490580562</v>
      </c>
      <c r="F162" s="179">
        <f t="shared" si="10"/>
        <v>147167.4838218271</v>
      </c>
      <c r="G162" s="160">
        <f>'A) Base RI'!AM164</f>
        <v>79</v>
      </c>
      <c r="H162" s="168">
        <f t="shared" si="11"/>
        <v>1.1640389814947083</v>
      </c>
      <c r="I162" s="183">
        <f t="shared" si="9"/>
        <v>171308.68797709857</v>
      </c>
    </row>
    <row r="163" spans="1:9" x14ac:dyDescent="0.25">
      <c r="A163" s="61">
        <f>'A) Base RI'!A165</f>
        <v>5662</v>
      </c>
      <c r="B163" s="13" t="str">
        <f>'A) Base RI'!B165</f>
        <v>Brenles</v>
      </c>
      <c r="C163" s="135">
        <f>'A) Base RI'!AN165</f>
        <v>144</v>
      </c>
      <c r="D163" s="176">
        <f>'D) Ecrêtage'!N163</f>
        <v>32.500287076606519</v>
      </c>
      <c r="E163" s="44">
        <f t="shared" si="12"/>
        <v>11.121340767430716</v>
      </c>
      <c r="F163" s="179">
        <f t="shared" si="10"/>
        <v>33727.022864941093</v>
      </c>
      <c r="G163" s="160">
        <f>'A) Base RI'!AM165</f>
        <v>78</v>
      </c>
      <c r="H163" s="168">
        <f t="shared" si="11"/>
        <v>1.1493043108428767</v>
      </c>
      <c r="I163" s="183">
        <f t="shared" si="9"/>
        <v>38762.612770573069</v>
      </c>
    </row>
    <row r="164" spans="1:9" x14ac:dyDescent="0.25">
      <c r="A164" s="61">
        <f>'A) Base RI'!A166</f>
        <v>5663</v>
      </c>
      <c r="B164" s="13" t="str">
        <f>'A) Base RI'!B166</f>
        <v>Bussy-sur-Moudon</v>
      </c>
      <c r="C164" s="135">
        <f>'A) Base RI'!AN166</f>
        <v>198</v>
      </c>
      <c r="D164" s="176">
        <f>'D) Ecrêtage'!N164</f>
        <v>25.247999999999998</v>
      </c>
      <c r="E164" s="44">
        <f t="shared" si="12"/>
        <v>18.373627844037237</v>
      </c>
      <c r="F164" s="179">
        <f t="shared" si="10"/>
        <v>78580.331563378466</v>
      </c>
      <c r="G164" s="160">
        <f>'A) Base RI'!AM166</f>
        <v>80</v>
      </c>
      <c r="H164" s="168">
        <f t="shared" si="11"/>
        <v>1.1787736521465402</v>
      </c>
      <c r="I164" s="183">
        <f t="shared" si="9"/>
        <v>92628.424423849676</v>
      </c>
    </row>
    <row r="165" spans="1:9" x14ac:dyDescent="0.25">
      <c r="A165" s="61">
        <f>'A) Base RI'!A167</f>
        <v>5665</v>
      </c>
      <c r="B165" s="13" t="str">
        <f>'A) Base RI'!B167</f>
        <v>Chavannes-sur-Moudon</v>
      </c>
      <c r="C165" s="135">
        <f>'A) Base RI'!AN167</f>
        <v>224</v>
      </c>
      <c r="D165" s="176">
        <f>'D) Ecrêtage'!N165</f>
        <v>21.582659970238094</v>
      </c>
      <c r="E165" s="44">
        <f t="shared" si="12"/>
        <v>22.038967873799141</v>
      </c>
      <c r="F165" s="179">
        <f t="shared" si="10"/>
        <v>95970.007944530778</v>
      </c>
      <c r="G165" s="160">
        <f>'A) Base RI'!AM167</f>
        <v>72</v>
      </c>
      <c r="H165" s="168">
        <f t="shared" si="11"/>
        <v>1.0608962869318861</v>
      </c>
      <c r="I165" s="183">
        <f t="shared" si="9"/>
        <v>101814.22508517631</v>
      </c>
    </row>
    <row r="166" spans="1:9" x14ac:dyDescent="0.25">
      <c r="A166" s="61">
        <f>'A) Base RI'!A168</f>
        <v>5666</v>
      </c>
      <c r="B166" s="13" t="str">
        <f>'A) Base RI'!B168</f>
        <v>Chesalles-sur-Moudon</v>
      </c>
      <c r="C166" s="135">
        <f>'A) Base RI'!AN168</f>
        <v>169</v>
      </c>
      <c r="D166" s="176">
        <f>'D) Ecrêtage'!N166</f>
        <v>21.0725932938856</v>
      </c>
      <c r="E166" s="44">
        <f t="shared" si="12"/>
        <v>22.549034550151635</v>
      </c>
      <c r="F166" s="179">
        <f t="shared" si="10"/>
        <v>77168.433489256437</v>
      </c>
      <c r="G166" s="160">
        <f>'A) Base RI'!AM168</f>
        <v>75</v>
      </c>
      <c r="H166" s="168">
        <f t="shared" si="11"/>
        <v>1.1051002988873813</v>
      </c>
      <c r="I166" s="183">
        <f t="shared" si="9"/>
        <v>85278.858913648291</v>
      </c>
    </row>
    <row r="167" spans="1:9" x14ac:dyDescent="0.25">
      <c r="A167" s="61">
        <f>'A) Base RI'!A169</f>
        <v>5668</v>
      </c>
      <c r="B167" s="13" t="str">
        <f>'A) Base RI'!B169</f>
        <v>Cremin</v>
      </c>
      <c r="C167" s="135">
        <f>'A) Base RI'!AN169</f>
        <v>58</v>
      </c>
      <c r="D167" s="176">
        <f>'D) Ecrêtage'!N167</f>
        <v>15.568416927899683</v>
      </c>
      <c r="E167" s="44">
        <f t="shared" si="12"/>
        <v>28.053210916137552</v>
      </c>
      <c r="F167" s="179">
        <f t="shared" si="10"/>
        <v>33827.122786896987</v>
      </c>
      <c r="G167" s="160">
        <f>'A) Base RI'!AM169</f>
        <v>77</v>
      </c>
      <c r="H167" s="168">
        <f t="shared" si="11"/>
        <v>1.1345696401910448</v>
      </c>
      <c r="I167" s="183">
        <f t="shared" si="9"/>
        <v>38379.226529028005</v>
      </c>
    </row>
    <row r="168" spans="1:9" x14ac:dyDescent="0.25">
      <c r="A168" s="61">
        <f>'A) Base RI'!A170</f>
        <v>5669</v>
      </c>
      <c r="B168" s="13" t="str">
        <f>'A) Base RI'!B170</f>
        <v>Curtilles</v>
      </c>
      <c r="C168" s="135">
        <f>'A) Base RI'!AN170</f>
        <v>311</v>
      </c>
      <c r="D168" s="176">
        <f>'D) Ecrêtage'!N168</f>
        <v>27.999356466595213</v>
      </c>
      <c r="E168" s="44">
        <f t="shared" si="12"/>
        <v>15.622271377442022</v>
      </c>
      <c r="F168" s="179">
        <f t="shared" si="10"/>
        <v>94449.753184594083</v>
      </c>
      <c r="G168" s="160">
        <f>'A) Base RI'!AM170</f>
        <v>72</v>
      </c>
      <c r="H168" s="168">
        <f t="shared" si="11"/>
        <v>1.0608962869318861</v>
      </c>
      <c r="I168" s="183">
        <f t="shared" si="9"/>
        <v>100201.39245516894</v>
      </c>
    </row>
    <row r="169" spans="1:9" x14ac:dyDescent="0.25">
      <c r="A169" s="61">
        <f>'A) Base RI'!A171</f>
        <v>5671</v>
      </c>
      <c r="B169" s="13" t="str">
        <f>'A) Base RI'!B171</f>
        <v>Dompierre</v>
      </c>
      <c r="C169" s="135">
        <f>'A) Base RI'!AN171</f>
        <v>247</v>
      </c>
      <c r="D169" s="176">
        <f>'D) Ecrêtage'!N169</f>
        <v>25.20929048582996</v>
      </c>
      <c r="E169" s="44">
        <f t="shared" si="12"/>
        <v>18.412337358207274</v>
      </c>
      <c r="F169" s="179">
        <f t="shared" si="10"/>
        <v>98233.50227350746</v>
      </c>
      <c r="G169" s="160">
        <f>'A) Base RI'!AM171</f>
        <v>80</v>
      </c>
      <c r="H169" s="168">
        <f t="shared" si="11"/>
        <v>1.1787736521465402</v>
      </c>
      <c r="I169" s="183">
        <f t="shared" si="9"/>
        <v>115795.06423808784</v>
      </c>
    </row>
    <row r="170" spans="1:9" x14ac:dyDescent="0.25">
      <c r="A170" s="61">
        <f>'A) Base RI'!A172</f>
        <v>5672</v>
      </c>
      <c r="B170" s="13" t="str">
        <f>'A) Base RI'!B172</f>
        <v>Forel-sur-Lucens</v>
      </c>
      <c r="C170" s="135">
        <f>'A) Base RI'!AN172</f>
        <v>154</v>
      </c>
      <c r="D170" s="176">
        <f>'D) Ecrêtage'!N170</f>
        <v>28.083896536796537</v>
      </c>
      <c r="E170" s="44">
        <f t="shared" si="12"/>
        <v>15.537731307240698</v>
      </c>
      <c r="F170" s="179">
        <f t="shared" si="10"/>
        <v>48454.415081630119</v>
      </c>
      <c r="G170" s="160">
        <f>'A) Base RI'!AM172</f>
        <v>75</v>
      </c>
      <c r="H170" s="168">
        <f t="shared" si="11"/>
        <v>1.1051002988873813</v>
      </c>
      <c r="I170" s="183">
        <f t="shared" si="9"/>
        <v>53546.98858912268</v>
      </c>
    </row>
    <row r="171" spans="1:9" x14ac:dyDescent="0.25">
      <c r="A171" s="61">
        <f>'A) Base RI'!A173</f>
        <v>5673</v>
      </c>
      <c r="B171" s="13" t="str">
        <f>'A) Base RI'!B173</f>
        <v>Hermenches</v>
      </c>
      <c r="C171" s="135">
        <f>'A) Base RI'!AN173</f>
        <v>382</v>
      </c>
      <c r="D171" s="176">
        <f>'D) Ecrêtage'!N171</f>
        <v>23.178781384525887</v>
      </c>
      <c r="E171" s="44">
        <f t="shared" si="12"/>
        <v>20.442846459511347</v>
      </c>
      <c r="F171" s="179">
        <f t="shared" si="10"/>
        <v>158135.63878755004</v>
      </c>
      <c r="G171" s="160">
        <f>'A) Base RI'!AM173</f>
        <v>75</v>
      </c>
      <c r="H171" s="168">
        <f t="shared" si="11"/>
        <v>1.1051002988873813</v>
      </c>
      <c r="I171" s="183">
        <f t="shared" ref="I171:I226" si="13">F171*H171</f>
        <v>174755.7416888685</v>
      </c>
    </row>
    <row r="172" spans="1:9" x14ac:dyDescent="0.25">
      <c r="A172" s="61">
        <f>'A) Base RI'!A174</f>
        <v>5674</v>
      </c>
      <c r="B172" s="13" t="str">
        <f>'A) Base RI'!B174</f>
        <v>Lovatens</v>
      </c>
      <c r="C172" s="135">
        <f>'A) Base RI'!AN174</f>
        <v>151</v>
      </c>
      <c r="D172" s="176">
        <f>'D) Ecrêtage'!N172</f>
        <v>22.168422075055187</v>
      </c>
      <c r="E172" s="44">
        <f t="shared" si="12"/>
        <v>21.453205768982048</v>
      </c>
      <c r="F172" s="179">
        <f t="shared" si="10"/>
        <v>65598.539940104863</v>
      </c>
      <c r="G172" s="160">
        <f>'A) Base RI'!AM174</f>
        <v>75</v>
      </c>
      <c r="H172" s="168">
        <f t="shared" si="11"/>
        <v>1.1051002988873813</v>
      </c>
      <c r="I172" s="183">
        <f t="shared" si="13"/>
        <v>72492.966094385702</v>
      </c>
    </row>
    <row r="173" spans="1:9" x14ac:dyDescent="0.25">
      <c r="A173" s="61">
        <f>'A) Base RI'!A175</f>
        <v>5675</v>
      </c>
      <c r="B173" s="13" t="str">
        <f>'A) Base RI'!B175</f>
        <v>Lucens</v>
      </c>
      <c r="C173" s="135">
        <f>'A) Base RI'!AN175</f>
        <v>3285</v>
      </c>
      <c r="D173" s="176">
        <f>'D) Ecrêtage'!N173</f>
        <v>23.310458285637615</v>
      </c>
      <c r="E173" s="44">
        <f t="shared" si="12"/>
        <v>20.311169558399619</v>
      </c>
      <c r="F173" s="179">
        <f t="shared" si="10"/>
        <v>1188989.4614282877</v>
      </c>
      <c r="G173" s="160">
        <f>'A) Base RI'!AM175</f>
        <v>66</v>
      </c>
      <c r="H173" s="168">
        <f t="shared" si="11"/>
        <v>0.97248826302089553</v>
      </c>
      <c r="I173" s="183">
        <f t="shared" si="13"/>
        <v>1156278.2960945456</v>
      </c>
    </row>
    <row r="174" spans="1:9" x14ac:dyDescent="0.25">
      <c r="A174" s="61">
        <f>'A) Base RI'!A176</f>
        <v>5678</v>
      </c>
      <c r="B174" s="13" t="str">
        <f>'A) Base RI'!B176</f>
        <v>Moudon</v>
      </c>
      <c r="C174" s="135">
        <f>'A) Base RI'!AN176</f>
        <v>5770</v>
      </c>
      <c r="D174" s="176">
        <f>'D) Ecrêtage'!N174</f>
        <v>21.154325199306754</v>
      </c>
      <c r="E174" s="44">
        <f t="shared" si="12"/>
        <v>22.467302644730481</v>
      </c>
      <c r="F174" s="179">
        <f t="shared" si="10"/>
        <v>2625135.8092669211</v>
      </c>
      <c r="G174" s="160">
        <f>'A) Base RI'!AM176</f>
        <v>75</v>
      </c>
      <c r="H174" s="168">
        <f t="shared" si="11"/>
        <v>1.1051002988873813</v>
      </c>
      <c r="I174" s="183">
        <f t="shared" si="13"/>
        <v>2901038.3674408421</v>
      </c>
    </row>
    <row r="175" spans="1:9" x14ac:dyDescent="0.25">
      <c r="A175" s="61">
        <f>'A) Base RI'!A177</f>
        <v>5680</v>
      </c>
      <c r="B175" s="13" t="str">
        <f>'A) Base RI'!B177</f>
        <v>Ogens</v>
      </c>
      <c r="C175" s="135">
        <f>'A) Base RI'!AN177</f>
        <v>283</v>
      </c>
      <c r="D175" s="176">
        <f>'D) Ecrêtage'!N175</f>
        <v>28.845826613512127</v>
      </c>
      <c r="E175" s="44">
        <f t="shared" si="12"/>
        <v>14.775801230525108</v>
      </c>
      <c r="F175" s="179">
        <f t="shared" si="10"/>
        <v>88063.479817905041</v>
      </c>
      <c r="G175" s="160">
        <f>'A) Base RI'!AM177</f>
        <v>78</v>
      </c>
      <c r="H175" s="168">
        <f t="shared" si="11"/>
        <v>1.1493043108428767</v>
      </c>
      <c r="I175" s="183">
        <f t="shared" si="13"/>
        <v>101211.73698254293</v>
      </c>
    </row>
    <row r="176" spans="1:9" x14ac:dyDescent="0.25">
      <c r="A176" s="61">
        <f>'A) Base RI'!A178</f>
        <v>5683</v>
      </c>
      <c r="B176" s="13" t="str">
        <f>'A) Base RI'!B178</f>
        <v>Prévonloup</v>
      </c>
      <c r="C176" s="135">
        <f>'A) Base RI'!AN178</f>
        <v>172</v>
      </c>
      <c r="D176" s="176">
        <f>'D) Ecrêtage'!N176</f>
        <v>21.037801697045886</v>
      </c>
      <c r="E176" s="44">
        <f t="shared" si="12"/>
        <v>22.583826146991349</v>
      </c>
      <c r="F176" s="179">
        <f t="shared" si="10"/>
        <v>77610.6735837046</v>
      </c>
      <c r="G176" s="160">
        <f>'A) Base RI'!AM178</f>
        <v>74</v>
      </c>
      <c r="H176" s="168">
        <f t="shared" si="11"/>
        <v>1.0903656282355496</v>
      </c>
      <c r="I176" s="183">
        <f t="shared" si="13"/>
        <v>84624.010859880247</v>
      </c>
    </row>
    <row r="177" spans="1:9" x14ac:dyDescent="0.25">
      <c r="A177" s="61">
        <f>'A) Base RI'!A179</f>
        <v>5684</v>
      </c>
      <c r="B177" s="13" t="str">
        <f>'A) Base RI'!B179</f>
        <v>Rossenges</v>
      </c>
      <c r="C177" s="135">
        <f>'A) Base RI'!AN179</f>
        <v>65</v>
      </c>
      <c r="D177" s="176">
        <f>'D) Ecrêtage'!N177</f>
        <v>40.180610256410255</v>
      </c>
      <c r="E177" s="44">
        <f t="shared" si="12"/>
        <v>3.4410175876269804</v>
      </c>
      <c r="F177" s="179">
        <f t="shared" si="10"/>
        <v>3623.3915197712108</v>
      </c>
      <c r="G177" s="160">
        <f>'A) Base RI'!AM179</f>
        <v>60</v>
      </c>
      <c r="H177" s="168">
        <f t="shared" si="11"/>
        <v>0.88408023910990507</v>
      </c>
      <c r="I177" s="183">
        <f t="shared" si="13"/>
        <v>3203.3688411881344</v>
      </c>
    </row>
    <row r="178" spans="1:9" x14ac:dyDescent="0.25">
      <c r="A178" s="61">
        <f>'A) Base RI'!A180</f>
        <v>5686</v>
      </c>
      <c r="B178" s="13" t="str">
        <f>'A) Base RI'!B180</f>
        <v>Sarzens</v>
      </c>
      <c r="C178" s="135">
        <f>'A) Base RI'!AN180</f>
        <v>80</v>
      </c>
      <c r="D178" s="176">
        <f>'D) Ecrêtage'!N178</f>
        <v>23.216493243243242</v>
      </c>
      <c r="E178" s="44">
        <f t="shared" si="12"/>
        <v>20.405134600793993</v>
      </c>
      <c r="F178" s="179">
        <f t="shared" si="10"/>
        <v>32615.567145909117</v>
      </c>
      <c r="G178" s="160">
        <f>'A) Base RI'!AM180</f>
        <v>74</v>
      </c>
      <c r="H178" s="168">
        <f t="shared" si="11"/>
        <v>1.0903656282355496</v>
      </c>
      <c r="I178" s="183">
        <f t="shared" si="13"/>
        <v>35562.89336130795</v>
      </c>
    </row>
    <row r="179" spans="1:9" x14ac:dyDescent="0.25">
      <c r="A179" s="61">
        <f>'A) Base RI'!A181</f>
        <v>5688</v>
      </c>
      <c r="B179" s="13" t="str">
        <f>'A) Base RI'!B181</f>
        <v>Syens</v>
      </c>
      <c r="C179" s="135">
        <f>'A) Base RI'!AN181</f>
        <v>139</v>
      </c>
      <c r="D179" s="176">
        <f>'D) Ecrêtage'!N179</f>
        <v>38.745588291271766</v>
      </c>
      <c r="E179" s="44">
        <f t="shared" si="12"/>
        <v>4.8760395527654694</v>
      </c>
      <c r="F179" s="179">
        <f t="shared" si="10"/>
        <v>13834.630989795778</v>
      </c>
      <c r="G179" s="160">
        <f>'A) Base RI'!AM181</f>
        <v>75.599999999999994</v>
      </c>
      <c r="H179" s="168">
        <f t="shared" si="11"/>
        <v>1.1139411012784803</v>
      </c>
      <c r="I179" s="183">
        <f t="shared" si="13"/>
        <v>15410.964080554502</v>
      </c>
    </row>
    <row r="180" spans="1:9" x14ac:dyDescent="0.25">
      <c r="A180" s="61">
        <f>'A) Base RI'!A182</f>
        <v>5690</v>
      </c>
      <c r="B180" s="13" t="str">
        <f>'A) Base RI'!B182</f>
        <v>Villars-le-Comte</v>
      </c>
      <c r="C180" s="135">
        <f>'A) Base RI'!AN182</f>
        <v>150</v>
      </c>
      <c r="D180" s="176">
        <f>'D) Ecrêtage'!N180</f>
        <v>23.12243947368421</v>
      </c>
      <c r="E180" s="44">
        <f t="shared" si="12"/>
        <v>20.499188370353025</v>
      </c>
      <c r="F180" s="179">
        <f t="shared" si="10"/>
        <v>63096.501803946616</v>
      </c>
      <c r="G180" s="160">
        <f>'A) Base RI'!AM182</f>
        <v>76</v>
      </c>
      <c r="H180" s="168">
        <f t="shared" si="11"/>
        <v>1.1198349695392131</v>
      </c>
      <c r="I180" s="183">
        <f t="shared" si="13"/>
        <v>70657.669175653471</v>
      </c>
    </row>
    <row r="181" spans="1:9" x14ac:dyDescent="0.25">
      <c r="A181" s="61">
        <f>'A) Base RI'!A183</f>
        <v>5692</v>
      </c>
      <c r="B181" s="13" t="str">
        <f>'A) Base RI'!B183</f>
        <v>Vucherens</v>
      </c>
      <c r="C181" s="135">
        <f>'A) Base RI'!AN183</f>
        <v>543</v>
      </c>
      <c r="D181" s="176">
        <f>'D) Ecrêtage'!N181</f>
        <v>27.856147982376395</v>
      </c>
      <c r="E181" s="44">
        <f t="shared" si="12"/>
        <v>15.76547986166084</v>
      </c>
      <c r="F181" s="179">
        <f t="shared" si="10"/>
        <v>182598.78319892957</v>
      </c>
      <c r="G181" s="160">
        <f>'A) Base RI'!AM183</f>
        <v>79</v>
      </c>
      <c r="H181" s="168">
        <f t="shared" si="11"/>
        <v>1.1640389814947083</v>
      </c>
      <c r="I181" s="183">
        <f t="shared" si="13"/>
        <v>212552.10161705501</v>
      </c>
    </row>
    <row r="182" spans="1:9" x14ac:dyDescent="0.25">
      <c r="A182" s="61">
        <f>'A) Base RI'!A184</f>
        <v>5693</v>
      </c>
      <c r="B182" s="13" t="str">
        <f>'A) Base RI'!B184</f>
        <v>Montanaire</v>
      </c>
      <c r="C182" s="135">
        <f>'A) Base RI'!AN184</f>
        <v>2421</v>
      </c>
      <c r="D182" s="176">
        <f>'D) Ecrêtage'!N182</f>
        <v>26.017263756941585</v>
      </c>
      <c r="E182" s="44">
        <f t="shared" si="12"/>
        <v>17.60436408709565</v>
      </c>
      <c r="F182" s="179">
        <f t="shared" si="10"/>
        <v>828536.01644245069</v>
      </c>
      <c r="G182" s="160">
        <f>'A) Base RI'!AM184</f>
        <v>72</v>
      </c>
      <c r="H182" s="168">
        <f t="shared" si="11"/>
        <v>1.0608962869318861</v>
      </c>
      <c r="I182" s="183">
        <f>F182*H182</f>
        <v>878990.78343313211</v>
      </c>
    </row>
    <row r="183" spans="1:9" x14ac:dyDescent="0.25">
      <c r="A183" s="61">
        <f>'A) Base RI'!A185</f>
        <v>5701</v>
      </c>
      <c r="B183" s="13" t="str">
        <f>'A) Base RI'!B185</f>
        <v>Arnex-sur-Nyon</v>
      </c>
      <c r="C183" s="135">
        <f>'A) Base RI'!AN185</f>
        <v>208</v>
      </c>
      <c r="D183" s="176">
        <f>'D) Ecrêtage'!N183</f>
        <v>64.025146600872546</v>
      </c>
      <c r="E183" s="44">
        <f t="shared" si="12"/>
        <v>0</v>
      </c>
      <c r="F183" s="179">
        <f t="shared" si="10"/>
        <v>0</v>
      </c>
      <c r="G183" s="160">
        <f>'A) Base RI'!AM185</f>
        <v>65</v>
      </c>
      <c r="H183" s="168">
        <f t="shared" si="11"/>
        <v>0.95775359236906377</v>
      </c>
      <c r="I183" s="183">
        <f>F183*H183</f>
        <v>0</v>
      </c>
    </row>
    <row r="184" spans="1:9" x14ac:dyDescent="0.25">
      <c r="A184" s="61">
        <f>'A) Base RI'!A186</f>
        <v>5702</v>
      </c>
      <c r="B184" s="13" t="str">
        <f>'A) Base RI'!B186</f>
        <v>Arzier-Le Muids</v>
      </c>
      <c r="C184" s="135">
        <f>'A) Base RI'!AN186</f>
        <v>2506</v>
      </c>
      <c r="D184" s="176">
        <f>'D) Ecrêtage'!N184</f>
        <v>54.80314368432429</v>
      </c>
      <c r="E184" s="44">
        <f t="shared" si="12"/>
        <v>0</v>
      </c>
      <c r="F184" s="179">
        <f t="shared" si="10"/>
        <v>0</v>
      </c>
      <c r="G184" s="160">
        <f>'A) Base RI'!AM186</f>
        <v>64</v>
      </c>
      <c r="H184" s="168">
        <f t="shared" si="11"/>
        <v>0.94301892171723201</v>
      </c>
      <c r="I184" s="183">
        <f t="shared" si="13"/>
        <v>0</v>
      </c>
    </row>
    <row r="185" spans="1:9" x14ac:dyDescent="0.25">
      <c r="A185" s="61">
        <f>'A) Base RI'!A187</f>
        <v>5703</v>
      </c>
      <c r="B185" s="13" t="str">
        <f>'A) Base RI'!B187</f>
        <v>Bassins</v>
      </c>
      <c r="C185" s="135">
        <f>'A) Base RI'!AN187</f>
        <v>1320</v>
      </c>
      <c r="D185" s="176">
        <f>'D) Ecrêtage'!N185</f>
        <v>39.10427859581732</v>
      </c>
      <c r="E185" s="44">
        <f t="shared" si="12"/>
        <v>4.5173492482199151</v>
      </c>
      <c r="F185" s="179">
        <f t="shared" si="10"/>
        <v>114308.81231665603</v>
      </c>
      <c r="G185" s="160">
        <f>'A) Base RI'!AM187</f>
        <v>71</v>
      </c>
      <c r="H185" s="168">
        <f t="shared" si="11"/>
        <v>1.0461616162800542</v>
      </c>
      <c r="I185" s="183">
        <f t="shared" si="13"/>
        <v>119585.49184824624</v>
      </c>
    </row>
    <row r="186" spans="1:9" x14ac:dyDescent="0.25">
      <c r="A186" s="61">
        <f>'A) Base RI'!A188</f>
        <v>5704</v>
      </c>
      <c r="B186" s="13" t="str">
        <f>'A) Base RI'!B188</f>
        <v>Begnins</v>
      </c>
      <c r="C186" s="135">
        <f>'A) Base RI'!AN188</f>
        <v>1802</v>
      </c>
      <c r="D186" s="176">
        <f>'D) Ecrêtage'!N186</f>
        <v>58.581438635411416</v>
      </c>
      <c r="E186" s="44">
        <f t="shared" si="12"/>
        <v>0</v>
      </c>
      <c r="F186" s="179">
        <f t="shared" si="10"/>
        <v>0</v>
      </c>
      <c r="G186" s="160">
        <f>'A) Base RI'!AM188</f>
        <v>67</v>
      </c>
      <c r="H186" s="168">
        <f t="shared" si="11"/>
        <v>0.98722293367272729</v>
      </c>
      <c r="I186" s="183">
        <f t="shared" si="13"/>
        <v>0</v>
      </c>
    </row>
    <row r="187" spans="1:9" x14ac:dyDescent="0.25">
      <c r="A187" s="61">
        <f>'A) Base RI'!A189</f>
        <v>5705</v>
      </c>
      <c r="B187" s="13" t="str">
        <f>'A) Base RI'!B189</f>
        <v>Bogis-Bossey</v>
      </c>
      <c r="C187" s="135">
        <f>'A) Base RI'!AN189</f>
        <v>830</v>
      </c>
      <c r="D187" s="176">
        <f>'D) Ecrêtage'!N187</f>
        <v>57.887344067245586</v>
      </c>
      <c r="E187" s="44">
        <f t="shared" si="12"/>
        <v>0</v>
      </c>
      <c r="F187" s="179">
        <f t="shared" si="10"/>
        <v>0</v>
      </c>
      <c r="G187" s="160">
        <f>'A) Base RI'!AM189</f>
        <v>64</v>
      </c>
      <c r="H187" s="168">
        <f t="shared" si="11"/>
        <v>0.94301892171723201</v>
      </c>
      <c r="I187" s="183">
        <f t="shared" si="13"/>
        <v>0</v>
      </c>
    </row>
    <row r="188" spans="1:9" x14ac:dyDescent="0.25">
      <c r="A188" s="61">
        <f>'A) Base RI'!A190</f>
        <v>5706</v>
      </c>
      <c r="B188" s="13" t="str">
        <f>'A) Base RI'!B190</f>
        <v>Borex</v>
      </c>
      <c r="C188" s="135">
        <f>'A) Base RI'!AN190</f>
        <v>1049</v>
      </c>
      <c r="D188" s="176">
        <f>'D) Ecrêtage'!N188</f>
        <v>57.056525899892058</v>
      </c>
      <c r="E188" s="44">
        <f t="shared" si="12"/>
        <v>0</v>
      </c>
      <c r="F188" s="179">
        <f t="shared" si="10"/>
        <v>0</v>
      </c>
      <c r="G188" s="160">
        <f>'A) Base RI'!AM190</f>
        <v>55</v>
      </c>
      <c r="H188" s="168">
        <f t="shared" si="11"/>
        <v>0.81040688585074627</v>
      </c>
      <c r="I188" s="183">
        <f t="shared" si="13"/>
        <v>0</v>
      </c>
    </row>
    <row r="189" spans="1:9" x14ac:dyDescent="0.25">
      <c r="A189" s="61">
        <f>'A) Base RI'!A191</f>
        <v>5707</v>
      </c>
      <c r="B189" s="13" t="str">
        <f>'A) Base RI'!B191</f>
        <v>Chavannes-de-Bogis</v>
      </c>
      <c r="C189" s="135">
        <f>'A) Base RI'!AN191</f>
        <v>1155</v>
      </c>
      <c r="D189" s="176">
        <f>'D) Ecrêtage'!N189</f>
        <v>68.7999798393746</v>
      </c>
      <c r="E189" s="44">
        <f t="shared" si="12"/>
        <v>0</v>
      </c>
      <c r="F189" s="179">
        <f t="shared" si="10"/>
        <v>0</v>
      </c>
      <c r="G189" s="160">
        <f>'A) Base RI'!AM191</f>
        <v>59</v>
      </c>
      <c r="H189" s="168">
        <f t="shared" si="11"/>
        <v>0.86934556845807331</v>
      </c>
      <c r="I189" s="183">
        <f t="shared" si="13"/>
        <v>0</v>
      </c>
    </row>
    <row r="190" spans="1:9" x14ac:dyDescent="0.25">
      <c r="A190" s="61">
        <f>'A) Base RI'!A192</f>
        <v>5708</v>
      </c>
      <c r="B190" s="13" t="str">
        <f>'A) Base RI'!B192</f>
        <v>Chavannes-des-Bois</v>
      </c>
      <c r="C190" s="135">
        <f>'A) Base RI'!AN192</f>
        <v>807</v>
      </c>
      <c r="D190" s="176">
        <f>'D) Ecrêtage'!N190</f>
        <v>68.133519027771698</v>
      </c>
      <c r="E190" s="44">
        <f t="shared" si="12"/>
        <v>0</v>
      </c>
      <c r="F190" s="179">
        <f t="shared" si="10"/>
        <v>0</v>
      </c>
      <c r="G190" s="160">
        <f>'A) Base RI'!AM192</f>
        <v>61</v>
      </c>
      <c r="H190" s="168">
        <f t="shared" si="11"/>
        <v>0.89881490976173684</v>
      </c>
      <c r="I190" s="183">
        <f t="shared" si="13"/>
        <v>0</v>
      </c>
    </row>
    <row r="191" spans="1:9" x14ac:dyDescent="0.25">
      <c r="A191" s="61">
        <f>'A) Base RI'!A193</f>
        <v>5709</v>
      </c>
      <c r="B191" s="13" t="str">
        <f>'A) Base RI'!B193</f>
        <v>Chéserex</v>
      </c>
      <c r="C191" s="135">
        <f>'A) Base RI'!AN193</f>
        <v>1174</v>
      </c>
      <c r="D191" s="176">
        <f>'D) Ecrêtage'!N191</f>
        <v>88.020531945670285</v>
      </c>
      <c r="E191" s="44">
        <f t="shared" si="12"/>
        <v>0</v>
      </c>
      <c r="F191" s="179">
        <f t="shared" si="10"/>
        <v>0</v>
      </c>
      <c r="G191" s="160">
        <f>'A) Base RI'!AM193</f>
        <v>52</v>
      </c>
      <c r="H191" s="168">
        <f t="shared" si="11"/>
        <v>0.76620287389525099</v>
      </c>
      <c r="I191" s="183">
        <f t="shared" si="13"/>
        <v>0</v>
      </c>
    </row>
    <row r="192" spans="1:9" x14ac:dyDescent="0.25">
      <c r="A192" s="61">
        <f>'A) Base RI'!A194</f>
        <v>5710</v>
      </c>
      <c r="B192" s="13" t="str">
        <f>'A) Base RI'!B194</f>
        <v>Coinsins</v>
      </c>
      <c r="C192" s="135">
        <f>'A) Base RI'!AN194</f>
        <v>435</v>
      </c>
      <c r="D192" s="176">
        <f>'D) Ecrêtage'!N192</f>
        <v>137.71056311754953</v>
      </c>
      <c r="E192" s="44">
        <f t="shared" si="12"/>
        <v>0</v>
      </c>
      <c r="F192" s="179">
        <f t="shared" si="10"/>
        <v>0</v>
      </c>
      <c r="G192" s="160">
        <f>'A) Base RI'!AM194</f>
        <v>41</v>
      </c>
      <c r="H192" s="168">
        <f t="shared" si="11"/>
        <v>0.60412149672510174</v>
      </c>
      <c r="I192" s="183">
        <f t="shared" si="13"/>
        <v>0</v>
      </c>
    </row>
    <row r="193" spans="1:9" x14ac:dyDescent="0.25">
      <c r="A193" s="61">
        <f>'A) Base RI'!A195</f>
        <v>5711</v>
      </c>
      <c r="B193" s="13" t="str">
        <f>'A) Base RI'!B195</f>
        <v>Commugny</v>
      </c>
      <c r="C193" s="135">
        <f>'A) Base RI'!AN195</f>
        <v>2591</v>
      </c>
      <c r="D193" s="176">
        <f>'D) Ecrêtage'!N193</f>
        <v>76.051668264415483</v>
      </c>
      <c r="E193" s="44">
        <f t="shared" si="12"/>
        <v>0</v>
      </c>
      <c r="F193" s="179">
        <f t="shared" si="10"/>
        <v>0</v>
      </c>
      <c r="G193" s="160">
        <f>'A) Base RI'!AM195</f>
        <v>58</v>
      </c>
      <c r="H193" s="168">
        <f t="shared" si="11"/>
        <v>0.85461089780624155</v>
      </c>
      <c r="I193" s="183">
        <f t="shared" si="13"/>
        <v>0</v>
      </c>
    </row>
    <row r="194" spans="1:9" x14ac:dyDescent="0.25">
      <c r="A194" s="61">
        <f>'A) Base RI'!A196</f>
        <v>5712</v>
      </c>
      <c r="B194" s="13" t="str">
        <f>'A) Base RI'!B196</f>
        <v>Coppet</v>
      </c>
      <c r="C194" s="135">
        <f>'A) Base RI'!AN196</f>
        <v>2936</v>
      </c>
      <c r="D194" s="176">
        <f>'D) Ecrêtage'!N194</f>
        <v>82.246767606018025</v>
      </c>
      <c r="E194" s="44">
        <f t="shared" si="12"/>
        <v>0</v>
      </c>
      <c r="F194" s="179">
        <f t="shared" si="10"/>
        <v>0</v>
      </c>
      <c r="G194" s="160">
        <f>'A) Base RI'!AM196</f>
        <v>53</v>
      </c>
      <c r="H194" s="168">
        <f t="shared" si="11"/>
        <v>0.78093754454708275</v>
      </c>
      <c r="I194" s="183">
        <f t="shared" si="13"/>
        <v>0</v>
      </c>
    </row>
    <row r="195" spans="1:9" x14ac:dyDescent="0.25">
      <c r="A195" s="61">
        <f>'A) Base RI'!A197</f>
        <v>5713</v>
      </c>
      <c r="B195" s="13" t="str">
        <f>'A) Base RI'!B197</f>
        <v>Crans-près-Céligny</v>
      </c>
      <c r="C195" s="135">
        <f>'A) Base RI'!AN197</f>
        <v>2044</v>
      </c>
      <c r="D195" s="176">
        <f>'D) Ecrêtage'!N195</f>
        <v>91.66740833411518</v>
      </c>
      <c r="E195" s="44">
        <f t="shared" si="12"/>
        <v>0</v>
      </c>
      <c r="F195" s="179">
        <f t="shared" si="10"/>
        <v>0</v>
      </c>
      <c r="G195" s="160">
        <f>'A) Base RI'!AM197</f>
        <v>53</v>
      </c>
      <c r="H195" s="168">
        <f t="shared" si="11"/>
        <v>0.78093754454708275</v>
      </c>
      <c r="I195" s="183">
        <f t="shared" si="13"/>
        <v>0</v>
      </c>
    </row>
    <row r="196" spans="1:9" x14ac:dyDescent="0.25">
      <c r="A196" s="61">
        <f>'A) Base RI'!A198</f>
        <v>5714</v>
      </c>
      <c r="B196" s="13" t="str">
        <f>'A) Base RI'!B198</f>
        <v>Crassier</v>
      </c>
      <c r="C196" s="135">
        <f>'A) Base RI'!AN198</f>
        <v>1141</v>
      </c>
      <c r="D196" s="176">
        <f>'D) Ecrêtage'!N196</f>
        <v>61.863580795965902</v>
      </c>
      <c r="E196" s="44">
        <f t="shared" si="12"/>
        <v>0</v>
      </c>
      <c r="F196" s="179">
        <f t="shared" si="10"/>
        <v>0</v>
      </c>
      <c r="G196" s="160">
        <f>'A) Base RI'!AM198</f>
        <v>64</v>
      </c>
      <c r="H196" s="168">
        <f t="shared" si="11"/>
        <v>0.94301892171723201</v>
      </c>
      <c r="I196" s="183">
        <f t="shared" si="13"/>
        <v>0</v>
      </c>
    </row>
    <row r="197" spans="1:9" x14ac:dyDescent="0.25">
      <c r="A197" s="61">
        <f>'A) Base RI'!A199</f>
        <v>5715</v>
      </c>
      <c r="B197" s="13" t="str">
        <f>'A) Base RI'!B199</f>
        <v>Duillier</v>
      </c>
      <c r="C197" s="135">
        <f>'A) Base RI'!AN199</f>
        <v>998</v>
      </c>
      <c r="D197" s="176">
        <f>'D) Ecrêtage'!N197</f>
        <v>57.195798623265262</v>
      </c>
      <c r="E197" s="44">
        <f t="shared" si="12"/>
        <v>0</v>
      </c>
      <c r="F197" s="179">
        <f t="shared" ref="F197:F260" si="14">(C197*E197*G197)*$E$4</f>
        <v>0</v>
      </c>
      <c r="G197" s="160">
        <f>'A) Base RI'!AM199</f>
        <v>66</v>
      </c>
      <c r="H197" s="168">
        <f t="shared" si="11"/>
        <v>0.97248826302089553</v>
      </c>
      <c r="I197" s="183">
        <f t="shared" si="13"/>
        <v>0</v>
      </c>
    </row>
    <row r="198" spans="1:9" x14ac:dyDescent="0.25">
      <c r="A198" s="61">
        <f>'A) Base RI'!A200</f>
        <v>5716</v>
      </c>
      <c r="B198" s="13" t="str">
        <f>'A) Base RI'!B200</f>
        <v>Eysins</v>
      </c>
      <c r="C198" s="135">
        <f>'A) Base RI'!AN200</f>
        <v>1469</v>
      </c>
      <c r="D198" s="176">
        <f>'D) Ecrêtage'!N198</f>
        <v>72.390246122671101</v>
      </c>
      <c r="E198" s="44">
        <f t="shared" si="12"/>
        <v>0</v>
      </c>
      <c r="F198" s="179">
        <f t="shared" si="14"/>
        <v>0</v>
      </c>
      <c r="G198" s="160">
        <f>'A) Base RI'!AM200</f>
        <v>61</v>
      </c>
      <c r="H198" s="168">
        <f t="shared" ref="H198:H261" si="15">G198/$G$323</f>
        <v>0.89881490976173684</v>
      </c>
      <c r="I198" s="183">
        <f t="shared" si="13"/>
        <v>0</v>
      </c>
    </row>
    <row r="199" spans="1:9" x14ac:dyDescent="0.25">
      <c r="A199" s="61">
        <f>'A) Base RI'!A201</f>
        <v>5717</v>
      </c>
      <c r="B199" s="13" t="str">
        <f>'A) Base RI'!B201</f>
        <v>Founex</v>
      </c>
      <c r="C199" s="135">
        <f>'A) Base RI'!AN201</f>
        <v>3372</v>
      </c>
      <c r="D199" s="176">
        <f>'D) Ecrêtage'!N199</f>
        <v>80.938120111336914</v>
      </c>
      <c r="E199" s="44">
        <f t="shared" si="12"/>
        <v>0</v>
      </c>
      <c r="F199" s="179">
        <f t="shared" si="14"/>
        <v>0</v>
      </c>
      <c r="G199" s="160">
        <f>'A) Base RI'!AM201</f>
        <v>57</v>
      </c>
      <c r="H199" s="168">
        <f t="shared" si="15"/>
        <v>0.83987622715440979</v>
      </c>
      <c r="I199" s="183">
        <f t="shared" si="13"/>
        <v>0</v>
      </c>
    </row>
    <row r="200" spans="1:9" x14ac:dyDescent="0.25">
      <c r="A200" s="61">
        <f>'A) Base RI'!A202</f>
        <v>5718</v>
      </c>
      <c r="B200" s="13" t="str">
        <f>'A) Base RI'!B202</f>
        <v>Genolier</v>
      </c>
      <c r="C200" s="135">
        <f>'A) Base RI'!AN202</f>
        <v>1890</v>
      </c>
      <c r="D200" s="176">
        <f>'D) Ecrêtage'!N200</f>
        <v>68.836787166691337</v>
      </c>
      <c r="E200" s="44">
        <f t="shared" si="12"/>
        <v>0</v>
      </c>
      <c r="F200" s="179">
        <f t="shared" si="14"/>
        <v>0</v>
      </c>
      <c r="G200" s="160">
        <f>'A) Base RI'!AM202</f>
        <v>55</v>
      </c>
      <c r="H200" s="168">
        <f t="shared" si="15"/>
        <v>0.81040688585074627</v>
      </c>
      <c r="I200" s="183">
        <f t="shared" si="13"/>
        <v>0</v>
      </c>
    </row>
    <row r="201" spans="1:9" x14ac:dyDescent="0.25">
      <c r="A201" s="61">
        <f>'A) Base RI'!A203</f>
        <v>5719</v>
      </c>
      <c r="B201" s="13" t="str">
        <f>'A) Base RI'!B203</f>
        <v>Gingins</v>
      </c>
      <c r="C201" s="135">
        <f>'A) Base RI'!AN203</f>
        <v>1204</v>
      </c>
      <c r="D201" s="176">
        <f>'D) Ecrêtage'!N201</f>
        <v>69.963028369476319</v>
      </c>
      <c r="E201" s="44">
        <f t="shared" si="12"/>
        <v>0</v>
      </c>
      <c r="F201" s="179">
        <f t="shared" si="14"/>
        <v>0</v>
      </c>
      <c r="G201" s="160">
        <f>'A) Base RI'!AM203</f>
        <v>57</v>
      </c>
      <c r="H201" s="168">
        <f t="shared" si="15"/>
        <v>0.83987622715440979</v>
      </c>
      <c r="I201" s="183">
        <f t="shared" si="13"/>
        <v>0</v>
      </c>
    </row>
    <row r="202" spans="1:9" x14ac:dyDescent="0.25">
      <c r="A202" s="61">
        <f>'A) Base RI'!A204</f>
        <v>5720</v>
      </c>
      <c r="B202" s="13" t="str">
        <f>'A) Base RI'!B204</f>
        <v>Givrins</v>
      </c>
      <c r="C202" s="135">
        <f>'A) Base RI'!AN204</f>
        <v>971</v>
      </c>
      <c r="D202" s="176">
        <f>'D) Ecrêtage'!N202</f>
        <v>71.743094713956324</v>
      </c>
      <c r="E202" s="44">
        <f t="shared" si="12"/>
        <v>0</v>
      </c>
      <c r="F202" s="179">
        <f t="shared" si="14"/>
        <v>0</v>
      </c>
      <c r="G202" s="160">
        <f>'A) Base RI'!AM204</f>
        <v>61</v>
      </c>
      <c r="H202" s="168">
        <f t="shared" si="15"/>
        <v>0.89881490976173684</v>
      </c>
      <c r="I202" s="183">
        <f t="shared" si="13"/>
        <v>0</v>
      </c>
    </row>
    <row r="203" spans="1:9" x14ac:dyDescent="0.25">
      <c r="A203" s="61">
        <f>'A) Base RI'!A205</f>
        <v>5721</v>
      </c>
      <c r="B203" s="13" t="str">
        <f>'A) Base RI'!B205</f>
        <v>Gland</v>
      </c>
      <c r="C203" s="135">
        <f>'A) Base RI'!AN205</f>
        <v>12663</v>
      </c>
      <c r="D203" s="176">
        <f>'D) Ecrêtage'!N203</f>
        <v>43.952843192981689</v>
      </c>
      <c r="E203" s="44">
        <f t="shared" si="12"/>
        <v>0</v>
      </c>
      <c r="F203" s="179">
        <f t="shared" si="14"/>
        <v>0</v>
      </c>
      <c r="G203" s="160">
        <f>'A) Base RI'!AM205</f>
        <v>62.5</v>
      </c>
      <c r="H203" s="168">
        <f t="shared" si="15"/>
        <v>0.92091691573948442</v>
      </c>
      <c r="I203" s="183">
        <f t="shared" si="13"/>
        <v>0</v>
      </c>
    </row>
    <row r="204" spans="1:9" x14ac:dyDescent="0.25">
      <c r="A204" s="61">
        <f>'A) Base RI'!A206</f>
        <v>5722</v>
      </c>
      <c r="B204" s="13" t="str">
        <f>'A) Base RI'!B206</f>
        <v>Grens</v>
      </c>
      <c r="C204" s="135">
        <f>'A) Base RI'!AN206</f>
        <v>380</v>
      </c>
      <c r="D204" s="176">
        <f>'D) Ecrêtage'!N204</f>
        <v>61.923663661411723</v>
      </c>
      <c r="E204" s="44">
        <f t="shared" si="12"/>
        <v>0</v>
      </c>
      <c r="F204" s="179">
        <f t="shared" si="14"/>
        <v>0</v>
      </c>
      <c r="G204" s="160">
        <f>'A) Base RI'!AM206</f>
        <v>57</v>
      </c>
      <c r="H204" s="168">
        <f t="shared" si="15"/>
        <v>0.83987622715440979</v>
      </c>
      <c r="I204" s="183">
        <f t="shared" si="13"/>
        <v>0</v>
      </c>
    </row>
    <row r="205" spans="1:9" x14ac:dyDescent="0.25">
      <c r="A205" s="61">
        <f>'A) Base RI'!A207</f>
        <v>5723</v>
      </c>
      <c r="B205" s="13" t="str">
        <f>'A) Base RI'!B207</f>
        <v>Mies</v>
      </c>
      <c r="C205" s="135">
        <f>'A) Base RI'!AN207</f>
        <v>1778</v>
      </c>
      <c r="D205" s="176">
        <f>'D) Ecrêtage'!N205</f>
        <v>100.42825245500721</v>
      </c>
      <c r="E205" s="44">
        <f t="shared" si="12"/>
        <v>0</v>
      </c>
      <c r="F205" s="179">
        <f t="shared" si="14"/>
        <v>0</v>
      </c>
      <c r="G205" s="160">
        <f>'A) Base RI'!AM207</f>
        <v>49</v>
      </c>
      <c r="H205" s="168">
        <f t="shared" si="15"/>
        <v>0.72199886193975582</v>
      </c>
      <c r="I205" s="183">
        <f t="shared" si="13"/>
        <v>0</v>
      </c>
    </row>
    <row r="206" spans="1:9" x14ac:dyDescent="0.25">
      <c r="A206" s="61">
        <f>'A) Base RI'!A208</f>
        <v>5724</v>
      </c>
      <c r="B206" s="13" t="str">
        <f>'A) Base RI'!B208</f>
        <v>Nyon</v>
      </c>
      <c r="C206" s="135">
        <f>'A) Base RI'!AN208</f>
        <v>19861</v>
      </c>
      <c r="D206" s="176">
        <f>'D) Ecrêtage'!N206</f>
        <v>64.01830218558672</v>
      </c>
      <c r="E206" s="44">
        <f t="shared" si="12"/>
        <v>0</v>
      </c>
      <c r="F206" s="179">
        <f t="shared" si="14"/>
        <v>0</v>
      </c>
      <c r="G206" s="160">
        <f>'A) Base RI'!AM208</f>
        <v>61</v>
      </c>
      <c r="H206" s="168">
        <f t="shared" si="15"/>
        <v>0.89881490976173684</v>
      </c>
      <c r="I206" s="183">
        <f t="shared" si="13"/>
        <v>0</v>
      </c>
    </row>
    <row r="207" spans="1:9" x14ac:dyDescent="0.25">
      <c r="A207" s="61">
        <f>'A) Base RI'!A209</f>
        <v>5725</v>
      </c>
      <c r="B207" s="13" t="str">
        <f>'A) Base RI'!B209</f>
        <v>Prangins</v>
      </c>
      <c r="C207" s="135">
        <f>'A) Base RI'!AN209</f>
        <v>3976</v>
      </c>
      <c r="D207" s="176">
        <f>'D) Ecrêtage'!N207</f>
        <v>64.577717982159768</v>
      </c>
      <c r="E207" s="44">
        <f t="shared" si="12"/>
        <v>0</v>
      </c>
      <c r="F207" s="179">
        <f t="shared" si="14"/>
        <v>0</v>
      </c>
      <c r="G207" s="160">
        <f>'A) Base RI'!AM209</f>
        <v>56</v>
      </c>
      <c r="H207" s="168">
        <f t="shared" si="15"/>
        <v>0.82514155650257803</v>
      </c>
      <c r="I207" s="183">
        <f t="shared" si="13"/>
        <v>0</v>
      </c>
    </row>
    <row r="208" spans="1:9" x14ac:dyDescent="0.25">
      <c r="A208" s="61">
        <f>'A) Base RI'!A210</f>
        <v>5726</v>
      </c>
      <c r="B208" s="13" t="str">
        <f>'A) Base RI'!B210</f>
        <v>La Rippe</v>
      </c>
      <c r="C208" s="135">
        <f>'A) Base RI'!AN210</f>
        <v>1104</v>
      </c>
      <c r="D208" s="176">
        <f>'D) Ecrêtage'!N208</f>
        <v>54.737386566332226</v>
      </c>
      <c r="E208" s="44">
        <f t="shared" ref="E208:E271" si="16">IF($D$323-D208&lt;0,0,$D$323-D208)</f>
        <v>0</v>
      </c>
      <c r="F208" s="179">
        <f t="shared" si="14"/>
        <v>0</v>
      </c>
      <c r="G208" s="160">
        <f>'A) Base RI'!AM210</f>
        <v>65</v>
      </c>
      <c r="H208" s="168">
        <f t="shared" si="15"/>
        <v>0.95775359236906377</v>
      </c>
      <c r="I208" s="183">
        <f t="shared" si="13"/>
        <v>0</v>
      </c>
    </row>
    <row r="209" spans="1:9" x14ac:dyDescent="0.25">
      <c r="A209" s="61">
        <f>'A) Base RI'!A211</f>
        <v>5727</v>
      </c>
      <c r="B209" s="13" t="str">
        <f>'A) Base RI'!B211</f>
        <v>Saint-Cergue</v>
      </c>
      <c r="C209" s="135">
        <f>'A) Base RI'!AN211</f>
        <v>2406</v>
      </c>
      <c r="D209" s="176">
        <f>'D) Ecrêtage'!N209</f>
        <v>38.397577541835645</v>
      </c>
      <c r="E209" s="44">
        <f t="shared" si="16"/>
        <v>5.2240503022015901</v>
      </c>
      <c r="F209" s="179">
        <f t="shared" si="14"/>
        <v>223980.73878286901</v>
      </c>
      <c r="G209" s="160">
        <f>'A) Base RI'!AM211</f>
        <v>66</v>
      </c>
      <c r="H209" s="168">
        <f t="shared" si="15"/>
        <v>0.97248826302089553</v>
      </c>
      <c r="I209" s="183">
        <f t="shared" si="13"/>
        <v>217818.63960908921</v>
      </c>
    </row>
    <row r="210" spans="1:9" x14ac:dyDescent="0.25">
      <c r="A210" s="61">
        <f>'A) Base RI'!A212</f>
        <v>5728</v>
      </c>
      <c r="B210" s="13" t="str">
        <f>'A) Base RI'!B212</f>
        <v>Signy-Avenex</v>
      </c>
      <c r="C210" s="135">
        <f>'A) Base RI'!AN212</f>
        <v>481</v>
      </c>
      <c r="D210" s="176">
        <f>'D) Ecrêtage'!N210</f>
        <v>61.294484606497932</v>
      </c>
      <c r="E210" s="44">
        <f t="shared" si="16"/>
        <v>0</v>
      </c>
      <c r="F210" s="179">
        <f t="shared" si="14"/>
        <v>0</v>
      </c>
      <c r="G210" s="160">
        <f>'A) Base RI'!AM212</f>
        <v>56</v>
      </c>
      <c r="H210" s="168">
        <f t="shared" si="15"/>
        <v>0.82514155650257803</v>
      </c>
      <c r="I210" s="183">
        <f t="shared" si="13"/>
        <v>0</v>
      </c>
    </row>
    <row r="211" spans="1:9" x14ac:dyDescent="0.25">
      <c r="A211" s="61">
        <f>'A) Base RI'!A213</f>
        <v>5729</v>
      </c>
      <c r="B211" s="13" t="str">
        <f>'A) Base RI'!B213</f>
        <v>Tannay</v>
      </c>
      <c r="C211" s="135">
        <f>'A) Base RI'!AN213</f>
        <v>1448</v>
      </c>
      <c r="D211" s="176">
        <f>'D) Ecrêtage'!N211</f>
        <v>77.909414823855002</v>
      </c>
      <c r="E211" s="44">
        <f t="shared" si="16"/>
        <v>0</v>
      </c>
      <c r="F211" s="179">
        <f t="shared" si="14"/>
        <v>0</v>
      </c>
      <c r="G211" s="160">
        <f>'A) Base RI'!AM213</f>
        <v>61</v>
      </c>
      <c r="H211" s="168">
        <f t="shared" si="15"/>
        <v>0.89881490976173684</v>
      </c>
      <c r="I211" s="183">
        <f t="shared" si="13"/>
        <v>0</v>
      </c>
    </row>
    <row r="212" spans="1:9" x14ac:dyDescent="0.25">
      <c r="A212" s="61">
        <f>'A) Base RI'!A214</f>
        <v>5730</v>
      </c>
      <c r="B212" s="13" t="str">
        <f>'A) Base RI'!B214</f>
        <v>Trélex</v>
      </c>
      <c r="C212" s="135">
        <f>'A) Base RI'!AN214</f>
        <v>1394</v>
      </c>
      <c r="D212" s="176">
        <f>'D) Ecrêtage'!N212</f>
        <v>82.879726891336404</v>
      </c>
      <c r="E212" s="44">
        <f t="shared" si="16"/>
        <v>0</v>
      </c>
      <c r="F212" s="179">
        <f t="shared" si="14"/>
        <v>0</v>
      </c>
      <c r="G212" s="160">
        <f>'A) Base RI'!AM214</f>
        <v>53</v>
      </c>
      <c r="H212" s="168">
        <f t="shared" si="15"/>
        <v>0.78093754454708275</v>
      </c>
      <c r="I212" s="183">
        <f t="shared" si="13"/>
        <v>0</v>
      </c>
    </row>
    <row r="213" spans="1:9" x14ac:dyDescent="0.25">
      <c r="A213" s="61">
        <f>'A) Base RI'!A215</f>
        <v>5731</v>
      </c>
      <c r="B213" s="13" t="str">
        <f>'A) Base RI'!B215</f>
        <v>Le Vaud</v>
      </c>
      <c r="C213" s="135">
        <f>'A) Base RI'!AN215</f>
        <v>1243</v>
      </c>
      <c r="D213" s="176">
        <f>'D) Ecrêtage'!N213</f>
        <v>37.369173612228479</v>
      </c>
      <c r="E213" s="44">
        <f t="shared" si="16"/>
        <v>6.2524542318087555</v>
      </c>
      <c r="F213" s="179">
        <f t="shared" si="14"/>
        <v>157378.96235530026</v>
      </c>
      <c r="G213" s="160">
        <f>'A) Base RI'!AM215</f>
        <v>75</v>
      </c>
      <c r="H213" s="168">
        <f t="shared" si="15"/>
        <v>1.1051002988873813</v>
      </c>
      <c r="I213" s="183">
        <f t="shared" si="13"/>
        <v>173919.53833742824</v>
      </c>
    </row>
    <row r="214" spans="1:9" x14ac:dyDescent="0.25">
      <c r="A214" s="61">
        <f>'A) Base RI'!A216</f>
        <v>5732</v>
      </c>
      <c r="B214" s="13" t="str">
        <f>'A) Base RI'!B216</f>
        <v>Vich</v>
      </c>
      <c r="C214" s="135">
        <f>'A) Base RI'!AN216</f>
        <v>882</v>
      </c>
      <c r="D214" s="176">
        <f>'D) Ecrêtage'!N214</f>
        <v>61.373589817979628</v>
      </c>
      <c r="E214" s="44">
        <f t="shared" si="16"/>
        <v>0</v>
      </c>
      <c r="F214" s="179">
        <f t="shared" si="14"/>
        <v>0</v>
      </c>
      <c r="G214" s="160">
        <f>'A) Base RI'!AM216</f>
        <v>68</v>
      </c>
      <c r="H214" s="168">
        <f t="shared" si="15"/>
        <v>1.001957604324559</v>
      </c>
      <c r="I214" s="183">
        <f t="shared" si="13"/>
        <v>0</v>
      </c>
    </row>
    <row r="215" spans="1:9" x14ac:dyDescent="0.25">
      <c r="A215" s="61">
        <f>'A) Base RI'!A217</f>
        <v>5741</v>
      </c>
      <c r="B215" s="13" t="str">
        <f>'A) Base RI'!B217</f>
        <v>L'Abergement</v>
      </c>
      <c r="C215" s="135">
        <f>'A) Base RI'!AN217</f>
        <v>250</v>
      </c>
      <c r="D215" s="176">
        <f>'D) Ecrêtage'!N215</f>
        <v>27.979555967078195</v>
      </c>
      <c r="E215" s="44">
        <f t="shared" si="16"/>
        <v>15.64207187695904</v>
      </c>
      <c r="F215" s="179">
        <f t="shared" si="14"/>
        <v>85523.02798727357</v>
      </c>
      <c r="G215" s="160">
        <f>'A) Base RI'!AM217</f>
        <v>81</v>
      </c>
      <c r="H215" s="168">
        <f t="shared" si="15"/>
        <v>1.1935083227983718</v>
      </c>
      <c r="I215" s="183">
        <f t="shared" si="13"/>
        <v>102072.4456937291</v>
      </c>
    </row>
    <row r="216" spans="1:9" x14ac:dyDescent="0.25">
      <c r="A216" s="61">
        <f>'A) Base RI'!A218</f>
        <v>5742</v>
      </c>
      <c r="B216" s="13" t="str">
        <f>'A) Base RI'!B218</f>
        <v>Agiez</v>
      </c>
      <c r="C216" s="135">
        <f>'A) Base RI'!AN218</f>
        <v>308</v>
      </c>
      <c r="D216" s="176">
        <f>'D) Ecrêtage'!N216</f>
        <v>30.110529306220098</v>
      </c>
      <c r="E216" s="44">
        <f t="shared" si="16"/>
        <v>13.511098537817137</v>
      </c>
      <c r="F216" s="179">
        <f t="shared" si="14"/>
        <v>85392.304534770359</v>
      </c>
      <c r="G216" s="160">
        <f>'A) Base RI'!AM218</f>
        <v>76</v>
      </c>
      <c r="H216" s="168">
        <f t="shared" si="15"/>
        <v>1.1198349695392131</v>
      </c>
      <c r="I216" s="183">
        <f t="shared" si="13"/>
        <v>95625.288747577782</v>
      </c>
    </row>
    <row r="217" spans="1:9" x14ac:dyDescent="0.25">
      <c r="A217" s="61">
        <f>'A) Base RI'!A219</f>
        <v>5743</v>
      </c>
      <c r="B217" s="13" t="str">
        <f>'A) Base RI'!B219</f>
        <v>Arnex-sur-Orbe</v>
      </c>
      <c r="C217" s="135">
        <f>'A) Base RI'!AN219</f>
        <v>625</v>
      </c>
      <c r="D217" s="176">
        <f>'D) Ecrêtage'!N217</f>
        <v>27.758134958904115</v>
      </c>
      <c r="E217" s="44">
        <f t="shared" si="16"/>
        <v>15.86349288513312</v>
      </c>
      <c r="F217" s="179">
        <f t="shared" si="14"/>
        <v>195418.40297873365</v>
      </c>
      <c r="G217" s="160">
        <f>'A) Base RI'!AM219</f>
        <v>73</v>
      </c>
      <c r="H217" s="168">
        <f t="shared" si="15"/>
        <v>1.0756309575837177</v>
      </c>
      <c r="I217" s="183">
        <f t="shared" si="13"/>
        <v>210198.08392549612</v>
      </c>
    </row>
    <row r="218" spans="1:9" x14ac:dyDescent="0.25">
      <c r="A218" s="61">
        <f>'A) Base RI'!A220</f>
        <v>5744</v>
      </c>
      <c r="B218" s="13" t="str">
        <f>'A) Base RI'!B220</f>
        <v>Ballaigues</v>
      </c>
      <c r="C218" s="135">
        <f>'A) Base RI'!AN220</f>
        <v>1069</v>
      </c>
      <c r="D218" s="176">
        <f>'D) Ecrêtage'!N218</f>
        <v>49.777790770190208</v>
      </c>
      <c r="E218" s="44">
        <f t="shared" si="16"/>
        <v>0</v>
      </c>
      <c r="F218" s="179">
        <f t="shared" si="14"/>
        <v>0</v>
      </c>
      <c r="G218" s="160">
        <f>'A) Base RI'!AM220</f>
        <v>66</v>
      </c>
      <c r="H218" s="168">
        <f t="shared" si="15"/>
        <v>0.97248826302089553</v>
      </c>
      <c r="I218" s="183">
        <f t="shared" si="13"/>
        <v>0</v>
      </c>
    </row>
    <row r="219" spans="1:9" x14ac:dyDescent="0.25">
      <c r="A219" s="61">
        <f>'A) Base RI'!A221</f>
        <v>5745</v>
      </c>
      <c r="B219" s="13" t="str">
        <f>'A) Base RI'!B221</f>
        <v>Baulmes</v>
      </c>
      <c r="C219" s="135">
        <f>'A) Base RI'!AN221</f>
        <v>1034</v>
      </c>
      <c r="D219" s="176">
        <f>'D) Ecrêtage'!N219</f>
        <v>26.617167956157321</v>
      </c>
      <c r="E219" s="44">
        <f t="shared" si="16"/>
        <v>17.004459887879914</v>
      </c>
      <c r="F219" s="179">
        <f t="shared" si="14"/>
        <v>370289.79869686853</v>
      </c>
      <c r="G219" s="160">
        <f>'A) Base RI'!AM221</f>
        <v>78</v>
      </c>
      <c r="H219" s="168">
        <f t="shared" si="15"/>
        <v>1.1493043108428767</v>
      </c>
      <c r="I219" s="183">
        <f t="shared" si="13"/>
        <v>425575.66190345201</v>
      </c>
    </row>
    <row r="220" spans="1:9" x14ac:dyDescent="0.25">
      <c r="A220" s="61">
        <f>'A) Base RI'!A222</f>
        <v>5746</v>
      </c>
      <c r="B220" s="13" t="str">
        <f>'A) Base RI'!B222</f>
        <v>Bavois</v>
      </c>
      <c r="C220" s="135">
        <f>'A) Base RI'!AN222</f>
        <v>939</v>
      </c>
      <c r="D220" s="176">
        <f>'D) Ecrêtage'!N220</f>
        <v>25.484647054818833</v>
      </c>
      <c r="E220" s="44">
        <f t="shared" si="16"/>
        <v>18.136980789218402</v>
      </c>
      <c r="F220" s="179">
        <f t="shared" si="14"/>
        <v>335673.61798280949</v>
      </c>
      <c r="G220" s="160">
        <f>'A) Base RI'!AM222</f>
        <v>73</v>
      </c>
      <c r="H220" s="168">
        <f t="shared" si="15"/>
        <v>1.0756309575837177</v>
      </c>
      <c r="I220" s="183">
        <f t="shared" si="13"/>
        <v>361060.9351464404</v>
      </c>
    </row>
    <row r="221" spans="1:9" x14ac:dyDescent="0.25">
      <c r="A221" s="61">
        <f>'A) Base RI'!A223</f>
        <v>5747</v>
      </c>
      <c r="B221" s="13" t="str">
        <f>'A) Base RI'!B223</f>
        <v>Bofflens</v>
      </c>
      <c r="C221" s="135">
        <f>'A) Base RI'!AN223</f>
        <v>187</v>
      </c>
      <c r="D221" s="176">
        <f>'D) Ecrêtage'!N221</f>
        <v>27.718940556459739</v>
      </c>
      <c r="E221" s="44">
        <f t="shared" si="16"/>
        <v>15.902687287577496</v>
      </c>
      <c r="F221" s="179">
        <f t="shared" si="14"/>
        <v>55401.940999335362</v>
      </c>
      <c r="G221" s="160">
        <f>'A) Base RI'!AM223</f>
        <v>69</v>
      </c>
      <c r="H221" s="168">
        <f t="shared" si="15"/>
        <v>1.0166922749763909</v>
      </c>
      <c r="I221" s="183">
        <f t="shared" si="13"/>
        <v>56326.725432722051</v>
      </c>
    </row>
    <row r="222" spans="1:9" x14ac:dyDescent="0.25">
      <c r="A222" s="61">
        <f>'A) Base RI'!A224</f>
        <v>5748</v>
      </c>
      <c r="B222" s="13" t="str">
        <f>'A) Base RI'!B224</f>
        <v>Bretonnières</v>
      </c>
      <c r="C222" s="135">
        <f>'A) Base RI'!AN224</f>
        <v>252</v>
      </c>
      <c r="D222" s="176">
        <f>'D) Ecrêtage'!N222</f>
        <v>24.368468364197533</v>
      </c>
      <c r="E222" s="44">
        <f t="shared" si="16"/>
        <v>19.253159479839702</v>
      </c>
      <c r="F222" s="179">
        <f t="shared" si="14"/>
        <v>94318.917912597113</v>
      </c>
      <c r="G222" s="160">
        <f>'A) Base RI'!AM224</f>
        <v>72</v>
      </c>
      <c r="H222" s="168">
        <f t="shared" si="15"/>
        <v>1.0608962869318861</v>
      </c>
      <c r="I222" s="183">
        <f t="shared" si="13"/>
        <v>100062.58980090763</v>
      </c>
    </row>
    <row r="223" spans="1:9" x14ac:dyDescent="0.25">
      <c r="A223" s="61">
        <f>'A) Base RI'!A225</f>
        <v>5749</v>
      </c>
      <c r="B223" s="13" t="str">
        <f>'A) Base RI'!B225</f>
        <v>Chavornay</v>
      </c>
      <c r="C223" s="135">
        <f>'A) Base RI'!AN225</f>
        <v>4156</v>
      </c>
      <c r="D223" s="176">
        <f>'D) Ecrêtage'!N223</f>
        <v>26.559543431183833</v>
      </c>
      <c r="E223" s="44">
        <f t="shared" si="16"/>
        <v>17.062084412853402</v>
      </c>
      <c r="F223" s="179">
        <f t="shared" si="14"/>
        <v>1378490.8436172763</v>
      </c>
      <c r="G223" s="160">
        <f>'A) Base RI'!AM225</f>
        <v>72</v>
      </c>
      <c r="H223" s="168">
        <f t="shared" si="15"/>
        <v>1.0608962869318861</v>
      </c>
      <c r="I223" s="183">
        <f t="shared" si="13"/>
        <v>1462435.8175631717</v>
      </c>
    </row>
    <row r="224" spans="1:9" x14ac:dyDescent="0.25">
      <c r="A224" s="61">
        <f>'A) Base RI'!A226</f>
        <v>5750</v>
      </c>
      <c r="B224" s="13" t="str">
        <f>'A) Base RI'!B226</f>
        <v>Les Clées</v>
      </c>
      <c r="C224" s="135">
        <f>'A) Base RI'!AN226</f>
        <v>186</v>
      </c>
      <c r="D224" s="176">
        <f>'D) Ecrêtage'!N224</f>
        <v>23.473734767025089</v>
      </c>
      <c r="E224" s="44">
        <f t="shared" si="16"/>
        <v>20.147893077012146</v>
      </c>
      <c r="F224" s="179">
        <f t="shared" si="14"/>
        <v>80946.175226203995</v>
      </c>
      <c r="G224" s="160">
        <f>'A) Base RI'!AM226</f>
        <v>80</v>
      </c>
      <c r="H224" s="168">
        <f t="shared" si="15"/>
        <v>1.1787736521465402</v>
      </c>
      <c r="I224" s="183">
        <f t="shared" si="13"/>
        <v>95417.218598686275</v>
      </c>
    </row>
    <row r="225" spans="1:9" x14ac:dyDescent="0.25">
      <c r="A225" s="61">
        <f>'A) Base RI'!A227</f>
        <v>5751</v>
      </c>
      <c r="B225" s="13" t="str">
        <f>'A) Base RI'!B227</f>
        <v>Corcelles-sur-Chavornay</v>
      </c>
      <c r="C225" s="135">
        <f>'A) Base RI'!AN227</f>
        <v>352</v>
      </c>
      <c r="D225" s="176">
        <f>'D) Ecrêtage'!N225</f>
        <v>25.011636513157892</v>
      </c>
      <c r="E225" s="44">
        <f t="shared" si="16"/>
        <v>18.609991330879343</v>
      </c>
      <c r="F225" s="179">
        <f t="shared" si="14"/>
        <v>134420.71178259474</v>
      </c>
      <c r="G225" s="160">
        <f>'A) Base RI'!AM227</f>
        <v>76</v>
      </c>
      <c r="H225" s="168">
        <f t="shared" si="15"/>
        <v>1.1198349695392131</v>
      </c>
      <c r="I225" s="183">
        <f t="shared" si="13"/>
        <v>150529.01368450132</v>
      </c>
    </row>
    <row r="226" spans="1:9" x14ac:dyDescent="0.25">
      <c r="A226" s="61">
        <f>'A) Base RI'!A228</f>
        <v>5752</v>
      </c>
      <c r="B226" s="13" t="str">
        <f>'A) Base RI'!B228</f>
        <v>Croy</v>
      </c>
      <c r="C226" s="135">
        <f>'A) Base RI'!AN228</f>
        <v>335</v>
      </c>
      <c r="D226" s="176">
        <f>'D) Ecrêtage'!N226</f>
        <v>42.698412551143889</v>
      </c>
      <c r="E226" s="44">
        <f t="shared" si="16"/>
        <v>0.92321529289334592</v>
      </c>
      <c r="F226" s="179">
        <f t="shared" si="14"/>
        <v>6179.3569199230324</v>
      </c>
      <c r="G226" s="160">
        <f>'A) Base RI'!AM228</f>
        <v>74</v>
      </c>
      <c r="H226" s="168">
        <f t="shared" si="15"/>
        <v>1.0903656282355496</v>
      </c>
      <c r="I226" s="183">
        <f t="shared" si="13"/>
        <v>6737.758390083568</v>
      </c>
    </row>
    <row r="227" spans="1:9" x14ac:dyDescent="0.25">
      <c r="A227" s="61">
        <f>'A) Base RI'!A229</f>
        <v>5754</v>
      </c>
      <c r="B227" s="13" t="str">
        <f>'A) Base RI'!B229</f>
        <v>Juriens</v>
      </c>
      <c r="C227" s="135">
        <f>'A) Base RI'!AN229</f>
        <v>302</v>
      </c>
      <c r="D227" s="176">
        <f>'D) Ecrêtage'!N227</f>
        <v>21.443084499958083</v>
      </c>
      <c r="E227" s="44">
        <f t="shared" si="16"/>
        <v>22.178543344079152</v>
      </c>
      <c r="F227" s="179">
        <f t="shared" si="14"/>
        <v>142866.63551782092</v>
      </c>
      <c r="G227" s="160">
        <f>'A) Base RI'!AM229</f>
        <v>79</v>
      </c>
      <c r="H227" s="168">
        <f t="shared" si="15"/>
        <v>1.1640389814947083</v>
      </c>
      <c r="I227" s="183">
        <f t="shared" ref="I227:I273" si="17">F227*H227</f>
        <v>166302.33289773998</v>
      </c>
    </row>
    <row r="228" spans="1:9" x14ac:dyDescent="0.25">
      <c r="A228" s="61">
        <f>'A) Base RI'!A230</f>
        <v>5755</v>
      </c>
      <c r="B228" s="13" t="str">
        <f>'A) Base RI'!B230</f>
        <v>Lignerolle</v>
      </c>
      <c r="C228" s="135">
        <f>'A) Base RI'!AN230</f>
        <v>394</v>
      </c>
      <c r="D228" s="176">
        <f>'D) Ecrêtage'!N228</f>
        <v>22.516473737455119</v>
      </c>
      <c r="E228" s="44">
        <f t="shared" si="16"/>
        <v>21.105154106582116</v>
      </c>
      <c r="F228" s="179">
        <f t="shared" si="14"/>
        <v>181858.46980251462</v>
      </c>
      <c r="G228" s="160">
        <f>'A) Base RI'!AM230</f>
        <v>81</v>
      </c>
      <c r="H228" s="168">
        <f t="shared" si="15"/>
        <v>1.1935083227983718</v>
      </c>
      <c r="I228" s="183">
        <f t="shared" si="17"/>
        <v>217049.59728067758</v>
      </c>
    </row>
    <row r="229" spans="1:9" x14ac:dyDescent="0.25">
      <c r="A229" s="61">
        <f>'A) Base RI'!A231</f>
        <v>5756</v>
      </c>
      <c r="B229" s="13" t="str">
        <f>'A) Base RI'!B231</f>
        <v>Montcherand</v>
      </c>
      <c r="C229" s="135">
        <f>'A) Base RI'!AN231</f>
        <v>474</v>
      </c>
      <c r="D229" s="176">
        <f>'D) Ecrêtage'!N229</f>
        <v>31.241023563464399</v>
      </c>
      <c r="E229" s="44">
        <f t="shared" si="16"/>
        <v>12.380604280572836</v>
      </c>
      <c r="F229" s="179">
        <f t="shared" si="14"/>
        <v>109328.4117721121</v>
      </c>
      <c r="G229" s="160">
        <f>'A) Base RI'!AM231</f>
        <v>69</v>
      </c>
      <c r="H229" s="168">
        <f t="shared" si="15"/>
        <v>1.0166922749763909</v>
      </c>
      <c r="I229" s="183">
        <f t="shared" si="17"/>
        <v>111153.35168414429</v>
      </c>
    </row>
    <row r="230" spans="1:9" x14ac:dyDescent="0.25">
      <c r="A230" s="61">
        <f>'A) Base RI'!A232</f>
        <v>5757</v>
      </c>
      <c r="B230" s="13" t="str">
        <f>'A) Base RI'!B232</f>
        <v>Orbe</v>
      </c>
      <c r="C230" s="135">
        <f>'A) Base RI'!AN232</f>
        <v>6767</v>
      </c>
      <c r="D230" s="176">
        <f>'D) Ecrêtage'!N230</f>
        <v>31.096554110634951</v>
      </c>
      <c r="E230" s="44">
        <f t="shared" si="16"/>
        <v>12.525073733402284</v>
      </c>
      <c r="F230" s="179">
        <f t="shared" si="14"/>
        <v>1647679.4616644625</v>
      </c>
      <c r="G230" s="160">
        <f>'A) Base RI'!AM232</f>
        <v>72</v>
      </c>
      <c r="H230" s="168">
        <f t="shared" si="15"/>
        <v>1.0608962869318861</v>
      </c>
      <c r="I230" s="183">
        <f t="shared" si="17"/>
        <v>1748017.0229337572</v>
      </c>
    </row>
    <row r="231" spans="1:9" x14ac:dyDescent="0.25">
      <c r="A231" s="61">
        <f>'A) Base RI'!A233</f>
        <v>5758</v>
      </c>
      <c r="B231" s="13" t="str">
        <f>'A) Base RI'!B233</f>
        <v>La Praz</v>
      </c>
      <c r="C231" s="135">
        <f>'A) Base RI'!AN233</f>
        <v>160</v>
      </c>
      <c r="D231" s="176">
        <f>'D) Ecrêtage'!N231</f>
        <v>24.151302292503345</v>
      </c>
      <c r="E231" s="44">
        <f t="shared" si="16"/>
        <v>19.47032555153389</v>
      </c>
      <c r="F231" s="179">
        <f t="shared" si="14"/>
        <v>69812.799297579913</v>
      </c>
      <c r="G231" s="160">
        <f>'A) Base RI'!AM233</f>
        <v>83</v>
      </c>
      <c r="H231" s="168">
        <f t="shared" si="15"/>
        <v>1.2229776641020353</v>
      </c>
      <c r="I231" s="183">
        <f t="shared" si="17"/>
        <v>85379.494209378492</v>
      </c>
    </row>
    <row r="232" spans="1:9" x14ac:dyDescent="0.25">
      <c r="A232" s="61">
        <f>'A) Base RI'!A234</f>
        <v>5759</v>
      </c>
      <c r="B232" s="13" t="str">
        <f>'A) Base RI'!B234</f>
        <v>Premier</v>
      </c>
      <c r="C232" s="135">
        <f>'A) Base RI'!AN234</f>
        <v>185</v>
      </c>
      <c r="D232" s="176">
        <f>'D) Ecrêtage'!N232</f>
        <v>24.641757090423752</v>
      </c>
      <c r="E232" s="44">
        <f t="shared" si="16"/>
        <v>18.979870753613483</v>
      </c>
      <c r="F232" s="179">
        <f t="shared" si="14"/>
        <v>76791.608075582466</v>
      </c>
      <c r="G232" s="160">
        <f>'A) Base RI'!AM234</f>
        <v>81</v>
      </c>
      <c r="H232" s="168">
        <f t="shared" si="15"/>
        <v>1.1935083227983718</v>
      </c>
      <c r="I232" s="183">
        <f t="shared" si="17"/>
        <v>91651.423359278328</v>
      </c>
    </row>
    <row r="233" spans="1:9" x14ac:dyDescent="0.25">
      <c r="A233" s="61">
        <f>'A) Base RI'!A235</f>
        <v>5760</v>
      </c>
      <c r="B233" s="13" t="str">
        <f>'A) Base RI'!B235</f>
        <v>Rances</v>
      </c>
      <c r="C233" s="135">
        <f>'A) Base RI'!AN235</f>
        <v>460</v>
      </c>
      <c r="D233" s="176">
        <f>'D) Ecrêtage'!N233</f>
        <v>24.935380156075809</v>
      </c>
      <c r="E233" s="44">
        <f t="shared" si="16"/>
        <v>18.686247687961426</v>
      </c>
      <c r="F233" s="179">
        <f t="shared" si="14"/>
        <v>181024.89310189511</v>
      </c>
      <c r="G233" s="160">
        <f>'A) Base RI'!AM235</f>
        <v>78</v>
      </c>
      <c r="H233" s="168">
        <f t="shared" si="15"/>
        <v>1.1493043108428767</v>
      </c>
      <c r="I233" s="183">
        <f t="shared" si="17"/>
        <v>208052.69001187896</v>
      </c>
    </row>
    <row r="234" spans="1:9" x14ac:dyDescent="0.25">
      <c r="A234" s="61">
        <f>'A) Base RI'!A236</f>
        <v>5761</v>
      </c>
      <c r="B234" s="13" t="str">
        <f>'A) Base RI'!B236</f>
        <v>Romainmôtier-Envy</v>
      </c>
      <c r="C234" s="135">
        <f>'A) Base RI'!AN236</f>
        <v>525</v>
      </c>
      <c r="D234" s="176">
        <f>'D) Ecrêtage'!N234</f>
        <v>21.614010902255639</v>
      </c>
      <c r="E234" s="44">
        <f t="shared" si="16"/>
        <v>22.007616941781595</v>
      </c>
      <c r="F234" s="179">
        <f t="shared" si="14"/>
        <v>237088.05731381313</v>
      </c>
      <c r="G234" s="160">
        <f>'A) Base RI'!AM236</f>
        <v>76</v>
      </c>
      <c r="H234" s="168">
        <f t="shared" si="15"/>
        <v>1.1198349695392131</v>
      </c>
      <c r="I234" s="183">
        <f t="shared" si="17"/>
        <v>265499.49744012515</v>
      </c>
    </row>
    <row r="235" spans="1:9" x14ac:dyDescent="0.25">
      <c r="A235" s="61">
        <f>'A) Base RI'!A237</f>
        <v>5762</v>
      </c>
      <c r="B235" s="13" t="str">
        <f>'A) Base RI'!B237</f>
        <v>Sergey</v>
      </c>
      <c r="C235" s="135">
        <f>'A) Base RI'!AN237</f>
        <v>144</v>
      </c>
      <c r="D235" s="176">
        <f>'D) Ecrêtage'!N235</f>
        <v>21.561175411522633</v>
      </c>
      <c r="E235" s="44">
        <f t="shared" si="16"/>
        <v>22.060452432514602</v>
      </c>
      <c r="F235" s="179">
        <f t="shared" si="14"/>
        <v>69474.541636669586</v>
      </c>
      <c r="G235" s="160">
        <f>'A) Base RI'!AM237</f>
        <v>81</v>
      </c>
      <c r="H235" s="168">
        <f t="shared" si="15"/>
        <v>1.1935083227983718</v>
      </c>
      <c r="I235" s="183">
        <f t="shared" si="17"/>
        <v>82918.443665967163</v>
      </c>
    </row>
    <row r="236" spans="1:9" x14ac:dyDescent="0.25">
      <c r="A236" s="61">
        <f>'A) Base RI'!A238</f>
        <v>5763</v>
      </c>
      <c r="B236" s="13" t="str">
        <f>'A) Base RI'!B238</f>
        <v>Valeyres-sous-Rances</v>
      </c>
      <c r="C236" s="135">
        <f>'A) Base RI'!AN238</f>
        <v>600</v>
      </c>
      <c r="D236" s="176">
        <f>'D) Ecrêtage'!N236</f>
        <v>26.881919607843137</v>
      </c>
      <c r="E236" s="44">
        <f t="shared" si="16"/>
        <v>16.739708236194097</v>
      </c>
      <c r="F236" s="179">
        <f t="shared" si="14"/>
        <v>184404.62592991418</v>
      </c>
      <c r="G236" s="160">
        <f>'A) Base RI'!AM238</f>
        <v>68</v>
      </c>
      <c r="H236" s="168">
        <f t="shared" si="15"/>
        <v>1.001957604324559</v>
      </c>
      <c r="I236" s="183">
        <f t="shared" si="17"/>
        <v>184765.61722310327</v>
      </c>
    </row>
    <row r="237" spans="1:9" x14ac:dyDescent="0.25">
      <c r="A237" s="61">
        <f>'A) Base RI'!A239</f>
        <v>5764</v>
      </c>
      <c r="B237" s="13" t="str">
        <f>'A) Base RI'!B239</f>
        <v>Vallorbe</v>
      </c>
      <c r="C237" s="135">
        <f>'A) Base RI'!AN239</f>
        <v>3650</v>
      </c>
      <c r="D237" s="176">
        <f>'D) Ecrêtage'!N237</f>
        <v>23.12164205849685</v>
      </c>
      <c r="E237" s="44">
        <f t="shared" si="16"/>
        <v>20.499985785540385</v>
      </c>
      <c r="F237" s="179">
        <f t="shared" si="14"/>
        <v>1495002.4633821039</v>
      </c>
      <c r="G237" s="160">
        <f>'A) Base RI'!AM239</f>
        <v>74</v>
      </c>
      <c r="H237" s="168">
        <f t="shared" si="15"/>
        <v>1.0903656282355496</v>
      </c>
      <c r="I237" s="183">
        <f t="shared" si="17"/>
        <v>1630099.3001993219</v>
      </c>
    </row>
    <row r="238" spans="1:9" x14ac:dyDescent="0.25">
      <c r="A238" s="61">
        <f>'A) Base RI'!A240</f>
        <v>5765</v>
      </c>
      <c r="B238" s="13" t="str">
        <f>'A) Base RI'!B240</f>
        <v>Vaulion</v>
      </c>
      <c r="C238" s="135">
        <f>'A) Base RI'!AN240</f>
        <v>491</v>
      </c>
      <c r="D238" s="176">
        <f>'D) Ecrêtage'!N238</f>
        <v>18.952261446782831</v>
      </c>
      <c r="E238" s="44">
        <f t="shared" si="16"/>
        <v>24.669366397254404</v>
      </c>
      <c r="F238" s="179">
        <f t="shared" si="14"/>
        <v>264903.85016600537</v>
      </c>
      <c r="G238" s="160">
        <f>'A) Base RI'!AM240</f>
        <v>81</v>
      </c>
      <c r="H238" s="168">
        <f t="shared" si="15"/>
        <v>1.1935083227983718</v>
      </c>
      <c r="I238" s="183">
        <f t="shared" si="17"/>
        <v>316164.94991446025</v>
      </c>
    </row>
    <row r="239" spans="1:9" x14ac:dyDescent="0.25">
      <c r="A239" s="61">
        <f>'A) Base RI'!A241</f>
        <v>5766</v>
      </c>
      <c r="B239" s="13" t="str">
        <f>'A) Base RI'!B241</f>
        <v>Vuiteboeuf</v>
      </c>
      <c r="C239" s="135">
        <f>'A) Base RI'!AN241</f>
        <v>538</v>
      </c>
      <c r="D239" s="176">
        <f>'D) Ecrêtage'!N239</f>
        <v>21.589155947610543</v>
      </c>
      <c r="E239" s="44">
        <f t="shared" si="16"/>
        <v>22.032471896426692</v>
      </c>
      <c r="F239" s="179">
        <f t="shared" si="14"/>
        <v>246433.6388109705</v>
      </c>
      <c r="G239" s="160">
        <f>'A) Base RI'!AM241</f>
        <v>77</v>
      </c>
      <c r="H239" s="168">
        <f t="shared" si="15"/>
        <v>1.1345696401910448</v>
      </c>
      <c r="I239" s="183">
        <f t="shared" si="17"/>
        <v>279596.12491673266</v>
      </c>
    </row>
    <row r="240" spans="1:9" x14ac:dyDescent="0.25">
      <c r="A240" s="61">
        <f>'A) Base RI'!A242</f>
        <v>5782</v>
      </c>
      <c r="B240" s="13" t="str">
        <f>'A) Base RI'!B242</f>
        <v>Carrouge</v>
      </c>
      <c r="C240" s="135">
        <f>'A) Base RI'!AN242</f>
        <v>1204</v>
      </c>
      <c r="D240" s="176">
        <f>'D) Ecrêtage'!N240</f>
        <v>24.974782741738061</v>
      </c>
      <c r="E240" s="44">
        <f t="shared" si="16"/>
        <v>18.646845102299174</v>
      </c>
      <c r="F240" s="179">
        <f t="shared" si="14"/>
        <v>460690.44684501161</v>
      </c>
      <c r="G240" s="160">
        <f>'A) Base RI'!AM242</f>
        <v>76</v>
      </c>
      <c r="H240" s="168">
        <f t="shared" si="15"/>
        <v>1.1198349695392131</v>
      </c>
      <c r="I240" s="183">
        <f t="shared" si="17"/>
        <v>515897.27250969008</v>
      </c>
    </row>
    <row r="241" spans="1:9" x14ac:dyDescent="0.25">
      <c r="A241" s="61">
        <f>'A) Base RI'!A243</f>
        <v>5785</v>
      </c>
      <c r="B241" s="13" t="str">
        <f>'A) Base RI'!B243</f>
        <v>Corcelles-le-Jorat</v>
      </c>
      <c r="C241" s="135">
        <f>'A) Base RI'!AN243</f>
        <v>421</v>
      </c>
      <c r="D241" s="176">
        <f>'D) Ecrêtage'!N241</f>
        <v>29.199663549715865</v>
      </c>
      <c r="E241" s="44">
        <f t="shared" si="16"/>
        <v>14.42196429432137</v>
      </c>
      <c r="F241" s="179">
        <f t="shared" si="14"/>
        <v>129508.22982550532</v>
      </c>
      <c r="G241" s="160">
        <f>'A) Base RI'!AM243</f>
        <v>79</v>
      </c>
      <c r="H241" s="168">
        <f t="shared" si="15"/>
        <v>1.1640389814947083</v>
      </c>
      <c r="I241" s="183">
        <f t="shared" si="17"/>
        <v>150752.62794126381</v>
      </c>
    </row>
    <row r="242" spans="1:9" x14ac:dyDescent="0.25">
      <c r="A242" s="61">
        <f>'A) Base RI'!A244</f>
        <v>5788</v>
      </c>
      <c r="B242" s="13" t="str">
        <f>'A) Base RI'!B244</f>
        <v>Essertes</v>
      </c>
      <c r="C242" s="135">
        <f>'A) Base RI'!AN244</f>
        <v>330</v>
      </c>
      <c r="D242" s="176">
        <f>'D) Ecrêtage'!N242</f>
        <v>31.552484415584413</v>
      </c>
      <c r="E242" s="44">
        <f t="shared" si="16"/>
        <v>12.069143428452822</v>
      </c>
      <c r="F242" s="179">
        <f t="shared" si="14"/>
        <v>75275.247563260244</v>
      </c>
      <c r="G242" s="160">
        <f>'A) Base RI'!AM244</f>
        <v>70</v>
      </c>
      <c r="H242" s="168">
        <f t="shared" si="15"/>
        <v>1.0314269456282226</v>
      </c>
      <c r="I242" s="183">
        <f t="shared" si="17"/>
        <v>77640.918675581823</v>
      </c>
    </row>
    <row r="243" spans="1:9" x14ac:dyDescent="0.25">
      <c r="A243" s="61">
        <f>'A) Base RI'!A245</f>
        <v>5789</v>
      </c>
      <c r="B243" s="13" t="str">
        <f>'A) Base RI'!B245</f>
        <v>Ferlens</v>
      </c>
      <c r="C243" s="135">
        <f>'A) Base RI'!AN245</f>
        <v>336</v>
      </c>
      <c r="D243" s="176">
        <f>'D) Ecrêtage'!N243</f>
        <v>29.980550015460732</v>
      </c>
      <c r="E243" s="44">
        <f t="shared" si="16"/>
        <v>13.641077828576503</v>
      </c>
      <c r="F243" s="179">
        <f t="shared" si="14"/>
        <v>95288.930706851446</v>
      </c>
      <c r="G243" s="160">
        <f>'A) Base RI'!AM245</f>
        <v>77</v>
      </c>
      <c r="H243" s="168">
        <f t="shared" si="15"/>
        <v>1.1345696401910448</v>
      </c>
      <c r="I243" s="183">
        <f t="shared" si="17"/>
        <v>108111.92782626185</v>
      </c>
    </row>
    <row r="244" spans="1:9" x14ac:dyDescent="0.25">
      <c r="A244" s="61">
        <f>'A) Base RI'!A246</f>
        <v>5790</v>
      </c>
      <c r="B244" s="13" t="str">
        <f>'A) Base RI'!B246</f>
        <v>Maracon</v>
      </c>
      <c r="C244" s="135">
        <f>'A) Base RI'!AN246</f>
        <v>444</v>
      </c>
      <c r="D244" s="176">
        <f>'D) Ecrêtage'!N244</f>
        <v>27.269615042674246</v>
      </c>
      <c r="E244" s="44">
        <f t="shared" si="16"/>
        <v>16.352012801362989</v>
      </c>
      <c r="F244" s="179">
        <f t="shared" si="14"/>
        <v>148981.22639168205</v>
      </c>
      <c r="G244" s="160">
        <f>'A) Base RI'!AM246</f>
        <v>76</v>
      </c>
      <c r="H244" s="168">
        <f t="shared" si="15"/>
        <v>1.1198349695392131</v>
      </c>
      <c r="I244" s="183">
        <f t="shared" si="17"/>
        <v>166834.38711824387</v>
      </c>
    </row>
    <row r="245" spans="1:9" x14ac:dyDescent="0.25">
      <c r="A245" s="61">
        <f>'A) Base RI'!A247</f>
        <v>5791</v>
      </c>
      <c r="B245" s="13" t="str">
        <f>'A) Base RI'!B247</f>
        <v>Mézières</v>
      </c>
      <c r="C245" s="135">
        <f>'A) Base RI'!AN247</f>
        <v>1215</v>
      </c>
      <c r="D245" s="176">
        <f>'D) Ecrêtage'!N245</f>
        <v>35.320870839650574</v>
      </c>
      <c r="E245" s="44">
        <f t="shared" si="16"/>
        <v>8.3007570043866608</v>
      </c>
      <c r="F245" s="179">
        <f t="shared" si="14"/>
        <v>206952.81348196737</v>
      </c>
      <c r="G245" s="160">
        <f>'A) Base RI'!AM247</f>
        <v>76</v>
      </c>
      <c r="H245" s="168">
        <f t="shared" si="15"/>
        <v>1.1198349695392131</v>
      </c>
      <c r="I245" s="183">
        <f t="shared" si="17"/>
        <v>231752.99758163339</v>
      </c>
    </row>
    <row r="246" spans="1:9" x14ac:dyDescent="0.25">
      <c r="A246" s="61">
        <f>'A) Base RI'!A248</f>
        <v>5792</v>
      </c>
      <c r="B246" s="13" t="str">
        <f>'A) Base RI'!B248</f>
        <v>Montpreveyres</v>
      </c>
      <c r="C246" s="135">
        <f>'A) Base RI'!AN248</f>
        <v>628</v>
      </c>
      <c r="D246" s="176">
        <f>'D) Ecrêtage'!N246</f>
        <v>30.395691330962038</v>
      </c>
      <c r="E246" s="44">
        <f t="shared" si="16"/>
        <v>13.225936513075197</v>
      </c>
      <c r="F246" s="179">
        <f t="shared" si="14"/>
        <v>172679.41422709136</v>
      </c>
      <c r="G246" s="160">
        <f>'A) Base RI'!AM248</f>
        <v>77</v>
      </c>
      <c r="H246" s="168">
        <f t="shared" si="15"/>
        <v>1.1345696401910448</v>
      </c>
      <c r="I246" s="183">
        <f t="shared" si="17"/>
        <v>195916.82086803141</v>
      </c>
    </row>
    <row r="247" spans="1:9" x14ac:dyDescent="0.25">
      <c r="A247" s="61">
        <f>'A) Base RI'!A249</f>
        <v>5798</v>
      </c>
      <c r="B247" s="13" t="str">
        <f>'A) Base RI'!B249</f>
        <v>Ropraz</v>
      </c>
      <c r="C247" s="135">
        <f>'A) Base RI'!AN249</f>
        <v>405</v>
      </c>
      <c r="D247" s="176">
        <f>'D) Ecrêtage'!N247</f>
        <v>23.60075730784548</v>
      </c>
      <c r="E247" s="44">
        <f t="shared" si="16"/>
        <v>20.020870536191754</v>
      </c>
      <c r="F247" s="179">
        <f t="shared" si="14"/>
        <v>169669.36996777405</v>
      </c>
      <c r="G247" s="160">
        <f>'A) Base RI'!AM249</f>
        <v>77.5</v>
      </c>
      <c r="H247" s="168">
        <f t="shared" si="15"/>
        <v>1.1419369755169606</v>
      </c>
      <c r="I247" s="183">
        <f t="shared" si="17"/>
        <v>193751.72717886814</v>
      </c>
    </row>
    <row r="248" spans="1:9" x14ac:dyDescent="0.25">
      <c r="A248" s="61">
        <f>'A) Base RI'!A250</f>
        <v>5799</v>
      </c>
      <c r="B248" s="13" t="str">
        <f>'A) Base RI'!B250</f>
        <v>Servion</v>
      </c>
      <c r="C248" s="135">
        <f>'A) Base RI'!AN250</f>
        <v>1908</v>
      </c>
      <c r="D248" s="176">
        <f>'D) Ecrêtage'!N248</f>
        <v>26.921634004800541</v>
      </c>
      <c r="E248" s="44">
        <f t="shared" si="16"/>
        <v>16.699993839236694</v>
      </c>
      <c r="F248" s="179">
        <f t="shared" si="14"/>
        <v>593618.64900926116</v>
      </c>
      <c r="G248" s="160">
        <f>'A) Base RI'!AM250</f>
        <v>69</v>
      </c>
      <c r="H248" s="168">
        <f t="shared" si="15"/>
        <v>1.0166922749763909</v>
      </c>
      <c r="I248" s="183">
        <f t="shared" si="17"/>
        <v>603527.4947296374</v>
      </c>
    </row>
    <row r="249" spans="1:9" x14ac:dyDescent="0.25">
      <c r="A249" s="61">
        <f>'A) Base RI'!A251</f>
        <v>5803</v>
      </c>
      <c r="B249" s="13" t="str">
        <f>'A) Base RI'!B251</f>
        <v>Vulliens</v>
      </c>
      <c r="C249" s="135">
        <f>'A) Base RI'!AN251</f>
        <v>462</v>
      </c>
      <c r="D249" s="176">
        <f>'D) Ecrêtage'!N249</f>
        <v>27.249241088129974</v>
      </c>
      <c r="E249" s="44">
        <f t="shared" si="16"/>
        <v>16.372386755907261</v>
      </c>
      <c r="F249" s="179">
        <f t="shared" si="14"/>
        <v>165425.61343848161</v>
      </c>
      <c r="G249" s="160">
        <f>'A) Base RI'!AM251</f>
        <v>81</v>
      </c>
      <c r="H249" s="168">
        <f t="shared" si="15"/>
        <v>1.1935083227983718</v>
      </c>
      <c r="I249" s="183">
        <f t="shared" si="17"/>
        <v>197436.84644285397</v>
      </c>
    </row>
    <row r="250" spans="1:9" x14ac:dyDescent="0.25">
      <c r="A250" s="61">
        <f>'A) Base RI'!A252</f>
        <v>5804</v>
      </c>
      <c r="B250" s="13" t="str">
        <f>'A) Base RI'!B252</f>
        <v>Jorat-Menthue</v>
      </c>
      <c r="C250" s="135">
        <f>'A) Base RI'!AN252</f>
        <v>1518</v>
      </c>
      <c r="D250" s="176">
        <f>'D) Ecrêtage'!N250</f>
        <v>27.117040147855363</v>
      </c>
      <c r="E250" s="44">
        <f t="shared" si="16"/>
        <v>16.504587696181872</v>
      </c>
      <c r="F250" s="179">
        <f t="shared" si="14"/>
        <v>487049.06254731142</v>
      </c>
      <c r="G250" s="160">
        <f>'A) Base RI'!AM252</f>
        <v>72</v>
      </c>
      <c r="H250" s="168">
        <f t="shared" si="15"/>
        <v>1.0608962869318861</v>
      </c>
      <c r="I250" s="183">
        <f>F250*H250</f>
        <v>516708.54201009864</v>
      </c>
    </row>
    <row r="251" spans="1:9" x14ac:dyDescent="0.25">
      <c r="A251" s="61">
        <f>'A) Base RI'!A253</f>
        <v>5805</v>
      </c>
      <c r="B251" s="13" t="str">
        <f>'A) Base RI'!B253</f>
        <v>Oron</v>
      </c>
      <c r="C251" s="135">
        <f>'A) Base RI'!AN253</f>
        <v>5297</v>
      </c>
      <c r="D251" s="176">
        <f>'D) Ecrêtage'!N251</f>
        <v>27.65801583315984</v>
      </c>
      <c r="E251" s="44">
        <f t="shared" si="16"/>
        <v>15.963612010877394</v>
      </c>
      <c r="F251" s="179">
        <f t="shared" si="14"/>
        <v>1575338.8800667352</v>
      </c>
      <c r="G251" s="160">
        <f>'A) Base RI'!AM253</f>
        <v>69</v>
      </c>
      <c r="H251" s="168">
        <f t="shared" si="15"/>
        <v>1.0166922749763909</v>
      </c>
      <c r="I251" s="183">
        <f>F251*H251</f>
        <v>1601634.8698338089</v>
      </c>
    </row>
    <row r="252" spans="1:9" x14ac:dyDescent="0.25">
      <c r="A252" s="61">
        <f>'A) Base RI'!A254</f>
        <v>5812</v>
      </c>
      <c r="B252" s="13" t="str">
        <f>'A) Base RI'!B254</f>
        <v>Champtauroz</v>
      </c>
      <c r="C252" s="135">
        <f>'A) Base RI'!AN254</f>
        <v>133</v>
      </c>
      <c r="D252" s="176">
        <f>'D) Ecrêtage'!N252</f>
        <v>18.196902157992383</v>
      </c>
      <c r="E252" s="44">
        <f t="shared" si="16"/>
        <v>25.424725686044852</v>
      </c>
      <c r="F252" s="179">
        <f t="shared" si="14"/>
        <v>70301.146252712046</v>
      </c>
      <c r="G252" s="160">
        <f>'A) Base RI'!AM254</f>
        <v>77</v>
      </c>
      <c r="H252" s="168">
        <f t="shared" si="15"/>
        <v>1.1345696401910448</v>
      </c>
      <c r="I252" s="183">
        <f>F252*H252</f>
        <v>79761.546208957516</v>
      </c>
    </row>
    <row r="253" spans="1:9" x14ac:dyDescent="0.25">
      <c r="A253" s="61">
        <f>'A) Base RI'!A255</f>
        <v>5813</v>
      </c>
      <c r="B253" s="13" t="str">
        <f>'A) Base RI'!B255</f>
        <v>Chevroux</v>
      </c>
      <c r="C253" s="135">
        <f>'A) Base RI'!AN255</f>
        <v>430</v>
      </c>
      <c r="D253" s="176">
        <f>'D) Ecrêtage'!N253</f>
        <v>26.95418272425249</v>
      </c>
      <c r="E253" s="44">
        <f t="shared" si="16"/>
        <v>16.667445119784745</v>
      </c>
      <c r="F253" s="179">
        <f t="shared" si="14"/>
        <v>135456.32648849062</v>
      </c>
      <c r="G253" s="160">
        <f>'A) Base RI'!AM255</f>
        <v>70</v>
      </c>
      <c r="H253" s="168">
        <f t="shared" si="15"/>
        <v>1.0314269456282226</v>
      </c>
      <c r="I253" s="183">
        <f t="shared" si="17"/>
        <v>139713.30509604319</v>
      </c>
    </row>
    <row r="254" spans="1:9" x14ac:dyDescent="0.25">
      <c r="A254" s="61">
        <f>'A) Base RI'!A256</f>
        <v>5816</v>
      </c>
      <c r="B254" s="13" t="str">
        <f>'A) Base RI'!B256</f>
        <v>Corcelles-près-Payerne</v>
      </c>
      <c r="C254" s="135">
        <f>'A) Base RI'!AN256</f>
        <v>2229</v>
      </c>
      <c r="D254" s="176">
        <f>'D) Ecrêtage'!N254</f>
        <v>23.756665838834412</v>
      </c>
      <c r="E254" s="44">
        <f t="shared" si="16"/>
        <v>19.864962005202823</v>
      </c>
      <c r="F254" s="179">
        <f t="shared" si="14"/>
        <v>860783.76601856749</v>
      </c>
      <c r="G254" s="160">
        <f>'A) Base RI'!AM256</f>
        <v>72</v>
      </c>
      <c r="H254" s="168">
        <f t="shared" si="15"/>
        <v>1.0608962869318861</v>
      </c>
      <c r="I254" s="183">
        <f t="shared" si="17"/>
        <v>913202.30122034368</v>
      </c>
    </row>
    <row r="255" spans="1:9" x14ac:dyDescent="0.25">
      <c r="A255" s="61">
        <f>'A) Base RI'!A257</f>
        <v>5817</v>
      </c>
      <c r="B255" s="13" t="str">
        <f>'A) Base RI'!B257</f>
        <v>Grandcour</v>
      </c>
      <c r="C255" s="135">
        <f>'A) Base RI'!AN257</f>
        <v>856</v>
      </c>
      <c r="D255" s="176">
        <f>'D) Ecrêtage'!N255</f>
        <v>24.410969258802091</v>
      </c>
      <c r="E255" s="44">
        <f t="shared" si="16"/>
        <v>19.210658585235144</v>
      </c>
      <c r="F255" s="179">
        <f t="shared" si="14"/>
        <v>352977.40927145397</v>
      </c>
      <c r="G255" s="160">
        <f>'A) Base RI'!AM257</f>
        <v>79.5</v>
      </c>
      <c r="H255" s="168">
        <f t="shared" si="15"/>
        <v>1.1714063168206241</v>
      </c>
      <c r="I255" s="183">
        <f t="shared" si="17"/>
        <v>413479.9669155599</v>
      </c>
    </row>
    <row r="256" spans="1:9" x14ac:dyDescent="0.25">
      <c r="A256" s="61">
        <f>'A) Base RI'!A258</f>
        <v>5819</v>
      </c>
      <c r="B256" s="13" t="str">
        <f>'A) Base RI'!B258</f>
        <v>Henniez</v>
      </c>
      <c r="C256" s="135">
        <f>'A) Base RI'!AN258</f>
        <v>339</v>
      </c>
      <c r="D256" s="176">
        <f>'D) Ecrêtage'!N256</f>
        <v>38.663656056003177</v>
      </c>
      <c r="E256" s="44">
        <f t="shared" si="16"/>
        <v>4.9579717880340581</v>
      </c>
      <c r="F256" s="179">
        <f t="shared" si="14"/>
        <v>30404.811569836744</v>
      </c>
      <c r="G256" s="160">
        <f>'A) Base RI'!AM258</f>
        <v>67</v>
      </c>
      <c r="H256" s="168">
        <f t="shared" si="15"/>
        <v>0.98722293367272729</v>
      </c>
      <c r="I256" s="183">
        <f t="shared" si="17"/>
        <v>30016.32727574071</v>
      </c>
    </row>
    <row r="257" spans="1:9" x14ac:dyDescent="0.25">
      <c r="A257" s="61">
        <f>'A) Base RI'!A259</f>
        <v>5821</v>
      </c>
      <c r="B257" s="13" t="str">
        <f>'A) Base RI'!B259</f>
        <v>Missy</v>
      </c>
      <c r="C257" s="135">
        <f>'A) Base RI'!AN259</f>
        <v>350</v>
      </c>
      <c r="D257" s="176">
        <f>'D) Ecrêtage'!N257</f>
        <v>20.896591666666666</v>
      </c>
      <c r="E257" s="44">
        <f t="shared" si="16"/>
        <v>22.725036177370569</v>
      </c>
      <c r="F257" s="179">
        <f t="shared" si="14"/>
        <v>154621.14615082936</v>
      </c>
      <c r="G257" s="160">
        <f>'A) Base RI'!AM259</f>
        <v>72</v>
      </c>
      <c r="H257" s="168">
        <f t="shared" si="15"/>
        <v>1.0608962869318861</v>
      </c>
      <c r="I257" s="183">
        <f t="shared" si="17"/>
        <v>164036.99983256735</v>
      </c>
    </row>
    <row r="258" spans="1:9" x14ac:dyDescent="0.25">
      <c r="A258" s="61">
        <f>'A) Base RI'!A260</f>
        <v>5822</v>
      </c>
      <c r="B258" s="13" t="str">
        <f>'A) Base RI'!B260</f>
        <v>Payerne</v>
      </c>
      <c r="C258" s="135">
        <f>'A) Base RI'!AN260</f>
        <v>9302</v>
      </c>
      <c r="D258" s="176">
        <f>'D) Ecrêtage'!N258</f>
        <v>24.128736673116887</v>
      </c>
      <c r="E258" s="44">
        <f t="shared" si="16"/>
        <v>19.492891170920348</v>
      </c>
      <c r="F258" s="179">
        <f t="shared" si="14"/>
        <v>3671788.1918559978</v>
      </c>
      <c r="G258" s="160">
        <f>'A) Base RI'!AM260</f>
        <v>75</v>
      </c>
      <c r="H258" s="168">
        <f t="shared" si="15"/>
        <v>1.1051002988873813</v>
      </c>
      <c r="I258" s="183">
        <f t="shared" si="17"/>
        <v>4057694.2282712203</v>
      </c>
    </row>
    <row r="259" spans="1:9" x14ac:dyDescent="0.25">
      <c r="A259" s="61">
        <f>'A) Base RI'!A261</f>
        <v>5827</v>
      </c>
      <c r="B259" s="13" t="str">
        <f>'A) Base RI'!B261</f>
        <v>Trey</v>
      </c>
      <c r="C259" s="135">
        <f>'A) Base RI'!AN261</f>
        <v>255</v>
      </c>
      <c r="D259" s="176">
        <f>'D) Ecrêtage'!N259</f>
        <v>25.664053431372555</v>
      </c>
      <c r="E259" s="44">
        <f t="shared" si="16"/>
        <v>17.95757441266468</v>
      </c>
      <c r="F259" s="179">
        <f t="shared" si="14"/>
        <v>98910.319864957055</v>
      </c>
      <c r="G259" s="160">
        <f>'A) Base RI'!AM261</f>
        <v>80</v>
      </c>
      <c r="H259" s="168">
        <f t="shared" si="15"/>
        <v>1.1787736521465402</v>
      </c>
      <c r="I259" s="183">
        <f t="shared" si="17"/>
        <v>116592.87898219792</v>
      </c>
    </row>
    <row r="260" spans="1:9" x14ac:dyDescent="0.25">
      <c r="A260" s="61">
        <f>'A) Base RI'!A262</f>
        <v>5828</v>
      </c>
      <c r="B260" s="13" t="str">
        <f>'A) Base RI'!B262</f>
        <v>Treytorrens (Payerne)</v>
      </c>
      <c r="C260" s="135">
        <f>'A) Base RI'!AN262</f>
        <v>124</v>
      </c>
      <c r="D260" s="176">
        <f>'D) Ecrêtage'!N260</f>
        <v>17.229974718381978</v>
      </c>
      <c r="E260" s="44">
        <f t="shared" si="16"/>
        <v>26.391653125655257</v>
      </c>
      <c r="F260" s="179">
        <f t="shared" si="14"/>
        <v>74221.773918342791</v>
      </c>
      <c r="G260" s="160">
        <f>'A) Base RI'!AM262</f>
        <v>84</v>
      </c>
      <c r="H260" s="168">
        <f t="shared" si="15"/>
        <v>1.237712334753867</v>
      </c>
      <c r="I260" s="183">
        <f t="shared" si="17"/>
        <v>91865.205086045724</v>
      </c>
    </row>
    <row r="261" spans="1:9" x14ac:dyDescent="0.25">
      <c r="A261" s="61">
        <f>'A) Base RI'!A263</f>
        <v>5830</v>
      </c>
      <c r="B261" s="13" t="str">
        <f>'A) Base RI'!B263</f>
        <v>Villarzel</v>
      </c>
      <c r="C261" s="135">
        <f>'A) Base RI'!AN263</f>
        <v>415</v>
      </c>
      <c r="D261" s="176">
        <f>'D) Ecrêtage'!N261</f>
        <v>24.667425346957447</v>
      </c>
      <c r="E261" s="44">
        <f t="shared" si="16"/>
        <v>18.954202497079788</v>
      </c>
      <c r="F261" s="179">
        <f t="shared" ref="F261:F322" si="18">(C261*E261*G261)*$E$4</f>
        <v>167781.65279402543</v>
      </c>
      <c r="G261" s="160">
        <f>'A) Base RI'!AM263</f>
        <v>79</v>
      </c>
      <c r="H261" s="168">
        <f t="shared" si="15"/>
        <v>1.1640389814947083</v>
      </c>
      <c r="I261" s="183">
        <f t="shared" si="17"/>
        <v>195304.38423185615</v>
      </c>
    </row>
    <row r="262" spans="1:9" x14ac:dyDescent="0.25">
      <c r="A262" s="61">
        <f>'A) Base RI'!A264</f>
        <v>5831</v>
      </c>
      <c r="B262" s="13" t="str">
        <f>'A) Base RI'!B264</f>
        <v>Valbroye</v>
      </c>
      <c r="C262" s="135">
        <f>'A) Base RI'!AN264</f>
        <v>2960</v>
      </c>
      <c r="D262" s="176">
        <f>'D) Ecrêtage'!N262</f>
        <v>26.364093391336542</v>
      </c>
      <c r="E262" s="44">
        <f t="shared" si="16"/>
        <v>17.257534452700693</v>
      </c>
      <c r="F262" s="179">
        <f t="shared" si="18"/>
        <v>1006832.1720256828</v>
      </c>
      <c r="G262" s="160">
        <f>'A) Base RI'!AM264</f>
        <v>73</v>
      </c>
      <c r="H262" s="168">
        <f t="shared" ref="H262:H322" si="19">G262/$G$323</f>
        <v>1.0756309575837177</v>
      </c>
      <c r="I262" s="183">
        <f>F262*H262</f>
        <v>1082979.8533220796</v>
      </c>
    </row>
    <row r="263" spans="1:9" x14ac:dyDescent="0.25">
      <c r="A263" s="61">
        <f>'A) Base RI'!A265</f>
        <v>5841</v>
      </c>
      <c r="B263" s="13" t="str">
        <f>'A) Base RI'!B265</f>
        <v>Château-d'Oex</v>
      </c>
      <c r="C263" s="135">
        <f>'A) Base RI'!AN265</f>
        <v>3408</v>
      </c>
      <c r="D263" s="176">
        <f>'D) Ecrêtage'!N263</f>
        <v>31.550978797820388</v>
      </c>
      <c r="E263" s="44">
        <f t="shared" si="16"/>
        <v>12.070649046216847</v>
      </c>
      <c r="F263" s="179">
        <f t="shared" si="18"/>
        <v>921875.05938845221</v>
      </c>
      <c r="G263" s="160">
        <f>'A) Base RI'!AM265</f>
        <v>83</v>
      </c>
      <c r="H263" s="168">
        <f t="shared" si="19"/>
        <v>1.2229776641020353</v>
      </c>
      <c r="I263" s="183">
        <f>F263*H263</f>
        <v>1127432.6067248143</v>
      </c>
    </row>
    <row r="264" spans="1:9" x14ac:dyDescent="0.25">
      <c r="A264" s="61">
        <f>'A) Base RI'!A266</f>
        <v>5842</v>
      </c>
      <c r="B264" s="13" t="str">
        <f>'A) Base RI'!B266</f>
        <v>Rossinière</v>
      </c>
      <c r="C264" s="135">
        <f>'A) Base RI'!AN266</f>
        <v>565</v>
      </c>
      <c r="D264" s="176">
        <f>'D) Ecrêtage'!N264</f>
        <v>29.299336902290687</v>
      </c>
      <c r="E264" s="44">
        <f t="shared" si="16"/>
        <v>14.322290941746548</v>
      </c>
      <c r="F264" s="179">
        <f t="shared" si="18"/>
        <v>176974.10413623834</v>
      </c>
      <c r="G264" s="160">
        <f>'A) Base RI'!AM266</f>
        <v>81</v>
      </c>
      <c r="H264" s="168">
        <f t="shared" si="19"/>
        <v>1.1935083227983718</v>
      </c>
      <c r="I264" s="183">
        <f t="shared" si="17"/>
        <v>211220.06620638623</v>
      </c>
    </row>
    <row r="265" spans="1:9" x14ac:dyDescent="0.25">
      <c r="A265" s="61">
        <f>'A) Base RI'!A267</f>
        <v>5843</v>
      </c>
      <c r="B265" s="13" t="str">
        <f>'A) Base RI'!B267</f>
        <v>Rougemont</v>
      </c>
      <c r="C265" s="135">
        <f>'A) Base RI'!AN267</f>
        <v>881</v>
      </c>
      <c r="D265" s="176">
        <f>'D) Ecrêtage'!N265</f>
        <v>81.938942140001529</v>
      </c>
      <c r="E265" s="44">
        <f t="shared" si="16"/>
        <v>0</v>
      </c>
      <c r="F265" s="179">
        <f t="shared" si="18"/>
        <v>0</v>
      </c>
      <c r="G265" s="160">
        <f>'A) Base RI'!AM267</f>
        <v>69</v>
      </c>
      <c r="H265" s="168">
        <f t="shared" si="19"/>
        <v>1.0166922749763909</v>
      </c>
      <c r="I265" s="183">
        <f t="shared" si="17"/>
        <v>0</v>
      </c>
    </row>
    <row r="266" spans="1:9" x14ac:dyDescent="0.25">
      <c r="A266" s="61">
        <f>'A) Base RI'!A268</f>
        <v>5851</v>
      </c>
      <c r="B266" s="13" t="str">
        <f>'A) Base RI'!B268</f>
        <v>Allaman</v>
      </c>
      <c r="C266" s="135">
        <f>'A) Base RI'!AN268</f>
        <v>393</v>
      </c>
      <c r="D266" s="176">
        <f>'D) Ecrêtage'!N266</f>
        <v>62.649402197099747</v>
      </c>
      <c r="E266" s="44">
        <f t="shared" si="16"/>
        <v>0</v>
      </c>
      <c r="F266" s="179">
        <f t="shared" si="18"/>
        <v>0</v>
      </c>
      <c r="G266" s="160">
        <f>'A) Base RI'!AM268</f>
        <v>62</v>
      </c>
      <c r="H266" s="168">
        <f t="shared" si="19"/>
        <v>0.9135495804135686</v>
      </c>
      <c r="I266" s="183">
        <f t="shared" si="17"/>
        <v>0</v>
      </c>
    </row>
    <row r="267" spans="1:9" x14ac:dyDescent="0.25">
      <c r="A267" s="61">
        <f>'A) Base RI'!A269</f>
        <v>5852</v>
      </c>
      <c r="B267" s="13" t="str">
        <f>'A) Base RI'!B269</f>
        <v>Bursinel</v>
      </c>
      <c r="C267" s="135">
        <f>'A) Base RI'!AN269</f>
        <v>477</v>
      </c>
      <c r="D267" s="176">
        <f>'D) Ecrêtage'!N267</f>
        <v>62.242504818143999</v>
      </c>
      <c r="E267" s="44">
        <f t="shared" si="16"/>
        <v>0</v>
      </c>
      <c r="F267" s="179">
        <f t="shared" si="18"/>
        <v>0</v>
      </c>
      <c r="G267" s="160">
        <f>'A) Base RI'!AM269</f>
        <v>63.5</v>
      </c>
      <c r="H267" s="168">
        <f t="shared" si="19"/>
        <v>0.93565158639131618</v>
      </c>
      <c r="I267" s="183">
        <f t="shared" si="17"/>
        <v>0</v>
      </c>
    </row>
    <row r="268" spans="1:9" x14ac:dyDescent="0.25">
      <c r="A268" s="61">
        <f>'A) Base RI'!A270</f>
        <v>5853</v>
      </c>
      <c r="B268" s="13" t="str">
        <f>'A) Base RI'!B270</f>
        <v>Bursins</v>
      </c>
      <c r="C268" s="135">
        <f>'A) Base RI'!AN270</f>
        <v>772</v>
      </c>
      <c r="D268" s="176">
        <f>'D) Ecrêtage'!N268</f>
        <v>48.08126213237977</v>
      </c>
      <c r="E268" s="44">
        <f t="shared" si="16"/>
        <v>0</v>
      </c>
      <c r="F268" s="179">
        <f t="shared" si="18"/>
        <v>0</v>
      </c>
      <c r="G268" s="160">
        <f>'A) Base RI'!AM270</f>
        <v>71</v>
      </c>
      <c r="H268" s="168">
        <f t="shared" si="19"/>
        <v>1.0461616162800542</v>
      </c>
      <c r="I268" s="183">
        <f t="shared" si="17"/>
        <v>0</v>
      </c>
    </row>
    <row r="269" spans="1:9" x14ac:dyDescent="0.25">
      <c r="A269" s="61">
        <f>'A) Base RI'!A271</f>
        <v>5854</v>
      </c>
      <c r="B269" s="13" t="str">
        <f>'A) Base RI'!B271</f>
        <v>Burtigny</v>
      </c>
      <c r="C269" s="135">
        <f>'A) Base RI'!AN271</f>
        <v>352</v>
      </c>
      <c r="D269" s="176">
        <f>'D) Ecrêtage'!N269</f>
        <v>29.102738754734855</v>
      </c>
      <c r="E269" s="44">
        <f t="shared" si="16"/>
        <v>14.51888908930238</v>
      </c>
      <c r="F269" s="179">
        <f t="shared" si="18"/>
        <v>110390.01752378386</v>
      </c>
      <c r="G269" s="160">
        <f>'A) Base RI'!AM271</f>
        <v>80</v>
      </c>
      <c r="H269" s="168">
        <f t="shared" si="19"/>
        <v>1.1787736521465402</v>
      </c>
      <c r="I269" s="183">
        <f t="shared" si="17"/>
        <v>130124.84411703126</v>
      </c>
    </row>
    <row r="270" spans="1:9" x14ac:dyDescent="0.25">
      <c r="A270" s="61">
        <f>'A) Base RI'!A272</f>
        <v>5855</v>
      </c>
      <c r="B270" s="13" t="str">
        <f>'A) Base RI'!B272</f>
        <v>Dully</v>
      </c>
      <c r="C270" s="135">
        <f>'A) Base RI'!AN272</f>
        <v>636</v>
      </c>
      <c r="D270" s="176">
        <f>'D) Ecrêtage'!N270</f>
        <v>81.055486724178877</v>
      </c>
      <c r="E270" s="44">
        <f t="shared" si="16"/>
        <v>0</v>
      </c>
      <c r="F270" s="179">
        <f t="shared" si="18"/>
        <v>0</v>
      </c>
      <c r="G270" s="160">
        <f>'A) Base RI'!AM272</f>
        <v>49</v>
      </c>
      <c r="H270" s="168">
        <f t="shared" si="19"/>
        <v>0.72199886193975582</v>
      </c>
      <c r="I270" s="183">
        <f t="shared" si="17"/>
        <v>0</v>
      </c>
    </row>
    <row r="271" spans="1:9" x14ac:dyDescent="0.25">
      <c r="A271" s="61">
        <f>'A) Base RI'!A273</f>
        <v>5856</v>
      </c>
      <c r="B271" s="13" t="str">
        <f>'A) Base RI'!B273</f>
        <v>Essertines-sur-Rolle</v>
      </c>
      <c r="C271" s="135">
        <f>'A) Base RI'!AN273</f>
        <v>700</v>
      </c>
      <c r="D271" s="176">
        <f>'D) Ecrêtage'!N271</f>
        <v>41.094652003878487</v>
      </c>
      <c r="E271" s="44">
        <f t="shared" si="16"/>
        <v>2.5269758401587481</v>
      </c>
      <c r="F271" s="179">
        <f t="shared" si="18"/>
        <v>32476.693497720233</v>
      </c>
      <c r="G271" s="160">
        <f>'A) Base RI'!AM273</f>
        <v>68</v>
      </c>
      <c r="H271" s="168">
        <f t="shared" si="19"/>
        <v>1.001957604324559</v>
      </c>
      <c r="I271" s="183">
        <f t="shared" si="17"/>
        <v>32540.27001335875</v>
      </c>
    </row>
    <row r="272" spans="1:9" x14ac:dyDescent="0.25">
      <c r="A272" s="61">
        <f>'A) Base RI'!A274</f>
        <v>5857</v>
      </c>
      <c r="B272" s="13" t="str">
        <f>'A) Base RI'!B274</f>
        <v>Gilly</v>
      </c>
      <c r="C272" s="135">
        <f>'A) Base RI'!AN274</f>
        <v>1131</v>
      </c>
      <c r="D272" s="176">
        <f>'D) Ecrêtage'!N272</f>
        <v>49.243960024649681</v>
      </c>
      <c r="E272" s="44">
        <f t="shared" ref="E272:E322" si="20">IF($D$323-D272&lt;0,0,$D$323-D272)</f>
        <v>0</v>
      </c>
      <c r="F272" s="179">
        <f t="shared" si="18"/>
        <v>0</v>
      </c>
      <c r="G272" s="160">
        <f>'A) Base RI'!AM274</f>
        <v>66</v>
      </c>
      <c r="H272" s="168">
        <f t="shared" si="19"/>
        <v>0.97248826302089553</v>
      </c>
      <c r="I272" s="183">
        <f t="shared" si="17"/>
        <v>0</v>
      </c>
    </row>
    <row r="273" spans="1:9" x14ac:dyDescent="0.25">
      <c r="A273" s="61">
        <f>'A) Base RI'!A275</f>
        <v>5858</v>
      </c>
      <c r="B273" s="13" t="str">
        <f>'A) Base RI'!B275</f>
        <v>Luins</v>
      </c>
      <c r="C273" s="135">
        <f>'A) Base RI'!AN275</f>
        <v>633</v>
      </c>
      <c r="D273" s="176">
        <f>'D) Ecrêtage'!N273</f>
        <v>53.07199306652624</v>
      </c>
      <c r="E273" s="44">
        <f t="shared" si="20"/>
        <v>0</v>
      </c>
      <c r="F273" s="179">
        <f t="shared" si="18"/>
        <v>0</v>
      </c>
      <c r="G273" s="160">
        <f>'A) Base RI'!AM275</f>
        <v>60</v>
      </c>
      <c r="H273" s="168">
        <f t="shared" si="19"/>
        <v>0.88408023910990507</v>
      </c>
      <c r="I273" s="183">
        <f t="shared" si="17"/>
        <v>0</v>
      </c>
    </row>
    <row r="274" spans="1:9" x14ac:dyDescent="0.25">
      <c r="A274" s="61">
        <f>'A) Base RI'!A276</f>
        <v>5859</v>
      </c>
      <c r="B274" s="13" t="str">
        <f>'A) Base RI'!B276</f>
        <v>Mont-sur-Rolle</v>
      </c>
      <c r="C274" s="135">
        <f>'A) Base RI'!AN276</f>
        <v>2594</v>
      </c>
      <c r="D274" s="176">
        <f>'D) Ecrêtage'!N274</f>
        <v>56.223666693510076</v>
      </c>
      <c r="E274" s="44">
        <f t="shared" si="20"/>
        <v>0</v>
      </c>
      <c r="F274" s="179">
        <f t="shared" si="18"/>
        <v>0</v>
      </c>
      <c r="G274" s="160">
        <f>'A) Base RI'!AM276</f>
        <v>63</v>
      </c>
      <c r="H274" s="168">
        <f t="shared" si="19"/>
        <v>0.92828425106540036</v>
      </c>
      <c r="I274" s="183">
        <f t="shared" ref="I274:I322" si="21">F274*H274</f>
        <v>0</v>
      </c>
    </row>
    <row r="275" spans="1:9" x14ac:dyDescent="0.25">
      <c r="A275" s="61">
        <f>'A) Base RI'!A277</f>
        <v>5860</v>
      </c>
      <c r="B275" s="13" t="str">
        <f>'A) Base RI'!B277</f>
        <v>Perroy</v>
      </c>
      <c r="C275" s="135">
        <f>'A) Base RI'!AN277</f>
        <v>1464</v>
      </c>
      <c r="D275" s="176">
        <f>'D) Ecrêtage'!N275</f>
        <v>58.376134605269897</v>
      </c>
      <c r="E275" s="44">
        <f t="shared" si="20"/>
        <v>0</v>
      </c>
      <c r="F275" s="179">
        <f t="shared" si="18"/>
        <v>0</v>
      </c>
      <c r="G275" s="160">
        <f>'A) Base RI'!AM277</f>
        <v>60</v>
      </c>
      <c r="H275" s="168">
        <f t="shared" si="19"/>
        <v>0.88408023910990507</v>
      </c>
      <c r="I275" s="183">
        <f t="shared" si="21"/>
        <v>0</v>
      </c>
    </row>
    <row r="276" spans="1:9" x14ac:dyDescent="0.25">
      <c r="A276" s="61">
        <f>'A) Base RI'!A278</f>
        <v>5861</v>
      </c>
      <c r="B276" s="13" t="str">
        <f>'A) Base RI'!B278</f>
        <v>Rolle</v>
      </c>
      <c r="C276" s="135">
        <f>'A) Base RI'!AN278</f>
        <v>6047</v>
      </c>
      <c r="D276" s="176">
        <f>'D) Ecrêtage'!N276</f>
        <v>82.493197717106895</v>
      </c>
      <c r="E276" s="44">
        <f t="shared" si="20"/>
        <v>0</v>
      </c>
      <c r="F276" s="179">
        <f t="shared" si="18"/>
        <v>0</v>
      </c>
      <c r="G276" s="160">
        <f>'A) Base RI'!AM278</f>
        <v>59.5</v>
      </c>
      <c r="H276" s="168">
        <f t="shared" si="19"/>
        <v>0.87671290378398914</v>
      </c>
      <c r="I276" s="183">
        <f t="shared" si="21"/>
        <v>0</v>
      </c>
    </row>
    <row r="277" spans="1:9" x14ac:dyDescent="0.25">
      <c r="A277" s="61">
        <f>'A) Base RI'!A279</f>
        <v>5862</v>
      </c>
      <c r="B277" s="13" t="str">
        <f>'A) Base RI'!B279</f>
        <v>Tartegnin</v>
      </c>
      <c r="C277" s="135">
        <f>'A) Base RI'!AN279</f>
        <v>230</v>
      </c>
      <c r="D277" s="176">
        <f>'D) Ecrêtage'!N277</f>
        <v>43.438549344375431</v>
      </c>
      <c r="E277" s="44">
        <f t="shared" si="20"/>
        <v>0.18307849966180356</v>
      </c>
      <c r="F277" s="179">
        <f t="shared" si="18"/>
        <v>955.01068563583215</v>
      </c>
      <c r="G277" s="160">
        <f>'A) Base RI'!AM279</f>
        <v>84</v>
      </c>
      <c r="H277" s="168">
        <f t="shared" si="19"/>
        <v>1.237712334753867</v>
      </c>
      <c r="I277" s="183">
        <f t="shared" si="21"/>
        <v>1182.0285054332171</v>
      </c>
    </row>
    <row r="278" spans="1:9" x14ac:dyDescent="0.25">
      <c r="A278" s="61">
        <f>'A) Base RI'!A280</f>
        <v>5863</v>
      </c>
      <c r="B278" s="13" t="str">
        <f>'A) Base RI'!B280</f>
        <v>Vinzel</v>
      </c>
      <c r="C278" s="135">
        <f>'A) Base RI'!AN280</f>
        <v>349</v>
      </c>
      <c r="D278" s="176">
        <f>'D) Ecrêtage'!N278</f>
        <v>66.380072905239331</v>
      </c>
      <c r="E278" s="44">
        <f t="shared" si="20"/>
        <v>0</v>
      </c>
      <c r="F278" s="179">
        <f t="shared" si="18"/>
        <v>0</v>
      </c>
      <c r="G278" s="160">
        <f>'A) Base RI'!AM280</f>
        <v>70</v>
      </c>
      <c r="H278" s="168">
        <f t="shared" si="19"/>
        <v>1.0314269456282226</v>
      </c>
      <c r="I278" s="183">
        <f t="shared" si="21"/>
        <v>0</v>
      </c>
    </row>
    <row r="279" spans="1:9" x14ac:dyDescent="0.25">
      <c r="A279" s="61">
        <f>'A) Base RI'!A281</f>
        <v>5871</v>
      </c>
      <c r="B279" s="13" t="str">
        <f>'A) Base RI'!B281</f>
        <v>L'Abbaye</v>
      </c>
      <c r="C279" s="135">
        <f>'A) Base RI'!AN281</f>
        <v>1423</v>
      </c>
      <c r="D279" s="176">
        <f>'D) Ecrêtage'!N279</f>
        <v>34.624465710656203</v>
      </c>
      <c r="E279" s="44">
        <f t="shared" si="20"/>
        <v>8.9971621333810319</v>
      </c>
      <c r="F279" s="179">
        <f t="shared" si="18"/>
        <v>266553.82203446643</v>
      </c>
      <c r="G279" s="160">
        <f>'A) Base RI'!AM281</f>
        <v>77.11</v>
      </c>
      <c r="H279" s="168">
        <f t="shared" si="19"/>
        <v>1.1361904539627463</v>
      </c>
      <c r="I279" s="183">
        <f t="shared" si="21"/>
        <v>302855.90806284553</v>
      </c>
    </row>
    <row r="280" spans="1:9" x14ac:dyDescent="0.25">
      <c r="A280" s="61">
        <f>'A) Base RI'!A282</f>
        <v>5872</v>
      </c>
      <c r="B280" s="13" t="str">
        <f>'A) Base RI'!B282</f>
        <v>Le Chenit</v>
      </c>
      <c r="C280" s="135">
        <f>'A) Base RI'!AN282</f>
        <v>4614</v>
      </c>
      <c r="D280" s="176">
        <f>'D) Ecrêtage'!N280</f>
        <v>63.155934155026245</v>
      </c>
      <c r="E280" s="44">
        <f t="shared" si="20"/>
        <v>0</v>
      </c>
      <c r="F280" s="179">
        <f t="shared" si="18"/>
        <v>0</v>
      </c>
      <c r="G280" s="160">
        <f>'A) Base RI'!AM282</f>
        <v>69.739999999999995</v>
      </c>
      <c r="H280" s="168">
        <f t="shared" si="19"/>
        <v>1.0275959312587462</v>
      </c>
      <c r="I280" s="183">
        <f t="shared" si="21"/>
        <v>0</v>
      </c>
    </row>
    <row r="281" spans="1:9" x14ac:dyDescent="0.25">
      <c r="A281" s="61">
        <f>'A) Base RI'!A283</f>
        <v>5873</v>
      </c>
      <c r="B281" s="13" t="str">
        <f>'A) Base RI'!B283</f>
        <v>Le Lieu</v>
      </c>
      <c r="C281" s="135">
        <f>'A) Base RI'!AN283</f>
        <v>859</v>
      </c>
      <c r="D281" s="176">
        <f>'D) Ecrêtage'!N281</f>
        <v>41.800417300976086</v>
      </c>
      <c r="E281" s="44">
        <f t="shared" si="20"/>
        <v>1.8212105430611487</v>
      </c>
      <c r="F281" s="179">
        <f t="shared" si="18"/>
        <v>27455.568481391194</v>
      </c>
      <c r="G281" s="160">
        <f>'A) Base RI'!AM283</f>
        <v>65</v>
      </c>
      <c r="H281" s="168">
        <f t="shared" si="19"/>
        <v>0.95775359236906377</v>
      </c>
      <c r="I281" s="183">
        <f t="shared" si="21"/>
        <v>26295.669343587255</v>
      </c>
    </row>
    <row r="282" spans="1:9" x14ac:dyDescent="0.25">
      <c r="A282" s="61">
        <f>'A) Base RI'!A284</f>
        <v>5881</v>
      </c>
      <c r="B282" s="13" t="str">
        <f>'A) Base RI'!B284</f>
        <v>Blonay</v>
      </c>
      <c r="C282" s="135">
        <f>'A) Base RI'!AN284</f>
        <v>6132</v>
      </c>
      <c r="D282" s="176">
        <f>'D) Ecrêtage'!N282</f>
        <v>56.361783601575269</v>
      </c>
      <c r="E282" s="44">
        <f t="shared" si="20"/>
        <v>0</v>
      </c>
      <c r="F282" s="179">
        <f t="shared" si="18"/>
        <v>0</v>
      </c>
      <c r="G282" s="160">
        <f>'A) Base RI'!AM284</f>
        <v>70</v>
      </c>
      <c r="H282" s="168">
        <f t="shared" si="19"/>
        <v>1.0314269456282226</v>
      </c>
      <c r="I282" s="183">
        <f t="shared" si="21"/>
        <v>0</v>
      </c>
    </row>
    <row r="283" spans="1:9" x14ac:dyDescent="0.25">
      <c r="A283" s="61">
        <f>'A) Base RI'!A285</f>
        <v>5882</v>
      </c>
      <c r="B283" s="13" t="str">
        <f>'A) Base RI'!B285</f>
        <v>Chardonne</v>
      </c>
      <c r="C283" s="135">
        <f>'A) Base RI'!AN285</f>
        <v>2889</v>
      </c>
      <c r="D283" s="176">
        <f>'D) Ecrêtage'!N283</f>
        <v>55.882036769726106</v>
      </c>
      <c r="E283" s="44">
        <f t="shared" si="20"/>
        <v>0</v>
      </c>
      <c r="F283" s="179">
        <f t="shared" si="18"/>
        <v>0</v>
      </c>
      <c r="G283" s="160">
        <f>'A) Base RI'!AM285</f>
        <v>66</v>
      </c>
      <c r="H283" s="168">
        <f t="shared" si="19"/>
        <v>0.97248826302089553</v>
      </c>
      <c r="I283" s="183">
        <f t="shared" si="21"/>
        <v>0</v>
      </c>
    </row>
    <row r="284" spans="1:9" x14ac:dyDescent="0.25">
      <c r="A284" s="61">
        <f>'A) Base RI'!A286</f>
        <v>5883</v>
      </c>
      <c r="B284" s="13" t="str">
        <f>'A) Base RI'!B286</f>
        <v>Corseaux</v>
      </c>
      <c r="C284" s="135">
        <f>'A) Base RI'!AN286</f>
        <v>2172</v>
      </c>
      <c r="D284" s="176">
        <f>'D) Ecrêtage'!N284</f>
        <v>62.354636931742256</v>
      </c>
      <c r="E284" s="44">
        <f t="shared" si="20"/>
        <v>0</v>
      </c>
      <c r="F284" s="179">
        <f t="shared" si="18"/>
        <v>0</v>
      </c>
      <c r="G284" s="160">
        <f>'A) Base RI'!AM286</f>
        <v>64</v>
      </c>
      <c r="H284" s="168">
        <f t="shared" si="19"/>
        <v>0.94301892171723201</v>
      </c>
      <c r="I284" s="183">
        <f t="shared" si="21"/>
        <v>0</v>
      </c>
    </row>
    <row r="285" spans="1:9" x14ac:dyDescent="0.25">
      <c r="A285" s="61">
        <f>'A) Base RI'!A287</f>
        <v>5884</v>
      </c>
      <c r="B285" s="13" t="str">
        <f>'A) Base RI'!B287</f>
        <v>Corsier-sur-Vevey</v>
      </c>
      <c r="C285" s="135">
        <f>'A) Base RI'!AN287</f>
        <v>3427</v>
      </c>
      <c r="D285" s="176">
        <f>'D) Ecrêtage'!N285</f>
        <v>38.628518464481409</v>
      </c>
      <c r="E285" s="44">
        <f t="shared" si="20"/>
        <v>4.9931093795558255</v>
      </c>
      <c r="F285" s="179">
        <f t="shared" si="18"/>
        <v>304924.89573540789</v>
      </c>
      <c r="G285" s="160">
        <f>'A) Base RI'!AM287</f>
        <v>66</v>
      </c>
      <c r="H285" s="168">
        <f t="shared" si="19"/>
        <v>0.97248826302089553</v>
      </c>
      <c r="I285" s="183">
        <f t="shared" si="21"/>
        <v>296535.88220555452</v>
      </c>
    </row>
    <row r="286" spans="1:9" x14ac:dyDescent="0.25">
      <c r="A286" s="61">
        <f>'A) Base RI'!A288</f>
        <v>5885</v>
      </c>
      <c r="B286" s="13" t="str">
        <f>'A) Base RI'!B288</f>
        <v>Jongny</v>
      </c>
      <c r="C286" s="135">
        <f>'A) Base RI'!AN288</f>
        <v>1493</v>
      </c>
      <c r="D286" s="176">
        <f>'D) Ecrêtage'!N286</f>
        <v>94.040504424663311</v>
      </c>
      <c r="E286" s="44">
        <f t="shared" si="20"/>
        <v>0</v>
      </c>
      <c r="F286" s="179">
        <f t="shared" si="18"/>
        <v>0</v>
      </c>
      <c r="G286" s="160">
        <f>'A) Base RI'!AM288</f>
        <v>69</v>
      </c>
      <c r="H286" s="168">
        <f t="shared" si="19"/>
        <v>1.0166922749763909</v>
      </c>
      <c r="I286" s="183">
        <f t="shared" si="21"/>
        <v>0</v>
      </c>
    </row>
    <row r="287" spans="1:9" x14ac:dyDescent="0.25">
      <c r="A287" s="61">
        <f>'A) Base RI'!A289</f>
        <v>5886</v>
      </c>
      <c r="B287" s="13" t="str">
        <f>'A) Base RI'!B289</f>
        <v>Montreux</v>
      </c>
      <c r="C287" s="135">
        <f>'A) Base RI'!AN289</f>
        <v>26283</v>
      </c>
      <c r="D287" s="176">
        <f>'D) Ecrêtage'!N287</f>
        <v>42.352293878172212</v>
      </c>
      <c r="E287" s="44">
        <f t="shared" si="20"/>
        <v>1.2693339658650231</v>
      </c>
      <c r="F287" s="179">
        <f t="shared" si="18"/>
        <v>585501.42616577353</v>
      </c>
      <c r="G287" s="160">
        <f>'A) Base RI'!AM289</f>
        <v>65</v>
      </c>
      <c r="H287" s="168">
        <f t="shared" si="19"/>
        <v>0.95775359236906377</v>
      </c>
      <c r="I287" s="183">
        <f t="shared" si="21"/>
        <v>560766.09424747981</v>
      </c>
    </row>
    <row r="288" spans="1:9" x14ac:dyDescent="0.25">
      <c r="A288" s="61">
        <f>'A) Base RI'!A290</f>
        <v>5888</v>
      </c>
      <c r="B288" s="13" t="str">
        <f>'A) Base RI'!B290</f>
        <v>Saint-Légier-La Chiésaz</v>
      </c>
      <c r="C288" s="135">
        <f>'A) Base RI'!AN290</f>
        <v>5071</v>
      </c>
      <c r="D288" s="176">
        <f>'D) Ecrêtage'!N288</f>
        <v>59.347598181680056</v>
      </c>
      <c r="E288" s="44">
        <f t="shared" si="20"/>
        <v>0</v>
      </c>
      <c r="F288" s="179">
        <f t="shared" si="18"/>
        <v>0</v>
      </c>
      <c r="G288" s="160">
        <f>'A) Base RI'!AM290</f>
        <v>66</v>
      </c>
      <c r="H288" s="168">
        <f t="shared" si="19"/>
        <v>0.97248826302089553</v>
      </c>
      <c r="I288" s="183">
        <f t="shared" si="21"/>
        <v>0</v>
      </c>
    </row>
    <row r="289" spans="1:9" x14ac:dyDescent="0.25">
      <c r="A289" s="61">
        <f>'A) Base RI'!A291</f>
        <v>5889</v>
      </c>
      <c r="B289" s="13" t="str">
        <f>'A) Base RI'!B291</f>
        <v>La Tour-de-Peilz</v>
      </c>
      <c r="C289" s="135">
        <f>'A) Base RI'!AN291</f>
        <v>11421</v>
      </c>
      <c r="D289" s="176">
        <f>'D) Ecrêtage'!N289</f>
        <v>51.671610066343433</v>
      </c>
      <c r="E289" s="44">
        <f t="shared" si="20"/>
        <v>0</v>
      </c>
      <c r="F289" s="179">
        <f t="shared" si="18"/>
        <v>0</v>
      </c>
      <c r="G289" s="160">
        <f>'A) Base RI'!AM291</f>
        <v>64</v>
      </c>
      <c r="H289" s="168">
        <f t="shared" si="19"/>
        <v>0.94301892171723201</v>
      </c>
      <c r="I289" s="183">
        <f t="shared" si="21"/>
        <v>0</v>
      </c>
    </row>
    <row r="290" spans="1:9" x14ac:dyDescent="0.25">
      <c r="A290" s="61">
        <f>'A) Base RI'!A292</f>
        <v>5890</v>
      </c>
      <c r="B290" s="13" t="str">
        <f>'A) Base RI'!B292</f>
        <v>Vevey</v>
      </c>
      <c r="C290" s="135">
        <f>'A) Base RI'!AN292</f>
        <v>19217</v>
      </c>
      <c r="D290" s="176">
        <f>'D) Ecrêtage'!N290</f>
        <v>47.986454355839335</v>
      </c>
      <c r="E290" s="44">
        <f t="shared" si="20"/>
        <v>0</v>
      </c>
      <c r="F290" s="179">
        <f t="shared" si="18"/>
        <v>0</v>
      </c>
      <c r="G290" s="160">
        <f>'A) Base RI'!AM292</f>
        <v>73</v>
      </c>
      <c r="H290" s="168">
        <f t="shared" si="19"/>
        <v>1.0756309575837177</v>
      </c>
      <c r="I290" s="183">
        <f t="shared" si="21"/>
        <v>0</v>
      </c>
    </row>
    <row r="291" spans="1:9" x14ac:dyDescent="0.25">
      <c r="A291" s="61">
        <f>'A) Base RI'!A293</f>
        <v>5891</v>
      </c>
      <c r="B291" s="13" t="str">
        <f>'A) Base RI'!B293</f>
        <v>Veytaux</v>
      </c>
      <c r="C291" s="135">
        <f>'A) Base RI'!AN293</f>
        <v>854</v>
      </c>
      <c r="D291" s="176">
        <f>'D) Ecrêtage'!N291</f>
        <v>43.629326556471959</v>
      </c>
      <c r="E291" s="44">
        <f t="shared" si="20"/>
        <v>0</v>
      </c>
      <c r="F291" s="179">
        <f t="shared" si="18"/>
        <v>0</v>
      </c>
      <c r="G291" s="160">
        <f>'A) Base RI'!AM293</f>
        <v>69</v>
      </c>
      <c r="H291" s="168">
        <f t="shared" si="19"/>
        <v>1.0166922749763909</v>
      </c>
      <c r="I291" s="183">
        <f t="shared" si="21"/>
        <v>0</v>
      </c>
    </row>
    <row r="292" spans="1:9" x14ac:dyDescent="0.25">
      <c r="A292" s="61">
        <f>'A) Base RI'!A294</f>
        <v>5902</v>
      </c>
      <c r="B292" s="13" t="str">
        <f>'A) Base RI'!B294</f>
        <v>Belmont-sur-Yverdon</v>
      </c>
      <c r="C292" s="135">
        <f>'A) Base RI'!AN294</f>
        <v>369</v>
      </c>
      <c r="D292" s="176">
        <f>'D) Ecrêtage'!N292</f>
        <v>23.420663243474543</v>
      </c>
      <c r="E292" s="44">
        <f t="shared" si="20"/>
        <v>20.200964600562692</v>
      </c>
      <c r="F292" s="179">
        <f t="shared" si="18"/>
        <v>152959.27983970864</v>
      </c>
      <c r="G292" s="160">
        <f>'A) Base RI'!AM294</f>
        <v>76</v>
      </c>
      <c r="H292" s="168">
        <f t="shared" si="19"/>
        <v>1.1198349695392131</v>
      </c>
      <c r="I292" s="183">
        <f t="shared" si="21"/>
        <v>171289.15048004012</v>
      </c>
    </row>
    <row r="293" spans="1:9" x14ac:dyDescent="0.25">
      <c r="A293" s="61">
        <f>'A) Base RI'!A295</f>
        <v>5903</v>
      </c>
      <c r="B293" s="13" t="str">
        <f>'A) Base RI'!B295</f>
        <v>Bioley-Magnoux</v>
      </c>
      <c r="C293" s="135">
        <f>'A) Base RI'!AN295</f>
        <v>201</v>
      </c>
      <c r="D293" s="176">
        <f>'D) Ecrêtage'!N293</f>
        <v>30.082224687373941</v>
      </c>
      <c r="E293" s="44">
        <f t="shared" si="20"/>
        <v>13.539403156663294</v>
      </c>
      <c r="F293" s="179">
        <f t="shared" si="18"/>
        <v>54373.972289096651</v>
      </c>
      <c r="G293" s="160">
        <f>'A) Base RI'!AM295</f>
        <v>74</v>
      </c>
      <c r="H293" s="168">
        <f t="shared" si="19"/>
        <v>1.0903656282355496</v>
      </c>
      <c r="I293" s="183">
        <f t="shared" si="21"/>
        <v>59287.510454663236</v>
      </c>
    </row>
    <row r="294" spans="1:9" x14ac:dyDescent="0.25">
      <c r="A294" s="61">
        <f>'A) Base RI'!A296</f>
        <v>5904</v>
      </c>
      <c r="B294" s="13" t="str">
        <f>'A) Base RI'!B296</f>
        <v>Chamblon</v>
      </c>
      <c r="C294" s="135">
        <f>'A) Base RI'!AN296</f>
        <v>568</v>
      </c>
      <c r="D294" s="176">
        <f>'D) Ecrêtage'!N294</f>
        <v>35.511328425096025</v>
      </c>
      <c r="E294" s="44">
        <f t="shared" si="20"/>
        <v>8.1102994189412101</v>
      </c>
      <c r="F294" s="179">
        <f t="shared" si="18"/>
        <v>82090.5042466624</v>
      </c>
      <c r="G294" s="160">
        <f>'A) Base RI'!AM296</f>
        <v>66</v>
      </c>
      <c r="H294" s="168">
        <f t="shared" si="19"/>
        <v>0.97248826302089553</v>
      </c>
      <c r="I294" s="183">
        <f t="shared" si="21"/>
        <v>79832.051885346169</v>
      </c>
    </row>
    <row r="295" spans="1:9" x14ac:dyDescent="0.25">
      <c r="A295" s="61">
        <f>'A) Base RI'!A297</f>
        <v>5905</v>
      </c>
      <c r="B295" s="13" t="str">
        <f>'A) Base RI'!B297</f>
        <v>Champvent</v>
      </c>
      <c r="C295" s="135">
        <f>'A) Base RI'!AN297</f>
        <v>617</v>
      </c>
      <c r="D295" s="176">
        <f>'D) Ecrêtage'!N295</f>
        <v>29.531224690118012</v>
      </c>
      <c r="E295" s="44">
        <f t="shared" si="20"/>
        <v>14.090403153919222</v>
      </c>
      <c r="F295" s="179">
        <f t="shared" si="18"/>
        <v>166659.73856020963</v>
      </c>
      <c r="G295" s="160">
        <f>'A) Base RI'!AM297</f>
        <v>71</v>
      </c>
      <c r="H295" s="168">
        <f t="shared" si="19"/>
        <v>1.0461616162800542</v>
      </c>
      <c r="I295" s="183">
        <f t="shared" si="21"/>
        <v>174353.02146096018</v>
      </c>
    </row>
    <row r="296" spans="1:9" x14ac:dyDescent="0.25">
      <c r="A296" s="61">
        <f>'A) Base RI'!A298</f>
        <v>5907</v>
      </c>
      <c r="B296" s="13" t="str">
        <f>'A) Base RI'!B298</f>
        <v>Chavannes-le-Chêne</v>
      </c>
      <c r="C296" s="135">
        <f>'A) Base RI'!AN298</f>
        <v>278</v>
      </c>
      <c r="D296" s="176">
        <f>'D) Ecrêtage'!N296</f>
        <v>25.006287124146834</v>
      </c>
      <c r="E296" s="44">
        <f t="shared" si="20"/>
        <v>18.615340719890401</v>
      </c>
      <c r="F296" s="179">
        <f t="shared" si="18"/>
        <v>108986.86300592794</v>
      </c>
      <c r="G296" s="160">
        <f>'A) Base RI'!AM298</f>
        <v>78</v>
      </c>
      <c r="H296" s="168">
        <f t="shared" si="19"/>
        <v>1.1493043108428767</v>
      </c>
      <c r="I296" s="183">
        <f t="shared" si="21"/>
        <v>125259.07147795502</v>
      </c>
    </row>
    <row r="297" spans="1:9" x14ac:dyDescent="0.25">
      <c r="A297" s="61">
        <f>'A) Base RI'!A299</f>
        <v>5908</v>
      </c>
      <c r="B297" s="13" t="str">
        <f>'A) Base RI'!B299</f>
        <v>Chêne-Pâquier</v>
      </c>
      <c r="C297" s="135">
        <f>'A) Base RI'!AN299</f>
        <v>125</v>
      </c>
      <c r="D297" s="176">
        <f>'D) Ecrêtage'!N297</f>
        <v>23.192014177215192</v>
      </c>
      <c r="E297" s="44">
        <f t="shared" si="20"/>
        <v>20.429613666822043</v>
      </c>
      <c r="F297" s="179">
        <f t="shared" si="18"/>
        <v>54470.457439164275</v>
      </c>
      <c r="G297" s="160">
        <f>'A) Base RI'!AM299</f>
        <v>79</v>
      </c>
      <c r="H297" s="168">
        <f t="shared" si="19"/>
        <v>1.1640389814947083</v>
      </c>
      <c r="I297" s="183">
        <f t="shared" si="21"/>
        <v>63405.73579903564</v>
      </c>
    </row>
    <row r="298" spans="1:9" x14ac:dyDescent="0.25">
      <c r="A298" s="61">
        <f>'A) Base RI'!A300</f>
        <v>5909</v>
      </c>
      <c r="B298" s="13" t="str">
        <f>'A) Base RI'!B300</f>
        <v>Cheseaux-Noréaz</v>
      </c>
      <c r="C298" s="135">
        <f>'A) Base RI'!AN300</f>
        <v>664</v>
      </c>
      <c r="D298" s="176">
        <f>'D) Ecrêtage'!N298</f>
        <v>34.12928722030982</v>
      </c>
      <c r="E298" s="44">
        <f t="shared" si="20"/>
        <v>9.492340623727415</v>
      </c>
      <c r="F298" s="179">
        <f t="shared" si="18"/>
        <v>119125.07789152958</v>
      </c>
      <c r="G298" s="160">
        <f>'A) Base RI'!AM300</f>
        <v>70</v>
      </c>
      <c r="H298" s="168">
        <f t="shared" si="19"/>
        <v>1.0314269456282226</v>
      </c>
      <c r="I298" s="183">
        <f t="shared" si="21"/>
        <v>122868.81523738446</v>
      </c>
    </row>
    <row r="299" spans="1:9" x14ac:dyDescent="0.25">
      <c r="A299" s="61">
        <f>'A) Base RI'!A301</f>
        <v>5910</v>
      </c>
      <c r="B299" s="13" t="str">
        <f>'A) Base RI'!B301</f>
        <v>Cronay</v>
      </c>
      <c r="C299" s="135">
        <f>'A) Base RI'!AN301</f>
        <v>364</v>
      </c>
      <c r="D299" s="176">
        <f>'D) Ecrêtage'!N299</f>
        <v>28.598223104056441</v>
      </c>
      <c r="E299" s="44">
        <f t="shared" si="20"/>
        <v>15.023404739980794</v>
      </c>
      <c r="F299" s="179">
        <f t="shared" si="18"/>
        <v>119596.51764547032</v>
      </c>
      <c r="G299" s="160">
        <f>'A) Base RI'!AM301</f>
        <v>81</v>
      </c>
      <c r="H299" s="168">
        <f t="shared" si="19"/>
        <v>1.1935083227983718</v>
      </c>
      <c r="I299" s="183">
        <f t="shared" si="21"/>
        <v>142739.43918757117</v>
      </c>
    </row>
    <row r="300" spans="1:9" x14ac:dyDescent="0.25">
      <c r="A300" s="61">
        <f>'A) Base RI'!A302</f>
        <v>5911</v>
      </c>
      <c r="B300" s="13" t="str">
        <f>'A) Base RI'!B302</f>
        <v>Cuarny</v>
      </c>
      <c r="C300" s="135">
        <f>'A) Base RI'!AN302</f>
        <v>216</v>
      </c>
      <c r="D300" s="176">
        <f>'D) Ecrêtage'!N300</f>
        <v>31.40568529949703</v>
      </c>
      <c r="E300" s="44">
        <f t="shared" si="20"/>
        <v>12.215942544540205</v>
      </c>
      <c r="F300" s="179">
        <f t="shared" si="18"/>
        <v>57707.135305004369</v>
      </c>
      <c r="G300" s="160">
        <f>'A) Base RI'!AM302</f>
        <v>81</v>
      </c>
      <c r="H300" s="168">
        <f t="shared" si="19"/>
        <v>1.1935083227983718</v>
      </c>
      <c r="I300" s="183">
        <f t="shared" si="21"/>
        <v>68873.946271374472</v>
      </c>
    </row>
    <row r="301" spans="1:9" x14ac:dyDescent="0.25">
      <c r="A301" s="61">
        <f>'A) Base RI'!A303</f>
        <v>5912</v>
      </c>
      <c r="B301" s="13" t="str">
        <f>'A) Base RI'!B303</f>
        <v>Démoret</v>
      </c>
      <c r="C301" s="135">
        <f>'A) Base RI'!AN303</f>
        <v>123</v>
      </c>
      <c r="D301" s="176">
        <f>'D) Ecrêtage'!N301</f>
        <v>25.582134899126768</v>
      </c>
      <c r="E301" s="44">
        <f t="shared" si="20"/>
        <v>18.039492944910467</v>
      </c>
      <c r="F301" s="179">
        <f t="shared" si="18"/>
        <v>48526.416416738604</v>
      </c>
      <c r="G301" s="160">
        <f>'A) Base RI'!AM303</f>
        <v>81</v>
      </c>
      <c r="H301" s="168">
        <f t="shared" si="19"/>
        <v>1.1935083227983718</v>
      </c>
      <c r="I301" s="183">
        <f t="shared" si="21"/>
        <v>57916.681868957065</v>
      </c>
    </row>
    <row r="302" spans="1:9" x14ac:dyDescent="0.25">
      <c r="A302" s="61">
        <f>'A) Base RI'!A304</f>
        <v>5913</v>
      </c>
      <c r="B302" s="13" t="str">
        <f>'A) Base RI'!B304</f>
        <v>Donneloye</v>
      </c>
      <c r="C302" s="135">
        <f>'A) Base RI'!AN304</f>
        <v>765</v>
      </c>
      <c r="D302" s="176">
        <f>'D) Ecrêtage'!N302</f>
        <v>30.21730557793893</v>
      </c>
      <c r="E302" s="44">
        <f t="shared" si="20"/>
        <v>13.404322266098305</v>
      </c>
      <c r="F302" s="179">
        <f t="shared" si="18"/>
        <v>202112.38177657017</v>
      </c>
      <c r="G302" s="160">
        <f>'A) Base RI'!AM304</f>
        <v>73</v>
      </c>
      <c r="H302" s="168">
        <f t="shared" si="19"/>
        <v>1.0756309575837177</v>
      </c>
      <c r="I302" s="183">
        <f t="shared" si="21"/>
        <v>217398.3347498581</v>
      </c>
    </row>
    <row r="303" spans="1:9" x14ac:dyDescent="0.25">
      <c r="A303" s="61">
        <f>'A) Base RI'!A305</f>
        <v>5914</v>
      </c>
      <c r="B303" s="13" t="str">
        <f>'A) Base RI'!B305</f>
        <v>Ependes</v>
      </c>
      <c r="C303" s="135">
        <f>'A) Base RI'!AN305</f>
        <v>345</v>
      </c>
      <c r="D303" s="176">
        <f>'D) Ecrêtage'!N303</f>
        <v>25.363166376811591</v>
      </c>
      <c r="E303" s="44">
        <f t="shared" si="20"/>
        <v>18.258461467225644</v>
      </c>
      <c r="F303" s="179">
        <f t="shared" si="18"/>
        <v>127558.17642540517</v>
      </c>
      <c r="G303" s="160">
        <f>'A) Base RI'!AM305</f>
        <v>75</v>
      </c>
      <c r="H303" s="168">
        <f t="shared" si="19"/>
        <v>1.1051002988873813</v>
      </c>
      <c r="I303" s="183">
        <f t="shared" si="21"/>
        <v>140964.57889324456</v>
      </c>
    </row>
    <row r="304" spans="1:9" x14ac:dyDescent="0.25">
      <c r="A304" s="61">
        <f>'A) Base RI'!A306</f>
        <v>5915</v>
      </c>
      <c r="B304" s="13" t="str">
        <f>'A) Base RI'!B306</f>
        <v>Essert-Pittet</v>
      </c>
      <c r="C304" s="135">
        <f>'A) Base RI'!AN306</f>
        <v>164</v>
      </c>
      <c r="D304" s="176">
        <f>'D) Ecrêtage'!N304</f>
        <v>31.595768005738879</v>
      </c>
      <c r="E304" s="44">
        <f t="shared" si="20"/>
        <v>12.025859838298356</v>
      </c>
      <c r="F304" s="179">
        <f t="shared" si="18"/>
        <v>39937.880522988846</v>
      </c>
      <c r="G304" s="160">
        <f>'A) Base RI'!AM306</f>
        <v>75</v>
      </c>
      <c r="H304" s="168">
        <f t="shared" si="19"/>
        <v>1.1051002988873813</v>
      </c>
      <c r="I304" s="183">
        <f t="shared" si="21"/>
        <v>44135.363702883493</v>
      </c>
    </row>
    <row r="305" spans="1:9" x14ac:dyDescent="0.25">
      <c r="A305" s="61">
        <f>'A) Base RI'!A307</f>
        <v>5919</v>
      </c>
      <c r="B305" s="13" t="str">
        <f>'A) Base RI'!B307</f>
        <v>Mathod</v>
      </c>
      <c r="C305" s="135">
        <f>'A) Base RI'!AN307</f>
        <v>581</v>
      </c>
      <c r="D305" s="176">
        <f>'D) Ecrêtage'!N305</f>
        <v>27.987476508350003</v>
      </c>
      <c r="E305" s="44">
        <f t="shared" si="20"/>
        <v>15.634151335687232</v>
      </c>
      <c r="F305" s="179">
        <f t="shared" si="18"/>
        <v>181487.16968216497</v>
      </c>
      <c r="G305" s="160">
        <f>'A) Base RI'!AM307</f>
        <v>74</v>
      </c>
      <c r="H305" s="168">
        <f t="shared" si="19"/>
        <v>1.0903656282355496</v>
      </c>
      <c r="I305" s="183">
        <f t="shared" si="21"/>
        <v>197887.37178718561</v>
      </c>
    </row>
    <row r="306" spans="1:9" x14ac:dyDescent="0.25">
      <c r="A306" s="61">
        <f>'A) Base RI'!A308</f>
        <v>5921</v>
      </c>
      <c r="B306" s="13" t="str">
        <f>'A) Base RI'!B308</f>
        <v>Molondin</v>
      </c>
      <c r="C306" s="135">
        <f>'A) Base RI'!AN308</f>
        <v>224</v>
      </c>
      <c r="D306" s="176">
        <f>'D) Ecrêtage'!N306</f>
        <v>22.018366402116403</v>
      </c>
      <c r="E306" s="44">
        <f t="shared" si="20"/>
        <v>21.603261441920832</v>
      </c>
      <c r="F306" s="179">
        <f t="shared" si="18"/>
        <v>105831.78541259714</v>
      </c>
      <c r="G306" s="160">
        <f>'A) Base RI'!AM308</f>
        <v>81</v>
      </c>
      <c r="H306" s="168">
        <f t="shared" si="19"/>
        <v>1.1935083227983718</v>
      </c>
      <c r="I306" s="183">
        <f t="shared" si="21"/>
        <v>126311.116706546</v>
      </c>
    </row>
    <row r="307" spans="1:9" x14ac:dyDescent="0.25">
      <c r="A307" s="61">
        <f>'A) Base RI'!A309</f>
        <v>5922</v>
      </c>
      <c r="B307" s="13" t="str">
        <f>'A) Base RI'!B309</f>
        <v>Montagny-près-Yverdon</v>
      </c>
      <c r="C307" s="135">
        <f>'A) Base RI'!AN309</f>
        <v>713</v>
      </c>
      <c r="D307" s="176">
        <f>'D) Ecrêtage'!N307</f>
        <v>67.780962631784561</v>
      </c>
      <c r="E307" s="44">
        <f t="shared" si="20"/>
        <v>0</v>
      </c>
      <c r="F307" s="179">
        <f t="shared" si="18"/>
        <v>0</v>
      </c>
      <c r="G307" s="160">
        <f>'A) Base RI'!AM309</f>
        <v>61</v>
      </c>
      <c r="H307" s="168">
        <f t="shared" si="19"/>
        <v>0.89881490976173684</v>
      </c>
      <c r="I307" s="183">
        <f t="shared" si="21"/>
        <v>0</v>
      </c>
    </row>
    <row r="308" spans="1:9" x14ac:dyDescent="0.25">
      <c r="A308" s="61">
        <f>'A) Base RI'!A310</f>
        <v>5923</v>
      </c>
      <c r="B308" s="13" t="str">
        <f>'A) Base RI'!B310</f>
        <v>Oppens</v>
      </c>
      <c r="C308" s="135">
        <f>'A) Base RI'!AN310</f>
        <v>182</v>
      </c>
      <c r="D308" s="176">
        <f>'D) Ecrêtage'!N308</f>
        <v>26.934765974765973</v>
      </c>
      <c r="E308" s="44">
        <f t="shared" si="20"/>
        <v>16.686861869271262</v>
      </c>
      <c r="F308" s="179">
        <f t="shared" si="18"/>
        <v>66419.383772735178</v>
      </c>
      <c r="G308" s="160">
        <f>'A) Base RI'!AM310</f>
        <v>81</v>
      </c>
      <c r="H308" s="168">
        <f t="shared" si="19"/>
        <v>1.1935083227983718</v>
      </c>
      <c r="I308" s="183">
        <f t="shared" si="21"/>
        <v>79272.087327898553</v>
      </c>
    </row>
    <row r="309" spans="1:9" x14ac:dyDescent="0.25">
      <c r="A309" s="61">
        <f>'A) Base RI'!A311</f>
        <v>5924</v>
      </c>
      <c r="B309" s="13" t="str">
        <f>'A) Base RI'!B311</f>
        <v>Orges</v>
      </c>
      <c r="C309" s="135">
        <f>'A) Base RI'!AN311</f>
        <v>275</v>
      </c>
      <c r="D309" s="176">
        <f>'D) Ecrêtage'!N309</f>
        <v>32.737656511056514</v>
      </c>
      <c r="E309" s="44">
        <f t="shared" si="20"/>
        <v>10.883971332980721</v>
      </c>
      <c r="F309" s="179">
        <f t="shared" si="18"/>
        <v>59801.980489062575</v>
      </c>
      <c r="G309" s="160">
        <f>'A) Base RI'!AM311</f>
        <v>74</v>
      </c>
      <c r="H309" s="168">
        <f t="shared" si="19"/>
        <v>1.0903656282355496</v>
      </c>
      <c r="I309" s="183">
        <f t="shared" si="21"/>
        <v>65206.024025686791</v>
      </c>
    </row>
    <row r="310" spans="1:9" x14ac:dyDescent="0.25">
      <c r="A310" s="61">
        <f>'A) Base RI'!A312</f>
        <v>5925</v>
      </c>
      <c r="B310" s="13" t="str">
        <f>'A) Base RI'!B312</f>
        <v>Orzens</v>
      </c>
      <c r="C310" s="135">
        <f>'A) Base RI'!AN312</f>
        <v>211</v>
      </c>
      <c r="D310" s="176">
        <f>'D) Ecrêtage'!N310</f>
        <v>23.951434999100126</v>
      </c>
      <c r="E310" s="44">
        <f t="shared" si="20"/>
        <v>19.670192844937109</v>
      </c>
      <c r="F310" s="179">
        <f t="shared" si="18"/>
        <v>88528.260023709314</v>
      </c>
      <c r="G310" s="160">
        <f>'A) Base RI'!AM312</f>
        <v>79</v>
      </c>
      <c r="H310" s="168">
        <f t="shared" si="19"/>
        <v>1.1640389814947083</v>
      </c>
      <c r="I310" s="183">
        <f t="shared" si="21"/>
        <v>103050.34563149729</v>
      </c>
    </row>
    <row r="311" spans="1:9" x14ac:dyDescent="0.25">
      <c r="A311" s="61">
        <f>'A) Base RI'!A313</f>
        <v>5926</v>
      </c>
      <c r="B311" s="13" t="str">
        <f>'A) Base RI'!B313</f>
        <v>Pomy</v>
      </c>
      <c r="C311" s="135">
        <f>'A) Base RI'!AN313</f>
        <v>730</v>
      </c>
      <c r="D311" s="176">
        <f>'D) Ecrêtage'!N311</f>
        <v>28.807022187922055</v>
      </c>
      <c r="E311" s="44">
        <f t="shared" si="20"/>
        <v>14.81460565611518</v>
      </c>
      <c r="F311" s="179">
        <f t="shared" si="18"/>
        <v>207317.07301224142</v>
      </c>
      <c r="G311" s="160">
        <f>'A) Base RI'!AM313</f>
        <v>71</v>
      </c>
      <c r="H311" s="168">
        <f t="shared" si="19"/>
        <v>1.0461616162800542</v>
      </c>
      <c r="I311" s="183">
        <f t="shared" si="21"/>
        <v>216887.1641849365</v>
      </c>
    </row>
    <row r="312" spans="1:9" x14ac:dyDescent="0.25">
      <c r="A312" s="61">
        <f>'A) Base RI'!A314</f>
        <v>5928</v>
      </c>
      <c r="B312" s="13" t="str">
        <f>'A) Base RI'!B314</f>
        <v>Rovray</v>
      </c>
      <c r="C312" s="135">
        <f>'A) Base RI'!AN314</f>
        <v>176</v>
      </c>
      <c r="D312" s="176">
        <f>'D) Ecrêtage'!N312</f>
        <v>27.824691666666663</v>
      </c>
      <c r="E312" s="44">
        <f t="shared" si="20"/>
        <v>15.796936177370572</v>
      </c>
      <c r="F312" s="179">
        <f t="shared" si="18"/>
        <v>56300.280536148719</v>
      </c>
      <c r="G312" s="160">
        <f>'A) Base RI'!AM314</f>
        <v>75</v>
      </c>
      <c r="H312" s="168">
        <f t="shared" si="19"/>
        <v>1.1051002988873813</v>
      </c>
      <c r="I312" s="183">
        <f t="shared" si="21"/>
        <v>62217.456847941365</v>
      </c>
    </row>
    <row r="313" spans="1:9" x14ac:dyDescent="0.25">
      <c r="A313" s="61">
        <f>'A) Base RI'!A315</f>
        <v>5929</v>
      </c>
      <c r="B313" s="13" t="str">
        <f>'A) Base RI'!B315</f>
        <v>Suchy</v>
      </c>
      <c r="C313" s="135">
        <f>'A) Base RI'!AN315</f>
        <v>542</v>
      </c>
      <c r="D313" s="176">
        <f>'D) Ecrêtage'!N313</f>
        <v>29.675116760726436</v>
      </c>
      <c r="E313" s="44">
        <f t="shared" si="20"/>
        <v>13.946511083310799</v>
      </c>
      <c r="F313" s="179">
        <f t="shared" si="18"/>
        <v>138783.40537135577</v>
      </c>
      <c r="G313" s="160">
        <f>'A) Base RI'!AM315</f>
        <v>68</v>
      </c>
      <c r="H313" s="168">
        <f t="shared" si="19"/>
        <v>1.001957604324559</v>
      </c>
      <c r="I313" s="183">
        <f t="shared" si="21"/>
        <v>139055.08836588776</v>
      </c>
    </row>
    <row r="314" spans="1:9" x14ac:dyDescent="0.25">
      <c r="A314" s="61">
        <f>'A) Base RI'!A316</f>
        <v>5930</v>
      </c>
      <c r="B314" s="13" t="str">
        <f>'A) Base RI'!B316</f>
        <v>Suscévaz</v>
      </c>
      <c r="C314" s="135">
        <f>'A) Base RI'!AN316</f>
        <v>199</v>
      </c>
      <c r="D314" s="176">
        <f>'D) Ecrêtage'!N314</f>
        <v>26.171275315973805</v>
      </c>
      <c r="E314" s="44">
        <f t="shared" si="20"/>
        <v>17.45035252806343</v>
      </c>
      <c r="F314" s="179">
        <f t="shared" si="18"/>
        <v>61882.091127967971</v>
      </c>
      <c r="G314" s="160">
        <f>'A) Base RI'!AM316</f>
        <v>66</v>
      </c>
      <c r="H314" s="168">
        <f t="shared" si="19"/>
        <v>0.97248826302089553</v>
      </c>
      <c r="I314" s="183">
        <f t="shared" si="21"/>
        <v>60179.607313138345</v>
      </c>
    </row>
    <row r="315" spans="1:9" x14ac:dyDescent="0.25">
      <c r="A315" s="61">
        <f>'A) Base RI'!A317</f>
        <v>5931</v>
      </c>
      <c r="B315" s="13" t="str">
        <f>'A) Base RI'!B317</f>
        <v>Treycovagnes</v>
      </c>
      <c r="C315" s="135">
        <f>'A) Base RI'!AN317</f>
        <v>462</v>
      </c>
      <c r="D315" s="176">
        <f>'D) Ecrêtage'!N315</f>
        <v>30.134359644684316</v>
      </c>
      <c r="E315" s="44">
        <f t="shared" si="20"/>
        <v>13.487268199352918</v>
      </c>
      <c r="F315" s="179">
        <f t="shared" si="18"/>
        <v>129544.94130942081</v>
      </c>
      <c r="G315" s="160">
        <f>'A) Base RI'!AM317</f>
        <v>77</v>
      </c>
      <c r="H315" s="168">
        <f t="shared" si="19"/>
        <v>1.1345696401910448</v>
      </c>
      <c r="I315" s="183">
        <f t="shared" si="21"/>
        <v>146977.7574499996</v>
      </c>
    </row>
    <row r="316" spans="1:9" x14ac:dyDescent="0.25">
      <c r="A316" s="61">
        <f>'A) Base RI'!A318</f>
        <v>5932</v>
      </c>
      <c r="B316" s="13" t="str">
        <f>'A) Base RI'!B318</f>
        <v>Ursins</v>
      </c>
      <c r="C316" s="135">
        <f>'A) Base RI'!AN318</f>
        <v>207</v>
      </c>
      <c r="D316" s="176">
        <f>'D) Ecrêtage'!N316</f>
        <v>26.228535860274992</v>
      </c>
      <c r="E316" s="44">
        <f t="shared" si="20"/>
        <v>17.393091983762243</v>
      </c>
      <c r="F316" s="179">
        <f t="shared" si="18"/>
        <v>75823.793055852802</v>
      </c>
      <c r="G316" s="160">
        <f>'A) Base RI'!AM318</f>
        <v>78</v>
      </c>
      <c r="H316" s="168">
        <f t="shared" si="19"/>
        <v>1.1493043108428767</v>
      </c>
      <c r="I316" s="183">
        <f t="shared" si="21"/>
        <v>87144.612223549804</v>
      </c>
    </row>
    <row r="317" spans="1:9" x14ac:dyDescent="0.25">
      <c r="A317" s="61">
        <f>'A) Base RI'!A319</f>
        <v>5933</v>
      </c>
      <c r="B317" s="13" t="str">
        <f>'A) Base RI'!B319</f>
        <v>Valeyres-sous-Montagny</v>
      </c>
      <c r="C317" s="135">
        <f>'A) Base RI'!AN319</f>
        <v>661</v>
      </c>
      <c r="D317" s="176">
        <f>'D) Ecrêtage'!N317</f>
        <v>25.96969910909397</v>
      </c>
      <c r="E317" s="44">
        <f t="shared" si="20"/>
        <v>17.651928734943265</v>
      </c>
      <c r="F317" s="179">
        <f t="shared" si="18"/>
        <v>226824.45993542337</v>
      </c>
      <c r="G317" s="160">
        <f>'A) Base RI'!AM319</f>
        <v>72</v>
      </c>
      <c r="H317" s="168">
        <f t="shared" si="19"/>
        <v>1.0608962869318861</v>
      </c>
      <c r="I317" s="183">
        <f t="shared" si="21"/>
        <v>240637.22733082101</v>
      </c>
    </row>
    <row r="318" spans="1:9" x14ac:dyDescent="0.25">
      <c r="A318" s="61">
        <f>'A) Base RI'!A320</f>
        <v>5934</v>
      </c>
      <c r="B318" s="13" t="str">
        <f>'A) Base RI'!B320</f>
        <v>Valeyres-sous-Ursins</v>
      </c>
      <c r="C318" s="135">
        <f>'A) Base RI'!AN320</f>
        <v>245</v>
      </c>
      <c r="D318" s="176">
        <f>'D) Ecrêtage'!N318</f>
        <v>26.948695944200466</v>
      </c>
      <c r="E318" s="44">
        <f t="shared" si="20"/>
        <v>16.672931899836769</v>
      </c>
      <c r="F318" s="179">
        <f t="shared" si="18"/>
        <v>87130.24116876199</v>
      </c>
      <c r="G318" s="160">
        <f>'A) Base RI'!AM320</f>
        <v>79</v>
      </c>
      <c r="H318" s="168">
        <f t="shared" si="19"/>
        <v>1.1640389814947083</v>
      </c>
      <c r="I318" s="183">
        <f t="shared" si="21"/>
        <v>101422.99718747401</v>
      </c>
    </row>
    <row r="319" spans="1:9" x14ac:dyDescent="0.25">
      <c r="A319" s="61">
        <f>'A) Base RI'!A321</f>
        <v>5935</v>
      </c>
      <c r="B319" s="13" t="str">
        <f>'A) Base RI'!B321</f>
        <v>Villars-Epeney</v>
      </c>
      <c r="C319" s="135">
        <f>'A) Base RI'!AN321</f>
        <v>90</v>
      </c>
      <c r="D319" s="176">
        <f>'D) Ecrêtage'!N319</f>
        <v>71.753277725132918</v>
      </c>
      <c r="E319" s="44">
        <f t="shared" si="20"/>
        <v>0</v>
      </c>
      <c r="F319" s="179">
        <f t="shared" si="18"/>
        <v>0</v>
      </c>
      <c r="G319" s="160">
        <f>'A) Base RI'!AM321</f>
        <v>60</v>
      </c>
      <c r="H319" s="168">
        <f t="shared" si="19"/>
        <v>0.88408023910990507</v>
      </c>
      <c r="I319" s="183">
        <f t="shared" si="21"/>
        <v>0</v>
      </c>
    </row>
    <row r="320" spans="1:9" x14ac:dyDescent="0.25">
      <c r="A320" s="61">
        <f>'A) Base RI'!A322</f>
        <v>5937</v>
      </c>
      <c r="B320" s="13" t="str">
        <f>'A) Base RI'!B322</f>
        <v>Vugelles-La Mothe</v>
      </c>
      <c r="C320" s="135">
        <f>'A) Base RI'!AN322</f>
        <v>135</v>
      </c>
      <c r="D320" s="176">
        <f>'D) Ecrêtage'!N320</f>
        <v>15.770207860922147</v>
      </c>
      <c r="E320" s="44">
        <f t="shared" si="20"/>
        <v>27.851419983115086</v>
      </c>
      <c r="F320" s="179">
        <f t="shared" si="18"/>
        <v>71062.89808691814</v>
      </c>
      <c r="G320" s="160">
        <f>'A) Base RI'!AM322</f>
        <v>70</v>
      </c>
      <c r="H320" s="168">
        <f t="shared" si="19"/>
        <v>1.0314269456282226</v>
      </c>
      <c r="I320" s="183">
        <f t="shared" si="21"/>
        <v>73296.187921279634</v>
      </c>
    </row>
    <row r="321" spans="1:9" x14ac:dyDescent="0.25">
      <c r="A321" s="61">
        <f>'A) Base RI'!A323</f>
        <v>5938</v>
      </c>
      <c r="B321" s="13" t="str">
        <f>'A) Base RI'!B323</f>
        <v>Yverdon-les-Bains</v>
      </c>
      <c r="C321" s="135">
        <f>'A) Base RI'!AN323</f>
        <v>29308</v>
      </c>
      <c r="D321" s="176">
        <f>'D) Ecrêtage'!N321</f>
        <v>26.318412296359337</v>
      </c>
      <c r="E321" s="44">
        <f t="shared" si="20"/>
        <v>17.303215547677897</v>
      </c>
      <c r="F321" s="179">
        <f t="shared" si="18"/>
        <v>10474618.155459607</v>
      </c>
      <c r="G321" s="160">
        <f>'A) Base RI'!AM323</f>
        <v>76.5</v>
      </c>
      <c r="H321" s="168">
        <f t="shared" si="19"/>
        <v>1.127202304865129</v>
      </c>
      <c r="I321" s="183">
        <f t="shared" si="21"/>
        <v>11807013.727416195</v>
      </c>
    </row>
    <row r="322" spans="1:9" x14ac:dyDescent="0.25">
      <c r="A322" s="63">
        <f>'A) Base RI'!A324</f>
        <v>5939</v>
      </c>
      <c r="B322" s="130" t="str">
        <f>'A) Base RI'!B324</f>
        <v>Yvonand</v>
      </c>
      <c r="C322" s="136">
        <f>'A) Base RI'!AN324</f>
        <v>3152</v>
      </c>
      <c r="D322" s="177">
        <f>'D) Ecrêtage'!N322</f>
        <v>27.989071039913771</v>
      </c>
      <c r="E322" s="171">
        <f t="shared" si="20"/>
        <v>15.632556804123464</v>
      </c>
      <c r="F322" s="179">
        <f t="shared" si="18"/>
        <v>971186.97340843</v>
      </c>
      <c r="G322" s="161">
        <f>'A) Base RI'!AM324</f>
        <v>73</v>
      </c>
      <c r="H322" s="172">
        <f t="shared" si="19"/>
        <v>1.0756309575837177</v>
      </c>
      <c r="I322" s="184">
        <f t="shared" si="21"/>
        <v>1044638.7742001421</v>
      </c>
    </row>
    <row r="323" spans="1:9" x14ac:dyDescent="0.25">
      <c r="A323" s="91"/>
      <c r="B323" s="76">
        <f>COUNTA(B5:B322)</f>
        <v>318</v>
      </c>
      <c r="C323" s="136">
        <f>SUM(C5:C322)</f>
        <v>767496</v>
      </c>
      <c r="D323" s="173">
        <f>'D) Ecrêtage'!N323</f>
        <v>43.621627844037235</v>
      </c>
      <c r="E323" s="174"/>
      <c r="F323" s="15">
        <f>SUM(F5:F322)</f>
        <v>89387332.04527466</v>
      </c>
      <c r="G323" s="195">
        <f>'B) D RI'!S325</f>
        <v>67.867142987392413</v>
      </c>
      <c r="H323" s="172">
        <f>G323/G$323</f>
        <v>1</v>
      </c>
      <c r="I323" s="47">
        <f>SUM(I5:I322)</f>
        <v>96841397.243190914</v>
      </c>
    </row>
  </sheetData>
  <sheetProtection sheet="1" objects="1" scenarios="1"/>
  <mergeCells count="8">
    <mergeCell ref="A3:A4"/>
    <mergeCell ref="I3:I4"/>
    <mergeCell ref="H3:H4"/>
    <mergeCell ref="G3:G4"/>
    <mergeCell ref="F3:F4"/>
    <mergeCell ref="B3:B4"/>
    <mergeCell ref="C3:C4"/>
    <mergeCell ref="D3:D4"/>
  </mergeCells>
  <phoneticPr fontId="7"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353"/>
  <sheetViews>
    <sheetView workbookViewId="0"/>
  </sheetViews>
  <sheetFormatPr baseColWidth="10" defaultColWidth="11" defaultRowHeight="15" x14ac:dyDescent="0.25"/>
  <cols>
    <col min="1" max="1" width="9.375" style="18" customWidth="1"/>
    <col min="2" max="2" width="22.25" style="18" customWidth="1"/>
    <col min="3" max="3" width="13.375" style="18" customWidth="1"/>
    <col min="4" max="4" width="11.125" style="18" bestFit="1" customWidth="1"/>
    <col min="5" max="5" width="13" style="18" customWidth="1"/>
    <col min="6" max="7" width="12.375" style="18" customWidth="1"/>
    <col min="8" max="9" width="13" style="18" bestFit="1" customWidth="1"/>
    <col min="10" max="10" width="3.5" style="18" customWidth="1"/>
    <col min="11" max="16384" width="11" style="18"/>
  </cols>
  <sheetData>
    <row r="1" spans="1:9" ht="21" x14ac:dyDescent="0.25">
      <c r="A1" s="65" t="s">
        <v>372</v>
      </c>
      <c r="B1" s="53"/>
      <c r="C1" s="100"/>
      <c r="D1" s="100"/>
      <c r="E1" s="100"/>
      <c r="F1" s="100"/>
      <c r="G1" s="100"/>
      <c r="H1" s="100"/>
      <c r="I1" s="100"/>
    </row>
    <row r="3" spans="1:9" x14ac:dyDescent="0.25">
      <c r="A3" s="192" t="s">
        <v>52</v>
      </c>
      <c r="B3" s="193"/>
      <c r="C3" s="194" t="s">
        <v>518</v>
      </c>
      <c r="D3" s="194" t="s">
        <v>454</v>
      </c>
      <c r="E3" s="100"/>
      <c r="F3" s="100"/>
      <c r="G3" s="100"/>
      <c r="H3" s="100"/>
      <c r="I3" s="100"/>
    </row>
    <row r="4" spans="1:9" x14ac:dyDescent="0.25">
      <c r="A4" s="111" t="s">
        <v>119</v>
      </c>
      <c r="B4" s="112"/>
      <c r="C4" s="15">
        <f>E334</f>
        <v>619051157.53286803</v>
      </c>
      <c r="D4" s="45"/>
      <c r="E4" s="100"/>
      <c r="F4" s="100"/>
      <c r="G4" s="100"/>
      <c r="H4" s="100"/>
      <c r="I4" s="100"/>
    </row>
    <row r="5" spans="1:9" x14ac:dyDescent="0.25">
      <c r="A5" s="117" t="s">
        <v>481</v>
      </c>
      <c r="B5" s="56"/>
      <c r="C5" s="14">
        <v>0</v>
      </c>
      <c r="D5" s="43">
        <f>C5/$C$334</f>
        <v>0</v>
      </c>
      <c r="E5" s="100"/>
      <c r="F5" s="100"/>
      <c r="G5" s="100"/>
      <c r="H5" s="100"/>
      <c r="I5" s="100"/>
    </row>
    <row r="6" spans="1:9" x14ac:dyDescent="0.25">
      <c r="A6" s="117" t="s">
        <v>480</v>
      </c>
      <c r="B6" s="56"/>
      <c r="C6" s="14">
        <f>Paramètres!B32</f>
        <v>5942365</v>
      </c>
      <c r="D6" s="444">
        <f>C6/$C$334</f>
        <v>0.17749304298466784</v>
      </c>
      <c r="E6" s="100"/>
      <c r="F6" s="100"/>
      <c r="G6" s="100"/>
      <c r="H6" s="100"/>
      <c r="I6" s="100"/>
    </row>
    <row r="7" spans="1:9" x14ac:dyDescent="0.25">
      <c r="A7" s="117" t="s">
        <v>120</v>
      </c>
      <c r="B7" s="56"/>
      <c r="C7" s="14">
        <f>'I) Dépenses thématiques'!O323</f>
        <v>-133917699.53514889</v>
      </c>
      <c r="D7" s="444">
        <f>C7/$C$334</f>
        <v>-4.0000000000000027</v>
      </c>
      <c r="E7" s="100"/>
      <c r="F7" s="100"/>
      <c r="G7" s="100"/>
      <c r="H7" s="100"/>
      <c r="I7" s="100"/>
    </row>
    <row r="8" spans="1:9" x14ac:dyDescent="0.25">
      <c r="A8" s="119" t="s">
        <v>319</v>
      </c>
      <c r="B8" s="178"/>
      <c r="C8" s="25">
        <f>Paramètres!B33</f>
        <v>-450000</v>
      </c>
      <c r="D8" s="444">
        <f>C8/$C$334</f>
        <v>-1.3441091104821149E-2</v>
      </c>
      <c r="E8" s="100"/>
      <c r="F8" s="100"/>
      <c r="G8" s="100"/>
      <c r="H8" s="100"/>
      <c r="I8" s="100"/>
    </row>
    <row r="9" spans="1:9" x14ac:dyDescent="0.25">
      <c r="A9" s="119" t="s">
        <v>402</v>
      </c>
      <c r="B9" s="178"/>
      <c r="C9" s="25">
        <f>SUM(C5:C8)</f>
        <v>-128425334.53514889</v>
      </c>
      <c r="D9" s="146">
        <f>SUM(D5:D8)</f>
        <v>-3.835948048120156</v>
      </c>
      <c r="E9" s="100"/>
      <c r="F9" s="100"/>
      <c r="G9" s="100"/>
      <c r="H9" s="100"/>
      <c r="I9" s="100"/>
    </row>
    <row r="10" spans="1:9" x14ac:dyDescent="0.25">
      <c r="A10" s="111" t="s">
        <v>486</v>
      </c>
      <c r="B10" s="112"/>
      <c r="C10" s="25">
        <f>-SUM(C4:C8)</f>
        <v>-490625822.99771917</v>
      </c>
      <c r="D10" s="146">
        <f>C10/$C$334</f>
        <v>-14.654547522867107</v>
      </c>
      <c r="E10" s="100"/>
      <c r="F10" s="100"/>
      <c r="G10" s="100"/>
      <c r="H10" s="100"/>
      <c r="I10" s="100"/>
    </row>
    <row r="11" spans="1:9" x14ac:dyDescent="0.25">
      <c r="A11" s="111" t="s">
        <v>401</v>
      </c>
      <c r="B11" s="113"/>
      <c r="C11" s="25">
        <f>C9+C10</f>
        <v>-619051157.53286803</v>
      </c>
      <c r="D11" s="146">
        <f>D10+D9</f>
        <v>-18.490495570987264</v>
      </c>
      <c r="E11" s="100"/>
      <c r="F11" s="100"/>
      <c r="G11" s="100"/>
      <c r="H11" s="100"/>
      <c r="I11" s="100"/>
    </row>
    <row r="14" spans="1:9" ht="60" customHeight="1" x14ac:dyDescent="0.25">
      <c r="A14" s="497" t="s">
        <v>51</v>
      </c>
      <c r="B14" s="497" t="s">
        <v>121</v>
      </c>
      <c r="C14" s="497" t="s">
        <v>482</v>
      </c>
      <c r="D14" s="516" t="s">
        <v>348</v>
      </c>
      <c r="E14" s="86" t="s">
        <v>119</v>
      </c>
      <c r="F14" s="86" t="s">
        <v>400</v>
      </c>
      <c r="G14" s="86" t="s">
        <v>485</v>
      </c>
      <c r="H14" s="86" t="s">
        <v>340</v>
      </c>
      <c r="I14" s="86" t="s">
        <v>453</v>
      </c>
    </row>
    <row r="15" spans="1:9" x14ac:dyDescent="0.25">
      <c r="A15" s="499"/>
      <c r="B15" s="499"/>
      <c r="C15" s="498"/>
      <c r="D15" s="523"/>
      <c r="E15" s="433">
        <f>-D9+F15+G15</f>
        <v>18.490495570987239</v>
      </c>
      <c r="F15" s="188">
        <f>F334/C334</f>
        <v>11.761982982725073</v>
      </c>
      <c r="G15" s="188">
        <f>G334/C334</f>
        <v>2.8925645401420104</v>
      </c>
      <c r="H15" s="188"/>
      <c r="I15" s="188"/>
    </row>
    <row r="16" spans="1:9" x14ac:dyDescent="0.25">
      <c r="A16" s="57">
        <f>'A) Base RI'!A7</f>
        <v>5401</v>
      </c>
      <c r="B16" s="58" t="str">
        <f>'A) Base RI'!B7</f>
        <v>Aigle</v>
      </c>
      <c r="C16" s="102">
        <f>'D) Ecrêtage'!M5</f>
        <v>260845.44622222218</v>
      </c>
      <c r="D16" s="69">
        <f>'A) Base RI'!AN7</f>
        <v>9757</v>
      </c>
      <c r="E16" s="19">
        <f>C16*E$15</f>
        <v>4823161.5680841887</v>
      </c>
      <c r="F16" s="52">
        <f>'F) Population'!K8</f>
        <v>4794723.1388329975</v>
      </c>
      <c r="G16" s="14">
        <f>'G) Solidarité'!I5</f>
        <v>2986702.2668141169</v>
      </c>
      <c r="H16" s="19">
        <f>F16+G16</f>
        <v>7781425.4056471139</v>
      </c>
      <c r="I16" s="75">
        <f>E16-H16</f>
        <v>-2958263.8375629252</v>
      </c>
    </row>
    <row r="17" spans="1:9" x14ac:dyDescent="0.25">
      <c r="A17" s="61">
        <f>'A) Base RI'!A8</f>
        <v>5402</v>
      </c>
      <c r="B17" s="42" t="str">
        <f>'A) Base RI'!B8</f>
        <v>Bex</v>
      </c>
      <c r="C17" s="19">
        <f>'D) Ecrêtage'!M6</f>
        <v>175890.90239436619</v>
      </c>
      <c r="D17" s="14">
        <f>'A) Base RI'!AN8</f>
        <v>7236</v>
      </c>
      <c r="E17" s="19">
        <f>C17*E$15</f>
        <v>3252309.9516999768</v>
      </c>
      <c r="F17" s="52">
        <f>'F) Population'!K9</f>
        <v>3109994.3661971833</v>
      </c>
      <c r="G17" s="14">
        <f>'G) Solidarité'!I6</f>
        <v>2802779.0353206405</v>
      </c>
      <c r="H17" s="19">
        <f t="shared" ref="H17:H71" si="0">F17+G17</f>
        <v>5912773.4015178233</v>
      </c>
      <c r="I17" s="75">
        <f t="shared" ref="I17:I71" si="1">E17-H17</f>
        <v>-2660463.4498178465</v>
      </c>
    </row>
    <row r="18" spans="1:9" x14ac:dyDescent="0.25">
      <c r="A18" s="61">
        <f>'A) Base RI'!A9</f>
        <v>5403</v>
      </c>
      <c r="B18" s="42" t="str">
        <f>'A) Base RI'!B9</f>
        <v>Chessel</v>
      </c>
      <c r="C18" s="19">
        <f>'D) Ecrêtage'!M7</f>
        <v>8284.5784210526326</v>
      </c>
      <c r="D18" s="14">
        <f>'A) Base RI'!AN9</f>
        <v>396</v>
      </c>
      <c r="E18" s="19">
        <f t="shared" ref="E18:E80" si="2">C18*E$15</f>
        <v>153185.96060197015</v>
      </c>
      <c r="F18" s="52">
        <f>'F) Population'!K10</f>
        <v>39201.60965794768</v>
      </c>
      <c r="G18" s="14">
        <f>'G) Solidarité'!I7</f>
        <v>206571.82344210683</v>
      </c>
      <c r="H18" s="19">
        <f t="shared" si="0"/>
        <v>245773.43310005451</v>
      </c>
      <c r="I18" s="75">
        <f>E18-H18</f>
        <v>-92587.47249808436</v>
      </c>
    </row>
    <row r="19" spans="1:9" x14ac:dyDescent="0.25">
      <c r="A19" s="61">
        <f>'A) Base RI'!A10</f>
        <v>5404</v>
      </c>
      <c r="B19" s="42" t="str">
        <f>'A) Base RI'!B10</f>
        <v>Corbeyrier</v>
      </c>
      <c r="C19" s="19">
        <f>'D) Ecrêtage'!M8</f>
        <v>9966.1885714285709</v>
      </c>
      <c r="D19" s="14">
        <f>'A) Base RI'!AN10</f>
        <v>433</v>
      </c>
      <c r="E19" s="19">
        <f t="shared" si="2"/>
        <v>184279.76563962363</v>
      </c>
      <c r="F19" s="52">
        <f>'F) Population'!K11</f>
        <v>42864.38631790744</v>
      </c>
      <c r="G19" s="14">
        <f>'G) Solidarité'!I8</f>
        <v>173924.73154940529</v>
      </c>
      <c r="H19" s="19">
        <f t="shared" si="0"/>
        <v>216789.11786731274</v>
      </c>
      <c r="I19" s="75">
        <f t="shared" si="1"/>
        <v>-32509.352227689116</v>
      </c>
    </row>
    <row r="20" spans="1:9" x14ac:dyDescent="0.25">
      <c r="A20" s="61">
        <f>'A) Base RI'!A11</f>
        <v>5405</v>
      </c>
      <c r="B20" s="42" t="str">
        <f>'A) Base RI'!B11</f>
        <v>Gryon</v>
      </c>
      <c r="C20" s="19">
        <f>'D) Ecrêtage'!M9</f>
        <v>71248.700388808633</v>
      </c>
      <c r="D20" s="14">
        <f>'A) Base RI'!AN11</f>
        <v>1265</v>
      </c>
      <c r="E20" s="19">
        <f t="shared" si="2"/>
        <v>1317423.7789778628</v>
      </c>
      <c r="F20" s="52">
        <f>'F) Population'!K12</f>
        <v>190810.86519114688</v>
      </c>
      <c r="G20" s="14">
        <f>'G) Solidarité'!I9</f>
        <v>0</v>
      </c>
      <c r="H20" s="19">
        <f t="shared" si="0"/>
        <v>190810.86519114688</v>
      </c>
      <c r="I20" s="75">
        <f t="shared" si="1"/>
        <v>1126612.9137867158</v>
      </c>
    </row>
    <row r="21" spans="1:9" x14ac:dyDescent="0.25">
      <c r="A21" s="61">
        <f>'A) Base RI'!A12</f>
        <v>5406</v>
      </c>
      <c r="B21" s="42" t="str">
        <f>'A) Base RI'!B12</f>
        <v>Lavey-Morcles</v>
      </c>
      <c r="C21" s="19">
        <f>'D) Ecrêtage'!M10</f>
        <v>19831.448851570964</v>
      </c>
      <c r="D21" s="14">
        <f>'A) Base RI'!AN12</f>
        <v>907</v>
      </c>
      <c r="E21" s="19">
        <f t="shared" si="2"/>
        <v>366693.31715623289</v>
      </c>
      <c r="F21" s="52">
        <f>'F) Population'!K13</f>
        <v>89787.525150905421</v>
      </c>
      <c r="G21" s="14">
        <f>'G) Solidarité'!I10</f>
        <v>395751.07277412497</v>
      </c>
      <c r="H21" s="19">
        <f t="shared" si="0"/>
        <v>485538.59792503039</v>
      </c>
      <c r="I21" s="75">
        <f t="shared" si="1"/>
        <v>-118845.2807687975</v>
      </c>
    </row>
    <row r="22" spans="1:9" x14ac:dyDescent="0.25">
      <c r="A22" s="61">
        <f>'A) Base RI'!A13</f>
        <v>5407</v>
      </c>
      <c r="B22" s="42" t="str">
        <f>'A) Base RI'!B13</f>
        <v>Leysin</v>
      </c>
      <c r="C22" s="19">
        <f>'D) Ecrêtage'!M11</f>
        <v>102799.09089743589</v>
      </c>
      <c r="D22" s="14">
        <f>'A) Base RI'!AN13</f>
        <v>4148</v>
      </c>
      <c r="E22" s="19">
        <f t="shared" si="2"/>
        <v>1900806.134940553</v>
      </c>
      <c r="F22" s="52">
        <f>'F) Population'!K14</f>
        <v>1360177.0623742454</v>
      </c>
      <c r="G22" s="14">
        <f>'G) Solidarité'!I11</f>
        <v>1891410.6269154614</v>
      </c>
      <c r="H22" s="19">
        <f t="shared" si="0"/>
        <v>3251587.6892897068</v>
      </c>
      <c r="I22" s="75">
        <f t="shared" si="1"/>
        <v>-1350781.5543491538</v>
      </c>
    </row>
    <row r="23" spans="1:9" x14ac:dyDescent="0.25">
      <c r="A23" s="61">
        <f>'A) Base RI'!A14</f>
        <v>5408</v>
      </c>
      <c r="B23" s="42" t="str">
        <f>'A) Base RI'!B14</f>
        <v>Noville</v>
      </c>
      <c r="C23" s="19">
        <f>'D) Ecrêtage'!M12</f>
        <v>34745.229256900217</v>
      </c>
      <c r="D23" s="14">
        <f>'A) Base RI'!AN14</f>
        <v>1029</v>
      </c>
      <c r="E23" s="19">
        <f t="shared" si="2"/>
        <v>642456.50768764969</v>
      </c>
      <c r="F23" s="52">
        <f>'F) Population'!K15</f>
        <v>109041.85110663984</v>
      </c>
      <c r="G23" s="14">
        <f>'G) Solidarité'!I12</f>
        <v>248623.70147078298</v>
      </c>
      <c r="H23" s="19">
        <f t="shared" si="0"/>
        <v>357665.55257742282</v>
      </c>
      <c r="I23" s="75">
        <f t="shared" si="1"/>
        <v>284790.95511022687</v>
      </c>
    </row>
    <row r="24" spans="1:9" x14ac:dyDescent="0.25">
      <c r="A24" s="61">
        <f>'A) Base RI'!A15</f>
        <v>5409</v>
      </c>
      <c r="B24" s="42" t="str">
        <f>'A) Base RI'!B15</f>
        <v>Ollon</v>
      </c>
      <c r="C24" s="19">
        <f>'D) Ecrêtage'!M13</f>
        <v>517844.500022105</v>
      </c>
      <c r="D24" s="14">
        <f>'A) Base RI'!AN15</f>
        <v>7419</v>
      </c>
      <c r="E24" s="19">
        <f t="shared" si="2"/>
        <v>9575201.4341188334</v>
      </c>
      <c r="F24" s="52">
        <f>'F) Population'!K16</f>
        <v>3218689.7384305838</v>
      </c>
      <c r="G24" s="14">
        <f>'G) Solidarité'!I13</f>
        <v>0</v>
      </c>
      <c r="H24" s="19">
        <f t="shared" si="0"/>
        <v>3218689.7384305838</v>
      </c>
      <c r="I24" s="75">
        <f t="shared" si="1"/>
        <v>6356511.6956882495</v>
      </c>
    </row>
    <row r="25" spans="1:9" x14ac:dyDescent="0.25">
      <c r="A25" s="61">
        <f>'A) Base RI'!A16</f>
        <v>5410</v>
      </c>
      <c r="B25" s="42" t="str">
        <f>'A) Base RI'!B16</f>
        <v>Ormont-Dessous</v>
      </c>
      <c r="C25" s="19">
        <f>'D) Ecrêtage'!M14</f>
        <v>35234.198174097655</v>
      </c>
      <c r="D25" s="14">
        <f>'A) Base RI'!AN16</f>
        <v>1119</v>
      </c>
      <c r="E25" s="19">
        <f t="shared" si="2"/>
        <v>651497.78528543934</v>
      </c>
      <c r="F25" s="52">
        <f>'F) Population'!K17</f>
        <v>140224.94969818913</v>
      </c>
      <c r="G25" s="14">
        <f>'G) Solidarité'!I14</f>
        <v>332883.46013754985</v>
      </c>
      <c r="H25" s="19">
        <f t="shared" si="0"/>
        <v>473108.40983573894</v>
      </c>
      <c r="I25" s="75">
        <f t="shared" si="1"/>
        <v>178389.3754497004</v>
      </c>
    </row>
    <row r="26" spans="1:9" x14ac:dyDescent="0.25">
      <c r="A26" s="61">
        <f>'A) Base RI'!A17</f>
        <v>5411</v>
      </c>
      <c r="B26" s="42" t="str">
        <f>'A) Base RI'!B17</f>
        <v>Ormont-Dessus</v>
      </c>
      <c r="C26" s="19">
        <f>'D) Ecrêtage'!M15</f>
        <v>71790.213859649128</v>
      </c>
      <c r="D26" s="14">
        <f>'A) Base RI'!AN17</f>
        <v>1481</v>
      </c>
      <c r="E26" s="19">
        <f t="shared" si="2"/>
        <v>1327436.6314120688</v>
      </c>
      <c r="F26" s="52">
        <f>'F) Population'!K18</f>
        <v>265650.30181086517</v>
      </c>
      <c r="G26" s="14">
        <f>'G) Solidarité'!I15</f>
        <v>0</v>
      </c>
      <c r="H26" s="19">
        <f t="shared" si="0"/>
        <v>265650.30181086517</v>
      </c>
      <c r="I26" s="75">
        <f t="shared" si="1"/>
        <v>1061786.3296012036</v>
      </c>
    </row>
    <row r="27" spans="1:9" x14ac:dyDescent="0.25">
      <c r="A27" s="61">
        <f>'A) Base RI'!A18</f>
        <v>5412</v>
      </c>
      <c r="B27" s="42" t="str">
        <f>'A) Base RI'!B18</f>
        <v>Rennaz</v>
      </c>
      <c r="C27" s="19">
        <f>'D) Ecrêtage'!M16</f>
        <v>26501.739703703701</v>
      </c>
      <c r="D27" s="14">
        <f>'A) Base RI'!AN18</f>
        <v>843</v>
      </c>
      <c r="E27" s="19">
        <f t="shared" si="2"/>
        <v>490030.30061478994</v>
      </c>
      <c r="F27" s="52">
        <f>'F) Population'!K19</f>
        <v>83451.911468812876</v>
      </c>
      <c r="G27" s="14">
        <f>'G) Solidarité'!I16</f>
        <v>186181.6362205224</v>
      </c>
      <c r="H27" s="19">
        <f t="shared" si="0"/>
        <v>269633.5476893353</v>
      </c>
      <c r="I27" s="75">
        <f t="shared" si="1"/>
        <v>220396.75292545464</v>
      </c>
    </row>
    <row r="28" spans="1:9" x14ac:dyDescent="0.25">
      <c r="A28" s="61">
        <f>'A) Base RI'!A19</f>
        <v>5413</v>
      </c>
      <c r="B28" s="42" t="str">
        <f>'A) Base RI'!B19</f>
        <v>Roche</v>
      </c>
      <c r="C28" s="19">
        <f>'D) Ecrêtage'!M17</f>
        <v>34861.221617647054</v>
      </c>
      <c r="D28" s="14">
        <f>'A) Base RI'!AN19</f>
        <v>1507</v>
      </c>
      <c r="E28" s="19">
        <f t="shared" si="2"/>
        <v>644601.26392030739</v>
      </c>
      <c r="F28" s="52">
        <f>'F) Population'!K20</f>
        <v>274658.75251509051</v>
      </c>
      <c r="G28" s="14">
        <f>'G) Solidarité'!I17</f>
        <v>568003.6073945479</v>
      </c>
      <c r="H28" s="19">
        <f t="shared" si="0"/>
        <v>842662.35990963841</v>
      </c>
      <c r="I28" s="75">
        <f t="shared" si="1"/>
        <v>-198061.09598933102</v>
      </c>
    </row>
    <row r="29" spans="1:9" x14ac:dyDescent="0.25">
      <c r="A29" s="61">
        <f>'A) Base RI'!A20</f>
        <v>5414</v>
      </c>
      <c r="B29" s="42" t="str">
        <f>'A) Base RI'!B20</f>
        <v>Villeneuve</v>
      </c>
      <c r="C29" s="19">
        <f>'D) Ecrêtage'!M18</f>
        <v>168009.32057971013</v>
      </c>
      <c r="D29" s="14">
        <f>'A) Base RI'!AN20</f>
        <v>5428</v>
      </c>
      <c r="E29" s="19">
        <f t="shared" si="2"/>
        <v>3106575.598063705</v>
      </c>
      <c r="F29" s="52">
        <f>'F) Population'!K21</f>
        <v>2036107.847082495</v>
      </c>
      <c r="G29" s="14">
        <f>'G) Solidarité'!I18</f>
        <v>1302549.6921612788</v>
      </c>
      <c r="H29" s="19">
        <f t="shared" si="0"/>
        <v>3338657.5392437736</v>
      </c>
      <c r="I29" s="75">
        <f t="shared" si="1"/>
        <v>-232081.94118006853</v>
      </c>
    </row>
    <row r="30" spans="1:9" x14ac:dyDescent="0.25">
      <c r="A30" s="61">
        <f>'A) Base RI'!A21</f>
        <v>5415</v>
      </c>
      <c r="B30" s="42" t="str">
        <f>'A) Base RI'!B21</f>
        <v>Yvorne</v>
      </c>
      <c r="C30" s="19">
        <f>'D) Ecrêtage'!M19</f>
        <v>43055.973722627736</v>
      </c>
      <c r="D30" s="14">
        <f>'A) Base RI'!AN21</f>
        <v>1032</v>
      </c>
      <c r="E30" s="19">
        <f t="shared" si="2"/>
        <v>796126.29142279108</v>
      </c>
      <c r="F30" s="52">
        <f>'F) Population'!K22</f>
        <v>110081.28772635815</v>
      </c>
      <c r="G30" s="14">
        <f>'G) Solidarité'!I19</f>
        <v>36617.094793153214</v>
      </c>
      <c r="H30" s="19">
        <f t="shared" si="0"/>
        <v>146698.38251951136</v>
      </c>
      <c r="I30" s="75">
        <f t="shared" si="1"/>
        <v>649427.90890327969</v>
      </c>
    </row>
    <row r="31" spans="1:9" x14ac:dyDescent="0.25">
      <c r="A31" s="61">
        <f>'A) Base RI'!A22</f>
        <v>5421</v>
      </c>
      <c r="B31" s="42" t="str">
        <f>'A) Base RI'!B22</f>
        <v>Apples</v>
      </c>
      <c r="C31" s="19">
        <f>'D) Ecrêtage'!M20</f>
        <v>57391.691408450701</v>
      </c>
      <c r="D31" s="14">
        <f>'A) Base RI'!AN22</f>
        <v>1363</v>
      </c>
      <c r="E31" s="19">
        <f t="shared" si="2"/>
        <v>1061200.815799424</v>
      </c>
      <c r="F31" s="52">
        <f>'F) Population'!K23</f>
        <v>224765.79476861167</v>
      </c>
      <c r="G31" s="14">
        <f>'G) Solidarité'!I20</f>
        <v>41405.13024720949</v>
      </c>
      <c r="H31" s="19">
        <f t="shared" si="0"/>
        <v>266170.92501582118</v>
      </c>
      <c r="I31" s="75">
        <f t="shared" si="1"/>
        <v>795029.89078360284</v>
      </c>
    </row>
    <row r="32" spans="1:9" x14ac:dyDescent="0.25">
      <c r="A32" s="61">
        <f>'A) Base RI'!A23</f>
        <v>5422</v>
      </c>
      <c r="B32" s="42" t="str">
        <f>'A) Base RI'!B23</f>
        <v>Aubonne</v>
      </c>
      <c r="C32" s="19">
        <f>'D) Ecrêtage'!M21</f>
        <v>211119.94817106269</v>
      </c>
      <c r="D32" s="14">
        <f>'A) Base RI'!AN23</f>
        <v>3227</v>
      </c>
      <c r="E32" s="19">
        <f t="shared" si="2"/>
        <v>3903712.4666040898</v>
      </c>
      <c r="F32" s="52">
        <f>'F) Population'!K24</f>
        <v>904309.85915492952</v>
      </c>
      <c r="G32" s="14">
        <f>'G) Solidarité'!I21</f>
        <v>0</v>
      </c>
      <c r="H32" s="19">
        <f t="shared" si="0"/>
        <v>904309.85915492952</v>
      </c>
      <c r="I32" s="75">
        <f t="shared" si="1"/>
        <v>2999402.6074491604</v>
      </c>
    </row>
    <row r="33" spans="1:9" x14ac:dyDescent="0.25">
      <c r="A33" s="61">
        <f>'A) Base RI'!A24</f>
        <v>5423</v>
      </c>
      <c r="B33" s="42" t="str">
        <f>'A) Base RI'!B24</f>
        <v>Ballens</v>
      </c>
      <c r="C33" s="19">
        <f>'D) Ecrêtage'!M22</f>
        <v>19761.871884057968</v>
      </c>
      <c r="D33" s="14">
        <f>'A) Base RI'!AN24</f>
        <v>509</v>
      </c>
      <c r="E33" s="19">
        <f t="shared" si="2"/>
        <v>365406.80454659107</v>
      </c>
      <c r="F33" s="52">
        <f>'F) Population'!K25</f>
        <v>50387.927565392354</v>
      </c>
      <c r="G33" s="14">
        <f>'G) Solidarité'!I22</f>
        <v>46245.090464798093</v>
      </c>
      <c r="H33" s="19">
        <f t="shared" si="0"/>
        <v>96633.018030190447</v>
      </c>
      <c r="I33" s="75">
        <f t="shared" si="1"/>
        <v>268773.78651640064</v>
      </c>
    </row>
    <row r="34" spans="1:9" x14ac:dyDescent="0.25">
      <c r="A34" s="61">
        <f>'A) Base RI'!A25</f>
        <v>5424</v>
      </c>
      <c r="B34" s="42" t="str">
        <f>'A) Base RI'!B25</f>
        <v>Berolle</v>
      </c>
      <c r="C34" s="19">
        <f>'D) Ecrêtage'!M23</f>
        <v>9360.1262337662338</v>
      </c>
      <c r="D34" s="14">
        <f>'A) Base RI'!AN25</f>
        <v>292</v>
      </c>
      <c r="E34" s="19">
        <f t="shared" si="2"/>
        <v>173073.37266933601</v>
      </c>
      <c r="F34" s="52">
        <f>'F) Population'!K26</f>
        <v>28906.237424547282</v>
      </c>
      <c r="G34" s="14">
        <f>'G) Solidarité'!I23</f>
        <v>79664.850318848068</v>
      </c>
      <c r="H34" s="19">
        <f t="shared" si="0"/>
        <v>108571.08774339536</v>
      </c>
      <c r="I34" s="75">
        <f t="shared" si="1"/>
        <v>64502.28492594065</v>
      </c>
    </row>
    <row r="35" spans="1:9" x14ac:dyDescent="0.25">
      <c r="A35" s="61">
        <f>'A) Base RI'!A26</f>
        <v>5425</v>
      </c>
      <c r="B35" s="42" t="str">
        <f>'A) Base RI'!B26</f>
        <v>Bière</v>
      </c>
      <c r="C35" s="19">
        <f>'D) Ecrêtage'!M24</f>
        <v>40787.403970588231</v>
      </c>
      <c r="D35" s="14">
        <f>'A) Base RI'!AN26</f>
        <v>1550</v>
      </c>
      <c r="E35" s="19">
        <f t="shared" si="2"/>
        <v>754179.31247022899</v>
      </c>
      <c r="F35" s="52">
        <f>'F) Population'!K27</f>
        <v>289557.34406438633</v>
      </c>
      <c r="G35" s="14">
        <f>'G) Solidarité'!I24</f>
        <v>493491.72234410007</v>
      </c>
      <c r="H35" s="19">
        <f t="shared" si="0"/>
        <v>783049.06640848634</v>
      </c>
      <c r="I35" s="75">
        <f t="shared" si="1"/>
        <v>-28869.753938257345</v>
      </c>
    </row>
    <row r="36" spans="1:9" x14ac:dyDescent="0.25">
      <c r="A36" s="61">
        <f>'A) Base RI'!A27</f>
        <v>5426</v>
      </c>
      <c r="B36" s="42" t="str">
        <f>'A) Base RI'!B27</f>
        <v>Bougy-Villars</v>
      </c>
      <c r="C36" s="19">
        <f>'D) Ecrêtage'!M25</f>
        <v>35572.27242014376</v>
      </c>
      <c r="D36" s="14">
        <f>'A) Base RI'!AN27</f>
        <v>481</v>
      </c>
      <c r="E36" s="19">
        <f t="shared" si="2"/>
        <v>657748.94563461968</v>
      </c>
      <c r="F36" s="52">
        <f>'F) Population'!K28</f>
        <v>47616.096579476856</v>
      </c>
      <c r="G36" s="14">
        <f>'G) Solidarité'!I25</f>
        <v>0</v>
      </c>
      <c r="H36" s="19">
        <f t="shared" si="0"/>
        <v>47616.096579476856</v>
      </c>
      <c r="I36" s="75">
        <f t="shared" si="1"/>
        <v>610132.84905514284</v>
      </c>
    </row>
    <row r="37" spans="1:9" x14ac:dyDescent="0.25">
      <c r="A37" s="61">
        <f>'A) Base RI'!A28</f>
        <v>5427</v>
      </c>
      <c r="B37" s="42" t="str">
        <f>'A) Base RI'!B28</f>
        <v>Féchy</v>
      </c>
      <c r="C37" s="19">
        <f>'D) Ecrêtage'!M26</f>
        <v>57693.918333518144</v>
      </c>
      <c r="D37" s="14">
        <f>'A) Base RI'!AN28</f>
        <v>860</v>
      </c>
      <c r="E37" s="19">
        <f t="shared" si="2"/>
        <v>1066789.1414188168</v>
      </c>
      <c r="F37" s="52">
        <f>'F) Population'!K29</f>
        <v>85134.80885311871</v>
      </c>
      <c r="G37" s="14">
        <f>'G) Solidarité'!I26</f>
        <v>0</v>
      </c>
      <c r="H37" s="19">
        <f t="shared" si="0"/>
        <v>85134.80885311871</v>
      </c>
      <c r="I37" s="75">
        <f t="shared" si="1"/>
        <v>981654.33256569807</v>
      </c>
    </row>
    <row r="38" spans="1:9" x14ac:dyDescent="0.25">
      <c r="A38" s="61">
        <f>'A) Base RI'!A29</f>
        <v>5428</v>
      </c>
      <c r="B38" s="42" t="str">
        <f>'A) Base RI'!B29</f>
        <v>Gimel</v>
      </c>
      <c r="C38" s="19">
        <f>'D) Ecrêtage'!M27</f>
        <v>57546.053752913758</v>
      </c>
      <c r="D38" s="14">
        <f>'A) Base RI'!AN29</f>
        <v>1907</v>
      </c>
      <c r="E38" s="19">
        <f t="shared" si="2"/>
        <v>1064055.0520460454</v>
      </c>
      <c r="F38" s="52">
        <f>'F) Population'!K30</f>
        <v>413250.30181086517</v>
      </c>
      <c r="G38" s="14">
        <f>'G) Solidarité'!I27</f>
        <v>521483.91423645901</v>
      </c>
      <c r="H38" s="19">
        <f t="shared" si="0"/>
        <v>934734.21604732424</v>
      </c>
      <c r="I38" s="75">
        <f t="shared" si="1"/>
        <v>129320.83599872119</v>
      </c>
    </row>
    <row r="39" spans="1:9" x14ac:dyDescent="0.25">
      <c r="A39" s="61">
        <f>'A) Base RI'!A30</f>
        <v>5429</v>
      </c>
      <c r="B39" s="42" t="str">
        <f>'A) Base RI'!B30</f>
        <v>Longirod</v>
      </c>
      <c r="C39" s="19">
        <f>'D) Ecrêtage'!M28</f>
        <v>13645.142716049384</v>
      </c>
      <c r="D39" s="14">
        <f>'A) Base RI'!AN30</f>
        <v>463</v>
      </c>
      <c r="E39" s="19">
        <f t="shared" si="2"/>
        <v>252305.45095659993</v>
      </c>
      <c r="F39" s="52">
        <f>'F) Population'!K31</f>
        <v>45834.205231388325</v>
      </c>
      <c r="G39" s="14">
        <f>'G) Solidarité'!I28</f>
        <v>171011.89283229335</v>
      </c>
      <c r="H39" s="19">
        <f t="shared" si="0"/>
        <v>216846.09806368168</v>
      </c>
      <c r="I39" s="75">
        <f t="shared" si="1"/>
        <v>35459.35289291825</v>
      </c>
    </row>
    <row r="40" spans="1:9" x14ac:dyDescent="0.25">
      <c r="A40" s="61">
        <f>'A) Base RI'!A31</f>
        <v>5430</v>
      </c>
      <c r="B40" s="42" t="str">
        <f>'A) Base RI'!B31</f>
        <v>Marchissy</v>
      </c>
      <c r="C40" s="19">
        <f>'D) Ecrêtage'!M29</f>
        <v>12901.686543209877</v>
      </c>
      <c r="D40" s="14">
        <f>'A) Base RI'!AN31</f>
        <v>448</v>
      </c>
      <c r="E40" s="19">
        <f t="shared" si="2"/>
        <v>238558.57788548787</v>
      </c>
      <c r="F40" s="52">
        <f>'F) Population'!K32</f>
        <v>44349.295774647886</v>
      </c>
      <c r="G40" s="14">
        <f>'G) Solidarité'!I29</f>
        <v>173338.41231427871</v>
      </c>
      <c r="H40" s="19">
        <f t="shared" si="0"/>
        <v>217687.70808892659</v>
      </c>
      <c r="I40" s="75">
        <f t="shared" si="1"/>
        <v>20870.869796561281</v>
      </c>
    </row>
    <row r="41" spans="1:9" x14ac:dyDescent="0.25">
      <c r="A41" s="61">
        <f>'A) Base RI'!A32</f>
        <v>5431</v>
      </c>
      <c r="B41" s="42" t="str">
        <f>'A) Base RI'!B32</f>
        <v>Mollens</v>
      </c>
      <c r="C41" s="19">
        <f>'D) Ecrêtage'!M30</f>
        <v>8965.3154054054066</v>
      </c>
      <c r="D41" s="14">
        <f>'A) Base RI'!AN32</f>
        <v>294</v>
      </c>
      <c r="E41" s="19">
        <f t="shared" si="2"/>
        <v>165773.12479615235</v>
      </c>
      <c r="F41" s="52">
        <f>'F) Population'!K33</f>
        <v>29104.225352112673</v>
      </c>
      <c r="G41" s="14">
        <f>'G) Solidarité'!I30</f>
        <v>84079.919684404987</v>
      </c>
      <c r="H41" s="19">
        <f t="shared" si="0"/>
        <v>113184.14503651766</v>
      </c>
      <c r="I41" s="75">
        <f t="shared" si="1"/>
        <v>52588.979759634691</v>
      </c>
    </row>
    <row r="42" spans="1:9" x14ac:dyDescent="0.25">
      <c r="A42" s="61">
        <f>'A) Base RI'!A33</f>
        <v>5432</v>
      </c>
      <c r="B42" s="42" t="str">
        <f>'A) Base RI'!B33</f>
        <v>Montherod</v>
      </c>
      <c r="C42" s="19">
        <f>'D) Ecrêtage'!M31</f>
        <v>18938.674054054052</v>
      </c>
      <c r="D42" s="14">
        <f>'A) Base RI'!AN33</f>
        <v>518</v>
      </c>
      <c r="E42" s="19">
        <f t="shared" si="2"/>
        <v>350185.46871685737</v>
      </c>
      <c r="F42" s="52">
        <f>'F) Population'!K34</f>
        <v>51278.873239436616</v>
      </c>
      <c r="G42" s="14">
        <f>'G) Solidarité'!I31</f>
        <v>79676.763823502726</v>
      </c>
      <c r="H42" s="19">
        <f t="shared" si="0"/>
        <v>130955.63706293935</v>
      </c>
      <c r="I42" s="75">
        <f t="shared" si="1"/>
        <v>219229.83165391802</v>
      </c>
    </row>
    <row r="43" spans="1:9" x14ac:dyDescent="0.25">
      <c r="A43" s="61">
        <f>'A) Base RI'!A34</f>
        <v>5434</v>
      </c>
      <c r="B43" s="42" t="str">
        <f>'A) Base RI'!B34</f>
        <v>Saint-George</v>
      </c>
      <c r="C43" s="19">
        <f>'D) Ecrêtage'!M32</f>
        <v>33015.772116788328</v>
      </c>
      <c r="D43" s="14">
        <f>'A) Base RI'!AN34</f>
        <v>949</v>
      </c>
      <c r="E43" s="19">
        <f t="shared" si="2"/>
        <v>610477.98809819855</v>
      </c>
      <c r="F43" s="52">
        <f>'F) Population'!K35</f>
        <v>93945.271629778668</v>
      </c>
      <c r="G43" s="14">
        <f>'G) Solidarité'!I32</f>
        <v>156454.87280013118</v>
      </c>
      <c r="H43" s="19">
        <f t="shared" si="0"/>
        <v>250400.14442990985</v>
      </c>
      <c r="I43" s="75">
        <f t="shared" si="1"/>
        <v>360077.84366828867</v>
      </c>
    </row>
    <row r="44" spans="1:9" x14ac:dyDescent="0.25">
      <c r="A44" s="61">
        <f>'A) Base RI'!A35</f>
        <v>5435</v>
      </c>
      <c r="B44" s="42" t="str">
        <f>'A) Base RI'!B35</f>
        <v>Saint-Livres</v>
      </c>
      <c r="C44" s="19">
        <f>'D) Ecrêtage'!M33</f>
        <v>24335.25550724638</v>
      </c>
      <c r="D44" s="14">
        <f>'A) Base RI'!AN35</f>
        <v>713</v>
      </c>
      <c r="E44" s="19">
        <f t="shared" si="2"/>
        <v>449970.93417558202</v>
      </c>
      <c r="F44" s="52">
        <f>'F) Population'!K36</f>
        <v>70582.696177062375</v>
      </c>
      <c r="G44" s="14">
        <f>'G) Solidarité'!I33</f>
        <v>128172.93174207881</v>
      </c>
      <c r="H44" s="19">
        <f t="shared" si="0"/>
        <v>198755.6279191412</v>
      </c>
      <c r="I44" s="75">
        <f t="shared" si="1"/>
        <v>251215.30625644082</v>
      </c>
    </row>
    <row r="45" spans="1:9" x14ac:dyDescent="0.25">
      <c r="A45" s="61">
        <f>'A) Base RI'!A36</f>
        <v>5436</v>
      </c>
      <c r="B45" s="42" t="str">
        <f>'A) Base RI'!B36</f>
        <v>Saint-Oyens</v>
      </c>
      <c r="C45" s="19">
        <f>'D) Ecrêtage'!M34</f>
        <v>9937.7678395061721</v>
      </c>
      <c r="D45" s="14">
        <f>'A) Base RI'!AN36</f>
        <v>345</v>
      </c>
      <c r="E45" s="19">
        <f t="shared" si="2"/>
        <v>183754.25222188831</v>
      </c>
      <c r="F45" s="52">
        <f>'F) Population'!K37</f>
        <v>34152.917505030178</v>
      </c>
      <c r="G45" s="14">
        <f>'G) Solidarité'!I34</f>
        <v>133425.56881397849</v>
      </c>
      <c r="H45" s="19">
        <f t="shared" si="0"/>
        <v>167578.48631900866</v>
      </c>
      <c r="I45" s="75">
        <f t="shared" si="1"/>
        <v>16175.765902879648</v>
      </c>
    </row>
    <row r="46" spans="1:9" x14ac:dyDescent="0.25">
      <c r="A46" s="61">
        <f>'A) Base RI'!A37</f>
        <v>5437</v>
      </c>
      <c r="B46" s="42" t="str">
        <f>'A) Base RI'!B37</f>
        <v>Saubraz</v>
      </c>
      <c r="C46" s="19">
        <f>'D) Ecrêtage'!M35</f>
        <v>9144.65614457831</v>
      </c>
      <c r="D46" s="14">
        <f>'A) Base RI'!AN37</f>
        <v>391</v>
      </c>
      <c r="E46" s="19">
        <f t="shared" si="2"/>
        <v>169089.22393952648</v>
      </c>
      <c r="F46" s="52">
        <f>'F) Population'!K38</f>
        <v>38706.6398390342</v>
      </c>
      <c r="G46" s="14">
        <f>'G) Solidarité'!I35</f>
        <v>216827.19105595478</v>
      </c>
      <c r="H46" s="19">
        <f t="shared" si="0"/>
        <v>255533.83089498899</v>
      </c>
      <c r="I46" s="75">
        <f t="shared" si="1"/>
        <v>-86444.606955462514</v>
      </c>
    </row>
    <row r="47" spans="1:9" x14ac:dyDescent="0.25">
      <c r="A47" s="61">
        <f>'A) Base RI'!A38</f>
        <v>5451</v>
      </c>
      <c r="B47" s="42" t="str">
        <f>'A) Base RI'!B38</f>
        <v>Avenches</v>
      </c>
      <c r="C47" s="19">
        <f>'D) Ecrêtage'!M36</f>
        <v>102028.81651960785</v>
      </c>
      <c r="D47" s="14">
        <f>'A) Base RI'!AN38</f>
        <v>4090</v>
      </c>
      <c r="E47" s="19">
        <f t="shared" si="2"/>
        <v>1886563.3799688786</v>
      </c>
      <c r="F47" s="52">
        <f>'F) Population'!K39</f>
        <v>1331468.8128772634</v>
      </c>
      <c r="G47" s="14">
        <f>'G) Solidarité'!I36</f>
        <v>1405149.0068762004</v>
      </c>
      <c r="H47" s="19">
        <f t="shared" si="0"/>
        <v>2736617.8197534638</v>
      </c>
      <c r="I47" s="75">
        <f t="shared" si="1"/>
        <v>-850054.43978458527</v>
      </c>
    </row>
    <row r="48" spans="1:9" x14ac:dyDescent="0.25">
      <c r="A48" s="61">
        <f>'A) Base RI'!A39</f>
        <v>5456</v>
      </c>
      <c r="B48" s="42" t="str">
        <f>'A) Base RI'!B39</f>
        <v>Cudrefin</v>
      </c>
      <c r="C48" s="19">
        <f>'D) Ecrêtage'!M37</f>
        <v>45272.368813559326</v>
      </c>
      <c r="D48" s="14">
        <f>'A) Base RI'!AN39</f>
        <v>1516</v>
      </c>
      <c r="E48" s="19">
        <f t="shared" si="2"/>
        <v>837108.53503521951</v>
      </c>
      <c r="F48" s="52">
        <f>'F) Population'!K40</f>
        <v>277777.06237424549</v>
      </c>
      <c r="G48" s="14">
        <f>'G) Solidarité'!I37</f>
        <v>288855.92427683441</v>
      </c>
      <c r="H48" s="19">
        <f t="shared" si="0"/>
        <v>566632.98665107996</v>
      </c>
      <c r="I48" s="75">
        <f t="shared" si="1"/>
        <v>270475.54838413955</v>
      </c>
    </row>
    <row r="49" spans="1:9" x14ac:dyDescent="0.25">
      <c r="A49" s="61">
        <f>'A) Base RI'!A40</f>
        <v>5458</v>
      </c>
      <c r="B49" s="42" t="str">
        <f>'A) Base RI'!B40</f>
        <v>Faoug</v>
      </c>
      <c r="C49" s="19">
        <f>'D) Ecrêtage'!M38</f>
        <v>28143.986721311474</v>
      </c>
      <c r="D49" s="14">
        <f>'A) Base RI'!AN40</f>
        <v>853</v>
      </c>
      <c r="E49" s="19">
        <f t="shared" si="2"/>
        <v>520396.26182033349</v>
      </c>
      <c r="F49" s="52">
        <f>'F) Population'!K41</f>
        <v>84441.851106639835</v>
      </c>
      <c r="G49" s="14">
        <f>'G) Solidarité'!I38</f>
        <v>134197.43636605816</v>
      </c>
      <c r="H49" s="19">
        <f t="shared" si="0"/>
        <v>218639.28747269799</v>
      </c>
      <c r="I49" s="75">
        <f t="shared" si="1"/>
        <v>301756.97434763552</v>
      </c>
    </row>
    <row r="50" spans="1:9" x14ac:dyDescent="0.25">
      <c r="A50" s="61">
        <f>'A) Base RI'!A41</f>
        <v>5464</v>
      </c>
      <c r="B50" s="42" t="str">
        <f>'A) Base RI'!B41</f>
        <v>Vully-les-Lacs</v>
      </c>
      <c r="C50" s="19">
        <f>'D) Ecrêtage'!M39</f>
        <v>96865.968557213928</v>
      </c>
      <c r="D50" s="14">
        <f>'A) Base RI'!AN41</f>
        <v>2825</v>
      </c>
      <c r="E50" s="19">
        <f t="shared" si="2"/>
        <v>1791099.7625865533</v>
      </c>
      <c r="F50" s="52">
        <f>'F) Population'!K42</f>
        <v>731317.907444668</v>
      </c>
      <c r="G50" s="14">
        <f>'G) Solidarité'!I39</f>
        <v>470851.24304842437</v>
      </c>
      <c r="H50" s="19">
        <f t="shared" si="0"/>
        <v>1202169.1504930924</v>
      </c>
      <c r="I50" s="75">
        <f t="shared" si="1"/>
        <v>588930.61209346098</v>
      </c>
    </row>
    <row r="51" spans="1:9" x14ac:dyDescent="0.25">
      <c r="A51" s="61">
        <f>'A) Base RI'!A42</f>
        <v>5471</v>
      </c>
      <c r="B51" s="42" t="str">
        <f>'A) Base RI'!B42</f>
        <v>Bettens</v>
      </c>
      <c r="C51" s="19">
        <f>'D) Ecrêtage'!M40</f>
        <v>18168.257063492067</v>
      </c>
      <c r="D51" s="14">
        <f>'A) Base RI'!AN42</f>
        <v>557</v>
      </c>
      <c r="E51" s="19">
        <f t="shared" si="2"/>
        <v>335940.07676505769</v>
      </c>
      <c r="F51" s="52">
        <f>'F) Population'!K43</f>
        <v>55139.637826961763</v>
      </c>
      <c r="G51" s="14">
        <f>'G) Solidarité'!I40</f>
        <v>119478.3358227361</v>
      </c>
      <c r="H51" s="19">
        <f t="shared" si="0"/>
        <v>174617.97364969787</v>
      </c>
      <c r="I51" s="75">
        <f t="shared" si="1"/>
        <v>161322.10311535982</v>
      </c>
    </row>
    <row r="52" spans="1:9" x14ac:dyDescent="0.25">
      <c r="A52" s="61">
        <f>'A) Base RI'!A43</f>
        <v>5472</v>
      </c>
      <c r="B52" s="42" t="str">
        <f>'A) Base RI'!B43</f>
        <v>Bournens</v>
      </c>
      <c r="C52" s="19">
        <f>'D) Ecrêtage'!M41</f>
        <v>13213.617875</v>
      </c>
      <c r="D52" s="14">
        <f>'A) Base RI'!AN43</f>
        <v>373</v>
      </c>
      <c r="E52" s="19">
        <f t="shared" si="2"/>
        <v>244326.3427944053</v>
      </c>
      <c r="F52" s="52">
        <f>'F) Population'!K44</f>
        <v>36924.748490945669</v>
      </c>
      <c r="G52" s="14">
        <f>'G) Solidarité'!I41</f>
        <v>77842.18660992611</v>
      </c>
      <c r="H52" s="19">
        <f t="shared" si="0"/>
        <v>114766.93510087178</v>
      </c>
      <c r="I52" s="75">
        <f t="shared" si="1"/>
        <v>129559.40769353352</v>
      </c>
    </row>
    <row r="53" spans="1:9" x14ac:dyDescent="0.25">
      <c r="A53" s="61">
        <f>'A) Base RI'!A44</f>
        <v>5473</v>
      </c>
      <c r="B53" s="42" t="str">
        <f>'A) Base RI'!B44</f>
        <v>Boussens</v>
      </c>
      <c r="C53" s="19">
        <f>'D) Ecrêtage'!M42</f>
        <v>33007.750579710155</v>
      </c>
      <c r="D53" s="14">
        <f>'A) Base RI'!AN44</f>
        <v>958</v>
      </c>
      <c r="E53" s="19">
        <f t="shared" si="2"/>
        <v>610329.66590238211</v>
      </c>
      <c r="F53" s="52">
        <f>'F) Population'!K45</f>
        <v>94836.217303822938</v>
      </c>
      <c r="G53" s="14">
        <f>'G) Solidarité'!I42</f>
        <v>166335.28338441023</v>
      </c>
      <c r="H53" s="19">
        <f t="shared" si="0"/>
        <v>261171.50068823318</v>
      </c>
      <c r="I53" s="75">
        <f t="shared" si="1"/>
        <v>349158.16521414893</v>
      </c>
    </row>
    <row r="54" spans="1:9" x14ac:dyDescent="0.25">
      <c r="A54" s="61">
        <f>'A) Base RI'!A45</f>
        <v>5474</v>
      </c>
      <c r="B54" s="42" t="str">
        <f>'A) Base RI'!B45</f>
        <v>La Chaux (Cossonay)</v>
      </c>
      <c r="C54" s="19">
        <f>'D) Ecrêtage'!M43</f>
        <v>12690.44829004329</v>
      </c>
      <c r="D54" s="14">
        <f>'A) Base RI'!AN45</f>
        <v>421</v>
      </c>
      <c r="E54" s="19">
        <f t="shared" si="2"/>
        <v>234652.67790088805</v>
      </c>
      <c r="F54" s="52">
        <f>'F) Population'!K46</f>
        <v>41676.458752515086</v>
      </c>
      <c r="G54" s="14">
        <f>'G) Solidarité'!I43</f>
        <v>133842.68859967269</v>
      </c>
      <c r="H54" s="19">
        <f t="shared" si="0"/>
        <v>175519.14735218778</v>
      </c>
      <c r="I54" s="75">
        <f t="shared" si="1"/>
        <v>59133.530548700277</v>
      </c>
    </row>
    <row r="55" spans="1:9" x14ac:dyDescent="0.25">
      <c r="A55" s="61">
        <f>'A) Base RI'!A46</f>
        <v>5475</v>
      </c>
      <c r="B55" s="42" t="str">
        <f>'A) Base RI'!B46</f>
        <v>Chavannes-le-Veyron</v>
      </c>
      <c r="C55" s="19">
        <f>'D) Ecrêtage'!M44</f>
        <v>2750.1545454545449</v>
      </c>
      <c r="D55" s="14">
        <f>'A) Base RI'!AN46</f>
        <v>120</v>
      </c>
      <c r="E55" s="19">
        <f t="shared" si="2"/>
        <v>50851.720442257683</v>
      </c>
      <c r="F55" s="52">
        <f>'F) Population'!K47</f>
        <v>11879.27565392354</v>
      </c>
      <c r="G55" s="14">
        <f>'G) Solidarité'!I44</f>
        <v>58602.251164856738</v>
      </c>
      <c r="H55" s="19">
        <f t="shared" si="0"/>
        <v>70481.526818780272</v>
      </c>
      <c r="I55" s="75">
        <f t="shared" si="1"/>
        <v>-19629.806376522589</v>
      </c>
    </row>
    <row r="56" spans="1:9" x14ac:dyDescent="0.25">
      <c r="A56" s="61">
        <f>'A) Base RI'!A47</f>
        <v>5476</v>
      </c>
      <c r="B56" s="42" t="str">
        <f>'A) Base RI'!B47</f>
        <v>Chevilly</v>
      </c>
      <c r="C56" s="19">
        <f>'D) Ecrêtage'!M45</f>
        <v>7887.6179729729729</v>
      </c>
      <c r="D56" s="14">
        <f>'A) Base RI'!AN47</f>
        <v>286</v>
      </c>
      <c r="E56" s="19">
        <f t="shared" si="2"/>
        <v>145845.9651948961</v>
      </c>
      <c r="F56" s="52">
        <f>'F) Population'!K48</f>
        <v>28312.273641851105</v>
      </c>
      <c r="G56" s="14">
        <f>'G) Solidarité'!I45</f>
        <v>99955.549138858783</v>
      </c>
      <c r="H56" s="19">
        <f t="shared" si="0"/>
        <v>128267.82278070989</v>
      </c>
      <c r="I56" s="75">
        <f t="shared" si="1"/>
        <v>17578.142414186208</v>
      </c>
    </row>
    <row r="57" spans="1:9" x14ac:dyDescent="0.25">
      <c r="A57" s="61">
        <f>'A) Base RI'!A48</f>
        <v>5477</v>
      </c>
      <c r="B57" s="42" t="str">
        <f>'A) Base RI'!B48</f>
        <v>Cossonay</v>
      </c>
      <c r="C57" s="19">
        <f>'D) Ecrêtage'!M46</f>
        <v>120589.74256854257</v>
      </c>
      <c r="D57" s="14">
        <f>'A) Base RI'!AN48</f>
        <v>3642</v>
      </c>
      <c r="E57" s="19">
        <f t="shared" si="2"/>
        <v>2229764.1008701278</v>
      </c>
      <c r="F57" s="52">
        <f>'F) Population'!K49</f>
        <v>1109722.334004024</v>
      </c>
      <c r="G57" s="14">
        <f>'G) Solidarité'!I46</f>
        <v>731383.50250433991</v>
      </c>
      <c r="H57" s="19">
        <f t="shared" si="0"/>
        <v>1841105.836508364</v>
      </c>
      <c r="I57" s="75">
        <f t="shared" si="1"/>
        <v>388658.26436176384</v>
      </c>
    </row>
    <row r="58" spans="1:9" x14ac:dyDescent="0.25">
      <c r="A58" s="61">
        <f>'A) Base RI'!A49</f>
        <v>5478</v>
      </c>
      <c r="B58" s="42" t="str">
        <f>'A) Base RI'!B49</f>
        <v>Cottens</v>
      </c>
      <c r="C58" s="19">
        <f>'D) Ecrêtage'!M47</f>
        <v>15464.23347222222</v>
      </c>
      <c r="D58" s="14">
        <f>'A) Base RI'!AN49</f>
        <v>473</v>
      </c>
      <c r="E58" s="19">
        <f t="shared" si="2"/>
        <v>285941.34052683756</v>
      </c>
      <c r="F58" s="52">
        <f>'F) Population'!K50</f>
        <v>46824.144869215292</v>
      </c>
      <c r="G58" s="14">
        <f>'G) Solidarité'!I47</f>
        <v>106600.34832577172</v>
      </c>
      <c r="H58" s="19">
        <f t="shared" si="0"/>
        <v>153424.49319498701</v>
      </c>
      <c r="I58" s="75">
        <f t="shared" si="1"/>
        <v>132516.84733185056</v>
      </c>
    </row>
    <row r="59" spans="1:9" x14ac:dyDescent="0.25">
      <c r="A59" s="61">
        <f>'A) Base RI'!A50</f>
        <v>5479</v>
      </c>
      <c r="B59" s="42" t="str">
        <f>'A) Base RI'!B50</f>
        <v>Cuarnens</v>
      </c>
      <c r="C59" s="19">
        <f>'D) Ecrêtage'!M48</f>
        <v>11805.525064935064</v>
      </c>
      <c r="D59" s="14">
        <f>'A) Base RI'!AN50</f>
        <v>439</v>
      </c>
      <c r="E59" s="19">
        <f t="shared" si="2"/>
        <v>218290.00892636064</v>
      </c>
      <c r="F59" s="52">
        <f>'F) Population'!K51</f>
        <v>43458.350100603617</v>
      </c>
      <c r="G59" s="14">
        <f>'G) Solidarité'!I48</f>
        <v>173236.80654530259</v>
      </c>
      <c r="H59" s="19">
        <f t="shared" si="0"/>
        <v>216695.15664590622</v>
      </c>
      <c r="I59" s="75">
        <f t="shared" si="1"/>
        <v>1594.8522804544191</v>
      </c>
    </row>
    <row r="60" spans="1:9" x14ac:dyDescent="0.25">
      <c r="A60" s="61">
        <f>'A) Base RI'!A51</f>
        <v>5480</v>
      </c>
      <c r="B60" s="42" t="str">
        <f>'A) Base RI'!B51</f>
        <v>Daillens</v>
      </c>
      <c r="C60" s="19">
        <f>'D) Ecrêtage'!M49</f>
        <v>42113.849718309852</v>
      </c>
      <c r="D60" s="14">
        <f>'A) Base RI'!AN51</f>
        <v>940</v>
      </c>
      <c r="E60" s="19">
        <f t="shared" si="2"/>
        <v>778705.95169363054</v>
      </c>
      <c r="F60" s="52">
        <f>'F) Population'!K52</f>
        <v>93054.325955734399</v>
      </c>
      <c r="G60" s="14">
        <f>'G) Solidarité'!I49</f>
        <v>0</v>
      </c>
      <c r="H60" s="19">
        <f t="shared" si="0"/>
        <v>93054.325955734399</v>
      </c>
      <c r="I60" s="75">
        <f t="shared" si="1"/>
        <v>685651.62573789619</v>
      </c>
    </row>
    <row r="61" spans="1:9" x14ac:dyDescent="0.25">
      <c r="A61" s="61">
        <f>'A) Base RI'!A52</f>
        <v>5481</v>
      </c>
      <c r="B61" s="42" t="str">
        <f>'A) Base RI'!B52</f>
        <v>Dizy</v>
      </c>
      <c r="C61" s="19">
        <f>'D) Ecrêtage'!M50</f>
        <v>8240.9954054054051</v>
      </c>
      <c r="D61" s="14">
        <f>'A) Base RI'!AN52</f>
        <v>221</v>
      </c>
      <c r="E61" s="19">
        <f t="shared" si="2"/>
        <v>152380.08904417482</v>
      </c>
      <c r="F61" s="52">
        <f>'F) Population'!K53</f>
        <v>21877.665995975854</v>
      </c>
      <c r="G61" s="14">
        <f>'G) Solidarité'!I50</f>
        <v>30486.295065888226</v>
      </c>
      <c r="H61" s="19">
        <f t="shared" si="0"/>
        <v>52363.96106186408</v>
      </c>
      <c r="I61" s="75">
        <f t="shared" si="1"/>
        <v>100016.12798231075</v>
      </c>
    </row>
    <row r="62" spans="1:9" x14ac:dyDescent="0.25">
      <c r="A62" s="61">
        <f>'A) Base RI'!A53</f>
        <v>5482</v>
      </c>
      <c r="B62" s="42" t="str">
        <f>'A) Base RI'!B53</f>
        <v>Eclépens</v>
      </c>
      <c r="C62" s="19">
        <f>'D) Ecrêtage'!M51</f>
        <v>61885.968188874984</v>
      </c>
      <c r="D62" s="14">
        <f>'A) Base RI'!AN53</f>
        <v>1039</v>
      </c>
      <c r="E62" s="19">
        <f t="shared" si="2"/>
        <v>1144302.22070265</v>
      </c>
      <c r="F62" s="52">
        <f>'F) Population'!K54</f>
        <v>112506.63983903419</v>
      </c>
      <c r="G62" s="14">
        <f>'G) Solidarité'!I51</f>
        <v>0</v>
      </c>
      <c r="H62" s="19">
        <f t="shared" si="0"/>
        <v>112506.63983903419</v>
      </c>
      <c r="I62" s="75">
        <f t="shared" si="1"/>
        <v>1031795.5808636158</v>
      </c>
    </row>
    <row r="63" spans="1:9" x14ac:dyDescent="0.25">
      <c r="A63" s="61">
        <f>'A) Base RI'!A54</f>
        <v>5483</v>
      </c>
      <c r="B63" s="42" t="str">
        <f>'A) Base RI'!B54</f>
        <v>Ferreyres</v>
      </c>
      <c r="C63" s="19">
        <f>'D) Ecrêtage'!M52</f>
        <v>9097.5578947368413</v>
      </c>
      <c r="D63" s="14">
        <f>'A) Base RI'!AN54</f>
        <v>313</v>
      </c>
      <c r="E63" s="19">
        <f t="shared" si="2"/>
        <v>168218.35395943155</v>
      </c>
      <c r="F63" s="52">
        <f>'F) Population'!K55</f>
        <v>30985.110663983902</v>
      </c>
      <c r="G63" s="14">
        <f>'G) Solidarité'!I52</f>
        <v>104692.65287385295</v>
      </c>
      <c r="H63" s="19">
        <f t="shared" si="0"/>
        <v>135677.76353783684</v>
      </c>
      <c r="I63" s="75">
        <f t="shared" si="1"/>
        <v>32540.590421594708</v>
      </c>
    </row>
    <row r="64" spans="1:9" x14ac:dyDescent="0.25">
      <c r="A64" s="61">
        <f>'A) Base RI'!A55</f>
        <v>5484</v>
      </c>
      <c r="B64" s="42" t="str">
        <f>'A) Base RI'!B55</f>
        <v>Gollion</v>
      </c>
      <c r="C64" s="19">
        <f>'D) Ecrêtage'!M53</f>
        <v>23163.007162162161</v>
      </c>
      <c r="D64" s="14">
        <f>'A) Base RI'!AN55</f>
        <v>857</v>
      </c>
      <c r="E64" s="19">
        <f t="shared" si="2"/>
        <v>428295.48134270514</v>
      </c>
      <c r="F64" s="52">
        <f>'F) Population'!K56</f>
        <v>84837.826961770625</v>
      </c>
      <c r="G64" s="14">
        <f>'G) Solidarité'!I53</f>
        <v>309805.74235866545</v>
      </c>
      <c r="H64" s="19">
        <f t="shared" si="0"/>
        <v>394643.5693204361</v>
      </c>
      <c r="I64" s="75">
        <f t="shared" si="1"/>
        <v>33651.91202226904</v>
      </c>
    </row>
    <row r="65" spans="1:9" x14ac:dyDescent="0.25">
      <c r="A65" s="61">
        <f>'A) Base RI'!A56</f>
        <v>5485</v>
      </c>
      <c r="B65" s="42" t="str">
        <f>'A) Base RI'!B56</f>
        <v>Grancy</v>
      </c>
      <c r="C65" s="19">
        <f>'D) Ecrêtage'!M54</f>
        <v>17298.355857142858</v>
      </c>
      <c r="D65" s="14">
        <f>'A) Base RI'!AN56</f>
        <v>396</v>
      </c>
      <c r="E65" s="19">
        <f t="shared" si="2"/>
        <v>319855.17236186122</v>
      </c>
      <c r="F65" s="52">
        <f>'F) Population'!K57</f>
        <v>39201.60965794768</v>
      </c>
      <c r="G65" s="14">
        <f>'G) Solidarité'!I54</f>
        <v>0</v>
      </c>
      <c r="H65" s="19">
        <f t="shared" si="0"/>
        <v>39201.60965794768</v>
      </c>
      <c r="I65" s="75">
        <f t="shared" si="1"/>
        <v>280653.56270391354</v>
      </c>
    </row>
    <row r="66" spans="1:9" x14ac:dyDescent="0.25">
      <c r="A66" s="61">
        <f>'A) Base RI'!A57</f>
        <v>5486</v>
      </c>
      <c r="B66" s="42" t="str">
        <f>'A) Base RI'!B57</f>
        <v>L'Isle</v>
      </c>
      <c r="C66" s="19">
        <f>'D) Ecrêtage'!M55</f>
        <v>27212.445657894736</v>
      </c>
      <c r="D66" s="14">
        <f>'A) Base RI'!AN57</f>
        <v>1032</v>
      </c>
      <c r="E66" s="19">
        <f t="shared" si="2"/>
        <v>503171.60591303353</v>
      </c>
      <c r="F66" s="52">
        <f>'F) Population'!K58</f>
        <v>110081.28772635815</v>
      </c>
      <c r="G66" s="14">
        <f>'G) Solidarité'!I55</f>
        <v>409143.04351756664</v>
      </c>
      <c r="H66" s="19">
        <f t="shared" si="0"/>
        <v>519224.3312439248</v>
      </c>
      <c r="I66" s="75">
        <f t="shared" si="1"/>
        <v>-16052.725330891262</v>
      </c>
    </row>
    <row r="67" spans="1:9" x14ac:dyDescent="0.25">
      <c r="A67" s="61">
        <f>'A) Base RI'!A58</f>
        <v>5487</v>
      </c>
      <c r="B67" s="42" t="str">
        <f>'A) Base RI'!B58</f>
        <v>Lussery-Villars</v>
      </c>
      <c r="C67" s="19">
        <f>'D) Ecrêtage'!M56</f>
        <v>11872.69955882353</v>
      </c>
      <c r="D67" s="14">
        <f>'A) Base RI'!AN58</f>
        <v>423</v>
      </c>
      <c r="E67" s="19">
        <f t="shared" si="2"/>
        <v>219532.09860808862</v>
      </c>
      <c r="F67" s="52">
        <f>'F) Population'!K59</f>
        <v>41874.44668008048</v>
      </c>
      <c r="G67" s="14">
        <f>'G) Solidarité'!I56</f>
        <v>121031.48083045137</v>
      </c>
      <c r="H67" s="19">
        <f t="shared" si="0"/>
        <v>162905.92751053185</v>
      </c>
      <c r="I67" s="75">
        <f t="shared" si="1"/>
        <v>56626.171097556769</v>
      </c>
    </row>
    <row r="68" spans="1:9" x14ac:dyDescent="0.25">
      <c r="A68" s="61">
        <f>'A) Base RI'!A59</f>
        <v>5488</v>
      </c>
      <c r="B68" s="42" t="str">
        <f>'A) Base RI'!B59</f>
        <v>Mauraz</v>
      </c>
      <c r="C68" s="19">
        <f>'D) Ecrêtage'!M57</f>
        <v>1417.5255405405405</v>
      </c>
      <c r="D68" s="14">
        <f>'A) Base RI'!AN59</f>
        <v>49</v>
      </c>
      <c r="E68" s="19">
        <f t="shared" si="2"/>
        <v>26210.749729126157</v>
      </c>
      <c r="F68" s="52">
        <f>'F) Population'!K60</f>
        <v>4850.7042253521122</v>
      </c>
      <c r="G68" s="14">
        <f>'G) Solidarité'!I57</f>
        <v>15684.130814171296</v>
      </c>
      <c r="H68" s="19">
        <f t="shared" si="0"/>
        <v>20534.835039523408</v>
      </c>
      <c r="I68" s="75">
        <f t="shared" si="1"/>
        <v>5675.9146896027487</v>
      </c>
    </row>
    <row r="69" spans="1:9" x14ac:dyDescent="0.25">
      <c r="A69" s="61">
        <f>'A) Base RI'!A60</f>
        <v>5489</v>
      </c>
      <c r="B69" s="42" t="str">
        <f>'A) Base RI'!B60</f>
        <v>Mex</v>
      </c>
      <c r="C69" s="19">
        <f>'D) Ecrêtage'!M58</f>
        <v>37121.285573770496</v>
      </c>
      <c r="D69" s="14">
        <f>'A) Base RI'!AN60</f>
        <v>678</v>
      </c>
      <c r="E69" s="19">
        <f t="shared" si="2"/>
        <v>686390.96649115579</v>
      </c>
      <c r="F69" s="52">
        <f>'F) Population'!K61</f>
        <v>67117.907444668002</v>
      </c>
      <c r="G69" s="14">
        <f>'G) Solidarité'!I58</f>
        <v>0</v>
      </c>
      <c r="H69" s="19">
        <f t="shared" si="0"/>
        <v>67117.907444668002</v>
      </c>
      <c r="I69" s="75">
        <f t="shared" si="1"/>
        <v>619273.05904648779</v>
      </c>
    </row>
    <row r="70" spans="1:9" x14ac:dyDescent="0.25">
      <c r="A70" s="61">
        <f>'A) Base RI'!A61</f>
        <v>5490</v>
      </c>
      <c r="B70" s="42" t="str">
        <f>'A) Base RI'!B61</f>
        <v>Moiry</v>
      </c>
      <c r="C70" s="19">
        <f>'D) Ecrêtage'!M59</f>
        <v>7321.727037037037</v>
      </c>
      <c r="D70" s="14">
        <f>'A) Base RI'!AN61</f>
        <v>290</v>
      </c>
      <c r="E70" s="19">
        <f t="shared" si="2"/>
        <v>135382.36135031085</v>
      </c>
      <c r="F70" s="52">
        <f>'F) Population'!K62</f>
        <v>28708.249496981891</v>
      </c>
      <c r="G70" s="14">
        <f>'G) Solidarité'!I59</f>
        <v>139085.82655008422</v>
      </c>
      <c r="H70" s="19">
        <f t="shared" si="0"/>
        <v>167794.0760470661</v>
      </c>
      <c r="I70" s="75">
        <f t="shared" si="1"/>
        <v>-32411.714696755254</v>
      </c>
    </row>
    <row r="71" spans="1:9" x14ac:dyDescent="0.25">
      <c r="A71" s="61">
        <f>'A) Base RI'!A62</f>
        <v>5491</v>
      </c>
      <c r="B71" s="42" t="str">
        <f>'A) Base RI'!B62</f>
        <v>Mont-la-Ville</v>
      </c>
      <c r="C71" s="19">
        <f>'D) Ecrêtage'!M60</f>
        <v>8599.6809210526335</v>
      </c>
      <c r="D71" s="14">
        <f>'A) Base RI'!AN62</f>
        <v>382</v>
      </c>
      <c r="E71" s="19">
        <f t="shared" si="2"/>
        <v>159012.36198262719</v>
      </c>
      <c r="F71" s="52">
        <f>'F) Population'!K63</f>
        <v>37815.694164989938</v>
      </c>
      <c r="G71" s="14">
        <f>'G) Solidarité'!I60</f>
        <v>185297.73111965743</v>
      </c>
      <c r="H71" s="19">
        <f t="shared" si="0"/>
        <v>223113.42528464738</v>
      </c>
      <c r="I71" s="75">
        <f t="shared" si="1"/>
        <v>-64101.063302020193</v>
      </c>
    </row>
    <row r="72" spans="1:9" x14ac:dyDescent="0.25">
      <c r="A72" s="61">
        <f>'A) Base RI'!A63</f>
        <v>5492</v>
      </c>
      <c r="B72" s="42" t="str">
        <f>'A) Base RI'!B63</f>
        <v>Montricher</v>
      </c>
      <c r="C72" s="19">
        <f>'D) Ecrêtage'!M61</f>
        <v>111247.59927159132</v>
      </c>
      <c r="D72" s="14">
        <f>'A) Base RI'!AN63</f>
        <v>961</v>
      </c>
      <c r="E72" s="19">
        <f t="shared" si="2"/>
        <v>2057023.2416143224</v>
      </c>
      <c r="F72" s="52">
        <f>'F) Population'!K64</f>
        <v>95133.199195171022</v>
      </c>
      <c r="G72" s="14">
        <f>'G) Solidarité'!I61</f>
        <v>0</v>
      </c>
      <c r="H72" s="19">
        <f t="shared" ref="H72:H126" si="3">F72+G72</f>
        <v>95133.199195171022</v>
      </c>
      <c r="I72" s="75">
        <f t="shared" ref="I72:I126" si="4">E72-H72</f>
        <v>1961890.0424191514</v>
      </c>
    </row>
    <row r="73" spans="1:9" x14ac:dyDescent="0.25">
      <c r="A73" s="61">
        <f>'A) Base RI'!A64</f>
        <v>5493</v>
      </c>
      <c r="B73" s="42" t="str">
        <f>'A) Base RI'!B64</f>
        <v>Orny</v>
      </c>
      <c r="C73" s="19">
        <f>'D) Ecrêtage'!M62</f>
        <v>10614.324773445733</v>
      </c>
      <c r="D73" s="14">
        <f>'A) Base RI'!AN64</f>
        <v>375</v>
      </c>
      <c r="E73" s="19">
        <f t="shared" si="2"/>
        <v>196264.12521241844</v>
      </c>
      <c r="F73" s="52">
        <f>'F) Population'!K65</f>
        <v>37122.736418511064</v>
      </c>
      <c r="G73" s="14">
        <f>'G) Solidarité'!I62</f>
        <v>121772.19739929035</v>
      </c>
      <c r="H73" s="19">
        <f t="shared" si="3"/>
        <v>158894.93381780141</v>
      </c>
      <c r="I73" s="75">
        <f t="shared" si="4"/>
        <v>37369.191394617024</v>
      </c>
    </row>
    <row r="74" spans="1:9" x14ac:dyDescent="0.25">
      <c r="A74" s="61">
        <f>'A) Base RI'!A65</f>
        <v>5494</v>
      </c>
      <c r="B74" s="42" t="str">
        <f>'A) Base RI'!B65</f>
        <v>Pampigny</v>
      </c>
      <c r="C74" s="19">
        <f>'D) Ecrêtage'!M63</f>
        <v>33982.091568253971</v>
      </c>
      <c r="D74" s="14">
        <f>'A) Base RI'!AN65</f>
        <v>1124</v>
      </c>
      <c r="E74" s="19">
        <f t="shared" si="2"/>
        <v>628345.71363568283</v>
      </c>
      <c r="F74" s="52">
        <f>'F) Population'!K66</f>
        <v>141957.3440643863</v>
      </c>
      <c r="G74" s="14">
        <f>'G) Solidarité'!I63</f>
        <v>336762.20592960436</v>
      </c>
      <c r="H74" s="19">
        <f t="shared" si="3"/>
        <v>478719.54999399069</v>
      </c>
      <c r="I74" s="75">
        <f t="shared" si="4"/>
        <v>149626.16364169214</v>
      </c>
    </row>
    <row r="75" spans="1:9" x14ac:dyDescent="0.25">
      <c r="A75" s="61">
        <f>'A) Base RI'!A66</f>
        <v>5495</v>
      </c>
      <c r="B75" s="42" t="str">
        <f>'A) Base RI'!B66</f>
        <v>Penthalaz</v>
      </c>
      <c r="C75" s="19">
        <f>'D) Ecrêtage'!M64</f>
        <v>96162.321351351362</v>
      </c>
      <c r="D75" s="14">
        <f>'A) Base RI'!AN66</f>
        <v>3241</v>
      </c>
      <c r="E75" s="19">
        <f t="shared" si="2"/>
        <v>1778088.977043014</v>
      </c>
      <c r="F75" s="52">
        <f>'F) Population'!K67</f>
        <v>911239.43661971821</v>
      </c>
      <c r="G75" s="14">
        <f>'G) Solidarité'!I64</f>
        <v>985039.77845521737</v>
      </c>
      <c r="H75" s="19">
        <f t="shared" si="3"/>
        <v>1896279.2150749355</v>
      </c>
      <c r="I75" s="75">
        <f t="shared" si="4"/>
        <v>-118190.23803192144</v>
      </c>
    </row>
    <row r="76" spans="1:9" x14ac:dyDescent="0.25">
      <c r="A76" s="61">
        <f>'A) Base RI'!A67</f>
        <v>5496</v>
      </c>
      <c r="B76" s="42" t="str">
        <f>'A) Base RI'!B67</f>
        <v>Penthaz</v>
      </c>
      <c r="C76" s="19">
        <f>'D) Ecrêtage'!M65</f>
        <v>56906.521408450702</v>
      </c>
      <c r="D76" s="14">
        <f>'A) Base RI'!AN67</f>
        <v>1653</v>
      </c>
      <c r="E76" s="19">
        <f t="shared" si="2"/>
        <v>1052229.7820632481</v>
      </c>
      <c r="F76" s="52">
        <f>'F) Population'!K68</f>
        <v>325244.66800804826</v>
      </c>
      <c r="G76" s="14">
        <f>'G) Solidarité'!I65</f>
        <v>304835.34636857331</v>
      </c>
      <c r="H76" s="19">
        <f t="shared" si="3"/>
        <v>630080.01437662158</v>
      </c>
      <c r="I76" s="75">
        <f t="shared" si="4"/>
        <v>422149.76768662652</v>
      </c>
    </row>
    <row r="77" spans="1:9" x14ac:dyDescent="0.25">
      <c r="A77" s="61">
        <f>'A) Base RI'!A68</f>
        <v>5497</v>
      </c>
      <c r="B77" s="42" t="str">
        <f>'A) Base RI'!B68</f>
        <v>Pompaples</v>
      </c>
      <c r="C77" s="19">
        <f>'D) Ecrêtage'!M66</f>
        <v>22227.212272727276</v>
      </c>
      <c r="D77" s="14">
        <f>'A) Base RI'!AN68</f>
        <v>834</v>
      </c>
      <c r="E77" s="19">
        <f t="shared" si="2"/>
        <v>410992.17008425691</v>
      </c>
      <c r="F77" s="52">
        <f>'F) Population'!K69</f>
        <v>82560.965794768606</v>
      </c>
      <c r="G77" s="14">
        <f>'G) Solidarité'!I66</f>
        <v>245271.72745128121</v>
      </c>
      <c r="H77" s="19">
        <f>F77+G77</f>
        <v>327832.69324604981</v>
      </c>
      <c r="I77" s="75">
        <f>E77-H77</f>
        <v>83159.476838207105</v>
      </c>
    </row>
    <row r="78" spans="1:9" x14ac:dyDescent="0.25">
      <c r="A78" s="61">
        <f>'A) Base RI'!A69</f>
        <v>5498</v>
      </c>
      <c r="B78" s="42" t="str">
        <f>'A) Base RI'!B69</f>
        <v>La Sarraz</v>
      </c>
      <c r="C78" s="19">
        <f>'D) Ecrêtage'!M67</f>
        <v>72104.13</v>
      </c>
      <c r="D78" s="14">
        <f>'A) Base RI'!AN69</f>
        <v>2559</v>
      </c>
      <c r="E78" s="19">
        <f t="shared" si="2"/>
        <v>1333241.0964148883</v>
      </c>
      <c r="F78" s="52">
        <f>'F) Population'!K70</f>
        <v>639154.52716297784</v>
      </c>
      <c r="G78" s="14">
        <f>'G) Solidarité'!I67</f>
        <v>644051.82093734911</v>
      </c>
      <c r="H78" s="19">
        <f t="shared" si="3"/>
        <v>1283206.348100327</v>
      </c>
      <c r="I78" s="75">
        <f t="shared" si="4"/>
        <v>50034.748314561322</v>
      </c>
    </row>
    <row r="79" spans="1:9" x14ac:dyDescent="0.25">
      <c r="A79" s="61">
        <f>'A) Base RI'!A70</f>
        <v>5499</v>
      </c>
      <c r="B79" s="42" t="str">
        <f>'A) Base RI'!B70</f>
        <v>Senarclens</v>
      </c>
      <c r="C79" s="19">
        <f>'D) Ecrêtage'!M68</f>
        <v>21697.695620437953</v>
      </c>
      <c r="D79" s="14">
        <f>'A) Base RI'!AN70</f>
        <v>451</v>
      </c>
      <c r="E79" s="19">
        <f t="shared" si="2"/>
        <v>401201.14477033721</v>
      </c>
      <c r="F79" s="52">
        <f>'F) Population'!K71</f>
        <v>44646.277665995971</v>
      </c>
      <c r="G79" s="14">
        <f>'G) Solidarité'!I68</f>
        <v>0</v>
      </c>
      <c r="H79" s="19">
        <f t="shared" si="3"/>
        <v>44646.277665995971</v>
      </c>
      <c r="I79" s="75">
        <f t="shared" si="4"/>
        <v>356554.86710434122</v>
      </c>
    </row>
    <row r="80" spans="1:9" x14ac:dyDescent="0.25">
      <c r="A80" s="61">
        <f>'A) Base RI'!A71</f>
        <v>5500</v>
      </c>
      <c r="B80" s="42" t="str">
        <f>'A) Base RI'!B71</f>
        <v>Sévery</v>
      </c>
      <c r="C80" s="19">
        <f>'D) Ecrêtage'!M69</f>
        <v>6767.1525657894736</v>
      </c>
      <c r="D80" s="14">
        <f>'A) Base RI'!AN71</f>
        <v>231</v>
      </c>
      <c r="E80" s="19">
        <f t="shared" si="2"/>
        <v>125128.00454592519</v>
      </c>
      <c r="F80" s="52">
        <f>'F) Population'!K72</f>
        <v>22867.605633802814</v>
      </c>
      <c r="G80" s="14">
        <f>'G) Solidarité'!I69</f>
        <v>76047.746334933981</v>
      </c>
      <c r="H80" s="19">
        <f t="shared" si="3"/>
        <v>98915.351968736795</v>
      </c>
      <c r="I80" s="75">
        <f t="shared" si="4"/>
        <v>26212.65257718839</v>
      </c>
    </row>
    <row r="81" spans="1:9" x14ac:dyDescent="0.25">
      <c r="A81" s="61">
        <f>'A) Base RI'!A72</f>
        <v>5501</v>
      </c>
      <c r="B81" s="42" t="str">
        <f>'A) Base RI'!B72</f>
        <v>Sullens</v>
      </c>
      <c r="C81" s="19">
        <f>'D) Ecrêtage'!M70</f>
        <v>35887.851857142865</v>
      </c>
      <c r="D81" s="14">
        <f>'A) Base RI'!AN72</f>
        <v>925</v>
      </c>
      <c r="E81" s="19">
        <f t="shared" ref="E81:E144" si="5">C81*E$15</f>
        <v>663584.1658167463</v>
      </c>
      <c r="F81" s="52">
        <f>'F) Population'!K73</f>
        <v>91569.41649899396</v>
      </c>
      <c r="G81" s="14">
        <f>'G) Solidarité'!I70</f>
        <v>86985.090987745367</v>
      </c>
      <c r="H81" s="19">
        <f t="shared" si="3"/>
        <v>178554.50748673931</v>
      </c>
      <c r="I81" s="75">
        <f t="shared" si="4"/>
        <v>485029.65833000699</v>
      </c>
    </row>
    <row r="82" spans="1:9" x14ac:dyDescent="0.25">
      <c r="A82" s="61">
        <f>'A) Base RI'!A73</f>
        <v>5503</v>
      </c>
      <c r="B82" s="42" t="str">
        <f>'A) Base RI'!B73</f>
        <v>Vufflens-la-Ville</v>
      </c>
      <c r="C82" s="19">
        <f>'D) Ecrêtage'!M71</f>
        <v>61379.446318407958</v>
      </c>
      <c r="D82" s="14">
        <f>'A) Base RI'!AN73</f>
        <v>1216</v>
      </c>
      <c r="E82" s="19">
        <f t="shared" si="5"/>
        <v>1134936.3803001714</v>
      </c>
      <c r="F82" s="52">
        <f>'F) Population'!K74</f>
        <v>173833.4004024145</v>
      </c>
      <c r="G82" s="14">
        <f>'G) Solidarité'!I71</f>
        <v>0</v>
      </c>
      <c r="H82" s="19">
        <f t="shared" si="3"/>
        <v>173833.4004024145</v>
      </c>
      <c r="I82" s="75">
        <f t="shared" si="4"/>
        <v>961102.97989775694</v>
      </c>
    </row>
    <row r="83" spans="1:9" x14ac:dyDescent="0.25">
      <c r="A83" s="61">
        <f>'A) Base RI'!A74</f>
        <v>5511</v>
      </c>
      <c r="B83" s="42" t="str">
        <f>'A) Base RI'!B74</f>
        <v>Assens</v>
      </c>
      <c r="C83" s="19">
        <f>'D) Ecrêtage'!M72</f>
        <v>41422.612571428566</v>
      </c>
      <c r="D83" s="14">
        <f>'A) Base RI'!AN74</f>
        <v>1031</v>
      </c>
      <c r="E83" s="19">
        <f t="shared" si="5"/>
        <v>765924.63429072022</v>
      </c>
      <c r="F83" s="52">
        <f>'F) Population'!K75</f>
        <v>109734.80885311871</v>
      </c>
      <c r="G83" s="14">
        <f>'G) Solidarité'!I72</f>
        <v>69228.655010592847</v>
      </c>
      <c r="H83" s="19">
        <f t="shared" si="3"/>
        <v>178963.46386371157</v>
      </c>
      <c r="I83" s="75">
        <f t="shared" si="4"/>
        <v>586961.17042700865</v>
      </c>
    </row>
    <row r="84" spans="1:9" x14ac:dyDescent="0.25">
      <c r="A84" s="61">
        <f>'A) Base RI'!A75</f>
        <v>5512</v>
      </c>
      <c r="B84" s="42" t="str">
        <f>'A) Base RI'!B75</f>
        <v>Bercher</v>
      </c>
      <c r="C84" s="19">
        <f>'D) Ecrêtage'!M73</f>
        <v>32079.191772151898</v>
      </c>
      <c r="D84" s="14">
        <f>'A) Base RI'!AN75</f>
        <v>1148</v>
      </c>
      <c r="E84" s="19">
        <f t="shared" si="5"/>
        <v>593160.15338382497</v>
      </c>
      <c r="F84" s="52">
        <f>'F) Population'!K76</f>
        <v>150272.83702213279</v>
      </c>
      <c r="G84" s="14">
        <f>'G) Solidarité'!I73</f>
        <v>446882.3187252247</v>
      </c>
      <c r="H84" s="19">
        <f t="shared" si="3"/>
        <v>597155.15574735752</v>
      </c>
      <c r="I84" s="75">
        <f t="shared" si="4"/>
        <v>-3995.0023635325488</v>
      </c>
    </row>
    <row r="85" spans="1:9" x14ac:dyDescent="0.25">
      <c r="A85" s="61">
        <f>'A) Base RI'!A76</f>
        <v>5513</v>
      </c>
      <c r="B85" s="42" t="str">
        <f>'A) Base RI'!B76</f>
        <v>Bioley-Orjulaz</v>
      </c>
      <c r="C85" s="19">
        <f>'D) Ecrêtage'!M74</f>
        <v>24024.471515151512</v>
      </c>
      <c r="D85" s="14">
        <f>'A) Base RI'!AN76</f>
        <v>471</v>
      </c>
      <c r="E85" s="19">
        <f t="shared" si="5"/>
        <v>444224.38414621813</v>
      </c>
      <c r="F85" s="52">
        <f>'F) Population'!K77</f>
        <v>46626.156941649897</v>
      </c>
      <c r="G85" s="14">
        <f>'G) Solidarité'!I74</f>
        <v>0</v>
      </c>
      <c r="H85" s="19">
        <f t="shared" si="3"/>
        <v>46626.156941649897</v>
      </c>
      <c r="I85" s="75">
        <f t="shared" si="4"/>
        <v>397598.22720456822</v>
      </c>
    </row>
    <row r="86" spans="1:9" x14ac:dyDescent="0.25">
      <c r="A86" s="61">
        <f>'A) Base RI'!A77</f>
        <v>5514</v>
      </c>
      <c r="B86" s="42" t="str">
        <f>'A) Base RI'!B77</f>
        <v>Bottens</v>
      </c>
      <c r="C86" s="19">
        <f>'D) Ecrêtage'!M75</f>
        <v>38346.680434782604</v>
      </c>
      <c r="D86" s="14">
        <f>'A) Base RI'!AN77</f>
        <v>1220</v>
      </c>
      <c r="E86" s="19">
        <f t="shared" si="5"/>
        <v>709049.12474141072</v>
      </c>
      <c r="F86" s="52">
        <f>'F) Population'!K78</f>
        <v>175219.31589537224</v>
      </c>
      <c r="G86" s="14">
        <f>'G) Solidarité'!I75</f>
        <v>281684.63371965307</v>
      </c>
      <c r="H86" s="19">
        <f t="shared" si="3"/>
        <v>456903.94961502531</v>
      </c>
      <c r="I86" s="75">
        <f t="shared" si="4"/>
        <v>252145.17512638541</v>
      </c>
    </row>
    <row r="87" spans="1:9" x14ac:dyDescent="0.25">
      <c r="A87" s="61">
        <f>'A) Base RI'!A78</f>
        <v>5515</v>
      </c>
      <c r="B87" s="42" t="str">
        <f>'A) Base RI'!B78</f>
        <v>Bretigny-sur-Morrens</v>
      </c>
      <c r="C87" s="19">
        <f>'D) Ecrêtage'!M76</f>
        <v>24345.34643835617</v>
      </c>
      <c r="D87" s="14">
        <f>'A) Base RI'!AN78</f>
        <v>797</v>
      </c>
      <c r="E87" s="19">
        <f t="shared" si="5"/>
        <v>450157.52049257472</v>
      </c>
      <c r="F87" s="52">
        <f>'F) Population'!K79</f>
        <v>78898.189134808854</v>
      </c>
      <c r="G87" s="14">
        <f>'G) Solidarité'!I76</f>
        <v>220934.27889224401</v>
      </c>
      <c r="H87" s="19">
        <f t="shared" si="3"/>
        <v>299832.46802705288</v>
      </c>
      <c r="I87" s="75">
        <f t="shared" si="4"/>
        <v>150325.05246552185</v>
      </c>
    </row>
    <row r="88" spans="1:9" x14ac:dyDescent="0.25">
      <c r="A88" s="61">
        <f>'A) Base RI'!A79</f>
        <v>5516</v>
      </c>
      <c r="B88" s="42" t="str">
        <f>'A) Base RI'!B79</f>
        <v>Cugy</v>
      </c>
      <c r="C88" s="19">
        <f>'D) Ecrêtage'!M77</f>
        <v>104935.17701492537</v>
      </c>
      <c r="D88" s="14">
        <f>'A) Base RI'!AN79</f>
        <v>2755</v>
      </c>
      <c r="E88" s="19">
        <f t="shared" si="5"/>
        <v>1940303.4258352395</v>
      </c>
      <c r="F88" s="52">
        <f>'F) Population'!K80</f>
        <v>707064.38631790737</v>
      </c>
      <c r="G88" s="14">
        <f>'G) Solidarité'!I77</f>
        <v>272212.06884286011</v>
      </c>
      <c r="H88" s="19">
        <f t="shared" si="3"/>
        <v>979276.45516076754</v>
      </c>
      <c r="I88" s="75">
        <f t="shared" si="4"/>
        <v>961026.97067447193</v>
      </c>
    </row>
    <row r="89" spans="1:9" x14ac:dyDescent="0.25">
      <c r="A89" s="61">
        <f>'A) Base RI'!A80</f>
        <v>5518</v>
      </c>
      <c r="B89" s="42" t="str">
        <f>'A) Base RI'!B80</f>
        <v>Echallens</v>
      </c>
      <c r="C89" s="19">
        <f>'D) Ecrêtage'!M78</f>
        <v>181423.1631081081</v>
      </c>
      <c r="D89" s="14">
        <f>'A) Base RI'!AN80</f>
        <v>5606</v>
      </c>
      <c r="E89" s="19">
        <f t="shared" si="5"/>
        <v>3354604.1939249681</v>
      </c>
      <c r="F89" s="52">
        <f>'F) Population'!K81</f>
        <v>2141833.4004024146</v>
      </c>
      <c r="G89" s="14">
        <f>'G) Solidarité'!I78</f>
        <v>1375094.1764816248</v>
      </c>
      <c r="H89" s="19">
        <f t="shared" si="3"/>
        <v>3516927.5768840397</v>
      </c>
      <c r="I89" s="75">
        <f t="shared" si="4"/>
        <v>-162323.38295907155</v>
      </c>
    </row>
    <row r="90" spans="1:9" x14ac:dyDescent="0.25">
      <c r="A90" s="61">
        <f>'A) Base RI'!A81</f>
        <v>5520</v>
      </c>
      <c r="B90" s="42" t="str">
        <f>'A) Base RI'!B81</f>
        <v>Essertines-sur-Yverdon</v>
      </c>
      <c r="C90" s="19">
        <f>'D) Ecrêtage'!M79</f>
        <v>28021.579589041095</v>
      </c>
      <c r="D90" s="14">
        <f>'A) Base RI'!AN81</f>
        <v>945</v>
      </c>
      <c r="E90" s="19">
        <f t="shared" si="5"/>
        <v>518132.89328323078</v>
      </c>
      <c r="F90" s="52">
        <f>'F) Population'!K82</f>
        <v>93549.295774647879</v>
      </c>
      <c r="G90" s="14">
        <f>'G) Solidarité'!I79</f>
        <v>279867.26302547561</v>
      </c>
      <c r="H90" s="19">
        <f t="shared" si="3"/>
        <v>373416.55880012352</v>
      </c>
      <c r="I90" s="75">
        <f t="shared" si="4"/>
        <v>144716.33448310726</v>
      </c>
    </row>
    <row r="91" spans="1:9" x14ac:dyDescent="0.25">
      <c r="A91" s="61">
        <f>'A) Base RI'!A82</f>
        <v>5521</v>
      </c>
      <c r="B91" s="42" t="str">
        <f>'A) Base RI'!B82</f>
        <v>Etagnières</v>
      </c>
      <c r="C91" s="19">
        <f>'D) Ecrêtage'!M80</f>
        <v>42327.784109589047</v>
      </c>
      <c r="D91" s="14">
        <f>'A) Base RI'!AN82</f>
        <v>1146</v>
      </c>
      <c r="E91" s="19">
        <f t="shared" si="5"/>
        <v>782661.7046080603</v>
      </c>
      <c r="F91" s="52">
        <f>'F) Population'!K83</f>
        <v>149579.87927565392</v>
      </c>
      <c r="G91" s="14">
        <f>'G) Solidarité'!I80</f>
        <v>162452.40755082751</v>
      </c>
      <c r="H91" s="19">
        <f t="shared" si="3"/>
        <v>312032.28682648146</v>
      </c>
      <c r="I91" s="75">
        <f t="shared" si="4"/>
        <v>470629.41778157884</v>
      </c>
    </row>
    <row r="92" spans="1:9" x14ac:dyDescent="0.25">
      <c r="A92" s="61">
        <f>'A) Base RI'!A83</f>
        <v>5522</v>
      </c>
      <c r="B92" s="42" t="str">
        <f>'A) Base RI'!B83</f>
        <v>Fey</v>
      </c>
      <c r="C92" s="19">
        <f>'D) Ecrêtage'!M81</f>
        <v>18218.5124</v>
      </c>
      <c r="D92" s="14">
        <f>'A) Base RI'!AN83</f>
        <v>635</v>
      </c>
      <c r="E92" s="19">
        <f t="shared" si="5"/>
        <v>336869.32284217607</v>
      </c>
      <c r="F92" s="52">
        <f>'F) Population'!K84</f>
        <v>62861.167002012065</v>
      </c>
      <c r="G92" s="14">
        <f>'G) Solidarité'!I81</f>
        <v>212173.43454605908</v>
      </c>
      <c r="H92" s="19">
        <f t="shared" si="3"/>
        <v>275034.60154807114</v>
      </c>
      <c r="I92" s="75">
        <f t="shared" si="4"/>
        <v>61834.721294104937</v>
      </c>
    </row>
    <row r="93" spans="1:9" x14ac:dyDescent="0.25">
      <c r="A93" s="61">
        <f>'A) Base RI'!A84</f>
        <v>5523</v>
      </c>
      <c r="B93" s="42" t="str">
        <f>'A) Base RI'!B84</f>
        <v>Froideville</v>
      </c>
      <c r="C93" s="19">
        <f>'D) Ecrêtage'!M82</f>
        <v>77819.657763157898</v>
      </c>
      <c r="D93" s="14">
        <f>'A) Base RI'!AN84</f>
        <v>2422</v>
      </c>
      <c r="E93" s="19">
        <f t="shared" si="5"/>
        <v>1438924.0372054139</v>
      </c>
      <c r="F93" s="52">
        <f>'F) Population'!K85</f>
        <v>591686.92152917502</v>
      </c>
      <c r="G93" s="14">
        <f>'G) Solidarité'!I82</f>
        <v>639550.1795217694</v>
      </c>
      <c r="H93" s="19">
        <f t="shared" si="3"/>
        <v>1231237.1010509445</v>
      </c>
      <c r="I93" s="75">
        <f t="shared" si="4"/>
        <v>207686.93615446938</v>
      </c>
    </row>
    <row r="94" spans="1:9" x14ac:dyDescent="0.25">
      <c r="A94" s="61">
        <f>'A) Base RI'!A85</f>
        <v>5527</v>
      </c>
      <c r="B94" s="42" t="str">
        <f>'A) Base RI'!B85</f>
        <v>Morrens</v>
      </c>
      <c r="C94" s="19">
        <f>'D) Ecrêtage'!M83</f>
        <v>36998.677183098589</v>
      </c>
      <c r="D94" s="14">
        <f>'A) Base RI'!AN85</f>
        <v>1055</v>
      </c>
      <c r="E94" s="19">
        <f t="shared" si="5"/>
        <v>684123.8765864711</v>
      </c>
      <c r="F94" s="52">
        <f>'F) Population'!K86</f>
        <v>118050.30181086519</v>
      </c>
      <c r="G94" s="14">
        <f>'G) Solidarité'!I83</f>
        <v>180938.28340317155</v>
      </c>
      <c r="H94" s="19">
        <f t="shared" si="3"/>
        <v>298988.58521403675</v>
      </c>
      <c r="I94" s="75">
        <f t="shared" si="4"/>
        <v>385135.29137243435</v>
      </c>
    </row>
    <row r="95" spans="1:9" x14ac:dyDescent="0.25">
      <c r="A95" s="61">
        <f>'A) Base RI'!A86</f>
        <v>5529</v>
      </c>
      <c r="B95" s="42" t="str">
        <f>'A) Base RI'!B86</f>
        <v>Oulens-sous-Echallens</v>
      </c>
      <c r="C95" s="19">
        <f>'D) Ecrêtage'!M84</f>
        <v>16830.940140845072</v>
      </c>
      <c r="D95" s="14">
        <f>'A) Base RI'!AN86</f>
        <v>532</v>
      </c>
      <c r="E95" s="19">
        <f t="shared" si="5"/>
        <v>311212.42412984715</v>
      </c>
      <c r="F95" s="52">
        <f>'F) Population'!K87</f>
        <v>52664.788732394365</v>
      </c>
      <c r="G95" s="14">
        <f>'G) Solidarité'!I84</f>
        <v>127865.46292752936</v>
      </c>
      <c r="H95" s="19">
        <f t="shared" si="3"/>
        <v>180530.25165992373</v>
      </c>
      <c r="I95" s="75">
        <f t="shared" si="4"/>
        <v>130682.17246992342</v>
      </c>
    </row>
    <row r="96" spans="1:9" x14ac:dyDescent="0.25">
      <c r="A96" s="61">
        <f>'A) Base RI'!A87</f>
        <v>5530</v>
      </c>
      <c r="B96" s="42" t="str">
        <f>'A) Base RI'!B87</f>
        <v>Pailly</v>
      </c>
      <c r="C96" s="19">
        <f>'D) Ecrêtage'!M85</f>
        <v>15988.116172043008</v>
      </c>
      <c r="D96" s="14">
        <f>'A) Base RI'!AN87</f>
        <v>533</v>
      </c>
      <c r="E96" s="19">
        <f t="shared" si="5"/>
        <v>295628.19126759068</v>
      </c>
      <c r="F96" s="52">
        <f>'F) Population'!K88</f>
        <v>52763.782696177055</v>
      </c>
      <c r="G96" s="14">
        <f>'G) Solidarité'!I85</f>
        <v>173530.76972083782</v>
      </c>
      <c r="H96" s="19">
        <f t="shared" si="3"/>
        <v>226294.55241701487</v>
      </c>
      <c r="I96" s="75">
        <f t="shared" si="4"/>
        <v>69333.638850575808</v>
      </c>
    </row>
    <row r="97" spans="1:9" x14ac:dyDescent="0.25">
      <c r="A97" s="61">
        <f>'A) Base RI'!A88</f>
        <v>5531</v>
      </c>
      <c r="B97" s="42" t="str">
        <f>'A) Base RI'!B88</f>
        <v>Penthéréaz</v>
      </c>
      <c r="C97" s="19">
        <f>'D) Ecrêtage'!M86</f>
        <v>11628.696923076923</v>
      </c>
      <c r="D97" s="14">
        <f>'A) Base RI'!AN88</f>
        <v>389</v>
      </c>
      <c r="E97" s="19">
        <f t="shared" si="5"/>
        <v>215020.36895250677</v>
      </c>
      <c r="F97" s="52">
        <f>'F) Population'!K89</f>
        <v>38508.651911468813</v>
      </c>
      <c r="G97" s="14">
        <f>'G) Solidarité'!I86</f>
        <v>129254.03768465019</v>
      </c>
      <c r="H97" s="19">
        <f t="shared" si="3"/>
        <v>167762.68959611899</v>
      </c>
      <c r="I97" s="75">
        <f t="shared" si="4"/>
        <v>47257.679356387787</v>
      </c>
    </row>
    <row r="98" spans="1:9" x14ac:dyDescent="0.25">
      <c r="A98" s="61">
        <f>'A) Base RI'!A89</f>
        <v>5533</v>
      </c>
      <c r="B98" s="42" t="str">
        <f>'A) Base RI'!B89</f>
        <v>Poliez-Pittet</v>
      </c>
      <c r="C98" s="19">
        <f>'D) Ecrêtage'!M87</f>
        <v>21286.915727699528</v>
      </c>
      <c r="D98" s="14">
        <f>'A) Base RI'!AN89</f>
        <v>815</v>
      </c>
      <c r="E98" s="19">
        <f t="shared" si="5"/>
        <v>393605.62098300672</v>
      </c>
      <c r="F98" s="52">
        <f>'F) Population'!K90</f>
        <v>80680.080482897378</v>
      </c>
      <c r="G98" s="14">
        <f>'G) Solidarité'!I87</f>
        <v>286077.61132657394</v>
      </c>
      <c r="H98" s="19">
        <f t="shared" si="3"/>
        <v>366757.69180947135</v>
      </c>
      <c r="I98" s="75">
        <f t="shared" si="4"/>
        <v>26847.929173535376</v>
      </c>
    </row>
    <row r="99" spans="1:9" x14ac:dyDescent="0.25">
      <c r="A99" s="61">
        <f>'A) Base RI'!A90</f>
        <v>5534</v>
      </c>
      <c r="B99" s="42" t="str">
        <f>'A) Base RI'!B90</f>
        <v>Rueyres</v>
      </c>
      <c r="C99" s="19">
        <f>'D) Ecrêtage'!M88</f>
        <v>8123.1504109589041</v>
      </c>
      <c r="D99" s="14">
        <f>'A) Base RI'!AN90</f>
        <v>265</v>
      </c>
      <c r="E99" s="19">
        <f t="shared" si="5"/>
        <v>150201.07669629878</v>
      </c>
      <c r="F99" s="52">
        <f>'F) Population'!K91</f>
        <v>26233.400402414485</v>
      </c>
      <c r="G99" s="14">
        <f>'G) Solidarité'!I88</f>
        <v>72857.87460789569</v>
      </c>
      <c r="H99" s="19">
        <f t="shared" si="3"/>
        <v>99091.275010310172</v>
      </c>
      <c r="I99" s="75">
        <f t="shared" si="4"/>
        <v>51109.801685988612</v>
      </c>
    </row>
    <row r="100" spans="1:9" x14ac:dyDescent="0.25">
      <c r="A100" s="61">
        <f>'A) Base RI'!A91</f>
        <v>5535</v>
      </c>
      <c r="B100" s="42" t="str">
        <f>'A) Base RI'!B91</f>
        <v>Saint-Barthélemy</v>
      </c>
      <c r="C100" s="19">
        <f>'D) Ecrêtage'!M89</f>
        <v>21652.779733333333</v>
      </c>
      <c r="D100" s="14">
        <f>'A) Base RI'!AN91</f>
        <v>782</v>
      </c>
      <c r="E100" s="19">
        <f t="shared" si="5"/>
        <v>400370.62775876222</v>
      </c>
      <c r="F100" s="52">
        <f>'F) Population'!K92</f>
        <v>77413.2796780684</v>
      </c>
      <c r="G100" s="14">
        <f>'G) Solidarité'!I89</f>
        <v>278818.46098684456</v>
      </c>
      <c r="H100" s="19">
        <f t="shared" si="3"/>
        <v>356231.74066491297</v>
      </c>
      <c r="I100" s="75">
        <f t="shared" si="4"/>
        <v>44138.887093849247</v>
      </c>
    </row>
    <row r="101" spans="1:9" x14ac:dyDescent="0.25">
      <c r="A101" s="61">
        <f>'A) Base RI'!A92</f>
        <v>5537</v>
      </c>
      <c r="B101" s="42" t="str">
        <f>'A) Base RI'!B92</f>
        <v>Villars-le-Terroir</v>
      </c>
      <c r="C101" s="19">
        <f>'D) Ecrêtage'!M90</f>
        <v>28181.728767123288</v>
      </c>
      <c r="D101" s="14">
        <f>'A) Base RI'!AN92</f>
        <v>1033</v>
      </c>
      <c r="E101" s="19">
        <f t="shared" si="5"/>
        <v>521094.13095125684</v>
      </c>
      <c r="F101" s="52">
        <f>'F) Population'!K93</f>
        <v>110427.76659959758</v>
      </c>
      <c r="G101" s="14">
        <f>'G) Solidarité'!I90</f>
        <v>357855.13348403922</v>
      </c>
      <c r="H101" s="19">
        <f t="shared" si="3"/>
        <v>468282.90008363681</v>
      </c>
      <c r="I101" s="75">
        <f t="shared" si="4"/>
        <v>52811.230867620034</v>
      </c>
    </row>
    <row r="102" spans="1:9" x14ac:dyDescent="0.25">
      <c r="A102" s="61">
        <f>'A) Base RI'!A93</f>
        <v>5539</v>
      </c>
      <c r="B102" s="42" t="str">
        <f>'A) Base RI'!B93</f>
        <v>Vuarrens</v>
      </c>
      <c r="C102" s="19">
        <f>'D) Ecrêtage'!M91</f>
        <v>22756.172933333331</v>
      </c>
      <c r="D102" s="14">
        <f>'A) Base RI'!AN93</f>
        <v>935</v>
      </c>
      <c r="E102" s="19">
        <f t="shared" si="5"/>
        <v>420772.91483641963</v>
      </c>
      <c r="F102" s="52">
        <f>'F) Population'!K94</f>
        <v>92559.356136820919</v>
      </c>
      <c r="G102" s="14">
        <f>'G) Solidarité'!I91</f>
        <v>403481.50616845523</v>
      </c>
      <c r="H102" s="19">
        <f t="shared" si="3"/>
        <v>496040.86230527615</v>
      </c>
      <c r="I102" s="75">
        <f t="shared" si="4"/>
        <v>-75267.947468856524</v>
      </c>
    </row>
    <row r="103" spans="1:9" x14ac:dyDescent="0.25">
      <c r="A103" s="61">
        <f>'A) Base RI'!A94</f>
        <v>5540</v>
      </c>
      <c r="B103" s="42" t="str">
        <f>'A) Base RI'!B94</f>
        <v>Montilliez</v>
      </c>
      <c r="C103" s="19">
        <f>'D) Ecrêtage'!M92</f>
        <v>47199.265101351346</v>
      </c>
      <c r="D103" s="14">
        <f>'A) Base RI'!AN94</f>
        <v>1656</v>
      </c>
      <c r="E103" s="19">
        <f t="shared" si="5"/>
        <v>872737.80231038958</v>
      </c>
      <c r="F103" s="52">
        <f>'F) Population'!K95</f>
        <v>326284.10462776659</v>
      </c>
      <c r="G103" s="14">
        <f>'G) Solidarité'!I92</f>
        <v>545468.76158276841</v>
      </c>
      <c r="H103" s="19">
        <f>F103+G103</f>
        <v>871752.86621053494</v>
      </c>
      <c r="I103" s="75">
        <f>E103-H103</f>
        <v>984.93609985464718</v>
      </c>
    </row>
    <row r="104" spans="1:9" x14ac:dyDescent="0.25">
      <c r="A104" s="61">
        <f>'A) Base RI'!A95</f>
        <v>5541</v>
      </c>
      <c r="B104" s="42" t="str">
        <f>'A) Base RI'!B95</f>
        <v>Goumoëns</v>
      </c>
      <c r="C104" s="19">
        <f>'D) Ecrêtage'!M93</f>
        <v>35607.690389610398</v>
      </c>
      <c r="D104" s="14">
        <f>'A) Base RI'!AN95</f>
        <v>1055</v>
      </c>
      <c r="E104" s="19">
        <f t="shared" si="5"/>
        <v>658403.84144217591</v>
      </c>
      <c r="F104" s="52">
        <f>'F) Population'!K96</f>
        <v>118050.30181086519</v>
      </c>
      <c r="G104" s="14">
        <f>'G) Solidarité'!I93</f>
        <v>245621.74476466715</v>
      </c>
      <c r="H104" s="19">
        <f>F104+G104</f>
        <v>363672.04657553235</v>
      </c>
      <c r="I104" s="75">
        <f>E104-H104</f>
        <v>294731.79486664355</v>
      </c>
    </row>
    <row r="105" spans="1:9" x14ac:dyDescent="0.25">
      <c r="A105" s="61">
        <f>'A) Base RI'!A96</f>
        <v>5551</v>
      </c>
      <c r="B105" s="42" t="str">
        <f>'A) Base RI'!B96</f>
        <v>Bonvillars</v>
      </c>
      <c r="C105" s="19">
        <f>'D) Ecrêtage'!M94</f>
        <v>15988.430935064936</v>
      </c>
      <c r="D105" s="14">
        <f>'A) Base RI'!AN96</f>
        <v>506</v>
      </c>
      <c r="E105" s="19">
        <f t="shared" si="5"/>
        <v>295634.01139185356</v>
      </c>
      <c r="F105" s="52">
        <f>'F) Population'!K97</f>
        <v>50090.945674044262</v>
      </c>
      <c r="G105" s="14">
        <f>'G) Solidarité'!I94</f>
        <v>73219.512021704591</v>
      </c>
      <c r="H105" s="19">
        <f t="shared" si="3"/>
        <v>123310.45769574886</v>
      </c>
      <c r="I105" s="75">
        <f t="shared" si="4"/>
        <v>172323.5536961047</v>
      </c>
    </row>
    <row r="106" spans="1:9" x14ac:dyDescent="0.25">
      <c r="A106" s="61">
        <f>'A) Base RI'!A97</f>
        <v>5552</v>
      </c>
      <c r="B106" s="42" t="str">
        <f>'A) Base RI'!B97</f>
        <v>Bullet</v>
      </c>
      <c r="C106" s="19">
        <f>'D) Ecrêtage'!M95</f>
        <v>15525.607571428574</v>
      </c>
      <c r="D106" s="14">
        <f>'A) Base RI'!AN97</f>
        <v>606</v>
      </c>
      <c r="E106" s="19">
        <f t="shared" si="5"/>
        <v>287076.17803638597</v>
      </c>
      <c r="F106" s="52">
        <f>'F) Population'!K98</f>
        <v>59990.342052313878</v>
      </c>
      <c r="G106" s="14">
        <f>'G) Solidarité'!I95</f>
        <v>212661.6387860009</v>
      </c>
      <c r="H106" s="19">
        <f t="shared" si="3"/>
        <v>272651.98083831475</v>
      </c>
      <c r="I106" s="75">
        <f t="shared" si="4"/>
        <v>14424.197198071226</v>
      </c>
    </row>
    <row r="107" spans="1:9" x14ac:dyDescent="0.25">
      <c r="A107" s="61">
        <f>'A) Base RI'!A98</f>
        <v>5553</v>
      </c>
      <c r="B107" s="42" t="str">
        <f>'A) Base RI'!B98</f>
        <v>Champagne</v>
      </c>
      <c r="C107" s="19">
        <f>'D) Ecrêtage'!M96</f>
        <v>55334.370317460314</v>
      </c>
      <c r="D107" s="14">
        <f>'A) Base RI'!AN98</f>
        <v>1048</v>
      </c>
      <c r="E107" s="19">
        <f t="shared" si="5"/>
        <v>1023159.9292783677</v>
      </c>
      <c r="F107" s="52">
        <f>'F) Population'!K99</f>
        <v>115624.94969818913</v>
      </c>
      <c r="G107" s="14">
        <f>'G) Solidarité'!I96</f>
        <v>0</v>
      </c>
      <c r="H107" s="19">
        <f t="shared" si="3"/>
        <v>115624.94969818913</v>
      </c>
      <c r="I107" s="75">
        <f t="shared" si="4"/>
        <v>907534.97958017851</v>
      </c>
    </row>
    <row r="108" spans="1:9" x14ac:dyDescent="0.25">
      <c r="A108" s="61">
        <f>'A) Base RI'!A99</f>
        <v>5554</v>
      </c>
      <c r="B108" s="42" t="str">
        <f>'A) Base RI'!B99</f>
        <v>Concise</v>
      </c>
      <c r="C108" s="19">
        <f>'D) Ecrêtage'!M97</f>
        <v>29691.100933333331</v>
      </c>
      <c r="D108" s="14">
        <f>'A) Base RI'!AN99</f>
        <v>954</v>
      </c>
      <c r="E108" s="19">
        <f t="shared" si="5"/>
        <v>549003.17030553508</v>
      </c>
      <c r="F108" s="52">
        <f>'F) Population'!K100</f>
        <v>94440.241448692148</v>
      </c>
      <c r="G108" s="14">
        <f>'G) Solidarité'!I97</f>
        <v>266837.10221515695</v>
      </c>
      <c r="H108" s="19">
        <f t="shared" si="3"/>
        <v>361277.34366384911</v>
      </c>
      <c r="I108" s="75">
        <f t="shared" si="4"/>
        <v>187725.82664168597</v>
      </c>
    </row>
    <row r="109" spans="1:9" x14ac:dyDescent="0.25">
      <c r="A109" s="61">
        <f>'A) Base RI'!A100</f>
        <v>5555</v>
      </c>
      <c r="B109" s="42" t="str">
        <f>'A) Base RI'!B100</f>
        <v>Corcelles-près-Concise</v>
      </c>
      <c r="C109" s="19">
        <f>'D) Ecrêtage'!M98</f>
        <v>9762.6867605633779</v>
      </c>
      <c r="D109" s="14">
        <f>'A) Base RI'!AN100</f>
        <v>337</v>
      </c>
      <c r="E109" s="19">
        <f t="shared" si="5"/>
        <v>180516.91630713289</v>
      </c>
      <c r="F109" s="52">
        <f>'F) Population'!K101</f>
        <v>33360.965794768606</v>
      </c>
      <c r="G109" s="14">
        <f>'G) Solidarité'!I98</f>
        <v>99027.211567045408</v>
      </c>
      <c r="H109" s="19">
        <f t="shared" si="3"/>
        <v>132388.17736181401</v>
      </c>
      <c r="I109" s="75">
        <f t="shared" si="4"/>
        <v>48128.738945318881</v>
      </c>
    </row>
    <row r="110" spans="1:9" x14ac:dyDescent="0.25">
      <c r="A110" s="61">
        <f>'A) Base RI'!A101</f>
        <v>5556</v>
      </c>
      <c r="B110" s="42" t="str">
        <f>'A) Base RI'!B101</f>
        <v>Fiez</v>
      </c>
      <c r="C110" s="19">
        <f>'D) Ecrêtage'!M99</f>
        <v>10799.932053140095</v>
      </c>
      <c r="D110" s="14">
        <f>'A) Base RI'!AN101</f>
        <v>421</v>
      </c>
      <c r="E110" s="19">
        <f t="shared" si="5"/>
        <v>199696.09579555006</v>
      </c>
      <c r="F110" s="52">
        <f>'F) Population'!K102</f>
        <v>41676.458752515086</v>
      </c>
      <c r="G110" s="14">
        <f>'G) Solidarité'!I99</f>
        <v>143284.19712856418</v>
      </c>
      <c r="H110" s="19">
        <f t="shared" si="3"/>
        <v>184960.65588107926</v>
      </c>
      <c r="I110" s="75">
        <f t="shared" si="4"/>
        <v>14735.4399144708</v>
      </c>
    </row>
    <row r="111" spans="1:9" x14ac:dyDescent="0.25">
      <c r="A111" s="61">
        <f>'A) Base RI'!A102</f>
        <v>5557</v>
      </c>
      <c r="B111" s="42" t="str">
        <f>'A) Base RI'!B102</f>
        <v>Fontaines-sur-Grandson</v>
      </c>
      <c r="C111" s="19">
        <f>'D) Ecrêtage'!M100</f>
        <v>4200.6523188405799</v>
      </c>
      <c r="D111" s="14">
        <f>'A) Base RI'!AN102</f>
        <v>191</v>
      </c>
      <c r="E111" s="19">
        <f t="shared" si="5"/>
        <v>77672.143096779022</v>
      </c>
      <c r="F111" s="52">
        <f>'F) Population'!K103</f>
        <v>18907.847082494969</v>
      </c>
      <c r="G111" s="14">
        <f>'G) Solidarité'!I100</f>
        <v>78246.665077964761</v>
      </c>
      <c r="H111" s="19">
        <f t="shared" si="3"/>
        <v>97154.512160459737</v>
      </c>
      <c r="I111" s="75">
        <f t="shared" si="4"/>
        <v>-19482.369063680715</v>
      </c>
    </row>
    <row r="112" spans="1:9" x14ac:dyDescent="0.25">
      <c r="A112" s="61">
        <f>'A) Base RI'!A103</f>
        <v>5559</v>
      </c>
      <c r="B112" s="42" t="str">
        <f>'A) Base RI'!B103</f>
        <v>Giez</v>
      </c>
      <c r="C112" s="19">
        <f>'D) Ecrêtage'!M101</f>
        <v>17998.483636363639</v>
      </c>
      <c r="D112" s="14">
        <f>'A) Base RI'!AN103</f>
        <v>389</v>
      </c>
      <c r="E112" s="19">
        <f t="shared" si="5"/>
        <v>332800.88196266815</v>
      </c>
      <c r="F112" s="52">
        <f>'F) Population'!K104</f>
        <v>38508.651911468813</v>
      </c>
      <c r="G112" s="14">
        <f>'G) Solidarité'!I101</f>
        <v>0</v>
      </c>
      <c r="H112" s="19">
        <f t="shared" si="3"/>
        <v>38508.651911468813</v>
      </c>
      <c r="I112" s="75">
        <f t="shared" si="4"/>
        <v>294292.23005119932</v>
      </c>
    </row>
    <row r="113" spans="1:9" x14ac:dyDescent="0.25">
      <c r="A113" s="61">
        <f>'A) Base RI'!A104</f>
        <v>5560</v>
      </c>
      <c r="B113" s="42" t="str">
        <f>'A) Base RI'!B104</f>
        <v>Grandevent</v>
      </c>
      <c r="C113" s="19">
        <f>'D) Ecrêtage'!M102</f>
        <v>6396.1444117647052</v>
      </c>
      <c r="D113" s="14">
        <f>'A) Base RI'!AN104</f>
        <v>232</v>
      </c>
      <c r="E113" s="19">
        <f t="shared" si="5"/>
        <v>118267.87991713006</v>
      </c>
      <c r="F113" s="52">
        <f>'F) Population'!K105</f>
        <v>22966.599597585511</v>
      </c>
      <c r="G113" s="14">
        <f>'G) Solidarité'!I102</f>
        <v>68507.834042632327</v>
      </c>
      <c r="H113" s="19">
        <f t="shared" si="3"/>
        <v>91474.433640217845</v>
      </c>
      <c r="I113" s="75">
        <f t="shared" si="4"/>
        <v>26793.446276912218</v>
      </c>
    </row>
    <row r="114" spans="1:9" x14ac:dyDescent="0.25">
      <c r="A114" s="61">
        <f>'A) Base RI'!A105</f>
        <v>5561</v>
      </c>
      <c r="B114" s="42" t="str">
        <f>'A) Base RI'!B105</f>
        <v>Grandson</v>
      </c>
      <c r="C114" s="19">
        <f>'D) Ecrêtage'!M103</f>
        <v>106507.86840579711</v>
      </c>
      <c r="D114" s="14">
        <f>'A) Base RI'!AN105</f>
        <v>3303</v>
      </c>
      <c r="E114" s="19">
        <f t="shared" si="5"/>
        <v>1969383.2690326832</v>
      </c>
      <c r="F114" s="52">
        <f>'F) Population'!K106</f>
        <v>941927.56539235404</v>
      </c>
      <c r="G114" s="14">
        <f>'G) Solidarité'!I103</f>
        <v>711695.2500657466</v>
      </c>
      <c r="H114" s="19">
        <f t="shared" si="3"/>
        <v>1653622.8154581008</v>
      </c>
      <c r="I114" s="75">
        <f t="shared" si="4"/>
        <v>315760.45357458247</v>
      </c>
    </row>
    <row r="115" spans="1:9" x14ac:dyDescent="0.25">
      <c r="A115" s="61">
        <f>'A) Base RI'!A106</f>
        <v>5562</v>
      </c>
      <c r="B115" s="42" t="str">
        <f>'A) Base RI'!B106</f>
        <v>Mauborget</v>
      </c>
      <c r="C115" s="19">
        <f>'D) Ecrêtage'!M104</f>
        <v>3916.9319285714282</v>
      </c>
      <c r="D115" s="14">
        <f>'A) Base RI'!AN106</f>
        <v>119</v>
      </c>
      <c r="E115" s="19">
        <f t="shared" si="5"/>
        <v>72426.012477108496</v>
      </c>
      <c r="F115" s="52">
        <f>'F) Population'!K107</f>
        <v>11780.281690140844</v>
      </c>
      <c r="G115" s="14">
        <f>'G) Solidarité'!I104</f>
        <v>24836.131405956105</v>
      </c>
      <c r="H115" s="19">
        <f t="shared" si="3"/>
        <v>36616.413096096949</v>
      </c>
      <c r="I115" s="75">
        <f t="shared" si="4"/>
        <v>35809.599381011547</v>
      </c>
    </row>
    <row r="116" spans="1:9" x14ac:dyDescent="0.25">
      <c r="A116" s="61">
        <f>'A) Base RI'!A107</f>
        <v>5563</v>
      </c>
      <c r="B116" s="42" t="str">
        <f>'A) Base RI'!B107</f>
        <v>Mutrux</v>
      </c>
      <c r="C116" s="19">
        <f>'D) Ecrêtage'!M105</f>
        <v>4102.2142675159239</v>
      </c>
      <c r="D116" s="14">
        <f>'A) Base RI'!AN107</f>
        <v>153</v>
      </c>
      <c r="E116" s="19">
        <f t="shared" si="5"/>
        <v>75851.974744743857</v>
      </c>
      <c r="F116" s="52">
        <f>'F) Population'!K108</f>
        <v>15146.076458752514</v>
      </c>
      <c r="G116" s="14">
        <f>'G) Solidarité'!I105</f>
        <v>63051.686822443378</v>
      </c>
      <c r="H116" s="19">
        <f t="shared" si="3"/>
        <v>78197.76328119589</v>
      </c>
      <c r="I116" s="75">
        <f t="shared" si="4"/>
        <v>-2345.7885364520334</v>
      </c>
    </row>
    <row r="117" spans="1:9" x14ac:dyDescent="0.25">
      <c r="A117" s="61">
        <f>'A) Base RI'!A108</f>
        <v>5564</v>
      </c>
      <c r="B117" s="42" t="str">
        <f>'A) Base RI'!B108</f>
        <v>Novalles</v>
      </c>
      <c r="C117" s="19">
        <f>'D) Ecrêtage'!M106</f>
        <v>2120.1975328947365</v>
      </c>
      <c r="D117" s="14">
        <f>'A) Base RI'!AN108</f>
        <v>102</v>
      </c>
      <c r="E117" s="19">
        <f t="shared" si="5"/>
        <v>39203.503091608196</v>
      </c>
      <c r="F117" s="52">
        <f>'F) Population'!K109</f>
        <v>10097.384305835008</v>
      </c>
      <c r="G117" s="14">
        <f>'G) Solidarité'!I106</f>
        <v>53522.91390575785</v>
      </c>
      <c r="H117" s="19">
        <f t="shared" si="3"/>
        <v>63620.298211592861</v>
      </c>
      <c r="I117" s="75">
        <f t="shared" si="4"/>
        <v>-24416.795119984665</v>
      </c>
    </row>
    <row r="118" spans="1:9" x14ac:dyDescent="0.25">
      <c r="A118" s="61">
        <f>'A) Base RI'!A109</f>
        <v>5565</v>
      </c>
      <c r="B118" s="42" t="str">
        <f>'A) Base RI'!B109</f>
        <v>Onnens</v>
      </c>
      <c r="C118" s="19">
        <f>'D) Ecrêtage'!M107</f>
        <v>22453.434769230771</v>
      </c>
      <c r="D118" s="14">
        <f>'A) Base RI'!AN109</f>
        <v>493</v>
      </c>
      <c r="E118" s="19">
        <f t="shared" si="5"/>
        <v>415175.13615391246</v>
      </c>
      <c r="F118" s="52">
        <f>'F) Population'!K110</f>
        <v>48804.02414486921</v>
      </c>
      <c r="G118" s="14">
        <f>'G) Solidarité'!I107</f>
        <v>0</v>
      </c>
      <c r="H118" s="19">
        <f t="shared" si="3"/>
        <v>48804.02414486921</v>
      </c>
      <c r="I118" s="75">
        <f t="shared" si="4"/>
        <v>366371.11200904322</v>
      </c>
    </row>
    <row r="119" spans="1:9" x14ac:dyDescent="0.25">
      <c r="A119" s="61">
        <f>'A) Base RI'!A110</f>
        <v>5566</v>
      </c>
      <c r="B119" s="42" t="str">
        <f>'A) Base RI'!B110</f>
        <v>Provence</v>
      </c>
      <c r="C119" s="19">
        <f>'D) Ecrêtage'!M108</f>
        <v>7814.1319753086409</v>
      </c>
      <c r="D119" s="14">
        <f>'A) Base RI'!AN110</f>
        <v>385</v>
      </c>
      <c r="E119" s="19">
        <f t="shared" si="5"/>
        <v>144487.17268055418</v>
      </c>
      <c r="F119" s="52">
        <f>'F) Population'!K111</f>
        <v>38112.676056338023</v>
      </c>
      <c r="G119" s="14">
        <f>'G) Solidarité'!I108</f>
        <v>234401.28586601536</v>
      </c>
      <c r="H119" s="19">
        <f t="shared" si="3"/>
        <v>272513.96192235337</v>
      </c>
      <c r="I119" s="75">
        <f t="shared" si="4"/>
        <v>-128026.78924179918</v>
      </c>
    </row>
    <row r="120" spans="1:9" x14ac:dyDescent="0.25">
      <c r="A120" s="61">
        <f>'A) Base RI'!A111</f>
        <v>5568</v>
      </c>
      <c r="B120" s="42" t="str">
        <f>'A) Base RI'!B111</f>
        <v>Sainte-Croix</v>
      </c>
      <c r="C120" s="19">
        <f>'D) Ecrêtage'!M109</f>
        <v>93435.029714285716</v>
      </c>
      <c r="D120" s="14">
        <f>'A) Base RI'!AN111</f>
        <v>4763</v>
      </c>
      <c r="E120" s="19">
        <f t="shared" si="5"/>
        <v>1727660.0031070611</v>
      </c>
      <c r="F120" s="52">
        <f>'F) Population'!K112</f>
        <v>1664583.5010060361</v>
      </c>
      <c r="G120" s="14">
        <f>'G) Solidarité'!I109</f>
        <v>2228838.760345059</v>
      </c>
      <c r="H120" s="19">
        <f t="shared" si="3"/>
        <v>3893422.261351095</v>
      </c>
      <c r="I120" s="75">
        <f t="shared" si="4"/>
        <v>-2165762.2582440339</v>
      </c>
    </row>
    <row r="121" spans="1:9" x14ac:dyDescent="0.25">
      <c r="A121" s="61">
        <f>'A) Base RI'!A112</f>
        <v>5571</v>
      </c>
      <c r="B121" s="42" t="str">
        <f>'A) Base RI'!B112</f>
        <v>Tévenon</v>
      </c>
      <c r="C121" s="19">
        <f>'D) Ecrêtage'!M110</f>
        <v>20766.182465753427</v>
      </c>
      <c r="D121" s="14">
        <f>'A) Base RI'!AN112</f>
        <v>811</v>
      </c>
      <c r="E121" s="19">
        <f t="shared" si="5"/>
        <v>383977.00490932661</v>
      </c>
      <c r="F121" s="52">
        <f>'F) Population'!K113</f>
        <v>80284.104627766588</v>
      </c>
      <c r="G121" s="14">
        <f>'G) Solidarité'!I110</f>
        <v>309762.32923306385</v>
      </c>
      <c r="H121" s="19">
        <f t="shared" si="3"/>
        <v>390046.43386083044</v>
      </c>
      <c r="I121" s="75">
        <f t="shared" si="4"/>
        <v>-6069.4289515038254</v>
      </c>
    </row>
    <row r="122" spans="1:9" x14ac:dyDescent="0.25">
      <c r="A122" s="61">
        <f>'A) Base RI'!A113</f>
        <v>5581</v>
      </c>
      <c r="B122" s="42" t="str">
        <f>'A) Base RI'!B113</f>
        <v>Belmont-sur-Lausanne</v>
      </c>
      <c r="C122" s="19">
        <f>'D) Ecrêtage'!M111</f>
        <v>173034.35179856114</v>
      </c>
      <c r="D122" s="14">
        <f>'A) Base RI'!AN113</f>
        <v>3602</v>
      </c>
      <c r="E122" s="19">
        <f t="shared" si="5"/>
        <v>3199490.9155599424</v>
      </c>
      <c r="F122" s="52">
        <f>'F) Population'!K114</f>
        <v>1089923.5412474847</v>
      </c>
      <c r="G122" s="14">
        <f>'G) Solidarité'!I111</f>
        <v>0</v>
      </c>
      <c r="H122" s="19">
        <f t="shared" si="3"/>
        <v>1089923.5412474847</v>
      </c>
      <c r="I122" s="75">
        <f t="shared" si="4"/>
        <v>2109567.3743124576</v>
      </c>
    </row>
    <row r="123" spans="1:9" x14ac:dyDescent="0.25">
      <c r="A123" s="61">
        <f>'A) Base RI'!A114</f>
        <v>5582</v>
      </c>
      <c r="B123" s="42" t="str">
        <f>'A) Base RI'!B114</f>
        <v>Cheseaux-sur-Lausanne</v>
      </c>
      <c r="C123" s="19">
        <f>'D) Ecrêtage'!M112</f>
        <v>165346.44872483221</v>
      </c>
      <c r="D123" s="14">
        <f>'A) Base RI'!AN114</f>
        <v>4297</v>
      </c>
      <c r="E123" s="19">
        <f t="shared" si="5"/>
        <v>3057337.7778249788</v>
      </c>
      <c r="F123" s="52">
        <f>'F) Population'!K115</f>
        <v>1433927.565392354</v>
      </c>
      <c r="G123" s="14">
        <f>'G) Solidarité'!I112</f>
        <v>487892.60389635817</v>
      </c>
      <c r="H123" s="19">
        <f t="shared" si="3"/>
        <v>1921820.1692887121</v>
      </c>
      <c r="I123" s="75">
        <f t="shared" si="4"/>
        <v>1135517.6085362667</v>
      </c>
    </row>
    <row r="124" spans="1:9" x14ac:dyDescent="0.25">
      <c r="A124" s="61">
        <f>'A) Base RI'!A115</f>
        <v>5583</v>
      </c>
      <c r="B124" s="42" t="str">
        <f>'A) Base RI'!B115</f>
        <v>Crissier</v>
      </c>
      <c r="C124" s="19">
        <f>'D) Ecrêtage'!M113</f>
        <v>323925.7196923077</v>
      </c>
      <c r="D124" s="14">
        <f>'A) Base RI'!AN115</f>
        <v>7542</v>
      </c>
      <c r="E124" s="19">
        <f t="shared" si="5"/>
        <v>5989547.0852994695</v>
      </c>
      <c r="F124" s="52">
        <f>'F) Population'!K116</f>
        <v>3291747.2837022133</v>
      </c>
      <c r="G124" s="14">
        <f>'G) Solidarité'!I113</f>
        <v>85195.904116145597</v>
      </c>
      <c r="H124" s="19">
        <f t="shared" si="3"/>
        <v>3376943.1878183591</v>
      </c>
      <c r="I124" s="75">
        <f t="shared" si="4"/>
        <v>2612603.8974811104</v>
      </c>
    </row>
    <row r="125" spans="1:9" x14ac:dyDescent="0.25">
      <c r="A125" s="61">
        <f>'A) Base RI'!A116</f>
        <v>5584</v>
      </c>
      <c r="B125" s="42" t="str">
        <f>'A) Base RI'!B116</f>
        <v>Epalinges</v>
      </c>
      <c r="C125" s="19">
        <f>'D) Ecrêtage'!M114</f>
        <v>455923.60696969699</v>
      </c>
      <c r="D125" s="14">
        <f>'A) Base RI'!AN116</f>
        <v>9185</v>
      </c>
      <c r="E125" s="19">
        <f t="shared" si="5"/>
        <v>8430253.4353817087</v>
      </c>
      <c r="F125" s="52">
        <f>'F) Population'!K117</f>
        <v>4313414.4869215293</v>
      </c>
      <c r="G125" s="14">
        <f>'G) Solidarité'!I114</f>
        <v>0</v>
      </c>
      <c r="H125" s="19">
        <f t="shared" si="3"/>
        <v>4313414.4869215293</v>
      </c>
      <c r="I125" s="75">
        <f t="shared" si="4"/>
        <v>4116838.9484601794</v>
      </c>
    </row>
    <row r="126" spans="1:9" x14ac:dyDescent="0.25">
      <c r="A126" s="61">
        <f>'A) Base RI'!A117</f>
        <v>5585</v>
      </c>
      <c r="B126" s="42" t="str">
        <f>'A) Base RI'!B117</f>
        <v>Jouxtens-Mézery</v>
      </c>
      <c r="C126" s="19">
        <f>'D) Ecrêtage'!M115</f>
        <v>120397.11668857002</v>
      </c>
      <c r="D126" s="14">
        <f>'A) Base RI'!AN117</f>
        <v>1405</v>
      </c>
      <c r="E126" s="19">
        <f t="shared" si="5"/>
        <v>2226202.3528896379</v>
      </c>
      <c r="F126" s="52">
        <f>'F) Population'!K118</f>
        <v>239317.907444668</v>
      </c>
      <c r="G126" s="14">
        <f>'G) Solidarité'!I115</f>
        <v>0</v>
      </c>
      <c r="H126" s="19">
        <f t="shared" si="3"/>
        <v>239317.907444668</v>
      </c>
      <c r="I126" s="75">
        <f t="shared" si="4"/>
        <v>1986884.4454449699</v>
      </c>
    </row>
    <row r="127" spans="1:9" x14ac:dyDescent="0.25">
      <c r="A127" s="61">
        <f>'A) Base RI'!A118</f>
        <v>5586</v>
      </c>
      <c r="B127" s="42" t="str">
        <f>'A) Base RI'!B118</f>
        <v>Lausanne</v>
      </c>
      <c r="C127" s="19">
        <f>'D) Ecrêtage'!M116</f>
        <v>5897479.10464135</v>
      </c>
      <c r="D127" s="14">
        <f>'A) Base RI'!AN118</f>
        <v>134937</v>
      </c>
      <c r="E127" s="19">
        <f t="shared" si="5"/>
        <v>109047311.26436067</v>
      </c>
      <c r="F127" s="52">
        <f>'F) Population'!K119</f>
        <v>134318821.32796782</v>
      </c>
      <c r="G127" s="14">
        <f>'G) Solidarité'!I116</f>
        <v>0</v>
      </c>
      <c r="H127" s="19">
        <f t="shared" ref="H127:H180" si="6">F127+G127</f>
        <v>134318821.32796782</v>
      </c>
      <c r="I127" s="75">
        <f t="shared" ref="I127:I180" si="7">E127-H127</f>
        <v>-25271510.063607156</v>
      </c>
    </row>
    <row r="128" spans="1:9" x14ac:dyDescent="0.25">
      <c r="A128" s="61">
        <f>'A) Base RI'!A119</f>
        <v>5587</v>
      </c>
      <c r="B128" s="42" t="str">
        <f>'A) Base RI'!B119</f>
        <v>Le Mont-sur-Lausanne</v>
      </c>
      <c r="C128" s="19">
        <f>'D) Ecrêtage'!M117</f>
        <v>380449.00348888891</v>
      </c>
      <c r="D128" s="14">
        <f>'A) Base RI'!AN119</f>
        <v>7271</v>
      </c>
      <c r="E128" s="19">
        <f t="shared" si="5"/>
        <v>7034690.6139978087</v>
      </c>
      <c r="F128" s="52">
        <f>'F) Population'!K120</f>
        <v>3130783.0985915493</v>
      </c>
      <c r="G128" s="14">
        <f>'G) Solidarité'!I117</f>
        <v>0</v>
      </c>
      <c r="H128" s="19">
        <f t="shared" si="6"/>
        <v>3130783.0985915493</v>
      </c>
      <c r="I128" s="75">
        <f t="shared" si="7"/>
        <v>3903907.5154062593</v>
      </c>
    </row>
    <row r="129" spans="1:9" x14ac:dyDescent="0.25">
      <c r="A129" s="61">
        <f>'A) Base RI'!A120</f>
        <v>5588</v>
      </c>
      <c r="B129" s="42" t="str">
        <f>'A) Base RI'!B120</f>
        <v>Paudex</v>
      </c>
      <c r="C129" s="19">
        <f>'D) Ecrêtage'!M118</f>
        <v>120453.76581784204</v>
      </c>
      <c r="D129" s="14">
        <f>'A) Base RI'!AN120</f>
        <v>1485</v>
      </c>
      <c r="E129" s="19">
        <f t="shared" si="5"/>
        <v>2227249.8233635421</v>
      </c>
      <c r="F129" s="52">
        <f>'F) Population'!K121</f>
        <v>267036.21730382292</v>
      </c>
      <c r="G129" s="14">
        <f>'G) Solidarité'!I118</f>
        <v>0</v>
      </c>
      <c r="H129" s="19">
        <f t="shared" si="6"/>
        <v>267036.21730382292</v>
      </c>
      <c r="I129" s="75">
        <f t="shared" si="7"/>
        <v>1960213.6060597191</v>
      </c>
    </row>
    <row r="130" spans="1:9" x14ac:dyDescent="0.25">
      <c r="A130" s="61">
        <f>'A) Base RI'!A121</f>
        <v>5589</v>
      </c>
      <c r="B130" s="42" t="str">
        <f>'A) Base RI'!B121</f>
        <v>Prilly</v>
      </c>
      <c r="C130" s="19">
        <f>'D) Ecrêtage'!M119</f>
        <v>462414.97306122456</v>
      </c>
      <c r="D130" s="14">
        <f>'A) Base RI'!AN121</f>
        <v>11782</v>
      </c>
      <c r="E130" s="19">
        <f t="shared" si="5"/>
        <v>8550282.0113467555</v>
      </c>
      <c r="F130" s="52">
        <f>'F) Population'!K122</f>
        <v>6498656.740442656</v>
      </c>
      <c r="G130" s="14">
        <f>'G) Solidarité'!I119</f>
        <v>1107596.4242384385</v>
      </c>
      <c r="H130" s="19">
        <f t="shared" si="6"/>
        <v>7606253.1646810947</v>
      </c>
      <c r="I130" s="75">
        <f t="shared" si="7"/>
        <v>944028.84666566085</v>
      </c>
    </row>
    <row r="131" spans="1:9" x14ac:dyDescent="0.25">
      <c r="A131" s="61">
        <f>'A) Base RI'!A122</f>
        <v>5590</v>
      </c>
      <c r="B131" s="42" t="str">
        <f>'A) Base RI'!B122</f>
        <v>Pully</v>
      </c>
      <c r="C131" s="19">
        <f>'D) Ecrêtage'!M120</f>
        <v>1213129.8133681584</v>
      </c>
      <c r="D131" s="14">
        <f>'A) Base RI'!AN122</f>
        <v>17811</v>
      </c>
      <c r="E131" s="19">
        <f t="shared" si="5"/>
        <v>22431371.441116508</v>
      </c>
      <c r="F131" s="52">
        <f>'F) Population'!K123</f>
        <v>12573767.806841046</v>
      </c>
      <c r="G131" s="14">
        <f>'G) Solidarité'!I120</f>
        <v>0</v>
      </c>
      <c r="H131" s="19">
        <f t="shared" si="6"/>
        <v>12573767.806841046</v>
      </c>
      <c r="I131" s="75">
        <f t="shared" si="7"/>
        <v>9857603.6342754625</v>
      </c>
    </row>
    <row r="132" spans="1:9" x14ac:dyDescent="0.25">
      <c r="A132" s="61">
        <f>'A) Base RI'!A123</f>
        <v>5591</v>
      </c>
      <c r="B132" s="42" t="str">
        <f>'A) Base RI'!B123</f>
        <v>Renens</v>
      </c>
      <c r="C132" s="19">
        <f>'D) Ecrêtage'!M121</f>
        <v>546895.28569608741</v>
      </c>
      <c r="D132" s="14">
        <f>'A) Base RI'!AN123</f>
        <v>20362</v>
      </c>
      <c r="E132" s="19">
        <f t="shared" si="5"/>
        <v>10112364.857957305</v>
      </c>
      <c r="F132" s="52">
        <f>'F) Population'!K124</f>
        <v>15225370.623742454</v>
      </c>
      <c r="G132" s="14">
        <f>'G) Solidarité'!I121</f>
        <v>8367887.0404208153</v>
      </c>
      <c r="H132" s="19">
        <f t="shared" si="6"/>
        <v>23593257.664163269</v>
      </c>
      <c r="I132" s="75">
        <f t="shared" si="7"/>
        <v>-13480892.806205964</v>
      </c>
    </row>
    <row r="133" spans="1:9" x14ac:dyDescent="0.25">
      <c r="A133" s="61">
        <f>'A) Base RI'!A124</f>
        <v>5592</v>
      </c>
      <c r="B133" s="42" t="str">
        <f>'A) Base RI'!B124</f>
        <v>Romanel-sur-Lausanne</v>
      </c>
      <c r="C133" s="19">
        <f>'D) Ecrêtage'!M122</f>
        <v>110273.83828571429</v>
      </c>
      <c r="D133" s="14">
        <f>'A) Base RI'!AN124</f>
        <v>3351</v>
      </c>
      <c r="E133" s="19">
        <f t="shared" si="5"/>
        <v>2039017.918417763</v>
      </c>
      <c r="F133" s="52">
        <f>'F) Population'!K125</f>
        <v>965686.11670020118</v>
      </c>
      <c r="G133" s="14">
        <f>'G) Solidarité'!I122</f>
        <v>699877.09747302404</v>
      </c>
      <c r="H133" s="19">
        <f t="shared" si="6"/>
        <v>1665563.2141732252</v>
      </c>
      <c r="I133" s="75">
        <f t="shared" si="7"/>
        <v>373454.70424453774</v>
      </c>
    </row>
    <row r="134" spans="1:9" x14ac:dyDescent="0.25">
      <c r="A134" s="61">
        <f>'A) Base RI'!A125</f>
        <v>5601</v>
      </c>
      <c r="B134" s="42" t="str">
        <f>'A) Base RI'!B125</f>
        <v>Chexbres</v>
      </c>
      <c r="C134" s="19">
        <f>'D) Ecrêtage'!M123</f>
        <v>104474.96078125002</v>
      </c>
      <c r="D134" s="14">
        <f>'A) Base RI'!AN125</f>
        <v>2218</v>
      </c>
      <c r="E134" s="19">
        <f t="shared" si="5"/>
        <v>1931793.7996047689</v>
      </c>
      <c r="F134" s="52">
        <f>'F) Population'!K126</f>
        <v>521005.23138832994</v>
      </c>
      <c r="G134" s="14">
        <f>'G) Solidarité'!I123</f>
        <v>0</v>
      </c>
      <c r="H134" s="19">
        <f t="shared" si="6"/>
        <v>521005.23138832994</v>
      </c>
      <c r="I134" s="75">
        <f t="shared" si="7"/>
        <v>1410788.5682164389</v>
      </c>
    </row>
    <row r="135" spans="1:9" x14ac:dyDescent="0.25">
      <c r="A135" s="61">
        <f>'A) Base RI'!A126</f>
        <v>5604</v>
      </c>
      <c r="B135" s="42" t="str">
        <f>'A) Base RI'!B126</f>
        <v>Forel (Lavaux)</v>
      </c>
      <c r="C135" s="19">
        <f>'D) Ecrêtage'!M124</f>
        <v>65514.699852941172</v>
      </c>
      <c r="D135" s="14">
        <f>'A) Base RI'!AN126</f>
        <v>2085</v>
      </c>
      <c r="E135" s="19">
        <f t="shared" si="5"/>
        <v>1211399.267465367</v>
      </c>
      <c r="F135" s="52">
        <f>'F) Population'!K127</f>
        <v>474923.54124748491</v>
      </c>
      <c r="G135" s="14">
        <f>'G) Solidarité'!I124</f>
        <v>467926.42264399066</v>
      </c>
      <c r="H135" s="19">
        <f t="shared" si="6"/>
        <v>942849.96389147558</v>
      </c>
      <c r="I135" s="75">
        <f t="shared" si="7"/>
        <v>268549.3035738914</v>
      </c>
    </row>
    <row r="136" spans="1:9" x14ac:dyDescent="0.25">
      <c r="A136" s="61">
        <f>'A) Base RI'!A127</f>
        <v>5606</v>
      </c>
      <c r="B136" s="42" t="str">
        <f>'A) Base RI'!B127</f>
        <v>Lutry</v>
      </c>
      <c r="C136" s="19">
        <f>'D) Ecrêtage'!M125</f>
        <v>660728.72689955926</v>
      </c>
      <c r="D136" s="14">
        <f>'A) Base RI'!AN127</f>
        <v>9739</v>
      </c>
      <c r="E136" s="19">
        <f t="shared" si="5"/>
        <v>12217201.598360337</v>
      </c>
      <c r="F136" s="52">
        <f>'F) Population'!K128</f>
        <v>4779577.0623742454</v>
      </c>
      <c r="G136" s="14">
        <f>'G) Solidarité'!I125</f>
        <v>0</v>
      </c>
      <c r="H136" s="19">
        <f t="shared" si="6"/>
        <v>4779577.0623742454</v>
      </c>
      <c r="I136" s="75">
        <f t="shared" si="7"/>
        <v>7437624.5359860919</v>
      </c>
    </row>
    <row r="137" spans="1:9" x14ac:dyDescent="0.25">
      <c r="A137" s="61">
        <f>'A) Base RI'!A128</f>
        <v>5607</v>
      </c>
      <c r="B137" s="42" t="str">
        <f>'A) Base RI'!B128</f>
        <v>Puidoux</v>
      </c>
      <c r="C137" s="19">
        <f>'D) Ecrêtage'!M126</f>
        <v>100862.46201406649</v>
      </c>
      <c r="D137" s="14">
        <f>'A) Base RI'!AN128</f>
        <v>2858</v>
      </c>
      <c r="E137" s="19">
        <f t="shared" si="5"/>
        <v>1864996.9071499652</v>
      </c>
      <c r="F137" s="52">
        <f>'F) Population'!K129</f>
        <v>742751.71026156936</v>
      </c>
      <c r="G137" s="14">
        <f>'G) Solidarité'!I126</f>
        <v>437973.3440703128</v>
      </c>
      <c r="H137" s="19">
        <f t="shared" si="6"/>
        <v>1180725.0543318822</v>
      </c>
      <c r="I137" s="75">
        <f t="shared" si="7"/>
        <v>684271.85281808302</v>
      </c>
    </row>
    <row r="138" spans="1:9" x14ac:dyDescent="0.25">
      <c r="A138" s="61">
        <f>'A) Base RI'!A129</f>
        <v>5609</v>
      </c>
      <c r="B138" s="42" t="str">
        <f>'A) Base RI'!B129</f>
        <v>Rivaz</v>
      </c>
      <c r="C138" s="19">
        <f>'D) Ecrêtage'!M127</f>
        <v>16122.244409448818</v>
      </c>
      <c r="D138" s="14">
        <f>'A) Base RI'!AN129</f>
        <v>360</v>
      </c>
      <c r="E138" s="19">
        <f t="shared" si="5"/>
        <v>298108.28884728713</v>
      </c>
      <c r="F138" s="52">
        <f>'F) Population'!K130</f>
        <v>35637.826961770625</v>
      </c>
      <c r="G138" s="14">
        <f>'G) Solidarité'!I127</f>
        <v>0</v>
      </c>
      <c r="H138" s="19">
        <f t="shared" si="6"/>
        <v>35637.826961770625</v>
      </c>
      <c r="I138" s="75">
        <f t="shared" si="7"/>
        <v>262470.46188551653</v>
      </c>
    </row>
    <row r="139" spans="1:9" x14ac:dyDescent="0.25">
      <c r="A139" s="61">
        <f>'A) Base RI'!A130</f>
        <v>5610</v>
      </c>
      <c r="B139" s="42" t="str">
        <f>'A) Base RI'!B130</f>
        <v>St-Saphorin (Lavaux)</v>
      </c>
      <c r="C139" s="19">
        <f>'D) Ecrêtage'!M128</f>
        <v>20974.487096774192</v>
      </c>
      <c r="D139" s="14">
        <f>'A) Base RI'!AN130</f>
        <v>383</v>
      </c>
      <c r="E139" s="19">
        <f t="shared" si="5"/>
        <v>387828.66076663218</v>
      </c>
      <c r="F139" s="52">
        <f>'F) Population'!K131</f>
        <v>37914.688128772636</v>
      </c>
      <c r="G139" s="14">
        <f>'G) Solidarité'!I128</f>
        <v>0</v>
      </c>
      <c r="H139" s="19">
        <f t="shared" si="6"/>
        <v>37914.688128772636</v>
      </c>
      <c r="I139" s="75">
        <f t="shared" si="7"/>
        <v>349913.97263785952</v>
      </c>
    </row>
    <row r="140" spans="1:9" x14ac:dyDescent="0.25">
      <c r="A140" s="61">
        <f>'A) Base RI'!A131</f>
        <v>5611</v>
      </c>
      <c r="B140" s="42" t="str">
        <f>'A) Base RI'!B131</f>
        <v>Savigny</v>
      </c>
      <c r="C140" s="19">
        <f>'D) Ecrêtage'!M129</f>
        <v>130312.40671641791</v>
      </c>
      <c r="D140" s="14">
        <f>'A) Base RI'!AN131</f>
        <v>3304</v>
      </c>
      <c r="E140" s="19">
        <f t="shared" si="5"/>
        <v>2409540.979234613</v>
      </c>
      <c r="F140" s="52">
        <f>'F) Population'!K132</f>
        <v>942422.53521126753</v>
      </c>
      <c r="G140" s="14">
        <f>'G) Solidarité'!I129</f>
        <v>246692.5393214403</v>
      </c>
      <c r="H140" s="19">
        <f t="shared" si="6"/>
        <v>1189115.0745327079</v>
      </c>
      <c r="I140" s="75">
        <f t="shared" si="7"/>
        <v>1220425.9047019051</v>
      </c>
    </row>
    <row r="141" spans="1:9" x14ac:dyDescent="0.25">
      <c r="A141" s="61">
        <f>'A) Base RI'!A132</f>
        <v>5613</v>
      </c>
      <c r="B141" s="42" t="str">
        <f>'A) Base RI'!B132</f>
        <v>Bourg-en-Lavaux</v>
      </c>
      <c r="C141" s="19">
        <f>'D) Ecrêtage'!M130</f>
        <v>293114.98705338885</v>
      </c>
      <c r="D141" s="14">
        <f>'A) Base RI'!AN132</f>
        <v>5247</v>
      </c>
      <c r="E141" s="19">
        <f t="shared" si="5"/>
        <v>5419841.369900668</v>
      </c>
      <c r="F141" s="52">
        <f>'F) Population'!K133</f>
        <v>1928600.402414487</v>
      </c>
      <c r="G141" s="14">
        <f>'G) Solidarité'!I130</f>
        <v>0</v>
      </c>
      <c r="H141" s="19">
        <f t="shared" si="6"/>
        <v>1928600.402414487</v>
      </c>
      <c r="I141" s="75">
        <f t="shared" si="7"/>
        <v>3491240.9674861813</v>
      </c>
    </row>
    <row r="142" spans="1:9" x14ac:dyDescent="0.25">
      <c r="A142" s="61">
        <f>'A) Base RI'!A133</f>
        <v>5621</v>
      </c>
      <c r="B142" s="42" t="str">
        <f>'A) Base RI'!B133</f>
        <v>Aclens</v>
      </c>
      <c r="C142" s="19">
        <f>'D) Ecrêtage'!M131</f>
        <v>32060.648499917781</v>
      </c>
      <c r="D142" s="14">
        <f>'A) Base RI'!AN133</f>
        <v>528</v>
      </c>
      <c r="E142" s="19">
        <f t="shared" si="5"/>
        <v>592817.27909070835</v>
      </c>
      <c r="F142" s="52">
        <f>'F) Population'!K134</f>
        <v>52268.812877263576</v>
      </c>
      <c r="G142" s="14">
        <f>'G) Solidarité'!I131</f>
        <v>0</v>
      </c>
      <c r="H142" s="19">
        <f t="shared" si="6"/>
        <v>52268.812877263576</v>
      </c>
      <c r="I142" s="75">
        <f t="shared" si="7"/>
        <v>540548.46621344483</v>
      </c>
    </row>
    <row r="143" spans="1:9" x14ac:dyDescent="0.25">
      <c r="A143" s="61">
        <f>'A) Base RI'!A134</f>
        <v>5622</v>
      </c>
      <c r="B143" s="42" t="str">
        <f>'A) Base RI'!B134</f>
        <v>Bremblens</v>
      </c>
      <c r="C143" s="19">
        <f>'D) Ecrêtage'!M132</f>
        <v>28118.887477201486</v>
      </c>
      <c r="D143" s="14">
        <f>'A) Base RI'!AN134</f>
        <v>511</v>
      </c>
      <c r="E143" s="19">
        <f t="shared" si="5"/>
        <v>519932.16435828264</v>
      </c>
      <c r="F143" s="52">
        <f>'F) Population'!K135</f>
        <v>50585.915492957742</v>
      </c>
      <c r="G143" s="14">
        <f>'G) Solidarité'!I132</f>
        <v>0</v>
      </c>
      <c r="H143" s="19">
        <f t="shared" si="6"/>
        <v>50585.915492957742</v>
      </c>
      <c r="I143" s="75">
        <f t="shared" si="7"/>
        <v>469346.24886532489</v>
      </c>
    </row>
    <row r="144" spans="1:9" x14ac:dyDescent="0.25">
      <c r="A144" s="61">
        <f>'A) Base RI'!A135</f>
        <v>5623</v>
      </c>
      <c r="B144" s="42" t="str">
        <f>'A) Base RI'!B135</f>
        <v>Buchillon</v>
      </c>
      <c r="C144" s="19">
        <f>'D) Ecrêtage'!M133</f>
        <v>60201.490489984266</v>
      </c>
      <c r="D144" s="14">
        <f>'A) Base RI'!AN135</f>
        <v>624</v>
      </c>
      <c r="E144" s="19">
        <f t="shared" si="5"/>
        <v>1113155.3932718844</v>
      </c>
      <c r="F144" s="52">
        <f>'F) Population'!K136</f>
        <v>61772.233400402409</v>
      </c>
      <c r="G144" s="14">
        <f>'G) Solidarité'!I133</f>
        <v>0</v>
      </c>
      <c r="H144" s="19">
        <f t="shared" si="6"/>
        <v>61772.233400402409</v>
      </c>
      <c r="I144" s="75">
        <f t="shared" si="7"/>
        <v>1051383.1598714821</v>
      </c>
    </row>
    <row r="145" spans="1:9" x14ac:dyDescent="0.25">
      <c r="A145" s="61">
        <f>'A) Base RI'!A136</f>
        <v>5624</v>
      </c>
      <c r="B145" s="42" t="str">
        <f>'A) Base RI'!B136</f>
        <v>Bussigny</v>
      </c>
      <c r="C145" s="19">
        <f>'D) Ecrêtage'!M134</f>
        <v>312174.83774193545</v>
      </c>
      <c r="D145" s="14">
        <f>'A) Base RI'!AN136</f>
        <v>8215</v>
      </c>
      <c r="E145" s="19">
        <f t="shared" ref="E145:E208" si="8">C145*E$15</f>
        <v>5772267.4546409175</v>
      </c>
      <c r="F145" s="52">
        <f>'F) Population'!K137</f>
        <v>3691484.9094567406</v>
      </c>
      <c r="G145" s="14">
        <f>'G) Solidarité'!I134</f>
        <v>706174.02467367053</v>
      </c>
      <c r="H145" s="19">
        <f t="shared" si="6"/>
        <v>4397658.9341304116</v>
      </c>
      <c r="I145" s="75">
        <f t="shared" si="7"/>
        <v>1374608.5205105059</v>
      </c>
    </row>
    <row r="146" spans="1:9" x14ac:dyDescent="0.25">
      <c r="A146" s="61">
        <f>'A) Base RI'!A137</f>
        <v>5625</v>
      </c>
      <c r="B146" s="42" t="str">
        <f>'A) Base RI'!B137</f>
        <v>Bussy-Chardonney</v>
      </c>
      <c r="C146" s="19">
        <f>'D) Ecrêtage'!M135</f>
        <v>16172.617200854704</v>
      </c>
      <c r="D146" s="14">
        <f>'A) Base RI'!AN137</f>
        <v>377</v>
      </c>
      <c r="E146" s="19">
        <f t="shared" si="8"/>
        <v>299039.70672367595</v>
      </c>
      <c r="F146" s="52">
        <f>'F) Population'!K138</f>
        <v>37320.724346076458</v>
      </c>
      <c r="G146" s="14">
        <f>'G) Solidarité'!I135</f>
        <v>6601.4092843582057</v>
      </c>
      <c r="H146" s="19">
        <f t="shared" si="6"/>
        <v>43922.133630434662</v>
      </c>
      <c r="I146" s="75">
        <f t="shared" si="7"/>
        <v>255117.57309324128</v>
      </c>
    </row>
    <row r="147" spans="1:9" x14ac:dyDescent="0.25">
      <c r="A147" s="61">
        <f>'A) Base RI'!A138</f>
        <v>5627</v>
      </c>
      <c r="B147" s="42" t="str">
        <f>'A) Base RI'!B138</f>
        <v>Chavannes-près-Renens</v>
      </c>
      <c r="C147" s="19">
        <f>'D) Ecrêtage'!M136</f>
        <v>162511.92244725736</v>
      </c>
      <c r="D147" s="14">
        <f>'A) Base RI'!AN138</f>
        <v>7374</v>
      </c>
      <c r="E147" s="19">
        <f t="shared" si="8"/>
        <v>3004925.9822436338</v>
      </c>
      <c r="F147" s="52">
        <f>'F) Population'!K139</f>
        <v>3191961.3682092559</v>
      </c>
      <c r="G147" s="14">
        <f>'G) Solidarité'!I136</f>
        <v>3951625.9815877927</v>
      </c>
      <c r="H147" s="19">
        <f t="shared" si="6"/>
        <v>7143587.3497970486</v>
      </c>
      <c r="I147" s="75">
        <f t="shared" si="7"/>
        <v>-4138661.3675534148</v>
      </c>
    </row>
    <row r="148" spans="1:9" x14ac:dyDescent="0.25">
      <c r="A148" s="61">
        <f>'A) Base RI'!A139</f>
        <v>5628</v>
      </c>
      <c r="B148" s="42" t="str">
        <f>'A) Base RI'!B139</f>
        <v>Chigny</v>
      </c>
      <c r="C148" s="19">
        <f>'D) Ecrêtage'!M137</f>
        <v>18755.108338073293</v>
      </c>
      <c r="D148" s="14">
        <f>'A) Base RI'!AN139</f>
        <v>331</v>
      </c>
      <c r="E148" s="19">
        <f t="shared" si="8"/>
        <v>346791.24765853008</v>
      </c>
      <c r="F148" s="52">
        <f>'F) Population'!K140</f>
        <v>32767.002012072433</v>
      </c>
      <c r="G148" s="14">
        <f>'G) Solidarité'!I137</f>
        <v>0</v>
      </c>
      <c r="H148" s="19">
        <f t="shared" si="6"/>
        <v>32767.002012072433</v>
      </c>
      <c r="I148" s="75">
        <f t="shared" si="7"/>
        <v>314024.24564645765</v>
      </c>
    </row>
    <row r="149" spans="1:9" x14ac:dyDescent="0.25">
      <c r="A149" s="61">
        <f>'A) Base RI'!A140</f>
        <v>5629</v>
      </c>
      <c r="B149" s="42" t="str">
        <f>'A) Base RI'!B140</f>
        <v>Clarmont</v>
      </c>
      <c r="C149" s="19">
        <f>'D) Ecrêtage'!M138</f>
        <v>7581.8990666666659</v>
      </c>
      <c r="D149" s="14">
        <f>'A) Base RI'!AN140</f>
        <v>160</v>
      </c>
      <c r="E149" s="19">
        <f t="shared" si="8"/>
        <v>140193.07111187227</v>
      </c>
      <c r="F149" s="52">
        <f>'F) Population'!K141</f>
        <v>15839.034205231386</v>
      </c>
      <c r="G149" s="14">
        <f>'G) Solidarité'!I138</f>
        <v>0</v>
      </c>
      <c r="H149" s="19">
        <f t="shared" si="6"/>
        <v>15839.034205231386</v>
      </c>
      <c r="I149" s="75">
        <f t="shared" si="7"/>
        <v>124354.03690664089</v>
      </c>
    </row>
    <row r="150" spans="1:9" x14ac:dyDescent="0.25">
      <c r="A150" s="61">
        <f>'A) Base RI'!A141</f>
        <v>5631</v>
      </c>
      <c r="B150" s="42" t="str">
        <f>'A) Base RI'!B141</f>
        <v>Denens</v>
      </c>
      <c r="C150" s="19">
        <f>'D) Ecrêtage'!M139</f>
        <v>34218.35955882354</v>
      </c>
      <c r="D150" s="14">
        <f>'A) Base RI'!AN141</f>
        <v>714</v>
      </c>
      <c r="E150" s="19">
        <f t="shared" si="8"/>
        <v>632714.42586887558</v>
      </c>
      <c r="F150" s="52">
        <f>'F) Population'!K142</f>
        <v>70681.690140845065</v>
      </c>
      <c r="G150" s="14">
        <f>'G) Solidarité'!I139</f>
        <v>0</v>
      </c>
      <c r="H150" s="19">
        <f t="shared" si="6"/>
        <v>70681.690140845065</v>
      </c>
      <c r="I150" s="75">
        <f t="shared" si="7"/>
        <v>562032.73572803056</v>
      </c>
    </row>
    <row r="151" spans="1:9" x14ac:dyDescent="0.25">
      <c r="A151" s="61">
        <f>'A) Base RI'!A142</f>
        <v>5632</v>
      </c>
      <c r="B151" s="42" t="str">
        <f>'A) Base RI'!B142</f>
        <v>Denges</v>
      </c>
      <c r="C151" s="19">
        <f>'D) Ecrêtage'!M140</f>
        <v>70599.599193548376</v>
      </c>
      <c r="D151" s="14">
        <f>'A) Base RI'!AN142</f>
        <v>1651</v>
      </c>
      <c r="E151" s="19">
        <f t="shared" si="8"/>
        <v>1305421.5762017805</v>
      </c>
      <c r="F151" s="52">
        <f>'F) Population'!K143</f>
        <v>324551.71026156942</v>
      </c>
      <c r="G151" s="14">
        <f>'G) Solidarité'!I140</f>
        <v>21711.344627398812</v>
      </c>
      <c r="H151" s="19">
        <f t="shared" si="6"/>
        <v>346263.05488896824</v>
      </c>
      <c r="I151" s="75">
        <f t="shared" si="7"/>
        <v>959158.52131281223</v>
      </c>
    </row>
    <row r="152" spans="1:9" x14ac:dyDescent="0.25">
      <c r="A152" s="61">
        <f>'A) Base RI'!A143</f>
        <v>5633</v>
      </c>
      <c r="B152" s="42" t="str">
        <f>'A) Base RI'!B143</f>
        <v>Echandens</v>
      </c>
      <c r="C152" s="19">
        <f>'D) Ecrêtage'!M141</f>
        <v>123013.45645161292</v>
      </c>
      <c r="D152" s="14">
        <f>'A) Base RI'!AN143</f>
        <v>2631</v>
      </c>
      <c r="E152" s="19">
        <f t="shared" si="8"/>
        <v>2274579.7716903803</v>
      </c>
      <c r="F152" s="52">
        <f>'F) Population'!K144</f>
        <v>664101.00603621732</v>
      </c>
      <c r="G152" s="14">
        <f>'G) Solidarité'!I141</f>
        <v>0</v>
      </c>
      <c r="H152" s="19">
        <f t="shared" si="6"/>
        <v>664101.00603621732</v>
      </c>
      <c r="I152" s="75">
        <f t="shared" si="7"/>
        <v>1610478.765654163</v>
      </c>
    </row>
    <row r="153" spans="1:9" x14ac:dyDescent="0.25">
      <c r="A153" s="61">
        <f>'A) Base RI'!A144</f>
        <v>5634</v>
      </c>
      <c r="B153" s="42" t="str">
        <f>'A) Base RI'!B144</f>
        <v>Echichens</v>
      </c>
      <c r="C153" s="19">
        <f>'D) Ecrêtage'!M142</f>
        <v>121660.2017647059</v>
      </c>
      <c r="D153" s="14">
        <f>'A) Base RI'!AN144</f>
        <v>2585</v>
      </c>
      <c r="E153" s="19">
        <f t="shared" si="8"/>
        <v>2249557.4218957084</v>
      </c>
      <c r="F153" s="52">
        <f>'F) Population'!K145</f>
        <v>648162.97786720318</v>
      </c>
      <c r="G153" s="14">
        <f>'G) Solidarité'!I142</f>
        <v>0</v>
      </c>
      <c r="H153" s="19">
        <f t="shared" si="6"/>
        <v>648162.97786720318</v>
      </c>
      <c r="I153" s="75">
        <f t="shared" si="7"/>
        <v>1601394.4440285051</v>
      </c>
    </row>
    <row r="154" spans="1:9" x14ac:dyDescent="0.25">
      <c r="A154" s="61">
        <f>'A) Base RI'!A145</f>
        <v>5635</v>
      </c>
      <c r="B154" s="42" t="str">
        <f>'A) Base RI'!B145</f>
        <v>Ecublens</v>
      </c>
      <c r="C154" s="19">
        <f>'D) Ecrêtage'!M143</f>
        <v>470087.75038200343</v>
      </c>
      <c r="D154" s="14">
        <f>'A) Base RI'!AN145</f>
        <v>12288</v>
      </c>
      <c r="E154" s="19">
        <f t="shared" si="8"/>
        <v>8692155.4664137885</v>
      </c>
      <c r="F154" s="52">
        <f>'F) Population'!K146</f>
        <v>6967195.1710261572</v>
      </c>
      <c r="G154" s="14">
        <f>'G) Solidarité'!I143</f>
        <v>1008329.2187240124</v>
      </c>
      <c r="H154" s="19">
        <f t="shared" si="6"/>
        <v>7975524.3897501696</v>
      </c>
      <c r="I154" s="75">
        <f t="shared" si="7"/>
        <v>716631.07666361891</v>
      </c>
    </row>
    <row r="155" spans="1:9" x14ac:dyDescent="0.25">
      <c r="A155" s="61">
        <f>'A) Base RI'!A146</f>
        <v>5636</v>
      </c>
      <c r="B155" s="42" t="str">
        <f>'A) Base RI'!B146</f>
        <v>Etoy</v>
      </c>
      <c r="C155" s="19">
        <f>'D) Ecrêtage'!M144</f>
        <v>158779.04229508198</v>
      </c>
      <c r="D155" s="14">
        <f>'A) Base RI'!AN146</f>
        <v>2932</v>
      </c>
      <c r="E155" s="19">
        <f t="shared" si="8"/>
        <v>2935903.1783228088</v>
      </c>
      <c r="F155" s="52">
        <f>'F) Population'!K147</f>
        <v>768391.14688128768</v>
      </c>
      <c r="G155" s="14">
        <f>'G) Solidarité'!I144</f>
        <v>0</v>
      </c>
      <c r="H155" s="19">
        <f t="shared" si="6"/>
        <v>768391.14688128768</v>
      </c>
      <c r="I155" s="75">
        <f t="shared" si="7"/>
        <v>2167512.0314415209</v>
      </c>
    </row>
    <row r="156" spans="1:9" x14ac:dyDescent="0.25">
      <c r="A156" s="61">
        <f>'A) Base RI'!A147</f>
        <v>5637</v>
      </c>
      <c r="B156" s="42" t="str">
        <f>'A) Base RI'!B147</f>
        <v>Lavigny</v>
      </c>
      <c r="C156" s="19">
        <f>'D) Ecrêtage'!M145</f>
        <v>31075.388277404931</v>
      </c>
      <c r="D156" s="14">
        <f>'A) Base RI'!AN147</f>
        <v>981</v>
      </c>
      <c r="E156" s="19">
        <f t="shared" si="8"/>
        <v>574599.32931006467</v>
      </c>
      <c r="F156" s="52">
        <f>'F) Population'!K148</f>
        <v>97113.078470824941</v>
      </c>
      <c r="G156" s="14">
        <f>'G) Solidarité'!I145</f>
        <v>258731.35315467784</v>
      </c>
      <c r="H156" s="19">
        <f t="shared" si="6"/>
        <v>355844.43162550277</v>
      </c>
      <c r="I156" s="75">
        <f t="shared" si="7"/>
        <v>218754.8976845619</v>
      </c>
    </row>
    <row r="157" spans="1:9" x14ac:dyDescent="0.25">
      <c r="A157" s="61">
        <f>'A) Base RI'!A148</f>
        <v>5638</v>
      </c>
      <c r="B157" s="42" t="str">
        <f>'A) Base RI'!B148</f>
        <v>Lonay</v>
      </c>
      <c r="C157" s="19">
        <f>'D) Ecrêtage'!M146</f>
        <v>147798.4691291679</v>
      </c>
      <c r="D157" s="14">
        <f>'A) Base RI'!AN148</f>
        <v>2536</v>
      </c>
      <c r="E157" s="19">
        <f t="shared" si="8"/>
        <v>2732866.9388315734</v>
      </c>
      <c r="F157" s="52">
        <f>'F) Population'!K149</f>
        <v>631185.51307847083</v>
      </c>
      <c r="G157" s="14">
        <f>'G) Solidarité'!I146</f>
        <v>0</v>
      </c>
      <c r="H157" s="19">
        <f t="shared" si="6"/>
        <v>631185.51307847083</v>
      </c>
      <c r="I157" s="75">
        <f t="shared" si="7"/>
        <v>2101681.4257531026</v>
      </c>
    </row>
    <row r="158" spans="1:9" x14ac:dyDescent="0.25">
      <c r="A158" s="61">
        <f>'A) Base RI'!A149</f>
        <v>5639</v>
      </c>
      <c r="B158" s="42" t="str">
        <f>'A) Base RI'!B149</f>
        <v>Lully</v>
      </c>
      <c r="C158" s="19">
        <f>'D) Ecrêtage'!M147</f>
        <v>42132.184933492586</v>
      </c>
      <c r="D158" s="14">
        <f>'A) Base RI'!AN149</f>
        <v>760</v>
      </c>
      <c r="E158" s="19">
        <f t="shared" si="8"/>
        <v>779044.97890875989</v>
      </c>
      <c r="F158" s="52">
        <f>'F) Population'!K150</f>
        <v>75235.412474849087</v>
      </c>
      <c r="G158" s="14">
        <f>'G) Solidarité'!I147</f>
        <v>0</v>
      </c>
      <c r="H158" s="19">
        <f t="shared" si="6"/>
        <v>75235.412474849087</v>
      </c>
      <c r="I158" s="75">
        <f t="shared" si="7"/>
        <v>703809.56643391075</v>
      </c>
    </row>
    <row r="159" spans="1:9" x14ac:dyDescent="0.25">
      <c r="A159" s="61">
        <f>'A) Base RI'!A150</f>
        <v>5640</v>
      </c>
      <c r="B159" s="42" t="str">
        <f>'A) Base RI'!B150</f>
        <v>Lussy-sur-Morges</v>
      </c>
      <c r="C159" s="19">
        <f>'D) Ecrêtage'!M148</f>
        <v>41700.35347316313</v>
      </c>
      <c r="D159" s="14">
        <f>'A) Base RI'!AN150</f>
        <v>646</v>
      </c>
      <c r="E159" s="19">
        <f t="shared" si="8"/>
        <v>771060.20120412519</v>
      </c>
      <c r="F159" s="52">
        <f>'F) Population'!K151</f>
        <v>63950.100603621722</v>
      </c>
      <c r="G159" s="14">
        <f>'G) Solidarité'!I148</f>
        <v>0</v>
      </c>
      <c r="H159" s="19">
        <f t="shared" si="6"/>
        <v>63950.100603621722</v>
      </c>
      <c r="I159" s="75">
        <f t="shared" si="7"/>
        <v>707110.1006005035</v>
      </c>
    </row>
    <row r="160" spans="1:9" x14ac:dyDescent="0.25">
      <c r="A160" s="61">
        <f>'A) Base RI'!A151</f>
        <v>5642</v>
      </c>
      <c r="B160" s="42" t="str">
        <f>'A) Base RI'!B151</f>
        <v>Morges</v>
      </c>
      <c r="C160" s="19">
        <f>'D) Ecrêtage'!M149</f>
        <v>715380.13065693423</v>
      </c>
      <c r="D160" s="14">
        <f>'A) Base RI'!AN151</f>
        <v>15623</v>
      </c>
      <c r="E160" s="19">
        <f t="shared" si="8"/>
        <v>13227733.137484314</v>
      </c>
      <c r="F160" s="52">
        <f>'F) Population'!K152</f>
        <v>10299480.482897384</v>
      </c>
      <c r="G160" s="14">
        <f>'G) Solidarité'!I149</f>
        <v>0</v>
      </c>
      <c r="H160" s="19">
        <f t="shared" si="6"/>
        <v>10299480.482897384</v>
      </c>
      <c r="I160" s="75">
        <f t="shared" si="7"/>
        <v>2928252.6545869298</v>
      </c>
    </row>
    <row r="161" spans="1:9" x14ac:dyDescent="0.25">
      <c r="A161" s="61">
        <f>'A) Base RI'!A152</f>
        <v>5643</v>
      </c>
      <c r="B161" s="42" t="str">
        <f>'A) Base RI'!B152</f>
        <v>Préverenges</v>
      </c>
      <c r="C161" s="19">
        <f>'D) Ecrêtage'!M150</f>
        <v>249793.53640625</v>
      </c>
      <c r="D161" s="14">
        <f>'A) Base RI'!AN152</f>
        <v>5263</v>
      </c>
      <c r="E161" s="19">
        <f t="shared" si="8"/>
        <v>4618806.2785810055</v>
      </c>
      <c r="F161" s="52">
        <f>'F) Population'!K153</f>
        <v>1938103.8229376259</v>
      </c>
      <c r="G161" s="14">
        <f>'G) Solidarité'!I150</f>
        <v>0</v>
      </c>
      <c r="H161" s="19">
        <f t="shared" si="6"/>
        <v>1938103.8229376259</v>
      </c>
      <c r="I161" s="75">
        <f t="shared" si="7"/>
        <v>2680702.4556433796</v>
      </c>
    </row>
    <row r="162" spans="1:9" x14ac:dyDescent="0.25">
      <c r="A162" s="61">
        <f>'A) Base RI'!A153</f>
        <v>5644</v>
      </c>
      <c r="B162" s="42" t="str">
        <f>'A) Base RI'!B153</f>
        <v>Reverolle</v>
      </c>
      <c r="C162" s="19">
        <f>'D) Ecrêtage'!M151</f>
        <v>15594.857631578949</v>
      </c>
      <c r="D162" s="14">
        <f>'A) Base RI'!AN153</f>
        <v>360</v>
      </c>
      <c r="E162" s="19">
        <f t="shared" si="8"/>
        <v>288356.64596688707</v>
      </c>
      <c r="F162" s="52">
        <f>'F) Population'!K154</f>
        <v>35637.826961770625</v>
      </c>
      <c r="G162" s="14">
        <f>'G) Solidarité'!I151</f>
        <v>2503.067004771593</v>
      </c>
      <c r="H162" s="19">
        <f t="shared" si="6"/>
        <v>38140.893966542215</v>
      </c>
      <c r="I162" s="75">
        <f t="shared" si="7"/>
        <v>250215.75200034486</v>
      </c>
    </row>
    <row r="163" spans="1:9" x14ac:dyDescent="0.25">
      <c r="A163" s="61">
        <f>'A) Base RI'!A154</f>
        <v>5645</v>
      </c>
      <c r="B163" s="42" t="str">
        <f>'A) Base RI'!B154</f>
        <v>Romanel-sur-Morges</v>
      </c>
      <c r="C163" s="19">
        <f>'D) Ecrêtage'!M152</f>
        <v>25330.743383595498</v>
      </c>
      <c r="D163" s="14">
        <f>'A) Base RI'!AN154</f>
        <v>459</v>
      </c>
      <c r="E163" s="19">
        <f t="shared" si="8"/>
        <v>468377.99834418687</v>
      </c>
      <c r="F163" s="52">
        <f>'F) Population'!K155</f>
        <v>45438.229376257543</v>
      </c>
      <c r="G163" s="14">
        <f>'G) Solidarité'!I152</f>
        <v>0</v>
      </c>
      <c r="H163" s="19">
        <f t="shared" si="6"/>
        <v>45438.229376257543</v>
      </c>
      <c r="I163" s="75">
        <f t="shared" si="7"/>
        <v>422939.7689679293</v>
      </c>
    </row>
    <row r="164" spans="1:9" x14ac:dyDescent="0.25">
      <c r="A164" s="61">
        <f>'A) Base RI'!A155</f>
        <v>5646</v>
      </c>
      <c r="B164" s="42" t="str">
        <f>'A) Base RI'!B155</f>
        <v>Saint-Prex</v>
      </c>
      <c r="C164" s="19">
        <f>'D) Ecrêtage'!M153</f>
        <v>307317.64145454549</v>
      </c>
      <c r="D164" s="14">
        <f>'A) Base RI'!AN155</f>
        <v>5604</v>
      </c>
      <c r="E164" s="19">
        <f t="shared" si="8"/>
        <v>5682455.4882015176</v>
      </c>
      <c r="F164" s="52">
        <f>'F) Population'!K156</f>
        <v>2140645.4728370225</v>
      </c>
      <c r="G164" s="14">
        <f>'G) Solidarité'!I153</f>
        <v>0</v>
      </c>
      <c r="H164" s="19">
        <f t="shared" si="6"/>
        <v>2140645.4728370225</v>
      </c>
      <c r="I164" s="75">
        <f t="shared" si="7"/>
        <v>3541810.0153644951</v>
      </c>
    </row>
    <row r="165" spans="1:9" x14ac:dyDescent="0.25">
      <c r="A165" s="61">
        <f>'A) Base RI'!A156</f>
        <v>5648</v>
      </c>
      <c r="B165" s="42" t="str">
        <f>'A) Base RI'!B156</f>
        <v>Saint-Sulpice</v>
      </c>
      <c r="C165" s="19">
        <f>'D) Ecrêtage'!M154</f>
        <v>269943.08106620441</v>
      </c>
      <c r="D165" s="14">
        <f>'A) Base RI'!AN156</f>
        <v>3898</v>
      </c>
      <c r="E165" s="19">
        <f t="shared" si="8"/>
        <v>4991381.3448733017</v>
      </c>
      <c r="F165" s="52">
        <f>'F) Population'!K157</f>
        <v>1236434.6076458753</v>
      </c>
      <c r="G165" s="14">
        <f>'G) Solidarité'!I154</f>
        <v>0</v>
      </c>
      <c r="H165" s="19">
        <f t="shared" si="6"/>
        <v>1236434.6076458753</v>
      </c>
      <c r="I165" s="75">
        <f t="shared" si="7"/>
        <v>3754946.7372274264</v>
      </c>
    </row>
    <row r="166" spans="1:9" x14ac:dyDescent="0.25">
      <c r="A166" s="61">
        <f>'A) Base RI'!A157</f>
        <v>5649</v>
      </c>
      <c r="B166" s="42" t="str">
        <f>'A) Base RI'!B157</f>
        <v>Tolochenaz</v>
      </c>
      <c r="C166" s="19">
        <f>'D) Ecrêtage'!M155</f>
        <v>106720.43327669609</v>
      </c>
      <c r="D166" s="14">
        <f>'A) Base RI'!AN157</f>
        <v>1855</v>
      </c>
      <c r="E166" s="19">
        <f t="shared" si="8"/>
        <v>1973313.6988365881</v>
      </c>
      <c r="F166" s="52">
        <f>'F) Population'!K158</f>
        <v>395233.4004024145</v>
      </c>
      <c r="G166" s="14">
        <f>'G) Solidarité'!I155</f>
        <v>0</v>
      </c>
      <c r="H166" s="19">
        <f t="shared" si="6"/>
        <v>395233.4004024145</v>
      </c>
      <c r="I166" s="75">
        <f t="shared" si="7"/>
        <v>1578080.2984341737</v>
      </c>
    </row>
    <row r="167" spans="1:9" x14ac:dyDescent="0.25">
      <c r="A167" s="61">
        <f>'A) Base RI'!A158</f>
        <v>5650</v>
      </c>
      <c r="B167" s="42" t="str">
        <f>'A) Base RI'!B158</f>
        <v>Vaux-sur-Morges</v>
      </c>
      <c r="C167" s="19">
        <f>'D) Ecrêtage'!M156</f>
        <v>72988.269043769353</v>
      </c>
      <c r="D167" s="14">
        <f>'A) Base RI'!AN158</f>
        <v>203</v>
      </c>
      <c r="E167" s="19">
        <f t="shared" si="8"/>
        <v>1349589.2654878423</v>
      </c>
      <c r="F167" s="52">
        <f>'F) Population'!K159</f>
        <v>20095.774647887323</v>
      </c>
      <c r="G167" s="14">
        <f>'G) Solidarité'!I156</f>
        <v>0</v>
      </c>
      <c r="H167" s="19">
        <f t="shared" si="6"/>
        <v>20095.774647887323</v>
      </c>
      <c r="I167" s="75">
        <f t="shared" si="7"/>
        <v>1329493.4908399549</v>
      </c>
    </row>
    <row r="168" spans="1:9" x14ac:dyDescent="0.25">
      <c r="A168" s="61">
        <f>'A) Base RI'!A159</f>
        <v>5651</v>
      </c>
      <c r="B168" s="42" t="str">
        <f>'A) Base RI'!B159</f>
        <v>Villars-Sainte-Croix</v>
      </c>
      <c r="C168" s="19">
        <f>'D) Ecrêtage'!M157</f>
        <v>37823.297796610175</v>
      </c>
      <c r="D168" s="14">
        <f>'A) Base RI'!AN159</f>
        <v>709</v>
      </c>
      <c r="E168" s="19">
        <f t="shared" si="8"/>
        <v>699371.52038835187</v>
      </c>
      <c r="F168" s="52">
        <f>'F) Population'!K160</f>
        <v>70186.720321931585</v>
      </c>
      <c r="G168" s="14">
        <f>'G) Solidarité'!I157</f>
        <v>0</v>
      </c>
      <c r="H168" s="19">
        <f t="shared" si="6"/>
        <v>70186.720321931585</v>
      </c>
      <c r="I168" s="75">
        <f t="shared" si="7"/>
        <v>629184.80006642034</v>
      </c>
    </row>
    <row r="169" spans="1:9" x14ac:dyDescent="0.25">
      <c r="A169" s="61">
        <f>'A) Base RI'!A160</f>
        <v>5652</v>
      </c>
      <c r="B169" s="42" t="str">
        <f>'A) Base RI'!B160</f>
        <v>Villars-sous-Yens</v>
      </c>
      <c r="C169" s="19">
        <f>'D) Ecrêtage'!M158</f>
        <v>23640.281403508772</v>
      </c>
      <c r="D169" s="14">
        <f>'A) Base RI'!AN160</f>
        <v>564</v>
      </c>
      <c r="E169" s="19">
        <f t="shared" si="8"/>
        <v>437120.51858847094</v>
      </c>
      <c r="F169" s="52">
        <f>'F) Population'!K161</f>
        <v>55832.595573440638</v>
      </c>
      <c r="G169" s="14">
        <f>'G) Solidarité'!I158</f>
        <v>22113.088524834118</v>
      </c>
      <c r="H169" s="19">
        <f t="shared" si="6"/>
        <v>77945.684098274753</v>
      </c>
      <c r="I169" s="75">
        <f t="shared" si="7"/>
        <v>359174.8344901962</v>
      </c>
    </row>
    <row r="170" spans="1:9" x14ac:dyDescent="0.25">
      <c r="A170" s="61">
        <f>'A) Base RI'!A161</f>
        <v>5653</v>
      </c>
      <c r="B170" s="42" t="str">
        <f>'A) Base RI'!B161</f>
        <v>Vufflens-le-Château</v>
      </c>
      <c r="C170" s="19">
        <f>'D) Ecrêtage'!M159</f>
        <v>54198.120409152303</v>
      </c>
      <c r="D170" s="14">
        <f>'A) Base RI'!AN161</f>
        <v>821</v>
      </c>
      <c r="E170" s="19">
        <f t="shared" si="8"/>
        <v>1002150.1053812638</v>
      </c>
      <c r="F170" s="52">
        <f>'F) Population'!K162</f>
        <v>81274.044265593562</v>
      </c>
      <c r="G170" s="14">
        <f>'G) Solidarité'!I159</f>
        <v>0</v>
      </c>
      <c r="H170" s="19">
        <f t="shared" si="6"/>
        <v>81274.044265593562</v>
      </c>
      <c r="I170" s="75">
        <f t="shared" si="7"/>
        <v>920876.06111567025</v>
      </c>
    </row>
    <row r="171" spans="1:9" x14ac:dyDescent="0.25">
      <c r="A171" s="61">
        <f>'A) Base RI'!A162</f>
        <v>5654</v>
      </c>
      <c r="B171" s="42" t="str">
        <f>'A) Base RI'!B162</f>
        <v>Vullierens</v>
      </c>
      <c r="C171" s="19">
        <f>'D) Ecrêtage'!M160</f>
        <v>16948.890394736845</v>
      </c>
      <c r="D171" s="14">
        <f>'A) Base RI'!AN162</f>
        <v>460</v>
      </c>
      <c r="E171" s="19">
        <f t="shared" si="8"/>
        <v>313393.38277702982</v>
      </c>
      <c r="F171" s="52">
        <f>'F) Population'!K163</f>
        <v>45537.22334004024</v>
      </c>
      <c r="G171" s="14">
        <f>'G) Solidarité'!I160</f>
        <v>71626.927598178023</v>
      </c>
      <c r="H171" s="19">
        <f t="shared" si="6"/>
        <v>117164.15093821826</v>
      </c>
      <c r="I171" s="75">
        <f t="shared" si="7"/>
        <v>196229.23183881157</v>
      </c>
    </row>
    <row r="172" spans="1:9" x14ac:dyDescent="0.25">
      <c r="A172" s="61">
        <f>'A) Base RI'!A163</f>
        <v>5655</v>
      </c>
      <c r="B172" s="42" t="str">
        <f>'A) Base RI'!B163</f>
        <v>Yens</v>
      </c>
      <c r="C172" s="19">
        <f>'D) Ecrêtage'!M161</f>
        <v>68107.282191780832</v>
      </c>
      <c r="D172" s="14">
        <f>'A) Base RI'!AN163</f>
        <v>1405</v>
      </c>
      <c r="E172" s="19">
        <f t="shared" si="8"/>
        <v>1259337.3997191016</v>
      </c>
      <c r="F172" s="52">
        <f>'F) Population'!K164</f>
        <v>239317.907444668</v>
      </c>
      <c r="G172" s="14">
        <f>'G) Solidarité'!I161</f>
        <v>0</v>
      </c>
      <c r="H172" s="19">
        <f t="shared" si="6"/>
        <v>239317.907444668</v>
      </c>
      <c r="I172" s="75">
        <f t="shared" si="7"/>
        <v>1020019.4922744336</v>
      </c>
    </row>
    <row r="173" spans="1:9" x14ac:dyDescent="0.25">
      <c r="A173" s="61">
        <f>'A) Base RI'!A164</f>
        <v>5661</v>
      </c>
      <c r="B173" s="42" t="str">
        <f>'A) Base RI'!B164</f>
        <v>Boulens</v>
      </c>
      <c r="C173" s="19">
        <f>'D) Ecrêtage'!M162</f>
        <v>7277.4751898734185</v>
      </c>
      <c r="D173" s="14">
        <f>'A) Base RI'!AN164</f>
        <v>325</v>
      </c>
      <c r="E173" s="19">
        <f t="shared" si="8"/>
        <v>134564.12276632397</v>
      </c>
      <c r="F173" s="52">
        <f>'F) Population'!K165</f>
        <v>32173.038229376256</v>
      </c>
      <c r="G173" s="14">
        <f>'G) Solidarité'!I162</f>
        <v>171308.68797709857</v>
      </c>
      <c r="H173" s="19">
        <f t="shared" si="6"/>
        <v>203481.72620647482</v>
      </c>
      <c r="I173" s="75">
        <f t="shared" si="7"/>
        <v>-68917.603440150851</v>
      </c>
    </row>
    <row r="174" spans="1:9" x14ac:dyDescent="0.25">
      <c r="A174" s="61">
        <f>'A) Base RI'!A165</f>
        <v>5662</v>
      </c>
      <c r="B174" s="42" t="str">
        <f>'A) Base RI'!B165</f>
        <v>Brenles</v>
      </c>
      <c r="C174" s="19">
        <f>'D) Ecrêtage'!M163</f>
        <v>4680.0413390313388</v>
      </c>
      <c r="D174" s="14">
        <f>'A) Base RI'!AN165</f>
        <v>144</v>
      </c>
      <c r="E174" s="19">
        <f t="shared" si="8"/>
        <v>86536.283651396152</v>
      </c>
      <c r="F174" s="52">
        <f>'F) Population'!K166</f>
        <v>14255.130784708248</v>
      </c>
      <c r="G174" s="14">
        <f>'G) Solidarité'!I163</f>
        <v>38762.612770573069</v>
      </c>
      <c r="H174" s="19">
        <f t="shared" si="6"/>
        <v>53017.743555281319</v>
      </c>
      <c r="I174" s="75">
        <f t="shared" si="7"/>
        <v>33518.540096114833</v>
      </c>
    </row>
    <row r="175" spans="1:9" x14ac:dyDescent="0.25">
      <c r="A175" s="61">
        <f>'A) Base RI'!A166</f>
        <v>5663</v>
      </c>
      <c r="B175" s="42" t="str">
        <f>'A) Base RI'!B166</f>
        <v>Bussy-sur-Moudon</v>
      </c>
      <c r="C175" s="19">
        <f>'D) Ecrêtage'!M164</f>
        <v>4999.1039999999994</v>
      </c>
      <c r="D175" s="14">
        <f>'A) Base RI'!AN166</f>
        <v>198</v>
      </c>
      <c r="E175" s="19">
        <f t="shared" si="8"/>
        <v>92435.910370904574</v>
      </c>
      <c r="F175" s="52">
        <f>'F) Population'!K167</f>
        <v>19600.80482897384</v>
      </c>
      <c r="G175" s="14">
        <f>'G) Solidarité'!I164</f>
        <v>92628.424423849676</v>
      </c>
      <c r="H175" s="19">
        <f t="shared" si="6"/>
        <v>112229.22925282351</v>
      </c>
      <c r="I175" s="75">
        <f t="shared" si="7"/>
        <v>-19793.318881918938</v>
      </c>
    </row>
    <row r="176" spans="1:9" x14ac:dyDescent="0.25">
      <c r="A176" s="61">
        <f>'A) Base RI'!A167</f>
        <v>5665</v>
      </c>
      <c r="B176" s="42" t="str">
        <f>'A) Base RI'!B167</f>
        <v>Chavannes-sur-Moudon</v>
      </c>
      <c r="C176" s="19">
        <f>'D) Ecrêtage'!M165</f>
        <v>4834.5158333333329</v>
      </c>
      <c r="D176" s="14">
        <f>'A) Base RI'!AN167</f>
        <v>224</v>
      </c>
      <c r="E176" s="19">
        <f t="shared" si="8"/>
        <v>89392.593604117676</v>
      </c>
      <c r="F176" s="52">
        <f>'F) Population'!K168</f>
        <v>22174.647887323943</v>
      </c>
      <c r="G176" s="14">
        <f>'G) Solidarité'!I165</f>
        <v>101814.22508517631</v>
      </c>
      <c r="H176" s="19">
        <f t="shared" si="6"/>
        <v>123988.87297250025</v>
      </c>
      <c r="I176" s="75">
        <f t="shared" si="7"/>
        <v>-34596.279368382573</v>
      </c>
    </row>
    <row r="177" spans="1:9" x14ac:dyDescent="0.25">
      <c r="A177" s="61">
        <f>'A) Base RI'!A168</f>
        <v>5666</v>
      </c>
      <c r="B177" s="42" t="str">
        <f>'A) Base RI'!B168</f>
        <v>Chesalles-sur-Moudon</v>
      </c>
      <c r="C177" s="19">
        <f>'D) Ecrêtage'!M166</f>
        <v>3561.2682666666665</v>
      </c>
      <c r="D177" s="14">
        <f>'A) Base RI'!AN168</f>
        <v>169</v>
      </c>
      <c r="E177" s="19">
        <f t="shared" si="8"/>
        <v>65849.615111897394</v>
      </c>
      <c r="F177" s="52">
        <f>'F) Population'!K169</f>
        <v>16729.979879275652</v>
      </c>
      <c r="G177" s="14">
        <f>'G) Solidarité'!I166</f>
        <v>85278.858913648291</v>
      </c>
      <c r="H177" s="19">
        <f t="shared" si="6"/>
        <v>102008.83879292394</v>
      </c>
      <c r="I177" s="75">
        <f t="shared" si="7"/>
        <v>-36159.223681026546</v>
      </c>
    </row>
    <row r="178" spans="1:9" x14ac:dyDescent="0.25">
      <c r="A178" s="61">
        <f>'A) Base RI'!A169</f>
        <v>5668</v>
      </c>
      <c r="B178" s="42" t="str">
        <f>'A) Base RI'!B169</f>
        <v>Cremin</v>
      </c>
      <c r="C178" s="19">
        <f>'D) Ecrêtage'!M167</f>
        <v>902.96818181818162</v>
      </c>
      <c r="D178" s="14">
        <f>'A) Base RI'!AN169</f>
        <v>58</v>
      </c>
      <c r="E178" s="19">
        <f t="shared" si="8"/>
        <v>16696.329166651489</v>
      </c>
      <c r="F178" s="52">
        <f>'F) Population'!K170</f>
        <v>5741.6498993963778</v>
      </c>
      <c r="G178" s="14">
        <f>'G) Solidarité'!I167</f>
        <v>38379.226529028005</v>
      </c>
      <c r="H178" s="19">
        <f t="shared" si="6"/>
        <v>44120.876428424381</v>
      </c>
      <c r="I178" s="75">
        <f t="shared" si="7"/>
        <v>-27424.547261772892</v>
      </c>
    </row>
    <row r="179" spans="1:9" x14ac:dyDescent="0.25">
      <c r="A179" s="61">
        <f>'A) Base RI'!A170</f>
        <v>5669</v>
      </c>
      <c r="B179" s="42" t="str">
        <f>'A) Base RI'!B170</f>
        <v>Curtilles</v>
      </c>
      <c r="C179" s="19">
        <f>'D) Ecrêtage'!M168</f>
        <v>8707.7998611111107</v>
      </c>
      <c r="D179" s="14">
        <f>'A) Base RI'!AN170</f>
        <v>311</v>
      </c>
      <c r="E179" s="19">
        <f t="shared" si="8"/>
        <v>161011.53476491829</v>
      </c>
      <c r="F179" s="52">
        <f>'F) Population'!K171</f>
        <v>30787.122736418511</v>
      </c>
      <c r="G179" s="14">
        <f>'G) Solidarité'!I168</f>
        <v>100201.39245516894</v>
      </c>
      <c r="H179" s="19">
        <f t="shared" si="6"/>
        <v>130988.51519158744</v>
      </c>
      <c r="I179" s="75">
        <f t="shared" si="7"/>
        <v>30023.01957333085</v>
      </c>
    </row>
    <row r="180" spans="1:9" x14ac:dyDescent="0.25">
      <c r="A180" s="61">
        <f>'A) Base RI'!A171</f>
        <v>5671</v>
      </c>
      <c r="B180" s="42" t="str">
        <f>'A) Base RI'!B171</f>
        <v>Dompierre</v>
      </c>
      <c r="C180" s="19">
        <f>'D) Ecrêtage'!M169</f>
        <v>6226.6947500000006</v>
      </c>
      <c r="D180" s="14">
        <f>'A) Base RI'!AN171</f>
        <v>247</v>
      </c>
      <c r="E180" s="19">
        <f t="shared" si="8"/>
        <v>115134.6716967645</v>
      </c>
      <c r="F180" s="52">
        <f>'F) Population'!K172</f>
        <v>24451.509054325954</v>
      </c>
      <c r="G180" s="14">
        <f>'G) Solidarité'!I169</f>
        <v>115795.06423808784</v>
      </c>
      <c r="H180" s="19">
        <f t="shared" si="6"/>
        <v>140246.57329241378</v>
      </c>
      <c r="I180" s="75">
        <f t="shared" si="7"/>
        <v>-25111.90159564928</v>
      </c>
    </row>
    <row r="181" spans="1:9" x14ac:dyDescent="0.25">
      <c r="A181" s="61">
        <f>'A) Base RI'!A172</f>
        <v>5672</v>
      </c>
      <c r="B181" s="42" t="str">
        <f>'A) Base RI'!B172</f>
        <v>Forel-sur-Lucens</v>
      </c>
      <c r="C181" s="19">
        <f>'D) Ecrêtage'!M170</f>
        <v>4324.9200666666666</v>
      </c>
      <c r="D181" s="14">
        <f>'A) Base RI'!AN172</f>
        <v>154</v>
      </c>
      <c r="E181" s="19">
        <f t="shared" si="8"/>
        <v>79969.915337573839</v>
      </c>
      <c r="F181" s="52">
        <f>'F) Population'!K173</f>
        <v>15245.070422535211</v>
      </c>
      <c r="G181" s="14">
        <f>'G) Solidarité'!I170</f>
        <v>53546.98858912268</v>
      </c>
      <c r="H181" s="19">
        <f t="shared" ref="H181:H236" si="9">F181+G181</f>
        <v>68792.059011657897</v>
      </c>
      <c r="I181" s="75">
        <f t="shared" ref="I181:I236" si="10">E181-H181</f>
        <v>11177.856325915942</v>
      </c>
    </row>
    <row r="182" spans="1:9" x14ac:dyDescent="0.25">
      <c r="A182" s="61">
        <f>'A) Base RI'!A173</f>
        <v>5673</v>
      </c>
      <c r="B182" s="42" t="str">
        <f>'A) Base RI'!B173</f>
        <v>Hermenches</v>
      </c>
      <c r="C182" s="19">
        <f>'D) Ecrêtage'!M171</f>
        <v>8854.2944888888887</v>
      </c>
      <c r="D182" s="14">
        <f>'A) Base RI'!AN173</f>
        <v>382</v>
      </c>
      <c r="E182" s="19">
        <f t="shared" si="8"/>
        <v>163720.29303101671</v>
      </c>
      <c r="F182" s="52">
        <f>'F) Population'!K174</f>
        <v>37815.694164989938</v>
      </c>
      <c r="G182" s="14">
        <f>'G) Solidarité'!I171</f>
        <v>174755.7416888685</v>
      </c>
      <c r="H182" s="19">
        <f t="shared" si="9"/>
        <v>212571.43585385842</v>
      </c>
      <c r="I182" s="75">
        <f t="shared" si="10"/>
        <v>-48851.142822841706</v>
      </c>
    </row>
    <row r="183" spans="1:9" x14ac:dyDescent="0.25">
      <c r="A183" s="61">
        <f>'A) Base RI'!A174</f>
        <v>5674</v>
      </c>
      <c r="B183" s="42" t="str">
        <f>'A) Base RI'!B174</f>
        <v>Lovatens</v>
      </c>
      <c r="C183" s="19">
        <f>'D) Ecrêtage'!M172</f>
        <v>3347.4317333333333</v>
      </c>
      <c r="D183" s="14">
        <f>'A) Base RI'!AN174</f>
        <v>151</v>
      </c>
      <c r="E183" s="19">
        <f t="shared" si="8"/>
        <v>61895.671639382133</v>
      </c>
      <c r="F183" s="52">
        <f>'F) Population'!K175</f>
        <v>14948.088531187122</v>
      </c>
      <c r="G183" s="14">
        <f>'G) Solidarité'!I172</f>
        <v>72492.966094385702</v>
      </c>
      <c r="H183" s="19">
        <f t="shared" si="9"/>
        <v>87441.054625572826</v>
      </c>
      <c r="I183" s="75">
        <f t="shared" si="10"/>
        <v>-25545.382986190692</v>
      </c>
    </row>
    <row r="184" spans="1:9" x14ac:dyDescent="0.25">
      <c r="A184" s="61">
        <f>'A) Base RI'!A175</f>
        <v>5675</v>
      </c>
      <c r="B184" s="42" t="str">
        <f>'A) Base RI'!B175</f>
        <v>Lucens</v>
      </c>
      <c r="C184" s="19">
        <f>'D) Ecrêtage'!M173</f>
        <v>76574.855468319569</v>
      </c>
      <c r="D184" s="14">
        <f>'A) Base RI'!AN175</f>
        <v>3285</v>
      </c>
      <c r="E184" s="19">
        <f t="shared" si="8"/>
        <v>1415907.025885951</v>
      </c>
      <c r="F184" s="52">
        <f>'F) Population'!K176</f>
        <v>933018.10865191137</v>
      </c>
      <c r="G184" s="14">
        <f>'G) Solidarité'!I173</f>
        <v>1156278.2960945456</v>
      </c>
      <c r="H184" s="19">
        <f t="shared" si="9"/>
        <v>2089296.404746457</v>
      </c>
      <c r="I184" s="75">
        <f t="shared" si="10"/>
        <v>-673389.378860506</v>
      </c>
    </row>
    <row r="185" spans="1:9" x14ac:dyDescent="0.25">
      <c r="A185" s="61">
        <f>'A) Base RI'!A176</f>
        <v>5678</v>
      </c>
      <c r="B185" s="42" t="str">
        <f>'A) Base RI'!B176</f>
        <v>Moudon</v>
      </c>
      <c r="C185" s="19">
        <f>'D) Ecrêtage'!M174</f>
        <v>122060.45639999998</v>
      </c>
      <c r="D185" s="14">
        <f>'A) Base RI'!AN176</f>
        <v>5770</v>
      </c>
      <c r="E185" s="19">
        <f t="shared" si="8"/>
        <v>2256958.3284568805</v>
      </c>
      <c r="F185" s="52">
        <f>'F) Population'!K177</f>
        <v>2239243.4607645879</v>
      </c>
      <c r="G185" s="14">
        <f>'G) Solidarité'!I174</f>
        <v>2901038.3674408421</v>
      </c>
      <c r="H185" s="19">
        <f t="shared" si="9"/>
        <v>5140281.8282054299</v>
      </c>
      <c r="I185" s="75">
        <f t="shared" si="10"/>
        <v>-2883323.4997485494</v>
      </c>
    </row>
    <row r="186" spans="1:9" x14ac:dyDescent="0.25">
      <c r="A186" s="61">
        <f>'A) Base RI'!A177</f>
        <v>5680</v>
      </c>
      <c r="B186" s="42" t="str">
        <f>'A) Base RI'!B177</f>
        <v>Ogens</v>
      </c>
      <c r="C186" s="19">
        <f>'D) Ecrêtage'!M175</f>
        <v>8163.3689316239324</v>
      </c>
      <c r="D186" s="14">
        <f>'A) Base RI'!AN177</f>
        <v>283</v>
      </c>
      <c r="E186" s="19">
        <f t="shared" si="8"/>
        <v>150944.73707452716</v>
      </c>
      <c r="F186" s="52">
        <f>'F) Population'!K178</f>
        <v>28015.291750503016</v>
      </c>
      <c r="G186" s="14">
        <f>'G) Solidarité'!I175</f>
        <v>101211.73698254293</v>
      </c>
      <c r="H186" s="19">
        <f t="shared" si="9"/>
        <v>129227.02873304595</v>
      </c>
      <c r="I186" s="75">
        <f t="shared" si="10"/>
        <v>21717.708341481208</v>
      </c>
    </row>
    <row r="187" spans="1:9" x14ac:dyDescent="0.25">
      <c r="A187" s="61">
        <f>'A) Base RI'!A178</f>
        <v>5683</v>
      </c>
      <c r="B187" s="42" t="str">
        <f>'A) Base RI'!B178</f>
        <v>Prévonloup</v>
      </c>
      <c r="C187" s="19">
        <f>'D) Ecrêtage'!M176</f>
        <v>3618.5018918918922</v>
      </c>
      <c r="D187" s="14">
        <f>'A) Base RI'!AN178</f>
        <v>172</v>
      </c>
      <c r="E187" s="19">
        <f t="shared" si="8"/>
        <v>66907.893205635977</v>
      </c>
      <c r="F187" s="52">
        <f>'F) Population'!K179</f>
        <v>17026.96177062374</v>
      </c>
      <c r="G187" s="14">
        <f>'G) Solidarité'!I176</f>
        <v>84624.010859880247</v>
      </c>
      <c r="H187" s="19">
        <f t="shared" si="9"/>
        <v>101650.97263050399</v>
      </c>
      <c r="I187" s="75">
        <f t="shared" si="10"/>
        <v>-34743.079424868018</v>
      </c>
    </row>
    <row r="188" spans="1:9" x14ac:dyDescent="0.25">
      <c r="A188" s="61">
        <f>'A) Base RI'!A179</f>
        <v>5684</v>
      </c>
      <c r="B188" s="42" t="str">
        <f>'A) Base RI'!B179</f>
        <v>Rossenges</v>
      </c>
      <c r="C188" s="19">
        <f>'D) Ecrêtage'!M177</f>
        <v>2611.7396666666664</v>
      </c>
      <c r="D188" s="14">
        <f>'A) Base RI'!AN179</f>
        <v>65</v>
      </c>
      <c r="E188" s="19">
        <f t="shared" si="8"/>
        <v>48292.360739071686</v>
      </c>
      <c r="F188" s="52">
        <f>'F) Population'!K180</f>
        <v>6434.6076458752514</v>
      </c>
      <c r="G188" s="14">
        <f>'G) Solidarité'!I177</f>
        <v>3203.3688411881344</v>
      </c>
      <c r="H188" s="19">
        <f t="shared" si="9"/>
        <v>9637.9764870633862</v>
      </c>
      <c r="I188" s="75">
        <f t="shared" si="10"/>
        <v>38654.384252008298</v>
      </c>
    </row>
    <row r="189" spans="1:9" x14ac:dyDescent="0.25">
      <c r="A189" s="61">
        <f>'A) Base RI'!A180</f>
        <v>5686</v>
      </c>
      <c r="B189" s="42" t="str">
        <f>'A) Base RI'!B180</f>
        <v>Sarzens</v>
      </c>
      <c r="C189" s="19">
        <f>'D) Ecrêtage'!M178</f>
        <v>1857.3194594594593</v>
      </c>
      <c r="D189" s="14">
        <f>'A) Base RI'!AN180</f>
        <v>80</v>
      </c>
      <c r="E189" s="19">
        <f t="shared" si="8"/>
        <v>34342.757239043545</v>
      </c>
      <c r="F189" s="52">
        <f>'F) Population'!K181</f>
        <v>7919.5171026156931</v>
      </c>
      <c r="G189" s="14">
        <f>'G) Solidarité'!I178</f>
        <v>35562.89336130795</v>
      </c>
      <c r="H189" s="19">
        <f t="shared" si="9"/>
        <v>43482.410463923647</v>
      </c>
      <c r="I189" s="75">
        <f t="shared" si="10"/>
        <v>-9139.6532248801013</v>
      </c>
    </row>
    <row r="190" spans="1:9" x14ac:dyDescent="0.25">
      <c r="A190" s="61">
        <f>'A) Base RI'!A181</f>
        <v>5688</v>
      </c>
      <c r="B190" s="42" t="str">
        <f>'A) Base RI'!B181</f>
        <v>Syens</v>
      </c>
      <c r="C190" s="19">
        <f>'D) Ecrêtage'!M179</f>
        <v>5385.636772486775</v>
      </c>
      <c r="D190" s="14">
        <f>'A) Base RI'!AN181</f>
        <v>139</v>
      </c>
      <c r="E190" s="19">
        <f t="shared" si="8"/>
        <v>99583.092888612722</v>
      </c>
      <c r="F190" s="52">
        <f>'F) Population'!K182</f>
        <v>13760.160965794768</v>
      </c>
      <c r="G190" s="14">
        <f>'G) Solidarité'!I179</f>
        <v>15410.964080554502</v>
      </c>
      <c r="H190" s="19">
        <f t="shared" si="9"/>
        <v>29171.125046349269</v>
      </c>
      <c r="I190" s="75">
        <f t="shared" si="10"/>
        <v>70411.967842263461</v>
      </c>
    </row>
    <row r="191" spans="1:9" x14ac:dyDescent="0.25">
      <c r="A191" s="61">
        <f>'A) Base RI'!A182</f>
        <v>5690</v>
      </c>
      <c r="B191" s="42" t="str">
        <f>'A) Base RI'!B182</f>
        <v>Villars-le-Comte</v>
      </c>
      <c r="C191" s="19">
        <f>'D) Ecrêtage'!M180</f>
        <v>3468.3659210526316</v>
      </c>
      <c r="D191" s="14">
        <f>'A) Base RI'!AN182</f>
        <v>150</v>
      </c>
      <c r="E191" s="19">
        <f t="shared" si="8"/>
        <v>64131.804701786758</v>
      </c>
      <c r="F191" s="52">
        <f>'F) Population'!K183</f>
        <v>14849.094567404425</v>
      </c>
      <c r="G191" s="14">
        <f>'G) Solidarité'!I180</f>
        <v>70657.669175653471</v>
      </c>
      <c r="H191" s="19">
        <f t="shared" si="9"/>
        <v>85506.763743057891</v>
      </c>
      <c r="I191" s="75">
        <f t="shared" si="10"/>
        <v>-21374.959041271133</v>
      </c>
    </row>
    <row r="192" spans="1:9" x14ac:dyDescent="0.25">
      <c r="A192" s="61">
        <f>'A) Base RI'!A183</f>
        <v>5692</v>
      </c>
      <c r="B192" s="42" t="str">
        <f>'A) Base RI'!B183</f>
        <v>Vucherens</v>
      </c>
      <c r="C192" s="19">
        <f>'D) Ecrêtage'!M181</f>
        <v>15125.888354430383</v>
      </c>
      <c r="D192" s="14">
        <f>'A) Base RI'!AN183</f>
        <v>543</v>
      </c>
      <c r="E192" s="19">
        <f t="shared" si="8"/>
        <v>279685.17162484245</v>
      </c>
      <c r="F192" s="52">
        <f>'F) Population'!K184</f>
        <v>53753.722334004022</v>
      </c>
      <c r="G192" s="14">
        <f>'G) Solidarité'!I181</f>
        <v>212552.10161705501</v>
      </c>
      <c r="H192" s="19">
        <f t="shared" si="9"/>
        <v>266305.82395105902</v>
      </c>
      <c r="I192" s="75">
        <f t="shared" si="10"/>
        <v>13379.347673783428</v>
      </c>
    </row>
    <row r="193" spans="1:9" x14ac:dyDescent="0.25">
      <c r="A193" s="61">
        <f>'A) Base RI'!A184</f>
        <v>5693</v>
      </c>
      <c r="B193" s="42" t="str">
        <f>'A) Base RI'!B184</f>
        <v>Montanaire</v>
      </c>
      <c r="C193" s="19">
        <f>'D) Ecrêtage'!M182</f>
        <v>62987.795555555575</v>
      </c>
      <c r="D193" s="14">
        <f>'A) Base RI'!AN184</f>
        <v>2421</v>
      </c>
      <c r="E193" s="19">
        <f t="shared" si="8"/>
        <v>1164675.5547462502</v>
      </c>
      <c r="F193" s="52">
        <f>'F) Population'!K185</f>
        <v>591340.44265593565</v>
      </c>
      <c r="G193" s="14">
        <f>'G) Solidarité'!I182</f>
        <v>878990.78343313211</v>
      </c>
      <c r="H193" s="19">
        <f>F193+G193</f>
        <v>1470331.2260890678</v>
      </c>
      <c r="I193" s="75">
        <f>E193-H193</f>
        <v>-305655.6713428176</v>
      </c>
    </row>
    <row r="194" spans="1:9" x14ac:dyDescent="0.25">
      <c r="A194" s="61">
        <f>'A) Base RI'!A185</f>
        <v>5701</v>
      </c>
      <c r="B194" s="42" t="str">
        <f>'A) Base RI'!B185</f>
        <v>Arnex-sur-Nyon</v>
      </c>
      <c r="C194" s="19">
        <f>'D) Ecrêtage'!M183</f>
        <v>13317.230492981491</v>
      </c>
      <c r="D194" s="14">
        <f>'A) Base RI'!AN185</f>
        <v>208</v>
      </c>
      <c r="E194" s="19">
        <f t="shared" si="8"/>
        <v>246242.19144829045</v>
      </c>
      <c r="F194" s="52">
        <f>'F) Population'!K186</f>
        <v>20590.744466800803</v>
      </c>
      <c r="G194" s="14">
        <f>'G) Solidarité'!I183</f>
        <v>0</v>
      </c>
      <c r="H194" s="19">
        <f>F194+G194</f>
        <v>20590.744466800803</v>
      </c>
      <c r="I194" s="75">
        <f>E194-H194</f>
        <v>225651.44698148966</v>
      </c>
    </row>
    <row r="195" spans="1:9" x14ac:dyDescent="0.25">
      <c r="A195" s="61">
        <f>'A) Base RI'!A186</f>
        <v>5702</v>
      </c>
      <c r="B195" s="42" t="str">
        <f>'A) Base RI'!B186</f>
        <v>Arzier-Le Muids</v>
      </c>
      <c r="C195" s="19">
        <f>'D) Ecrêtage'!M184</f>
        <v>137336.67807291666</v>
      </c>
      <c r="D195" s="14">
        <f>'A) Base RI'!AN186</f>
        <v>2506</v>
      </c>
      <c r="E195" s="19">
        <f t="shared" si="8"/>
        <v>2539423.2376413657</v>
      </c>
      <c r="F195" s="52">
        <f>'F) Population'!K187</f>
        <v>620791.14688128768</v>
      </c>
      <c r="G195" s="14">
        <f>'G) Solidarité'!I184</f>
        <v>0</v>
      </c>
      <c r="H195" s="19">
        <f t="shared" si="9"/>
        <v>620791.14688128768</v>
      </c>
      <c r="I195" s="75">
        <f t="shared" si="10"/>
        <v>1918632.090760078</v>
      </c>
    </row>
    <row r="196" spans="1:9" x14ac:dyDescent="0.25">
      <c r="A196" s="61">
        <f>'A) Base RI'!A187</f>
        <v>5703</v>
      </c>
      <c r="B196" s="42" t="str">
        <f>'A) Base RI'!B187</f>
        <v>Bassins</v>
      </c>
      <c r="C196" s="19">
        <f>'D) Ecrêtage'!M185</f>
        <v>51617.647746478862</v>
      </c>
      <c r="D196" s="14">
        <f>'A) Base RI'!AN187</f>
        <v>1320</v>
      </c>
      <c r="E196" s="19">
        <f t="shared" si="8"/>
        <v>954435.88704104687</v>
      </c>
      <c r="F196" s="52">
        <f>'F) Population'!K188</f>
        <v>209867.20321931588</v>
      </c>
      <c r="G196" s="14">
        <f>'G) Solidarité'!I185</f>
        <v>119585.49184824624</v>
      </c>
      <c r="H196" s="19">
        <f t="shared" si="9"/>
        <v>329452.6950675621</v>
      </c>
      <c r="I196" s="75">
        <f t="shared" si="10"/>
        <v>624983.19197348482</v>
      </c>
    </row>
    <row r="197" spans="1:9" x14ac:dyDescent="0.25">
      <c r="A197" s="61">
        <f>'A) Base RI'!A188</f>
        <v>5704</v>
      </c>
      <c r="B197" s="42" t="str">
        <f>'A) Base RI'!B188</f>
        <v>Begnins</v>
      </c>
      <c r="C197" s="19">
        <f>'D) Ecrêtage'!M186</f>
        <v>105563.75242101138</v>
      </c>
      <c r="D197" s="14">
        <f>'A) Base RI'!AN188</f>
        <v>1802</v>
      </c>
      <c r="E197" s="19">
        <f t="shared" si="8"/>
        <v>1951926.0965975043</v>
      </c>
      <c r="F197" s="52">
        <f>'F) Population'!K189</f>
        <v>376870.02012072434</v>
      </c>
      <c r="G197" s="14">
        <f>'G) Solidarité'!I186</f>
        <v>0</v>
      </c>
      <c r="H197" s="19">
        <f t="shared" si="9"/>
        <v>376870.02012072434</v>
      </c>
      <c r="I197" s="75">
        <f t="shared" si="10"/>
        <v>1575056.07647678</v>
      </c>
    </row>
    <row r="198" spans="1:9" x14ac:dyDescent="0.25">
      <c r="A198" s="61">
        <f>'A) Base RI'!A189</f>
        <v>5705</v>
      </c>
      <c r="B198" s="42" t="str">
        <f>'A) Base RI'!B189</f>
        <v>Bogis-Bossey</v>
      </c>
      <c r="C198" s="19">
        <f>'D) Ecrêtage'!M187</f>
        <v>48046.495575813839</v>
      </c>
      <c r="D198" s="14">
        <f>'A) Base RI'!AN189</f>
        <v>830</v>
      </c>
      <c r="E198" s="19">
        <f t="shared" si="8"/>
        <v>888403.51364604372</v>
      </c>
      <c r="F198" s="52">
        <f>'F) Population'!K190</f>
        <v>82164.989939637817</v>
      </c>
      <c r="G198" s="14">
        <f>'G) Solidarité'!I187</f>
        <v>0</v>
      </c>
      <c r="H198" s="19">
        <f t="shared" si="9"/>
        <v>82164.989939637817</v>
      </c>
      <c r="I198" s="75">
        <f t="shared" si="10"/>
        <v>806238.52370640589</v>
      </c>
    </row>
    <row r="199" spans="1:9" x14ac:dyDescent="0.25">
      <c r="A199" s="61">
        <f>'A) Base RI'!A190</f>
        <v>5706</v>
      </c>
      <c r="B199" s="42" t="str">
        <f>'A) Base RI'!B190</f>
        <v>Borex</v>
      </c>
      <c r="C199" s="19">
        <f>'D) Ecrêtage'!M188</f>
        <v>59852.295668986771</v>
      </c>
      <c r="D199" s="14">
        <f>'A) Base RI'!AN190</f>
        <v>1049</v>
      </c>
      <c r="E199" s="19">
        <f t="shared" si="8"/>
        <v>1106698.6079808185</v>
      </c>
      <c r="F199" s="52">
        <f>'F) Population'!K191</f>
        <v>115971.42857142857</v>
      </c>
      <c r="G199" s="14">
        <f>'G) Solidarité'!I188</f>
        <v>0</v>
      </c>
      <c r="H199" s="19">
        <f t="shared" si="9"/>
        <v>115971.42857142857</v>
      </c>
      <c r="I199" s="75">
        <f t="shared" si="10"/>
        <v>990727.17940938997</v>
      </c>
    </row>
    <row r="200" spans="1:9" x14ac:dyDescent="0.25">
      <c r="A200" s="61">
        <f>'A) Base RI'!A191</f>
        <v>5707</v>
      </c>
      <c r="B200" s="42" t="str">
        <f>'A) Base RI'!B191</f>
        <v>Chavannes-de-Bogis</v>
      </c>
      <c r="C200" s="19">
        <f>'D) Ecrêtage'!M189</f>
        <v>79463.976714477656</v>
      </c>
      <c r="D200" s="14">
        <f>'A) Base RI'!AN191</f>
        <v>1155</v>
      </c>
      <c r="E200" s="19">
        <f t="shared" si="8"/>
        <v>1469328.3094920821</v>
      </c>
      <c r="F200" s="52">
        <f>'F) Population'!K192</f>
        <v>152698.18913480884</v>
      </c>
      <c r="G200" s="14">
        <f>'G) Solidarité'!I189</f>
        <v>0</v>
      </c>
      <c r="H200" s="19">
        <f t="shared" si="9"/>
        <v>152698.18913480884</v>
      </c>
      <c r="I200" s="75">
        <f t="shared" si="10"/>
        <v>1316630.1203572731</v>
      </c>
    </row>
    <row r="201" spans="1:9" x14ac:dyDescent="0.25">
      <c r="A201" s="61">
        <f>'A) Base RI'!A192</f>
        <v>5708</v>
      </c>
      <c r="B201" s="42" t="str">
        <f>'A) Base RI'!B192</f>
        <v>Chavannes-des-Bois</v>
      </c>
      <c r="C201" s="19">
        <f>'D) Ecrêtage'!M190</f>
        <v>54983.749855411763</v>
      </c>
      <c r="D201" s="14">
        <f>'A) Base RI'!AN192</f>
        <v>807</v>
      </c>
      <c r="E201" s="19">
        <f t="shared" si="8"/>
        <v>1016676.7831777615</v>
      </c>
      <c r="F201" s="52">
        <f>'F) Population'!K193</f>
        <v>79888.128772635813</v>
      </c>
      <c r="G201" s="14">
        <f>'G) Solidarité'!I190</f>
        <v>0</v>
      </c>
      <c r="H201" s="19">
        <f t="shared" si="9"/>
        <v>79888.128772635813</v>
      </c>
      <c r="I201" s="75">
        <f t="shared" si="10"/>
        <v>936788.65440512565</v>
      </c>
    </row>
    <row r="202" spans="1:9" x14ac:dyDescent="0.25">
      <c r="A202" s="61">
        <f>'A) Base RI'!A193</f>
        <v>5709</v>
      </c>
      <c r="B202" s="42" t="str">
        <f>'A) Base RI'!B193</f>
        <v>Chéserex</v>
      </c>
      <c r="C202" s="19">
        <f>'D) Ecrêtage'!M191</f>
        <v>103336.10450421691</v>
      </c>
      <c r="D202" s="14">
        <f>'A) Base RI'!AN193</f>
        <v>1174</v>
      </c>
      <c r="E202" s="19">
        <f t="shared" si="8"/>
        <v>1910735.7826582973</v>
      </c>
      <c r="F202" s="52">
        <f>'F) Population'!K194</f>
        <v>159281.28772635813</v>
      </c>
      <c r="G202" s="14">
        <f>'G) Solidarité'!I191</f>
        <v>0</v>
      </c>
      <c r="H202" s="19">
        <f t="shared" si="9"/>
        <v>159281.28772635813</v>
      </c>
      <c r="I202" s="75">
        <f t="shared" si="10"/>
        <v>1751454.4949319393</v>
      </c>
    </row>
    <row r="203" spans="1:9" x14ac:dyDescent="0.25">
      <c r="A203" s="61">
        <f>'A) Base RI'!A194</f>
        <v>5710</v>
      </c>
      <c r="B203" s="42" t="str">
        <f>'A) Base RI'!B194</f>
        <v>Coinsins</v>
      </c>
      <c r="C203" s="19">
        <f>'D) Ecrêtage'!M192</f>
        <v>59904.094956134039</v>
      </c>
      <c r="D203" s="14">
        <f>'A) Base RI'!AN194</f>
        <v>435</v>
      </c>
      <c r="E203" s="19">
        <f t="shared" si="8"/>
        <v>1107656.4024703954</v>
      </c>
      <c r="F203" s="52">
        <f>'F) Population'!K195</f>
        <v>43062.374245472834</v>
      </c>
      <c r="G203" s="14">
        <f>'G) Solidarité'!I192</f>
        <v>0</v>
      </c>
      <c r="H203" s="19">
        <f t="shared" si="9"/>
        <v>43062.374245472834</v>
      </c>
      <c r="I203" s="75">
        <f t="shared" si="10"/>
        <v>1064594.0282249227</v>
      </c>
    </row>
    <row r="204" spans="1:9" x14ac:dyDescent="0.25">
      <c r="A204" s="61">
        <f>'A) Base RI'!A195</f>
        <v>5711</v>
      </c>
      <c r="B204" s="42" t="str">
        <f>'A) Base RI'!B195</f>
        <v>Commugny</v>
      </c>
      <c r="C204" s="19">
        <f>'D) Ecrêtage'!M193</f>
        <v>197049.87247310052</v>
      </c>
      <c r="D204" s="14">
        <f>'A) Base RI'!AN195</f>
        <v>2591</v>
      </c>
      <c r="E204" s="19">
        <f t="shared" si="8"/>
        <v>3643549.7942274655</v>
      </c>
      <c r="F204" s="52">
        <f>'F) Population'!K196</f>
        <v>650241.85110663984</v>
      </c>
      <c r="G204" s="14">
        <f>'G) Solidarité'!I193</f>
        <v>0</v>
      </c>
      <c r="H204" s="19">
        <f t="shared" si="9"/>
        <v>650241.85110663984</v>
      </c>
      <c r="I204" s="75">
        <f t="shared" si="10"/>
        <v>2993307.9431208256</v>
      </c>
    </row>
    <row r="205" spans="1:9" x14ac:dyDescent="0.25">
      <c r="A205" s="61">
        <f>'A) Base RI'!A196</f>
        <v>5712</v>
      </c>
      <c r="B205" s="42" t="str">
        <f>'A) Base RI'!B196</f>
        <v>Coppet</v>
      </c>
      <c r="C205" s="19">
        <f>'D) Ecrêtage'!M194</f>
        <v>241476.5096912689</v>
      </c>
      <c r="D205" s="14">
        <f>'A) Base RI'!AN196</f>
        <v>2936</v>
      </c>
      <c r="E205" s="19">
        <f t="shared" si="8"/>
        <v>4465020.3329438651</v>
      </c>
      <c r="F205" s="52">
        <f>'F) Population'!K197</f>
        <v>769777.06237424549</v>
      </c>
      <c r="G205" s="14">
        <f>'G) Solidarité'!I194</f>
        <v>0</v>
      </c>
      <c r="H205" s="19">
        <f t="shared" si="9"/>
        <v>769777.06237424549</v>
      </c>
      <c r="I205" s="75">
        <f t="shared" si="10"/>
        <v>3695243.2705696197</v>
      </c>
    </row>
    <row r="206" spans="1:9" x14ac:dyDescent="0.25">
      <c r="A206" s="61">
        <f>'A) Base RI'!A197</f>
        <v>5713</v>
      </c>
      <c r="B206" s="42" t="str">
        <f>'A) Base RI'!B197</f>
        <v>Crans-près-Céligny</v>
      </c>
      <c r="C206" s="19">
        <f>'D) Ecrêtage'!M195</f>
        <v>187368.18263493144</v>
      </c>
      <c r="D206" s="14">
        <f>'A) Base RI'!AN197</f>
        <v>2044</v>
      </c>
      <c r="E206" s="19">
        <f t="shared" si="8"/>
        <v>3464530.5511551276</v>
      </c>
      <c r="F206" s="52">
        <f>'F) Population'!K198</f>
        <v>460717.907444668</v>
      </c>
      <c r="G206" s="14">
        <f>'G) Solidarité'!I195</f>
        <v>0</v>
      </c>
      <c r="H206" s="19">
        <f t="shared" si="9"/>
        <v>460717.907444668</v>
      </c>
      <c r="I206" s="75">
        <f t="shared" si="10"/>
        <v>3003812.6437104596</v>
      </c>
    </row>
    <row r="207" spans="1:9" x14ac:dyDescent="0.25">
      <c r="A207" s="61">
        <f>'A) Base RI'!A198</f>
        <v>5714</v>
      </c>
      <c r="B207" s="42" t="str">
        <f>'A) Base RI'!B198</f>
        <v>Crassier</v>
      </c>
      <c r="C207" s="19">
        <f>'D) Ecrêtage'!M196</f>
        <v>70586.345688197092</v>
      </c>
      <c r="D207" s="14">
        <f>'A) Base RI'!AN198</f>
        <v>1141</v>
      </c>
      <c r="E207" s="19">
        <f t="shared" si="8"/>
        <v>1305176.5123197825</v>
      </c>
      <c r="F207" s="52">
        <f>'F) Population'!K199</f>
        <v>147847.48490945675</v>
      </c>
      <c r="G207" s="14">
        <f>'G) Solidarité'!I196</f>
        <v>0</v>
      </c>
      <c r="H207" s="19">
        <f t="shared" si="9"/>
        <v>147847.48490945675</v>
      </c>
      <c r="I207" s="75">
        <f t="shared" si="10"/>
        <v>1157329.0274103258</v>
      </c>
    </row>
    <row r="208" spans="1:9" x14ac:dyDescent="0.25">
      <c r="A208" s="61">
        <f>'A) Base RI'!A199</f>
        <v>5715</v>
      </c>
      <c r="B208" s="42" t="str">
        <f>'A) Base RI'!B199</f>
        <v>Duillier</v>
      </c>
      <c r="C208" s="19">
        <f>'D) Ecrêtage'!M197</f>
        <v>57081.407026018729</v>
      </c>
      <c r="D208" s="14">
        <f>'A) Base RI'!AN199</f>
        <v>998</v>
      </c>
      <c r="E208" s="19">
        <f t="shared" si="8"/>
        <v>1055463.5038003193</v>
      </c>
      <c r="F208" s="52">
        <f>'F) Population'!K200</f>
        <v>98795.975855130775</v>
      </c>
      <c r="G208" s="14">
        <f>'G) Solidarité'!I197</f>
        <v>0</v>
      </c>
      <c r="H208" s="19">
        <f t="shared" si="9"/>
        <v>98795.975855130775</v>
      </c>
      <c r="I208" s="75">
        <f t="shared" si="10"/>
        <v>956667.52794518846</v>
      </c>
    </row>
    <row r="209" spans="1:9" x14ac:dyDescent="0.25">
      <c r="A209" s="61">
        <f>'A) Base RI'!A200</f>
        <v>5716</v>
      </c>
      <c r="B209" s="42" t="str">
        <f>'A) Base RI'!B200</f>
        <v>Eysins</v>
      </c>
      <c r="C209" s="19">
        <f>'D) Ecrêtage'!M198</f>
        <v>106341.27155420385</v>
      </c>
      <c r="D209" s="14">
        <f>'A) Base RI'!AN200</f>
        <v>1469</v>
      </c>
      <c r="E209" s="19">
        <f t="shared" ref="E209:E272" si="11">C209*E$15</f>
        <v>1966302.8106861576</v>
      </c>
      <c r="F209" s="52">
        <f>'F) Population'!K201</f>
        <v>261492.55533199193</v>
      </c>
      <c r="G209" s="14">
        <f>'G) Solidarité'!I198</f>
        <v>0</v>
      </c>
      <c r="H209" s="19">
        <f t="shared" si="9"/>
        <v>261492.55533199193</v>
      </c>
      <c r="I209" s="75">
        <f t="shared" si="10"/>
        <v>1704810.2553541656</v>
      </c>
    </row>
    <row r="210" spans="1:9" x14ac:dyDescent="0.25">
      <c r="A210" s="61">
        <f>'A) Base RI'!A201</f>
        <v>5717</v>
      </c>
      <c r="B210" s="42" t="str">
        <f>'A) Base RI'!B201</f>
        <v>Founex</v>
      </c>
      <c r="C210" s="19">
        <f>'D) Ecrêtage'!M199</f>
        <v>272923.34101542807</v>
      </c>
      <c r="D210" s="14">
        <f>'A) Base RI'!AN201</f>
        <v>3372</v>
      </c>
      <c r="E210" s="19">
        <f t="shared" si="11"/>
        <v>5046487.8282648129</v>
      </c>
      <c r="F210" s="52">
        <f>'F) Population'!K202</f>
        <v>976080.48289738421</v>
      </c>
      <c r="G210" s="14">
        <f>'G) Solidarité'!I199</f>
        <v>0</v>
      </c>
      <c r="H210" s="19">
        <f t="shared" si="9"/>
        <v>976080.48289738421</v>
      </c>
      <c r="I210" s="75">
        <f t="shared" si="10"/>
        <v>4070407.3453674288</v>
      </c>
    </row>
    <row r="211" spans="1:9" x14ac:dyDescent="0.25">
      <c r="A211" s="61">
        <f>'A) Base RI'!A202</f>
        <v>5718</v>
      </c>
      <c r="B211" s="42" t="str">
        <f>'A) Base RI'!B202</f>
        <v>Genolier</v>
      </c>
      <c r="C211" s="19">
        <f>'D) Ecrêtage'!M200</f>
        <v>130101.52774504664</v>
      </c>
      <c r="D211" s="14">
        <f>'A) Base RI'!AN202</f>
        <v>1890</v>
      </c>
      <c r="E211" s="19">
        <f t="shared" si="11"/>
        <v>2405641.7225484583</v>
      </c>
      <c r="F211" s="52">
        <f>'F) Population'!K203</f>
        <v>407360.16096579476</v>
      </c>
      <c r="G211" s="14">
        <f>'G) Solidarité'!I200</f>
        <v>0</v>
      </c>
      <c r="H211" s="19">
        <f t="shared" si="9"/>
        <v>407360.16096579476</v>
      </c>
      <c r="I211" s="75">
        <f t="shared" si="10"/>
        <v>1998281.5615826636</v>
      </c>
    </row>
    <row r="212" spans="1:9" x14ac:dyDescent="0.25">
      <c r="A212" s="61">
        <f>'A) Base RI'!A203</f>
        <v>5719</v>
      </c>
      <c r="B212" s="42" t="str">
        <f>'A) Base RI'!B203</f>
        <v>Gingins</v>
      </c>
      <c r="C212" s="19">
        <f>'D) Ecrêtage'!M201</f>
        <v>84235.486156849482</v>
      </c>
      <c r="D212" s="14">
        <f>'A) Base RI'!AN203</f>
        <v>1204</v>
      </c>
      <c r="E212" s="19">
        <f t="shared" si="11"/>
        <v>1557555.8837031822</v>
      </c>
      <c r="F212" s="52">
        <f>'F) Population'!K204</f>
        <v>169675.65392354125</v>
      </c>
      <c r="G212" s="14">
        <f>'G) Solidarité'!I201</f>
        <v>0</v>
      </c>
      <c r="H212" s="19">
        <f t="shared" si="9"/>
        <v>169675.65392354125</v>
      </c>
      <c r="I212" s="75">
        <f t="shared" si="10"/>
        <v>1387880.2297796409</v>
      </c>
    </row>
    <row r="213" spans="1:9" x14ac:dyDescent="0.25">
      <c r="A213" s="61">
        <f>'A) Base RI'!A204</f>
        <v>5720</v>
      </c>
      <c r="B213" s="42" t="str">
        <f>'A) Base RI'!B204</f>
        <v>Givrins</v>
      </c>
      <c r="C213" s="19">
        <f>'D) Ecrêtage'!M202</f>
        <v>69662.544967251597</v>
      </c>
      <c r="D213" s="14">
        <f>'A) Base RI'!AN204</f>
        <v>971</v>
      </c>
      <c r="E213" s="19">
        <f t="shared" si="11"/>
        <v>1288094.979180665</v>
      </c>
      <c r="F213" s="52">
        <f>'F) Population'!K205</f>
        <v>96123.138832997982</v>
      </c>
      <c r="G213" s="14">
        <f>'G) Solidarité'!I202</f>
        <v>0</v>
      </c>
      <c r="H213" s="19">
        <f t="shared" si="9"/>
        <v>96123.138832997982</v>
      </c>
      <c r="I213" s="75">
        <f t="shared" si="10"/>
        <v>1191971.840347667</v>
      </c>
    </row>
    <row r="214" spans="1:9" x14ac:dyDescent="0.25">
      <c r="A214" s="61">
        <f>'A) Base RI'!A205</f>
        <v>5721</v>
      </c>
      <c r="B214" s="42" t="str">
        <f>'A) Base RI'!B205</f>
        <v>Gland</v>
      </c>
      <c r="C214" s="19">
        <f>'D) Ecrêtage'!M203</f>
        <v>556574.85335272714</v>
      </c>
      <c r="D214" s="14">
        <f>'A) Base RI'!AN205</f>
        <v>12663</v>
      </c>
      <c r="E214" s="19">
        <f t="shared" si="11"/>
        <v>10291344.860841474</v>
      </c>
      <c r="F214" s="52">
        <f>'F) Population'!K206</f>
        <v>7338422.5352112679</v>
      </c>
      <c r="G214" s="14">
        <f>'G) Solidarité'!I203</f>
        <v>0</v>
      </c>
      <c r="H214" s="19">
        <f t="shared" si="9"/>
        <v>7338422.5352112679</v>
      </c>
      <c r="I214" s="75">
        <f t="shared" si="10"/>
        <v>2952922.3256302057</v>
      </c>
    </row>
    <row r="215" spans="1:9" x14ac:dyDescent="0.25">
      <c r="A215" s="61">
        <f>'A) Base RI'!A206</f>
        <v>5722</v>
      </c>
      <c r="B215" s="42" t="str">
        <f>'A) Base RI'!B206</f>
        <v>Grens</v>
      </c>
      <c r="C215" s="19">
        <f>'D) Ecrêtage'!M204</f>
        <v>23530.992191336456</v>
      </c>
      <c r="D215" s="14">
        <f>'A) Base RI'!AN206</f>
        <v>380</v>
      </c>
      <c r="E215" s="19">
        <f t="shared" si="11"/>
        <v>435099.70689484203</v>
      </c>
      <c r="F215" s="52">
        <f>'F) Population'!K207</f>
        <v>37617.706237424543</v>
      </c>
      <c r="G215" s="14">
        <f>'G) Solidarité'!I204</f>
        <v>0</v>
      </c>
      <c r="H215" s="19">
        <f t="shared" si="9"/>
        <v>37617.706237424543</v>
      </c>
      <c r="I215" s="75">
        <f t="shared" si="10"/>
        <v>397482.00065741746</v>
      </c>
    </row>
    <row r="216" spans="1:9" x14ac:dyDescent="0.25">
      <c r="A216" s="61">
        <f>'A) Base RI'!A207</f>
        <v>5723</v>
      </c>
      <c r="B216" s="42" t="str">
        <f>'A) Base RI'!B207</f>
        <v>Mies</v>
      </c>
      <c r="C216" s="19">
        <f>'D) Ecrêtage'!M205</f>
        <v>178561.43286500283</v>
      </c>
      <c r="D216" s="14">
        <f>'A) Base RI'!AN207</f>
        <v>1778</v>
      </c>
      <c r="E216" s="19">
        <f t="shared" si="11"/>
        <v>3301689.3835394699</v>
      </c>
      <c r="F216" s="52">
        <f>'F) Population'!K208</f>
        <v>368554.52716297784</v>
      </c>
      <c r="G216" s="14">
        <f>'G) Solidarité'!I205</f>
        <v>0</v>
      </c>
      <c r="H216" s="19">
        <f t="shared" si="9"/>
        <v>368554.52716297784</v>
      </c>
      <c r="I216" s="75">
        <f>E216-H216</f>
        <v>2933134.856376492</v>
      </c>
    </row>
    <row r="217" spans="1:9" x14ac:dyDescent="0.25">
      <c r="A217" s="61">
        <f>'A) Base RI'!A208</f>
        <v>5724</v>
      </c>
      <c r="B217" s="42" t="str">
        <f>'A) Base RI'!B208</f>
        <v>Nyon</v>
      </c>
      <c r="C217" s="19">
        <f>'D) Ecrêtage'!M206</f>
        <v>1271467.4997079377</v>
      </c>
      <c r="D217" s="14">
        <f>'A) Base RI'!AN208</f>
        <v>19861</v>
      </c>
      <c r="E217" s="19">
        <f t="shared" si="11"/>
        <v>23510064.172003839</v>
      </c>
      <c r="F217" s="52">
        <f>'F) Population'!K209</f>
        <v>14704612.877263581</v>
      </c>
      <c r="G217" s="14">
        <f>'G) Solidarité'!I206</f>
        <v>0</v>
      </c>
      <c r="H217" s="19">
        <f t="shared" si="9"/>
        <v>14704612.877263581</v>
      </c>
      <c r="I217" s="75">
        <f t="shared" si="10"/>
        <v>8805451.2947402578</v>
      </c>
    </row>
    <row r="218" spans="1:9" x14ac:dyDescent="0.25">
      <c r="A218" s="61">
        <f>'A) Base RI'!A209</f>
        <v>5725</v>
      </c>
      <c r="B218" s="42" t="str">
        <f>'A) Base RI'!B209</f>
        <v>Prangins</v>
      </c>
      <c r="C218" s="19">
        <f>'D) Ecrêtage'!M207</f>
        <v>256761.00669706723</v>
      </c>
      <c r="D218" s="14">
        <f>'A) Base RI'!AN209</f>
        <v>3976</v>
      </c>
      <c r="E218" s="19">
        <f t="shared" si="11"/>
        <v>4747638.2571343463</v>
      </c>
      <c r="F218" s="52">
        <f>'F) Population'!K210</f>
        <v>1275042.2535211267</v>
      </c>
      <c r="G218" s="14">
        <f>'G) Solidarité'!I207</f>
        <v>0</v>
      </c>
      <c r="H218" s="19">
        <f t="shared" si="9"/>
        <v>1275042.2535211267</v>
      </c>
      <c r="I218" s="75">
        <f t="shared" si="10"/>
        <v>3472596.0036132196</v>
      </c>
    </row>
    <row r="219" spans="1:9" x14ac:dyDescent="0.25">
      <c r="A219" s="61">
        <f>'A) Base RI'!A210</f>
        <v>5726</v>
      </c>
      <c r="B219" s="42" t="str">
        <f>'A) Base RI'!B210</f>
        <v>La Rippe</v>
      </c>
      <c r="C219" s="19">
        <f>'D) Ecrêtage'!M208</f>
        <v>60430.074769230778</v>
      </c>
      <c r="D219" s="14">
        <f>'A) Base RI'!AN210</f>
        <v>1104</v>
      </c>
      <c r="E219" s="19">
        <f t="shared" si="11"/>
        <v>1117382.0298748894</v>
      </c>
      <c r="F219" s="52">
        <f>'F) Population'!K211</f>
        <v>135027.76659959758</v>
      </c>
      <c r="G219" s="14">
        <f>'G) Solidarité'!I208</f>
        <v>0</v>
      </c>
      <c r="H219" s="19">
        <f t="shared" si="9"/>
        <v>135027.76659959758</v>
      </c>
      <c r="I219" s="75">
        <f t="shared" si="10"/>
        <v>982354.26327529177</v>
      </c>
    </row>
    <row r="220" spans="1:9" x14ac:dyDescent="0.25">
      <c r="A220" s="61">
        <f>'A) Base RI'!A211</f>
        <v>5727</v>
      </c>
      <c r="B220" s="42" t="str">
        <f>'A) Base RI'!B211</f>
        <v>Saint-Cergue</v>
      </c>
      <c r="C220" s="19">
        <f>'D) Ecrêtage'!M209</f>
        <v>92384.571565656559</v>
      </c>
      <c r="D220" s="14">
        <f>'A) Base RI'!AN211</f>
        <v>2406</v>
      </c>
      <c r="E220" s="19">
        <f t="shared" si="11"/>
        <v>1708236.5113623261</v>
      </c>
      <c r="F220" s="52">
        <f>'F) Population'!K212</f>
        <v>586143.25955734402</v>
      </c>
      <c r="G220" s="14">
        <f>'G) Solidarité'!I209</f>
        <v>217818.63960908921</v>
      </c>
      <c r="H220" s="19">
        <f t="shared" si="9"/>
        <v>803961.89916643326</v>
      </c>
      <c r="I220" s="75">
        <f t="shared" si="10"/>
        <v>904274.61219589284</v>
      </c>
    </row>
    <row r="221" spans="1:9" x14ac:dyDescent="0.25">
      <c r="A221" s="61">
        <f>'A) Base RI'!A212</f>
        <v>5728</v>
      </c>
      <c r="B221" s="42" t="str">
        <f>'A) Base RI'!B212</f>
        <v>Signy-Avenex</v>
      </c>
      <c r="C221" s="19">
        <f>'D) Ecrêtage'!M210</f>
        <v>29482.647095725504</v>
      </c>
      <c r="D221" s="14">
        <f>'A) Base RI'!AN212</f>
        <v>481</v>
      </c>
      <c r="E221" s="19">
        <f t="shared" si="11"/>
        <v>545148.75554449228</v>
      </c>
      <c r="F221" s="52">
        <f>'F) Population'!K213</f>
        <v>47616.096579476856</v>
      </c>
      <c r="G221" s="14">
        <f>'G) Solidarité'!I210</f>
        <v>0</v>
      </c>
      <c r="H221" s="19">
        <f t="shared" si="9"/>
        <v>47616.096579476856</v>
      </c>
      <c r="I221" s="75">
        <f t="shared" si="10"/>
        <v>497532.65896501543</v>
      </c>
    </row>
    <row r="222" spans="1:9" x14ac:dyDescent="0.25">
      <c r="A222" s="61">
        <f>'A) Base RI'!A213</f>
        <v>5729</v>
      </c>
      <c r="B222" s="42" t="str">
        <f>'A) Base RI'!B213</f>
        <v>Tannay</v>
      </c>
      <c r="C222" s="19">
        <f>'D) Ecrêtage'!M211</f>
        <v>112812.83266494203</v>
      </c>
      <c r="D222" s="14">
        <f>'A) Base RI'!AN213</f>
        <v>1448</v>
      </c>
      <c r="E222" s="19">
        <f t="shared" si="11"/>
        <v>2085965.1827416352</v>
      </c>
      <c r="F222" s="52">
        <f>'F) Population'!K214</f>
        <v>254216.49899396376</v>
      </c>
      <c r="G222" s="14">
        <f>'G) Solidarité'!I211</f>
        <v>0</v>
      </c>
      <c r="H222" s="19">
        <f t="shared" si="9"/>
        <v>254216.49899396376</v>
      </c>
      <c r="I222" s="75">
        <f t="shared" si="10"/>
        <v>1831748.6837476715</v>
      </c>
    </row>
    <row r="223" spans="1:9" x14ac:dyDescent="0.25">
      <c r="A223" s="61">
        <f>'A) Base RI'!A214</f>
        <v>5730</v>
      </c>
      <c r="B223" s="42" t="str">
        <f>'A) Base RI'!B214</f>
        <v>Trélex</v>
      </c>
      <c r="C223" s="19">
        <f>'D) Ecrêtage'!M212</f>
        <v>115534.33928652294</v>
      </c>
      <c r="D223" s="14">
        <f>'A) Base RI'!AN214</f>
        <v>1394</v>
      </c>
      <c r="E223" s="19">
        <f t="shared" si="11"/>
        <v>2136287.1888743895</v>
      </c>
      <c r="F223" s="52">
        <f>'F) Population'!K215</f>
        <v>235506.63983903421</v>
      </c>
      <c r="G223" s="14">
        <f>'G) Solidarité'!I212</f>
        <v>0</v>
      </c>
      <c r="H223" s="19">
        <f t="shared" si="9"/>
        <v>235506.63983903421</v>
      </c>
      <c r="I223" s="75">
        <f t="shared" si="10"/>
        <v>1900780.5490353552</v>
      </c>
    </row>
    <row r="224" spans="1:9" x14ac:dyDescent="0.25">
      <c r="A224" s="61">
        <f>'A) Base RI'!A215</f>
        <v>5731</v>
      </c>
      <c r="B224" s="42" t="str">
        <f>'A) Base RI'!B215</f>
        <v>Le Vaud</v>
      </c>
      <c r="C224" s="19">
        <f>'D) Ecrêtage'!M213</f>
        <v>46449.882799999999</v>
      </c>
      <c r="D224" s="14">
        <f>'A) Base RI'!AN215</f>
        <v>1243</v>
      </c>
      <c r="E224" s="19">
        <f t="shared" si="11"/>
        <v>858881.35218627634</v>
      </c>
      <c r="F224" s="52">
        <f>'F) Population'!K216</f>
        <v>183188.32997987926</v>
      </c>
      <c r="G224" s="14">
        <f>'G) Solidarité'!I213</f>
        <v>173919.53833742824</v>
      </c>
      <c r="H224" s="19">
        <f t="shared" si="9"/>
        <v>357107.8683173075</v>
      </c>
      <c r="I224" s="75">
        <f t="shared" si="10"/>
        <v>501773.48386896885</v>
      </c>
    </row>
    <row r="225" spans="1:9" x14ac:dyDescent="0.25">
      <c r="A225" s="61">
        <f>'A) Base RI'!A216</f>
        <v>5732</v>
      </c>
      <c r="B225" s="42" t="str">
        <f>'A) Base RI'!B216</f>
        <v>Vich</v>
      </c>
      <c r="C225" s="19">
        <f>'D) Ecrêtage'!M214</f>
        <v>54131.506219458031</v>
      </c>
      <c r="D225" s="14">
        <f>'A) Base RI'!AN216</f>
        <v>882</v>
      </c>
      <c r="E225" s="19">
        <f t="shared" si="11"/>
        <v>1000918.3760017569</v>
      </c>
      <c r="F225" s="52">
        <f>'F) Population'!K217</f>
        <v>87312.676056338023</v>
      </c>
      <c r="G225" s="14">
        <f>'G) Solidarité'!I214</f>
        <v>0</v>
      </c>
      <c r="H225" s="19">
        <f t="shared" si="9"/>
        <v>87312.676056338023</v>
      </c>
      <c r="I225" s="75">
        <f t="shared" si="10"/>
        <v>913605.69994541886</v>
      </c>
    </row>
    <row r="226" spans="1:9" x14ac:dyDescent="0.25">
      <c r="A226" s="61">
        <f>'A) Base RI'!A217</f>
        <v>5741</v>
      </c>
      <c r="B226" s="42" t="str">
        <f>'A) Base RI'!B217</f>
        <v>L'Abergement</v>
      </c>
      <c r="C226" s="19">
        <f>'D) Ecrêtage'!M215</f>
        <v>6994.8889917695487</v>
      </c>
      <c r="D226" s="14">
        <f>'A) Base RI'!AN217</f>
        <v>250</v>
      </c>
      <c r="E226" s="19">
        <f t="shared" si="11"/>
        <v>129338.96392186223</v>
      </c>
      <c r="F226" s="52">
        <f>'F) Population'!K218</f>
        <v>24748.490945674042</v>
      </c>
      <c r="G226" s="14">
        <f>'G) Solidarité'!I215</f>
        <v>102072.4456937291</v>
      </c>
      <c r="H226" s="19">
        <f t="shared" si="9"/>
        <v>126820.93663940314</v>
      </c>
      <c r="I226" s="75">
        <f t="shared" si="10"/>
        <v>2518.0272824590938</v>
      </c>
    </row>
    <row r="227" spans="1:9" x14ac:dyDescent="0.25">
      <c r="A227" s="61">
        <f>'A) Base RI'!A218</f>
        <v>5742</v>
      </c>
      <c r="B227" s="42" t="str">
        <f>'A) Base RI'!B218</f>
        <v>Agiez</v>
      </c>
      <c r="C227" s="19">
        <f>'D) Ecrêtage'!M216</f>
        <v>9274.0430263157905</v>
      </c>
      <c r="D227" s="14">
        <f>'A) Base RI'!AN218</f>
        <v>308</v>
      </c>
      <c r="E227" s="19">
        <f t="shared" si="11"/>
        <v>171481.65150323723</v>
      </c>
      <c r="F227" s="52">
        <f>'F) Population'!K219</f>
        <v>30490.140845070422</v>
      </c>
      <c r="G227" s="14">
        <f>'G) Solidarité'!I216</f>
        <v>95625.288747577782</v>
      </c>
      <c r="H227" s="19">
        <f t="shared" si="9"/>
        <v>126115.4295926482</v>
      </c>
      <c r="I227" s="75">
        <f t="shared" si="10"/>
        <v>45366.221910589025</v>
      </c>
    </row>
    <row r="228" spans="1:9" x14ac:dyDescent="0.25">
      <c r="A228" s="61">
        <f>'A) Base RI'!A219</f>
        <v>5743</v>
      </c>
      <c r="B228" s="42" t="str">
        <f>'A) Base RI'!B219</f>
        <v>Arnex-sur-Orbe</v>
      </c>
      <c r="C228" s="19">
        <f>'D) Ecrêtage'!M217</f>
        <v>17348.834349315071</v>
      </c>
      <c r="D228" s="14">
        <f>'A) Base RI'!AN219</f>
        <v>625</v>
      </c>
      <c r="E228" s="19">
        <f t="shared" si="11"/>
        <v>320788.54469780158</v>
      </c>
      <c r="F228" s="52">
        <f>'F) Population'!K220</f>
        <v>61871.227364185106</v>
      </c>
      <c r="G228" s="14">
        <f>'G) Solidarité'!I217</f>
        <v>210198.08392549612</v>
      </c>
      <c r="H228" s="19">
        <f t="shared" si="9"/>
        <v>272069.31128968124</v>
      </c>
      <c r="I228" s="75">
        <f t="shared" si="10"/>
        <v>48719.233408120344</v>
      </c>
    </row>
    <row r="229" spans="1:9" x14ac:dyDescent="0.25">
      <c r="A229" s="61">
        <f>'A) Base RI'!A220</f>
        <v>5744</v>
      </c>
      <c r="B229" s="42" t="str">
        <f>'A) Base RI'!B220</f>
        <v>Ballaigues</v>
      </c>
      <c r="C229" s="19">
        <f>'D) Ecrêtage'!M218</f>
        <v>53212.458333333336</v>
      </c>
      <c r="D229" s="14">
        <f>'A) Base RI'!AN220</f>
        <v>1069</v>
      </c>
      <c r="E229" s="19">
        <f t="shared" si="11"/>
        <v>983924.72513384302</v>
      </c>
      <c r="F229" s="52">
        <f>'F) Population'!K221</f>
        <v>122901.0060362173</v>
      </c>
      <c r="G229" s="14">
        <f>'G) Solidarité'!I218</f>
        <v>0</v>
      </c>
      <c r="H229" s="19">
        <f t="shared" si="9"/>
        <v>122901.0060362173</v>
      </c>
      <c r="I229" s="75">
        <f t="shared" si="10"/>
        <v>861023.7190976257</v>
      </c>
    </row>
    <row r="230" spans="1:9" x14ac:dyDescent="0.25">
      <c r="A230" s="61">
        <f>'A) Base RI'!A221</f>
        <v>5745</v>
      </c>
      <c r="B230" s="42" t="str">
        <f>'A) Base RI'!B221</f>
        <v>Baulmes</v>
      </c>
      <c r="C230" s="19">
        <f>'D) Ecrêtage'!M219</f>
        <v>27522.151666666668</v>
      </c>
      <c r="D230" s="14">
        <f>'A) Base RI'!AN221</f>
        <v>1034</v>
      </c>
      <c r="E230" s="19">
        <f t="shared" si="11"/>
        <v>508898.22349653911</v>
      </c>
      <c r="F230" s="52">
        <f>'F) Population'!K222</f>
        <v>110774.24547283701</v>
      </c>
      <c r="G230" s="14">
        <f>'G) Solidarité'!I219</f>
        <v>425575.66190345201</v>
      </c>
      <c r="H230" s="19">
        <f t="shared" si="9"/>
        <v>536349.90737628902</v>
      </c>
      <c r="I230" s="75">
        <f t="shared" si="10"/>
        <v>-27451.683879749908</v>
      </c>
    </row>
    <row r="231" spans="1:9" x14ac:dyDescent="0.25">
      <c r="A231" s="61">
        <f>'A) Base RI'!A222</f>
        <v>5746</v>
      </c>
      <c r="B231" s="42" t="str">
        <f>'A) Base RI'!B222</f>
        <v>Bavois</v>
      </c>
      <c r="C231" s="19">
        <f>'D) Ecrêtage'!M220</f>
        <v>23930.083584474884</v>
      </c>
      <c r="D231" s="14">
        <f>'A) Base RI'!AN222</f>
        <v>939</v>
      </c>
      <c r="E231" s="19">
        <f t="shared" si="11"/>
        <v>442479.10453208728</v>
      </c>
      <c r="F231" s="52">
        <f>'F) Population'!K223</f>
        <v>92955.331991951709</v>
      </c>
      <c r="G231" s="14">
        <f>'G) Solidarité'!I220</f>
        <v>361060.9351464404</v>
      </c>
      <c r="H231" s="19">
        <f t="shared" si="9"/>
        <v>454016.26713839208</v>
      </c>
      <c r="I231" s="75">
        <f t="shared" si="10"/>
        <v>-11537.162606304802</v>
      </c>
    </row>
    <row r="232" spans="1:9" x14ac:dyDescent="0.25">
      <c r="A232" s="61">
        <f>'A) Base RI'!A223</f>
        <v>5747</v>
      </c>
      <c r="B232" s="42" t="str">
        <f>'A) Base RI'!B223</f>
        <v>Bofflens</v>
      </c>
      <c r="C232" s="19">
        <f>'D) Ecrêtage'!M221</f>
        <v>5183.441884057971</v>
      </c>
      <c r="D232" s="14">
        <f>'A) Base RI'!AN223</f>
        <v>187</v>
      </c>
      <c r="E232" s="19">
        <f t="shared" si="11"/>
        <v>95844.409199643662</v>
      </c>
      <c r="F232" s="52">
        <f>'F) Population'!K224</f>
        <v>18511.871227364183</v>
      </c>
      <c r="G232" s="14">
        <f>'G) Solidarité'!I221</f>
        <v>56326.725432722051</v>
      </c>
      <c r="H232" s="19">
        <f t="shared" si="9"/>
        <v>74838.59666008623</v>
      </c>
      <c r="I232" s="75">
        <f t="shared" si="10"/>
        <v>21005.812539557432</v>
      </c>
    </row>
    <row r="233" spans="1:9" x14ac:dyDescent="0.25">
      <c r="A233" s="61">
        <f>'A) Base RI'!A224</f>
        <v>5748</v>
      </c>
      <c r="B233" s="42" t="str">
        <f>'A) Base RI'!B224</f>
        <v>Bretonnières</v>
      </c>
      <c r="C233" s="19">
        <f>'D) Ecrêtage'!M222</f>
        <v>6140.8540277777784</v>
      </c>
      <c r="D233" s="14">
        <f>'A) Base RI'!AN224</f>
        <v>252</v>
      </c>
      <c r="E233" s="19">
        <f t="shared" si="11"/>
        <v>113547.43420270416</v>
      </c>
      <c r="F233" s="52">
        <f>'F) Population'!K225</f>
        <v>24946.478873239434</v>
      </c>
      <c r="G233" s="14">
        <f>'G) Solidarité'!I222</f>
        <v>100062.58980090763</v>
      </c>
      <c r="H233" s="19">
        <f t="shared" si="9"/>
        <v>125009.06867414707</v>
      </c>
      <c r="I233" s="75">
        <f t="shared" si="10"/>
        <v>-11461.634471442914</v>
      </c>
    </row>
    <row r="234" spans="1:9" x14ac:dyDescent="0.25">
      <c r="A234" s="61">
        <f>'A) Base RI'!A225</f>
        <v>5749</v>
      </c>
      <c r="B234" s="42" t="str">
        <f>'A) Base RI'!B225</f>
        <v>Chavornay</v>
      </c>
      <c r="C234" s="19">
        <f>'D) Ecrêtage'!M223</f>
        <v>110381.46250000001</v>
      </c>
      <c r="D234" s="14">
        <f>'A) Base RI'!AN225</f>
        <v>4156</v>
      </c>
      <c r="E234" s="19">
        <f t="shared" si="11"/>
        <v>2041007.9434753442</v>
      </c>
      <c r="F234" s="52">
        <f>'F) Population'!K226</f>
        <v>1364136.8209255533</v>
      </c>
      <c r="G234" s="14">
        <f>'G) Solidarité'!I223</f>
        <v>1462435.8175631717</v>
      </c>
      <c r="H234" s="19">
        <f t="shared" si="9"/>
        <v>2826572.6384887248</v>
      </c>
      <c r="I234" s="75">
        <f t="shared" si="10"/>
        <v>-785564.69501338061</v>
      </c>
    </row>
    <row r="235" spans="1:9" x14ac:dyDescent="0.25">
      <c r="A235" s="61">
        <f>'A) Base RI'!A226</f>
        <v>5750</v>
      </c>
      <c r="B235" s="42" t="str">
        <f>'A) Base RI'!B226</f>
        <v>Les Clées</v>
      </c>
      <c r="C235" s="19">
        <f>'D) Ecrêtage'!M224</f>
        <v>4366.1146666666664</v>
      </c>
      <c r="D235" s="14">
        <f>'A) Base RI'!AN226</f>
        <v>186</v>
      </c>
      <c r="E235" s="19">
        <f t="shared" si="11"/>
        <v>80731.623906422421</v>
      </c>
      <c r="F235" s="52">
        <f>'F) Population'!K227</f>
        <v>18412.877263581489</v>
      </c>
      <c r="G235" s="14">
        <f>'G) Solidarité'!I224</f>
        <v>95417.218598686275</v>
      </c>
      <c r="H235" s="19">
        <f t="shared" si="9"/>
        <v>113830.09586226777</v>
      </c>
      <c r="I235" s="75">
        <f t="shared" si="10"/>
        <v>-33098.471955845351</v>
      </c>
    </row>
    <row r="236" spans="1:9" x14ac:dyDescent="0.25">
      <c r="A236" s="61">
        <f>'A) Base RI'!A227</f>
        <v>5751</v>
      </c>
      <c r="B236" s="42" t="str">
        <f>'A) Base RI'!B227</f>
        <v>Corcelles-sur-Chavornay</v>
      </c>
      <c r="C236" s="19">
        <f>'D) Ecrêtage'!M225</f>
        <v>8804.0960526315775</v>
      </c>
      <c r="D236" s="14">
        <f>'A) Base RI'!AN227</f>
        <v>352</v>
      </c>
      <c r="E236" s="19">
        <f t="shared" si="11"/>
        <v>162792.09906773042</v>
      </c>
      <c r="F236" s="52">
        <f>'F) Population'!K228</f>
        <v>34845.875251509053</v>
      </c>
      <c r="G236" s="14">
        <f>'G) Solidarité'!I225</f>
        <v>150529.01368450132</v>
      </c>
      <c r="H236" s="19">
        <f t="shared" si="9"/>
        <v>185374.88893601036</v>
      </c>
      <c r="I236" s="75">
        <f t="shared" si="10"/>
        <v>-22582.789868279942</v>
      </c>
    </row>
    <row r="237" spans="1:9" x14ac:dyDescent="0.25">
      <c r="A237" s="61">
        <f>'A) Base RI'!A228</f>
        <v>5752</v>
      </c>
      <c r="B237" s="42" t="str">
        <f>'A) Base RI'!B228</f>
        <v>Croy</v>
      </c>
      <c r="C237" s="19">
        <f>'D) Ecrêtage'!M226</f>
        <v>14303.968204633204</v>
      </c>
      <c r="D237" s="14">
        <f>'A) Base RI'!AN228</f>
        <v>335</v>
      </c>
      <c r="E237" s="19">
        <f t="shared" si="11"/>
        <v>264487.46073531255</v>
      </c>
      <c r="F237" s="52">
        <f>'F) Population'!K229</f>
        <v>33162.977867203219</v>
      </c>
      <c r="G237" s="14">
        <f>'G) Solidarité'!I226</f>
        <v>6737.758390083568</v>
      </c>
      <c r="H237" s="19">
        <f t="shared" ref="H237:H283" si="12">F237+G237</f>
        <v>39900.736257286786</v>
      </c>
      <c r="I237" s="75">
        <f t="shared" ref="I237:I283" si="13">E237-H237</f>
        <v>224586.72447802575</v>
      </c>
    </row>
    <row r="238" spans="1:9" x14ac:dyDescent="0.25">
      <c r="A238" s="61">
        <f>'A) Base RI'!A229</f>
        <v>5754</v>
      </c>
      <c r="B238" s="42" t="str">
        <f>'A) Base RI'!B229</f>
        <v>Juriens</v>
      </c>
      <c r="C238" s="19">
        <f>'D) Ecrêtage'!M227</f>
        <v>6475.8115189873415</v>
      </c>
      <c r="D238" s="14">
        <f>'A) Base RI'!AN229</f>
        <v>302</v>
      </c>
      <c r="E238" s="19">
        <f t="shared" si="11"/>
        <v>119740.96421038358</v>
      </c>
      <c r="F238" s="52">
        <f>'F) Population'!K230</f>
        <v>29896.177062374245</v>
      </c>
      <c r="G238" s="14">
        <f>'G) Solidarité'!I227</f>
        <v>166302.33289773998</v>
      </c>
      <c r="H238" s="19">
        <f t="shared" si="12"/>
        <v>196198.50996011423</v>
      </c>
      <c r="I238" s="75">
        <f t="shared" si="13"/>
        <v>-76457.545749730649</v>
      </c>
    </row>
    <row r="239" spans="1:9" x14ac:dyDescent="0.25">
      <c r="A239" s="61">
        <f>'A) Base RI'!A230</f>
        <v>5755</v>
      </c>
      <c r="B239" s="42" t="str">
        <f>'A) Base RI'!B230</f>
        <v>Lignerolle</v>
      </c>
      <c r="C239" s="19">
        <f>'D) Ecrêtage'!M228</f>
        <v>8871.4906525573169</v>
      </c>
      <c r="D239" s="14">
        <f>'A) Base RI'!AN230</f>
        <v>394</v>
      </c>
      <c r="E239" s="19">
        <f t="shared" si="11"/>
        <v>164038.25861916575</v>
      </c>
      <c r="F239" s="52">
        <f>'F) Population'!K231</f>
        <v>39003.621730382292</v>
      </c>
      <c r="G239" s="14">
        <f>'G) Solidarité'!I228</f>
        <v>217049.59728067758</v>
      </c>
      <c r="H239" s="19">
        <f t="shared" si="12"/>
        <v>256053.21901105987</v>
      </c>
      <c r="I239" s="75">
        <f t="shared" si="13"/>
        <v>-92014.960391894128</v>
      </c>
    </row>
    <row r="240" spans="1:9" x14ac:dyDescent="0.25">
      <c r="A240" s="61">
        <f>'A) Base RI'!A231</f>
        <v>5756</v>
      </c>
      <c r="B240" s="42" t="str">
        <f>'A) Base RI'!B231</f>
        <v>Montcherand</v>
      </c>
      <c r="C240" s="19">
        <f>'D) Ecrêtage'!M229</f>
        <v>14808.245169082125</v>
      </c>
      <c r="D240" s="14">
        <f>'A) Base RI'!AN231</f>
        <v>474</v>
      </c>
      <c r="E240" s="19">
        <f t="shared" si="11"/>
        <v>273811.79171300621</v>
      </c>
      <c r="F240" s="52">
        <f>'F) Population'!K232</f>
        <v>46923.138832997982</v>
      </c>
      <c r="G240" s="14">
        <f>'G) Solidarité'!I229</f>
        <v>111153.35168414429</v>
      </c>
      <c r="H240" s="19">
        <f t="shared" si="12"/>
        <v>158076.49051714229</v>
      </c>
      <c r="I240" s="75">
        <f t="shared" si="13"/>
        <v>115735.30119586393</v>
      </c>
    </row>
    <row r="241" spans="1:9" x14ac:dyDescent="0.25">
      <c r="A241" s="61">
        <f>'A) Base RI'!A232</f>
        <v>5757</v>
      </c>
      <c r="B241" s="42" t="str">
        <f>'A) Base RI'!B232</f>
        <v>Orbe</v>
      </c>
      <c r="C241" s="19">
        <f>'D) Ecrêtage'!M230</f>
        <v>210430.38166666671</v>
      </c>
      <c r="D241" s="14">
        <f>'A) Base RI'!AN232</f>
        <v>6767</v>
      </c>
      <c r="E241" s="19">
        <f t="shared" si="11"/>
        <v>3890962.0402086549</v>
      </c>
      <c r="F241" s="52">
        <f>'F) Population'!K233</f>
        <v>2831425.352112676</v>
      </c>
      <c r="G241" s="14">
        <f>'G) Solidarité'!I230</f>
        <v>1748017.0229337572</v>
      </c>
      <c r="H241" s="19">
        <f t="shared" si="12"/>
        <v>4579442.3750464329</v>
      </c>
      <c r="I241" s="75">
        <f t="shared" si="13"/>
        <v>-688480.33483777801</v>
      </c>
    </row>
    <row r="242" spans="1:9" x14ac:dyDescent="0.25">
      <c r="A242" s="61">
        <f>'A) Base RI'!A233</f>
        <v>5758</v>
      </c>
      <c r="B242" s="42" t="str">
        <f>'A) Base RI'!B233</f>
        <v>La Praz</v>
      </c>
      <c r="C242" s="19">
        <f>'D) Ecrêtage'!M231</f>
        <v>3864.2083668005353</v>
      </c>
      <c r="D242" s="14">
        <f>'A) Base RI'!AN233</f>
        <v>160</v>
      </c>
      <c r="E242" s="19">
        <f t="shared" si="11"/>
        <v>71451.127691697126</v>
      </c>
      <c r="F242" s="52">
        <f>'F) Population'!K234</f>
        <v>15839.034205231386</v>
      </c>
      <c r="G242" s="14">
        <f>'G) Solidarité'!I231</f>
        <v>85379.494209378492</v>
      </c>
      <c r="H242" s="19">
        <f t="shared" si="12"/>
        <v>101218.52841460987</v>
      </c>
      <c r="I242" s="75">
        <f t="shared" si="13"/>
        <v>-29767.400722912746</v>
      </c>
    </row>
    <row r="243" spans="1:9" x14ac:dyDescent="0.25">
      <c r="A243" s="61">
        <f>'A) Base RI'!A234</f>
        <v>5759</v>
      </c>
      <c r="B243" s="42" t="str">
        <f>'A) Base RI'!B234</f>
        <v>Premier</v>
      </c>
      <c r="C243" s="19">
        <f>'D) Ecrêtage'!M232</f>
        <v>4558.7250617283944</v>
      </c>
      <c r="D243" s="14">
        <f>'A) Base RI'!AN234</f>
        <v>185</v>
      </c>
      <c r="E243" s="19">
        <f t="shared" si="11"/>
        <v>84293.0855632374</v>
      </c>
      <c r="F243" s="52">
        <f>'F) Population'!K235</f>
        <v>18313.883299798792</v>
      </c>
      <c r="G243" s="14">
        <f>'G) Solidarité'!I232</f>
        <v>91651.423359278328</v>
      </c>
      <c r="H243" s="19">
        <f t="shared" si="12"/>
        <v>109965.30665907712</v>
      </c>
      <c r="I243" s="75">
        <f t="shared" si="13"/>
        <v>-25672.221095839719</v>
      </c>
    </row>
    <row r="244" spans="1:9" x14ac:dyDescent="0.25">
      <c r="A244" s="61">
        <f>'A) Base RI'!A235</f>
        <v>5760</v>
      </c>
      <c r="B244" s="42" t="str">
        <f>'A) Base RI'!B235</f>
        <v>Rances</v>
      </c>
      <c r="C244" s="19">
        <f>'D) Ecrêtage'!M233</f>
        <v>11470.274871794873</v>
      </c>
      <c r="D244" s="14">
        <f>'A) Base RI'!AN235</f>
        <v>460</v>
      </c>
      <c r="E244" s="19">
        <f t="shared" si="11"/>
        <v>212091.0667149293</v>
      </c>
      <c r="F244" s="52">
        <f>'F) Population'!K236</f>
        <v>45537.22334004024</v>
      </c>
      <c r="G244" s="14">
        <f>'G) Solidarité'!I233</f>
        <v>208052.69001187896</v>
      </c>
      <c r="H244" s="19">
        <f t="shared" si="12"/>
        <v>253589.91335191921</v>
      </c>
      <c r="I244" s="75">
        <f t="shared" si="13"/>
        <v>-41498.846636989911</v>
      </c>
    </row>
    <row r="245" spans="1:9" x14ac:dyDescent="0.25">
      <c r="A245" s="61">
        <f>'A) Base RI'!A236</f>
        <v>5761</v>
      </c>
      <c r="B245" s="42" t="str">
        <f>'A) Base RI'!B236</f>
        <v>Romainmôtier-Envy</v>
      </c>
      <c r="C245" s="19">
        <f>'D) Ecrêtage'!M234</f>
        <v>11347.35572368421</v>
      </c>
      <c r="D245" s="14">
        <f>'A) Base RI'!AN236</f>
        <v>525</v>
      </c>
      <c r="E245" s="19">
        <f t="shared" si="11"/>
        <v>209818.23075119959</v>
      </c>
      <c r="F245" s="52">
        <f>'F) Population'!K237</f>
        <v>51971.830985915491</v>
      </c>
      <c r="G245" s="14">
        <f>'G) Solidarité'!I234</f>
        <v>265499.49744012515</v>
      </c>
      <c r="H245" s="19">
        <f t="shared" si="12"/>
        <v>317471.32842604065</v>
      </c>
      <c r="I245" s="75">
        <f t="shared" si="13"/>
        <v>-107653.09767484106</v>
      </c>
    </row>
    <row r="246" spans="1:9" x14ac:dyDescent="0.25">
      <c r="A246" s="61">
        <f>'A) Base RI'!A237</f>
        <v>5762</v>
      </c>
      <c r="B246" s="42" t="str">
        <f>'A) Base RI'!B237</f>
        <v>Sergey</v>
      </c>
      <c r="C246" s="19">
        <f>'D) Ecrêtage'!M235</f>
        <v>3104.8092592592593</v>
      </c>
      <c r="D246" s="14">
        <f>'A) Base RI'!AN237</f>
        <v>144</v>
      </c>
      <c r="E246" s="19">
        <f t="shared" si="11"/>
        <v>57409.461857093505</v>
      </c>
      <c r="F246" s="52">
        <f>'F) Population'!K238</f>
        <v>14255.130784708248</v>
      </c>
      <c r="G246" s="14">
        <f>'G) Solidarité'!I235</f>
        <v>82918.443665967163</v>
      </c>
      <c r="H246" s="19">
        <f t="shared" si="12"/>
        <v>97173.574450675413</v>
      </c>
      <c r="I246" s="75">
        <f t="shared" si="13"/>
        <v>-39764.112593581907</v>
      </c>
    </row>
    <row r="247" spans="1:9" x14ac:dyDescent="0.25">
      <c r="A247" s="61">
        <f>'A) Base RI'!A238</f>
        <v>5763</v>
      </c>
      <c r="B247" s="42" t="str">
        <f>'A) Base RI'!B238</f>
        <v>Valeyres-sous-Rances</v>
      </c>
      <c r="C247" s="19">
        <f>'D) Ecrêtage'!M236</f>
        <v>16129.151764705883</v>
      </c>
      <c r="D247" s="14">
        <f>'A) Base RI'!AN238</f>
        <v>600</v>
      </c>
      <c r="E247" s="19">
        <f t="shared" si="11"/>
        <v>298236.00926907512</v>
      </c>
      <c r="F247" s="52">
        <f>'F) Population'!K239</f>
        <v>59396.3782696177</v>
      </c>
      <c r="G247" s="14">
        <f>'G) Solidarité'!I236</f>
        <v>184765.61722310327</v>
      </c>
      <c r="H247" s="19">
        <f t="shared" si="12"/>
        <v>244161.99549272098</v>
      </c>
      <c r="I247" s="75">
        <f t="shared" si="13"/>
        <v>54074.013776354142</v>
      </c>
    </row>
    <row r="248" spans="1:9" x14ac:dyDescent="0.25">
      <c r="A248" s="61">
        <f>'A) Base RI'!A239</f>
        <v>5764</v>
      </c>
      <c r="B248" s="42" t="str">
        <f>'A) Base RI'!B239</f>
        <v>Vallorbe</v>
      </c>
      <c r="C248" s="19">
        <f>'D) Ecrêtage'!M237</f>
        <v>84393.993513513502</v>
      </c>
      <c r="D248" s="14">
        <f>'A) Base RI'!AN239</f>
        <v>3650</v>
      </c>
      <c r="E248" s="19">
        <f t="shared" si="11"/>
        <v>1560486.7632795472</v>
      </c>
      <c r="F248" s="52">
        <f>'F) Population'!K240</f>
        <v>1113682.092555332</v>
      </c>
      <c r="G248" s="14">
        <f>'G) Solidarité'!I237</f>
        <v>1630099.3001993219</v>
      </c>
      <c r="H248" s="19">
        <f t="shared" si="12"/>
        <v>2743781.3927546539</v>
      </c>
      <c r="I248" s="75">
        <f t="shared" si="13"/>
        <v>-1183294.6294751067</v>
      </c>
    </row>
    <row r="249" spans="1:9" x14ac:dyDescent="0.25">
      <c r="A249" s="61">
        <f>'A) Base RI'!A240</f>
        <v>5765</v>
      </c>
      <c r="B249" s="42" t="str">
        <f>'A) Base RI'!B240</f>
        <v>Vaulion</v>
      </c>
      <c r="C249" s="19">
        <f>'D) Ecrêtage'!M238</f>
        <v>9305.5603703703709</v>
      </c>
      <c r="D249" s="14">
        <f>'A) Base RI'!AN240</f>
        <v>491</v>
      </c>
      <c r="E249" s="19">
        <f t="shared" si="11"/>
        <v>172064.42281388771</v>
      </c>
      <c r="F249" s="52">
        <f>'F) Population'!K241</f>
        <v>48606.036217303823</v>
      </c>
      <c r="G249" s="14">
        <f>'G) Solidarité'!I238</f>
        <v>316164.94991446025</v>
      </c>
      <c r="H249" s="19">
        <f t="shared" si="12"/>
        <v>364770.98613176408</v>
      </c>
      <c r="I249" s="75">
        <f t="shared" si="13"/>
        <v>-192706.56331787637</v>
      </c>
    </row>
    <row r="250" spans="1:9" x14ac:dyDescent="0.25">
      <c r="A250" s="61">
        <f>'A) Base RI'!A241</f>
        <v>5766</v>
      </c>
      <c r="B250" s="42" t="str">
        <f>'A) Base RI'!B241</f>
        <v>Vuiteboeuf</v>
      </c>
      <c r="C250" s="19">
        <f>'D) Ecrêtage'!M239</f>
        <v>11614.965899814471</v>
      </c>
      <c r="D250" s="14">
        <f>'A) Base RI'!AN241</f>
        <v>538</v>
      </c>
      <c r="E250" s="19">
        <f t="shared" si="11"/>
        <v>214766.47552768729</v>
      </c>
      <c r="F250" s="52">
        <f>'F) Population'!K242</f>
        <v>53258.752515090542</v>
      </c>
      <c r="G250" s="14">
        <f>'G) Solidarité'!I239</f>
        <v>279596.12491673266</v>
      </c>
      <c r="H250" s="19">
        <f t="shared" si="12"/>
        <v>332854.87743182317</v>
      </c>
      <c r="I250" s="75">
        <f t="shared" si="13"/>
        <v>-118088.40190413588</v>
      </c>
    </row>
    <row r="251" spans="1:9" x14ac:dyDescent="0.25">
      <c r="A251" s="61">
        <f>'A) Base RI'!A242</f>
        <v>5782</v>
      </c>
      <c r="B251" s="42" t="str">
        <f>'A) Base RI'!B242</f>
        <v>Carrouge</v>
      </c>
      <c r="C251" s="19">
        <f>'D) Ecrêtage'!M240</f>
        <v>30069.638421052627</v>
      </c>
      <c r="D251" s="14">
        <f>'A) Base RI'!AN242</f>
        <v>1204</v>
      </c>
      <c r="E251" s="19">
        <f t="shared" si="11"/>
        <v>556002.51604566129</v>
      </c>
      <c r="F251" s="52">
        <f>'F) Population'!K243</f>
        <v>169675.65392354125</v>
      </c>
      <c r="G251" s="14">
        <f>'G) Solidarité'!I240</f>
        <v>515897.27250969008</v>
      </c>
      <c r="H251" s="19">
        <f t="shared" si="12"/>
        <v>685572.92643323133</v>
      </c>
      <c r="I251" s="75">
        <f t="shared" si="13"/>
        <v>-129570.41038757004</v>
      </c>
    </row>
    <row r="252" spans="1:9" x14ac:dyDescent="0.25">
      <c r="A252" s="61">
        <f>'A) Base RI'!A243</f>
        <v>5785</v>
      </c>
      <c r="B252" s="42" t="str">
        <f>'A) Base RI'!B243</f>
        <v>Corcelles-le-Jorat</v>
      </c>
      <c r="C252" s="19">
        <f>'D) Ecrêtage'!M241</f>
        <v>12293.058354430379</v>
      </c>
      <c r="D252" s="14">
        <f>'A) Base RI'!AN243</f>
        <v>421</v>
      </c>
      <c r="E252" s="19">
        <f t="shared" si="11"/>
        <v>227304.7410564826</v>
      </c>
      <c r="F252" s="52">
        <f>'F) Population'!K244</f>
        <v>41676.458752515086</v>
      </c>
      <c r="G252" s="14">
        <f>'G) Solidarité'!I241</f>
        <v>150752.62794126381</v>
      </c>
      <c r="H252" s="19">
        <f t="shared" si="12"/>
        <v>192429.0866937789</v>
      </c>
      <c r="I252" s="75">
        <f t="shared" si="13"/>
        <v>34875.654362703703</v>
      </c>
    </row>
    <row r="253" spans="1:9" x14ac:dyDescent="0.25">
      <c r="A253" s="61">
        <f>'A) Base RI'!A244</f>
        <v>5788</v>
      </c>
      <c r="B253" s="42" t="str">
        <f>'A) Base RI'!B244</f>
        <v>Essertes</v>
      </c>
      <c r="C253" s="19">
        <f>'D) Ecrêtage'!M242</f>
        <v>10412.319857142857</v>
      </c>
      <c r="D253" s="14">
        <f>'A) Base RI'!AN244</f>
        <v>330</v>
      </c>
      <c r="E253" s="19">
        <f t="shared" si="11"/>
        <v>192528.95420220247</v>
      </c>
      <c r="F253" s="52">
        <f>'F) Population'!K245</f>
        <v>32668.008048289736</v>
      </c>
      <c r="G253" s="14">
        <f>'G) Solidarité'!I242</f>
        <v>77640.918675581823</v>
      </c>
      <c r="H253" s="19">
        <f t="shared" si="12"/>
        <v>110308.92672387155</v>
      </c>
      <c r="I253" s="75">
        <f t="shared" si="13"/>
        <v>82220.027478330914</v>
      </c>
    </row>
    <row r="254" spans="1:9" x14ac:dyDescent="0.25">
      <c r="A254" s="61">
        <f>'A) Base RI'!A245</f>
        <v>5789</v>
      </c>
      <c r="B254" s="42" t="str">
        <f>'A) Base RI'!B245</f>
        <v>Ferlens</v>
      </c>
      <c r="C254" s="19">
        <f>'D) Ecrêtage'!M243</f>
        <v>10073.464805194806</v>
      </c>
      <c r="D254" s="14">
        <f>'A) Base RI'!AN245</f>
        <v>336</v>
      </c>
      <c r="E254" s="19">
        <f t="shared" si="11"/>
        <v>186263.35636495039</v>
      </c>
      <c r="F254" s="52">
        <f>'F) Population'!K246</f>
        <v>33261.971830985916</v>
      </c>
      <c r="G254" s="14">
        <f>'G) Solidarité'!I243</f>
        <v>108111.92782626185</v>
      </c>
      <c r="H254" s="19">
        <f t="shared" si="12"/>
        <v>141373.89965724776</v>
      </c>
      <c r="I254" s="75">
        <f t="shared" si="13"/>
        <v>44889.45670770263</v>
      </c>
    </row>
    <row r="255" spans="1:9" x14ac:dyDescent="0.25">
      <c r="A255" s="61">
        <f>'A) Base RI'!A246</f>
        <v>5790</v>
      </c>
      <c r="B255" s="42" t="str">
        <f>'A) Base RI'!B246</f>
        <v>Maracon</v>
      </c>
      <c r="C255" s="19">
        <f>'D) Ecrêtage'!M244</f>
        <v>12107.709078947366</v>
      </c>
      <c r="D255" s="14">
        <f>'A) Base RI'!AN246</f>
        <v>444</v>
      </c>
      <c r="E255" s="19">
        <f t="shared" si="11"/>
        <v>223877.54109907825</v>
      </c>
      <c r="F255" s="52">
        <f>'F) Population'!K247</f>
        <v>43953.319919517096</v>
      </c>
      <c r="G255" s="14">
        <f>'G) Solidarité'!I244</f>
        <v>166834.38711824387</v>
      </c>
      <c r="H255" s="19">
        <f t="shared" si="12"/>
        <v>210787.70703776096</v>
      </c>
      <c r="I255" s="75">
        <f t="shared" si="13"/>
        <v>13089.834061317291</v>
      </c>
    </row>
    <row r="256" spans="1:9" x14ac:dyDescent="0.25">
      <c r="A256" s="61">
        <f>'A) Base RI'!A247</f>
        <v>5791</v>
      </c>
      <c r="B256" s="42" t="str">
        <f>'A) Base RI'!B247</f>
        <v>Mézières</v>
      </c>
      <c r="C256" s="19">
        <f>'D) Ecrêtage'!M245</f>
        <v>42914.858070175447</v>
      </c>
      <c r="D256" s="14">
        <f>'A) Base RI'!AN247</f>
        <v>1215</v>
      </c>
      <c r="E256" s="19">
        <f t="shared" si="11"/>
        <v>793516.99307612504</v>
      </c>
      <c r="F256" s="52">
        <f>'F) Population'!K248</f>
        <v>173486.92152917504</v>
      </c>
      <c r="G256" s="14">
        <f>'G) Solidarité'!I245</f>
        <v>231752.99758163339</v>
      </c>
      <c r="H256" s="19">
        <f t="shared" si="12"/>
        <v>405239.91911080841</v>
      </c>
      <c r="I256" s="75">
        <f t="shared" si="13"/>
        <v>388277.07396531664</v>
      </c>
    </row>
    <row r="257" spans="1:9" x14ac:dyDescent="0.25">
      <c r="A257" s="61">
        <f>'A) Base RI'!A248</f>
        <v>5792</v>
      </c>
      <c r="B257" s="42" t="str">
        <f>'A) Base RI'!B248</f>
        <v>Montpreveyres</v>
      </c>
      <c r="C257" s="19">
        <f>'D) Ecrêtage'!M246</f>
        <v>19088.494155844161</v>
      </c>
      <c r="D257" s="14">
        <f>'A) Base RI'!AN248</f>
        <v>628</v>
      </c>
      <c r="E257" s="19">
        <f t="shared" si="11"/>
        <v>352955.71664545225</v>
      </c>
      <c r="F257" s="52">
        <f>'F) Population'!K249</f>
        <v>62168.209255533198</v>
      </c>
      <c r="G257" s="14">
        <f>'G) Solidarité'!I246</f>
        <v>195916.82086803141</v>
      </c>
      <c r="H257" s="19">
        <f t="shared" si="12"/>
        <v>258085.03012356462</v>
      </c>
      <c r="I257" s="75">
        <f t="shared" si="13"/>
        <v>94870.686521887634</v>
      </c>
    </row>
    <row r="258" spans="1:9" x14ac:dyDescent="0.25">
      <c r="A258" s="61">
        <f>'A) Base RI'!A249</f>
        <v>5798</v>
      </c>
      <c r="B258" s="42" t="str">
        <f>'A) Base RI'!B249</f>
        <v>Ropraz</v>
      </c>
      <c r="C258" s="19">
        <f>'D) Ecrêtage'!M247</f>
        <v>9558.3067096774193</v>
      </c>
      <c r="D258" s="14">
        <f>'A) Base RI'!AN249</f>
        <v>405</v>
      </c>
      <c r="E258" s="19">
        <f t="shared" si="11"/>
        <v>176737.82788142792</v>
      </c>
      <c r="F258" s="52">
        <f>'F) Population'!K250</f>
        <v>40092.555331991949</v>
      </c>
      <c r="G258" s="14">
        <f>'G) Solidarité'!I247</f>
        <v>193751.72717886814</v>
      </c>
      <c r="H258" s="19">
        <f t="shared" si="12"/>
        <v>233844.2825108601</v>
      </c>
      <c r="I258" s="75">
        <f t="shared" si="13"/>
        <v>-57106.454629432177</v>
      </c>
    </row>
    <row r="259" spans="1:9" x14ac:dyDescent="0.25">
      <c r="A259" s="61">
        <f>'A) Base RI'!A250</f>
        <v>5799</v>
      </c>
      <c r="B259" s="42" t="str">
        <f>'A) Base RI'!B250</f>
        <v>Servion</v>
      </c>
      <c r="C259" s="19">
        <f>'D) Ecrêtage'!M248</f>
        <v>51366.477681159435</v>
      </c>
      <c r="D259" s="14">
        <f>'A) Base RI'!AN250</f>
        <v>1908</v>
      </c>
      <c r="E259" s="19">
        <f t="shared" si="11"/>
        <v>949791.62806069339</v>
      </c>
      <c r="F259" s="52">
        <f>'F) Population'!K251</f>
        <v>413596.7806841046</v>
      </c>
      <c r="G259" s="14">
        <f>'G) Solidarité'!I248</f>
        <v>603527.4947296374</v>
      </c>
      <c r="H259" s="19">
        <f t="shared" si="12"/>
        <v>1017124.2754137421</v>
      </c>
      <c r="I259" s="75">
        <f t="shared" si="13"/>
        <v>-67332.647353048669</v>
      </c>
    </row>
    <row r="260" spans="1:9" x14ac:dyDescent="0.25">
      <c r="A260" s="61">
        <f>'A) Base RI'!A251</f>
        <v>5803</v>
      </c>
      <c r="B260" s="42" t="str">
        <f>'A) Base RI'!B251</f>
        <v>Vulliens</v>
      </c>
      <c r="C260" s="19">
        <f>'D) Ecrêtage'!M249</f>
        <v>12589.149382716048</v>
      </c>
      <c r="D260" s="14">
        <f>'A) Base RI'!AN251</f>
        <v>462</v>
      </c>
      <c r="E260" s="19">
        <f t="shared" si="11"/>
        <v>232779.61090360783</v>
      </c>
      <c r="F260" s="52">
        <f>'F) Population'!K252</f>
        <v>45735.211267605628</v>
      </c>
      <c r="G260" s="14">
        <f>'G) Solidarité'!I249</f>
        <v>197436.84644285397</v>
      </c>
      <c r="H260" s="19">
        <f t="shared" si="12"/>
        <v>243172.0577104596</v>
      </c>
      <c r="I260" s="75">
        <f t="shared" si="13"/>
        <v>-10392.446806851774</v>
      </c>
    </row>
    <row r="261" spans="1:9" x14ac:dyDescent="0.25">
      <c r="A261" s="61">
        <f>'A) Base RI'!A252</f>
        <v>5804</v>
      </c>
      <c r="B261" s="42" t="str">
        <f>'A) Base RI'!B252</f>
        <v>Jorat-Menthue</v>
      </c>
      <c r="C261" s="19">
        <f>'D) Ecrêtage'!M250</f>
        <v>41163.666944444441</v>
      </c>
      <c r="D261" s="14">
        <f>'A) Base RI'!AN252</f>
        <v>1518</v>
      </c>
      <c r="E261" s="19">
        <f t="shared" si="11"/>
        <v>761136.6013218438</v>
      </c>
      <c r="F261" s="52">
        <f>'F) Population'!K253</f>
        <v>278470.02012072434</v>
      </c>
      <c r="G261" s="14">
        <f>'G) Solidarité'!I250</f>
        <v>516708.54201009864</v>
      </c>
      <c r="H261" s="19">
        <f>F261+G261</f>
        <v>795178.56213082303</v>
      </c>
      <c r="I261" s="75">
        <f>E261-H261</f>
        <v>-34041.960808979231</v>
      </c>
    </row>
    <row r="262" spans="1:9" x14ac:dyDescent="0.25">
      <c r="A262" s="61">
        <f>'A) Base RI'!A253</f>
        <v>5805</v>
      </c>
      <c r="B262" s="42" t="str">
        <f>'A) Base RI'!B253</f>
        <v>Oron</v>
      </c>
      <c r="C262" s="19">
        <f>'D) Ecrêtage'!M251</f>
        <v>146504.50986824767</v>
      </c>
      <c r="D262" s="14">
        <f>'A) Base RI'!AN253</f>
        <v>5297</v>
      </c>
      <c r="E262" s="19">
        <f t="shared" si="11"/>
        <v>2708940.9908484896</v>
      </c>
      <c r="F262" s="52">
        <f>'F) Population'!K254</f>
        <v>1958298.5915492959</v>
      </c>
      <c r="G262" s="14">
        <f>'G) Solidarité'!I251</f>
        <v>1601634.8698338089</v>
      </c>
      <c r="H262" s="19">
        <f>F262+G262</f>
        <v>3559933.4613831048</v>
      </c>
      <c r="I262" s="75">
        <f>E262-H262</f>
        <v>-850992.47053461522</v>
      </c>
    </row>
    <row r="263" spans="1:9" x14ac:dyDescent="0.25">
      <c r="A263" s="61">
        <f>'A) Base RI'!A254</f>
        <v>5812</v>
      </c>
      <c r="B263" s="42" t="str">
        <f>'A) Base RI'!B254</f>
        <v>Champtauroz</v>
      </c>
      <c r="C263" s="19">
        <f>'D) Ecrêtage'!M252</f>
        <v>2420.1879870129869</v>
      </c>
      <c r="D263" s="14">
        <f>'A) Base RI'!AN254</f>
        <v>133</v>
      </c>
      <c r="E263" s="19">
        <f t="shared" si="11"/>
        <v>44750.475254820158</v>
      </c>
      <c r="F263" s="52">
        <f>'F) Population'!K255</f>
        <v>13166.197183098591</v>
      </c>
      <c r="G263" s="14">
        <f>'G) Solidarité'!I252</f>
        <v>79761.546208957516</v>
      </c>
      <c r="H263" s="19">
        <f>F263+G263</f>
        <v>92927.743392056102</v>
      </c>
      <c r="I263" s="75">
        <f>E263-H263</f>
        <v>-48177.268137235944</v>
      </c>
    </row>
    <row r="264" spans="1:9" x14ac:dyDescent="0.25">
      <c r="A264" s="61">
        <f>'A) Base RI'!A255</f>
        <v>5813</v>
      </c>
      <c r="B264" s="42" t="str">
        <f>'A) Base RI'!B255</f>
        <v>Chevroux</v>
      </c>
      <c r="C264" s="19">
        <f>'D) Ecrêtage'!M253</f>
        <v>11590.298571428571</v>
      </c>
      <c r="D264" s="14">
        <f>'A) Base RI'!AN255</f>
        <v>430</v>
      </c>
      <c r="E264" s="19">
        <f t="shared" si="11"/>
        <v>214310.36440141973</v>
      </c>
      <c r="F264" s="52">
        <f>'F) Population'!K256</f>
        <v>42567.404426559355</v>
      </c>
      <c r="G264" s="14">
        <f>'G) Solidarité'!I253</f>
        <v>139713.30509604319</v>
      </c>
      <c r="H264" s="19">
        <f t="shared" si="12"/>
        <v>182280.70952260256</v>
      </c>
      <c r="I264" s="75">
        <f t="shared" si="13"/>
        <v>32029.654878817179</v>
      </c>
    </row>
    <row r="265" spans="1:9" x14ac:dyDescent="0.25">
      <c r="A265" s="61">
        <f>'A) Base RI'!A256</f>
        <v>5816</v>
      </c>
      <c r="B265" s="42" t="str">
        <f>'A) Base RI'!B256</f>
        <v>Corcelles-près-Payerne</v>
      </c>
      <c r="C265" s="19">
        <f>'D) Ecrêtage'!M254</f>
        <v>52953.608154761903</v>
      </c>
      <c r="D265" s="14">
        <f>'A) Base RI'!AN256</f>
        <v>2229</v>
      </c>
      <c r="E265" s="19">
        <f t="shared" si="11"/>
        <v>979138.45705341874</v>
      </c>
      <c r="F265" s="52">
        <f>'F) Population'!K257</f>
        <v>524816.4989939637</v>
      </c>
      <c r="G265" s="14">
        <f>'G) Solidarité'!I254</f>
        <v>913202.30122034368</v>
      </c>
      <c r="H265" s="19">
        <f t="shared" si="12"/>
        <v>1438018.8002143074</v>
      </c>
      <c r="I265" s="75">
        <f t="shared" si="13"/>
        <v>-458880.34316088865</v>
      </c>
    </row>
    <row r="266" spans="1:9" x14ac:dyDescent="0.25">
      <c r="A266" s="61">
        <f>'A) Base RI'!A257</f>
        <v>5817</v>
      </c>
      <c r="B266" s="42" t="str">
        <f>'A) Base RI'!B257</f>
        <v>Grandcour</v>
      </c>
      <c r="C266" s="19">
        <f>'D) Ecrêtage'!M255</f>
        <v>20895.78968553459</v>
      </c>
      <c r="D266" s="14">
        <f>'A) Base RI'!AN257</f>
        <v>856</v>
      </c>
      <c r="E266" s="19">
        <f t="shared" si="11"/>
        <v>386373.50663265819</v>
      </c>
      <c r="F266" s="52">
        <f>'F) Population'!K258</f>
        <v>84738.83299798792</v>
      </c>
      <c r="G266" s="14">
        <f>'G) Solidarité'!I255</f>
        <v>413479.9669155599</v>
      </c>
      <c r="H266" s="19">
        <f t="shared" si="12"/>
        <v>498218.79991354782</v>
      </c>
      <c r="I266" s="75">
        <f t="shared" si="13"/>
        <v>-111845.29328088963</v>
      </c>
    </row>
    <row r="267" spans="1:9" x14ac:dyDescent="0.25">
      <c r="A267" s="61">
        <f>'A) Base RI'!A258</f>
        <v>5819</v>
      </c>
      <c r="B267" s="42" t="str">
        <f>'A) Base RI'!B258</f>
        <v>Henniez</v>
      </c>
      <c r="C267" s="19">
        <f>'D) Ecrêtage'!M256</f>
        <v>13106.979402985076</v>
      </c>
      <c r="D267" s="14">
        <f>'A) Base RI'!AN258</f>
        <v>339</v>
      </c>
      <c r="E267" s="19">
        <f t="shared" si="11"/>
        <v>242354.54459991652</v>
      </c>
      <c r="F267" s="52">
        <f>'F) Population'!K259</f>
        <v>33558.953722334001</v>
      </c>
      <c r="G267" s="14">
        <f>'G) Solidarité'!I256</f>
        <v>30016.32727574071</v>
      </c>
      <c r="H267" s="19">
        <f t="shared" si="12"/>
        <v>63575.280998074712</v>
      </c>
      <c r="I267" s="75">
        <f t="shared" si="13"/>
        <v>178779.26360184181</v>
      </c>
    </row>
    <row r="268" spans="1:9" x14ac:dyDescent="0.25">
      <c r="A268" s="61">
        <f>'A) Base RI'!A259</f>
        <v>5821</v>
      </c>
      <c r="B268" s="42" t="str">
        <f>'A) Base RI'!B259</f>
        <v>Missy</v>
      </c>
      <c r="C268" s="19">
        <f>'D) Ecrêtage'!M257</f>
        <v>7313.8070833333331</v>
      </c>
      <c r="D268" s="14">
        <f>'A) Base RI'!AN259</f>
        <v>350</v>
      </c>
      <c r="E268" s="19">
        <f t="shared" si="11"/>
        <v>135235.91748143008</v>
      </c>
      <c r="F268" s="52">
        <f>'F) Population'!K260</f>
        <v>34647.887323943658</v>
      </c>
      <c r="G268" s="14">
        <f>'G) Solidarité'!I257</f>
        <v>164036.99983256735</v>
      </c>
      <c r="H268" s="19">
        <f t="shared" si="12"/>
        <v>198684.88715651102</v>
      </c>
      <c r="I268" s="75">
        <f t="shared" si="13"/>
        <v>-63448.969675080938</v>
      </c>
    </row>
    <row r="269" spans="1:9" x14ac:dyDescent="0.25">
      <c r="A269" s="61">
        <f>'A) Base RI'!A260</f>
        <v>5822</v>
      </c>
      <c r="B269" s="42" t="str">
        <f>'A) Base RI'!B260</f>
        <v>Payerne</v>
      </c>
      <c r="C269" s="19">
        <f>'D) Ecrêtage'!M258</f>
        <v>224445.50853333328</v>
      </c>
      <c r="D269" s="14">
        <f>'A) Base RI'!AN260</f>
        <v>9302</v>
      </c>
      <c r="E269" s="19">
        <f t="shared" si="11"/>
        <v>4150108.6814635778</v>
      </c>
      <c r="F269" s="52">
        <f>'F) Population'!K261</f>
        <v>4411863.9839034202</v>
      </c>
      <c r="G269" s="14">
        <f>'G) Solidarité'!I258</f>
        <v>4057694.2282712203</v>
      </c>
      <c r="H269" s="19">
        <f t="shared" si="12"/>
        <v>8469558.212174641</v>
      </c>
      <c r="I269" s="75">
        <f t="shared" si="13"/>
        <v>-4319449.5307110632</v>
      </c>
    </row>
    <row r="270" spans="1:9" x14ac:dyDescent="0.25">
      <c r="A270" s="61">
        <f>'A) Base RI'!A261</f>
        <v>5827</v>
      </c>
      <c r="B270" s="42" t="str">
        <f>'A) Base RI'!B261</f>
        <v>Trey</v>
      </c>
      <c r="C270" s="19">
        <f>'D) Ecrêtage'!M259</f>
        <v>6544.3336250000011</v>
      </c>
      <c r="D270" s="14">
        <f>'A) Base RI'!AN261</f>
        <v>255</v>
      </c>
      <c r="E270" s="19">
        <f t="shared" si="11"/>
        <v>121007.97190812539</v>
      </c>
      <c r="F270" s="52">
        <f>'F) Population'!K262</f>
        <v>25243.460764587522</v>
      </c>
      <c r="G270" s="14">
        <f>'G) Solidarité'!I259</f>
        <v>116592.87898219792</v>
      </c>
      <c r="H270" s="19">
        <f t="shared" si="12"/>
        <v>141836.33974678544</v>
      </c>
      <c r="I270" s="75">
        <f t="shared" si="13"/>
        <v>-20828.367838660051</v>
      </c>
    </row>
    <row r="271" spans="1:9" x14ac:dyDescent="0.25">
      <c r="A271" s="61">
        <f>'A) Base RI'!A262</f>
        <v>5828</v>
      </c>
      <c r="B271" s="42" t="str">
        <f>'A) Base RI'!B262</f>
        <v>Treytorrens (Payerne)</v>
      </c>
      <c r="C271" s="19">
        <f>'D) Ecrêtage'!M260</f>
        <v>2136.5168650793653</v>
      </c>
      <c r="D271" s="14">
        <f>'A) Base RI'!AN262</f>
        <v>124</v>
      </c>
      <c r="E271" s="19">
        <f t="shared" si="11"/>
        <v>39505.255631089545</v>
      </c>
      <c r="F271" s="52">
        <f>'F) Population'!K263</f>
        <v>12275.251509054326</v>
      </c>
      <c r="G271" s="14">
        <f>'G) Solidarité'!I260</f>
        <v>91865.205086045724</v>
      </c>
      <c r="H271" s="19">
        <f t="shared" si="12"/>
        <v>104140.45659510005</v>
      </c>
      <c r="I271" s="75">
        <f t="shared" si="13"/>
        <v>-64635.20096401051</v>
      </c>
    </row>
    <row r="272" spans="1:9" x14ac:dyDescent="0.25">
      <c r="A272" s="61">
        <f>'A) Base RI'!A263</f>
        <v>5830</v>
      </c>
      <c r="B272" s="42" t="str">
        <f>'A) Base RI'!B263</f>
        <v>Villarzel</v>
      </c>
      <c r="C272" s="19">
        <f>'D) Ecrêtage'!M261</f>
        <v>10236.981518987341</v>
      </c>
      <c r="D272" s="14">
        <f>'A) Base RI'!AN263</f>
        <v>415</v>
      </c>
      <c r="E272" s="19">
        <f t="shared" si="11"/>
        <v>189286.86143711364</v>
      </c>
      <c r="F272" s="52">
        <f>'F) Population'!K264</f>
        <v>41082.494969818908</v>
      </c>
      <c r="G272" s="14">
        <f>'G) Solidarité'!I261</f>
        <v>195304.38423185615</v>
      </c>
      <c r="H272" s="19">
        <f t="shared" si="12"/>
        <v>236386.87920167507</v>
      </c>
      <c r="I272" s="75">
        <f t="shared" si="13"/>
        <v>-47100.017764561431</v>
      </c>
    </row>
    <row r="273" spans="1:9" x14ac:dyDescent="0.25">
      <c r="A273" s="61">
        <f>'A) Base RI'!A264</f>
        <v>5831</v>
      </c>
      <c r="B273" s="42" t="str">
        <f>'A) Base RI'!B264</f>
        <v>Valbroye</v>
      </c>
      <c r="C273" s="19">
        <f>'D) Ecrêtage'!M262</f>
        <v>78037.716438356161</v>
      </c>
      <c r="D273" s="14">
        <f>'A) Base RI'!AN264</f>
        <v>2960</v>
      </c>
      <c r="E273" s="19">
        <f t="shared" ref="E273:E333" si="14">C273*E$15</f>
        <v>1442956.0501733827</v>
      </c>
      <c r="F273" s="52">
        <f>'F) Population'!K265</f>
        <v>778092.55533199187</v>
      </c>
      <c r="G273" s="14">
        <f>'G) Solidarité'!I262</f>
        <v>1082979.8533220796</v>
      </c>
      <c r="H273" s="19">
        <f>F273+G273</f>
        <v>1861072.4086540714</v>
      </c>
      <c r="I273" s="75">
        <f>E273-H273</f>
        <v>-418116.35848068865</v>
      </c>
    </row>
    <row r="274" spans="1:9" x14ac:dyDescent="0.25">
      <c r="A274" s="61">
        <f>'A) Base RI'!A265</f>
        <v>5841</v>
      </c>
      <c r="B274" s="42" t="str">
        <f>'A) Base RI'!B265</f>
        <v>Château-d'Oex</v>
      </c>
      <c r="C274" s="19">
        <f>'D) Ecrêtage'!M263</f>
        <v>107525.73574297188</v>
      </c>
      <c r="D274" s="14">
        <f>'A) Base RI'!AN265</f>
        <v>3408</v>
      </c>
      <c r="E274" s="19">
        <f t="shared" si="14"/>
        <v>1988204.1405225659</v>
      </c>
      <c r="F274" s="52">
        <f>'F) Population'!K266</f>
        <v>993899.39637826954</v>
      </c>
      <c r="G274" s="14">
        <f>'G) Solidarité'!I263</f>
        <v>1127432.6067248143</v>
      </c>
      <c r="H274" s="19">
        <f>F274+G274</f>
        <v>2121332.0031030839</v>
      </c>
      <c r="I274" s="75">
        <f>E274-H274</f>
        <v>-133127.86258051801</v>
      </c>
    </row>
    <row r="275" spans="1:9" x14ac:dyDescent="0.25">
      <c r="A275" s="61">
        <f>'A) Base RI'!A266</f>
        <v>5842</v>
      </c>
      <c r="B275" s="42" t="str">
        <f>'A) Base RI'!B266</f>
        <v>Rossinière</v>
      </c>
      <c r="C275" s="19">
        <f>'D) Ecrêtage'!M264</f>
        <v>16554.125349794238</v>
      </c>
      <c r="D275" s="14">
        <f>'A) Base RI'!AN266</f>
        <v>565</v>
      </c>
      <c r="E275" s="19">
        <f t="shared" si="14"/>
        <v>306093.98146193795</v>
      </c>
      <c r="F275" s="52">
        <f>'F) Population'!K267</f>
        <v>55931.589537223335</v>
      </c>
      <c r="G275" s="14">
        <f>'G) Solidarité'!I264</f>
        <v>211220.06620638623</v>
      </c>
      <c r="H275" s="19">
        <f t="shared" si="12"/>
        <v>267151.65574360953</v>
      </c>
      <c r="I275" s="75">
        <f t="shared" si="13"/>
        <v>38942.325718328415</v>
      </c>
    </row>
    <row r="276" spans="1:9" x14ac:dyDescent="0.25">
      <c r="A276" s="61">
        <f>'A) Base RI'!A267</f>
        <v>5843</v>
      </c>
      <c r="B276" s="42" t="str">
        <f>'A) Base RI'!B267</f>
        <v>Rougemont</v>
      </c>
      <c r="C276" s="19">
        <f>'D) Ecrêtage'!M265</f>
        <v>72188.208025341344</v>
      </c>
      <c r="D276" s="14">
        <f>'A) Base RI'!AN267</f>
        <v>881</v>
      </c>
      <c r="E276" s="19">
        <f t="shared" si="14"/>
        <v>1334795.7407700797</v>
      </c>
      <c r="F276" s="52">
        <f>'F) Population'!K268</f>
        <v>87213.682092555333</v>
      </c>
      <c r="G276" s="14">
        <f>'G) Solidarité'!I265</f>
        <v>0</v>
      </c>
      <c r="H276" s="19">
        <f t="shared" si="12"/>
        <v>87213.682092555333</v>
      </c>
      <c r="I276" s="75">
        <f t="shared" si="13"/>
        <v>1247582.0586775243</v>
      </c>
    </row>
    <row r="277" spans="1:9" x14ac:dyDescent="0.25">
      <c r="A277" s="61">
        <f>'A) Base RI'!A268</f>
        <v>5851</v>
      </c>
      <c r="B277" s="42" t="str">
        <f>'A) Base RI'!B268</f>
        <v>Allaman</v>
      </c>
      <c r="C277" s="19">
        <f>'D) Ecrêtage'!M266</f>
        <v>24621.2150634602</v>
      </c>
      <c r="D277" s="14">
        <f>'A) Base RI'!AN268</f>
        <v>393</v>
      </c>
      <c r="E277" s="19">
        <f t="shared" si="14"/>
        <v>455258.46808323514</v>
      </c>
      <c r="F277" s="52">
        <f>'F) Population'!K269</f>
        <v>38904.627766599595</v>
      </c>
      <c r="G277" s="14">
        <f>'G) Solidarité'!I266</f>
        <v>0</v>
      </c>
      <c r="H277" s="19">
        <f t="shared" si="12"/>
        <v>38904.627766599595</v>
      </c>
      <c r="I277" s="75">
        <f t="shared" si="13"/>
        <v>416353.84031663556</v>
      </c>
    </row>
    <row r="278" spans="1:9" x14ac:dyDescent="0.25">
      <c r="A278" s="61">
        <f>'A) Base RI'!A269</f>
        <v>5852</v>
      </c>
      <c r="B278" s="42" t="str">
        <f>'A) Base RI'!B269</f>
        <v>Bursinel</v>
      </c>
      <c r="C278" s="19">
        <f>'D) Ecrêtage'!M267</f>
        <v>29689.674798254688</v>
      </c>
      <c r="D278" s="14">
        <f>'A) Base RI'!AN269</f>
        <v>477</v>
      </c>
      <c r="E278" s="19">
        <f t="shared" si="14"/>
        <v>548976.80036117975</v>
      </c>
      <c r="F278" s="52">
        <f>'F) Population'!K270</f>
        <v>47220.120724346074</v>
      </c>
      <c r="G278" s="14">
        <f>'G) Solidarité'!I267</f>
        <v>0</v>
      </c>
      <c r="H278" s="19">
        <f t="shared" si="12"/>
        <v>47220.120724346074</v>
      </c>
      <c r="I278" s="75">
        <f t="shared" si="13"/>
        <v>501756.67963683367</v>
      </c>
    </row>
    <row r="279" spans="1:9" x14ac:dyDescent="0.25">
      <c r="A279" s="61">
        <f>'A) Base RI'!A270</f>
        <v>5853</v>
      </c>
      <c r="B279" s="42" t="str">
        <f>'A) Base RI'!B270</f>
        <v>Bursins</v>
      </c>
      <c r="C279" s="19">
        <f>'D) Ecrêtage'!M268</f>
        <v>37118.734366197183</v>
      </c>
      <c r="D279" s="14">
        <f>'A) Base RI'!AN270</f>
        <v>772</v>
      </c>
      <c r="E279" s="19">
        <f t="shared" si="14"/>
        <v>686343.7933988208</v>
      </c>
      <c r="F279" s="52">
        <f>'F) Population'!K271</f>
        <v>76423.340040241441</v>
      </c>
      <c r="G279" s="14">
        <f>'G) Solidarité'!I268</f>
        <v>0</v>
      </c>
      <c r="H279" s="19">
        <f t="shared" si="12"/>
        <v>76423.340040241441</v>
      </c>
      <c r="I279" s="75">
        <f t="shared" si="13"/>
        <v>609920.45335857931</v>
      </c>
    </row>
    <row r="280" spans="1:9" x14ac:dyDescent="0.25">
      <c r="A280" s="61">
        <f>'A) Base RI'!A271</f>
        <v>5854</v>
      </c>
      <c r="B280" s="42" t="str">
        <f>'A) Base RI'!B271</f>
        <v>Burtigny</v>
      </c>
      <c r="C280" s="19">
        <f>'D) Ecrêtage'!M269</f>
        <v>10244.164041666669</v>
      </c>
      <c r="D280" s="14">
        <f>'A) Base RI'!AN271</f>
        <v>352</v>
      </c>
      <c r="E280" s="19">
        <f t="shared" si="14"/>
        <v>189419.66984090427</v>
      </c>
      <c r="F280" s="52">
        <f>'F) Population'!K272</f>
        <v>34845.875251509053</v>
      </c>
      <c r="G280" s="14">
        <f>'G) Solidarité'!I269</f>
        <v>130124.84411703126</v>
      </c>
      <c r="H280" s="19">
        <f t="shared" si="12"/>
        <v>164970.7193685403</v>
      </c>
      <c r="I280" s="75">
        <f t="shared" si="13"/>
        <v>24448.950472363969</v>
      </c>
    </row>
    <row r="281" spans="1:9" x14ac:dyDescent="0.25">
      <c r="A281" s="61">
        <f>'A) Base RI'!A272</f>
        <v>5855</v>
      </c>
      <c r="B281" s="42" t="str">
        <f>'A) Base RI'!B272</f>
        <v>Dully</v>
      </c>
      <c r="C281" s="19">
        <f>'D) Ecrêtage'!M270</f>
        <v>51551.289556577765</v>
      </c>
      <c r="D281" s="14">
        <f>'A) Base RI'!AN272</f>
        <v>636</v>
      </c>
      <c r="E281" s="19">
        <f t="shared" si="14"/>
        <v>953208.89122458186</v>
      </c>
      <c r="F281" s="52">
        <f>'F) Population'!K273</f>
        <v>62960.160965794763</v>
      </c>
      <c r="G281" s="14">
        <f>'G) Solidarité'!I270</f>
        <v>0</v>
      </c>
      <c r="H281" s="19">
        <f t="shared" si="12"/>
        <v>62960.160965794763</v>
      </c>
      <c r="I281" s="75">
        <f t="shared" si="13"/>
        <v>890248.73025878705</v>
      </c>
    </row>
    <row r="282" spans="1:9" x14ac:dyDescent="0.25">
      <c r="A282" s="61">
        <f>'A) Base RI'!A273</f>
        <v>5856</v>
      </c>
      <c r="B282" s="42" t="str">
        <f>'A) Base RI'!B273</f>
        <v>Essertines-sur-Rolle</v>
      </c>
      <c r="C282" s="19">
        <f>'D) Ecrêtage'!M271</f>
        <v>28766.256402714938</v>
      </c>
      <c r="D282" s="14">
        <f>'A) Base RI'!AN273</f>
        <v>700</v>
      </c>
      <c r="E282" s="19">
        <f t="shared" si="14"/>
        <v>531902.33660828392</v>
      </c>
      <c r="F282" s="52">
        <f>'F) Population'!K274</f>
        <v>69295.774647887316</v>
      </c>
      <c r="G282" s="14">
        <f>'G) Solidarité'!I271</f>
        <v>32540.27001335875</v>
      </c>
      <c r="H282" s="19">
        <f t="shared" si="12"/>
        <v>101836.04466124607</v>
      </c>
      <c r="I282" s="75">
        <f t="shared" si="13"/>
        <v>430066.29194703785</v>
      </c>
    </row>
    <row r="283" spans="1:9" x14ac:dyDescent="0.25">
      <c r="A283" s="61">
        <f>'A) Base RI'!A274</f>
        <v>5857</v>
      </c>
      <c r="B283" s="42" t="str">
        <f>'A) Base RI'!B274</f>
        <v>Gilly</v>
      </c>
      <c r="C283" s="19">
        <f>'D) Ecrêtage'!M272</f>
        <v>55694.918787878785</v>
      </c>
      <c r="D283" s="14">
        <f>'A) Base RI'!AN274</f>
        <v>1131</v>
      </c>
      <c r="E283" s="19">
        <f t="shared" si="14"/>
        <v>1029826.6491737666</v>
      </c>
      <c r="F283" s="52">
        <f>'F) Population'!K275</f>
        <v>144382.69617706237</v>
      </c>
      <c r="G283" s="14">
        <f>'G) Solidarité'!I272</f>
        <v>0</v>
      </c>
      <c r="H283" s="19">
        <f t="shared" si="12"/>
        <v>144382.69617706237</v>
      </c>
      <c r="I283" s="75">
        <f t="shared" si="13"/>
        <v>885443.95299670426</v>
      </c>
    </row>
    <row r="284" spans="1:9" x14ac:dyDescent="0.25">
      <c r="A284" s="61">
        <f>'A) Base RI'!A275</f>
        <v>5858</v>
      </c>
      <c r="B284" s="42" t="str">
        <f>'A) Base RI'!B275</f>
        <v>Luins</v>
      </c>
      <c r="C284" s="19">
        <f>'D) Ecrêtage'!M273</f>
        <v>33594.571611111111</v>
      </c>
      <c r="D284" s="14">
        <f>'A) Base RI'!AN275</f>
        <v>633</v>
      </c>
      <c r="E284" s="19">
        <f t="shared" si="14"/>
        <v>621180.27758446359</v>
      </c>
      <c r="F284" s="52">
        <f>'F) Population'!K276</f>
        <v>62663.179074446678</v>
      </c>
      <c r="G284" s="14">
        <f>'G) Solidarité'!I273</f>
        <v>0</v>
      </c>
      <c r="H284" s="19">
        <f t="shared" ref="H284:H333" si="15">F284+G284</f>
        <v>62663.179074446678</v>
      </c>
      <c r="I284" s="75">
        <f t="shared" ref="I284:I333" si="16">E284-H284</f>
        <v>558517.09851001692</v>
      </c>
    </row>
    <row r="285" spans="1:9" x14ac:dyDescent="0.25">
      <c r="A285" s="61">
        <f>'A) Base RI'!A276</f>
        <v>5859</v>
      </c>
      <c r="B285" s="42" t="str">
        <f>'A) Base RI'!B276</f>
        <v>Mont-sur-Rolle</v>
      </c>
      <c r="C285" s="19">
        <f>'D) Ecrêtage'!M274</f>
        <v>145844.19140296514</v>
      </c>
      <c r="D285" s="14">
        <f>'A) Base RI'!AN276</f>
        <v>2594</v>
      </c>
      <c r="E285" s="19">
        <f t="shared" si="14"/>
        <v>2696731.3751907418</v>
      </c>
      <c r="F285" s="52">
        <f>'F) Population'!K277</f>
        <v>651281.28772635816</v>
      </c>
      <c r="G285" s="14">
        <f>'G) Solidarité'!I274</f>
        <v>0</v>
      </c>
      <c r="H285" s="19">
        <f t="shared" si="15"/>
        <v>651281.28772635816</v>
      </c>
      <c r="I285" s="75">
        <f t="shared" si="16"/>
        <v>2045450.0874643838</v>
      </c>
    </row>
    <row r="286" spans="1:9" x14ac:dyDescent="0.25">
      <c r="A286" s="61">
        <f>'A) Base RI'!A277</f>
        <v>5860</v>
      </c>
      <c r="B286" s="42" t="str">
        <f>'A) Base RI'!B277</f>
        <v>Perroy</v>
      </c>
      <c r="C286" s="19">
        <f>'D) Ecrêtage'!M275</f>
        <v>85462.661062115134</v>
      </c>
      <c r="D286" s="14">
        <f>'A) Base RI'!AN277</f>
        <v>1464</v>
      </c>
      <c r="E286" s="19">
        <f t="shared" si="14"/>
        <v>1580246.9558538233</v>
      </c>
      <c r="F286" s="52">
        <f>'F) Population'!K278</f>
        <v>259760.16096579476</v>
      </c>
      <c r="G286" s="14">
        <f>'G) Solidarité'!I275</f>
        <v>0</v>
      </c>
      <c r="H286" s="19">
        <f t="shared" si="15"/>
        <v>259760.16096579476</v>
      </c>
      <c r="I286" s="75">
        <f t="shared" si="16"/>
        <v>1320486.7948880286</v>
      </c>
    </row>
    <row r="287" spans="1:9" x14ac:dyDescent="0.25">
      <c r="A287" s="61">
        <f>'A) Base RI'!A278</f>
        <v>5861</v>
      </c>
      <c r="B287" s="42" t="str">
        <f>'A) Base RI'!B278</f>
        <v>Rolle</v>
      </c>
      <c r="C287" s="19">
        <f>'D) Ecrêtage'!M276</f>
        <v>498836.36659534537</v>
      </c>
      <c r="D287" s="14">
        <f>'A) Base RI'!AN278</f>
        <v>6047</v>
      </c>
      <c r="E287" s="19">
        <f t="shared" si="14"/>
        <v>9223731.6271786001</v>
      </c>
      <c r="F287" s="52">
        <f>'F) Population'!K279</f>
        <v>2403771.4285714286</v>
      </c>
      <c r="G287" s="14">
        <f>'G) Solidarité'!I276</f>
        <v>0</v>
      </c>
      <c r="H287" s="19">
        <f t="shared" si="15"/>
        <v>2403771.4285714286</v>
      </c>
      <c r="I287" s="75">
        <f t="shared" si="16"/>
        <v>6819960.198607171</v>
      </c>
    </row>
    <row r="288" spans="1:9" x14ac:dyDescent="0.25">
      <c r="A288" s="61">
        <f>'A) Base RI'!A279</f>
        <v>5862</v>
      </c>
      <c r="B288" s="42" t="str">
        <f>'A) Base RI'!B279</f>
        <v>Tartegnin</v>
      </c>
      <c r="C288" s="19">
        <f>'D) Ecrêtage'!M277</f>
        <v>9990.8663492063497</v>
      </c>
      <c r="D288" s="14">
        <f>'A) Base RI'!AN279</f>
        <v>230</v>
      </c>
      <c r="E288" s="19">
        <f t="shared" si="14"/>
        <v>184736.06998032547</v>
      </c>
      <c r="F288" s="52">
        <f>'F) Population'!K280</f>
        <v>22768.61167002012</v>
      </c>
      <c r="G288" s="14">
        <f>'G) Solidarité'!I277</f>
        <v>1182.0285054332171</v>
      </c>
      <c r="H288" s="19">
        <f t="shared" si="15"/>
        <v>23950.640175453336</v>
      </c>
      <c r="I288" s="75">
        <f t="shared" si="16"/>
        <v>160785.42980487214</v>
      </c>
    </row>
    <row r="289" spans="1:9" x14ac:dyDescent="0.25">
      <c r="A289" s="61">
        <f>'A) Base RI'!A280</f>
        <v>5863</v>
      </c>
      <c r="B289" s="42" t="str">
        <f>'A) Base RI'!B280</f>
        <v>Vinzel</v>
      </c>
      <c r="C289" s="19">
        <f>'D) Ecrêtage'!M278</f>
        <v>23166.645443928526</v>
      </c>
      <c r="D289" s="14">
        <f>'A) Base RI'!AN280</f>
        <v>349</v>
      </c>
      <c r="E289" s="19">
        <f t="shared" si="14"/>
        <v>428362.75497559214</v>
      </c>
      <c r="F289" s="52">
        <f>'F) Population'!K281</f>
        <v>34548.893360160961</v>
      </c>
      <c r="G289" s="14">
        <f>'G) Solidarité'!I278</f>
        <v>0</v>
      </c>
      <c r="H289" s="19">
        <f t="shared" si="15"/>
        <v>34548.893360160961</v>
      </c>
      <c r="I289" s="75">
        <f t="shared" si="16"/>
        <v>393813.86161543115</v>
      </c>
    </row>
    <row r="290" spans="1:9" x14ac:dyDescent="0.25">
      <c r="A290" s="61">
        <f>'A) Base RI'!A281</f>
        <v>5871</v>
      </c>
      <c r="B290" s="42" t="str">
        <f>'A) Base RI'!B281</f>
        <v>L'Abbaye</v>
      </c>
      <c r="C290" s="19">
        <f>'D) Ecrêtage'!M279</f>
        <v>49270.614706263776</v>
      </c>
      <c r="D290" s="14">
        <f>'A) Base RI'!AN281</f>
        <v>1423</v>
      </c>
      <c r="E290" s="19">
        <f t="shared" si="14"/>
        <v>911038.08300598909</v>
      </c>
      <c r="F290" s="52">
        <f>'F) Population'!K282</f>
        <v>245554.52716297784</v>
      </c>
      <c r="G290" s="14">
        <f>'G) Solidarité'!I279</f>
        <v>302855.90806284553</v>
      </c>
      <c r="H290" s="19">
        <f t="shared" si="15"/>
        <v>548410.43522582343</v>
      </c>
      <c r="I290" s="75">
        <f t="shared" si="16"/>
        <v>362627.64778016566</v>
      </c>
    </row>
    <row r="291" spans="1:9" x14ac:dyDescent="0.25">
      <c r="A291" s="61">
        <f>'A) Base RI'!A282</f>
        <v>5872</v>
      </c>
      <c r="B291" s="42" t="str">
        <f>'A) Base RI'!B282</f>
        <v>Le Chenit</v>
      </c>
      <c r="C291" s="19">
        <f>'D) Ecrêtage'!M280</f>
        <v>291401.48019129108</v>
      </c>
      <c r="D291" s="14">
        <f>'A) Base RI'!AN282</f>
        <v>4614</v>
      </c>
      <c r="E291" s="19">
        <f t="shared" si="14"/>
        <v>5388157.7788561936</v>
      </c>
      <c r="F291" s="52">
        <f>'F) Population'!K283</f>
        <v>1590832.9979879274</v>
      </c>
      <c r="G291" s="14">
        <f>'G) Solidarité'!I280</f>
        <v>0</v>
      </c>
      <c r="H291" s="19">
        <f t="shared" si="15"/>
        <v>1590832.9979879274</v>
      </c>
      <c r="I291" s="75">
        <f t="shared" si="16"/>
        <v>3797324.7808682662</v>
      </c>
    </row>
    <row r="292" spans="1:9" x14ac:dyDescent="0.25">
      <c r="A292" s="61">
        <f>'A) Base RI'!A283</f>
        <v>5873</v>
      </c>
      <c r="B292" s="42" t="str">
        <f>'A) Base RI'!B283</f>
        <v>Le Lieu</v>
      </c>
      <c r="C292" s="19">
        <f>'D) Ecrêtage'!M281</f>
        <v>35906.558461538458</v>
      </c>
      <c r="D292" s="14">
        <f>'A) Base RI'!AN283</f>
        <v>859</v>
      </c>
      <c r="E292" s="19">
        <f t="shared" si="14"/>
        <v>663930.06020247121</v>
      </c>
      <c r="F292" s="52">
        <f>'F) Population'!K284</f>
        <v>85035.814889336005</v>
      </c>
      <c r="G292" s="14">
        <f>'G) Solidarité'!I281</f>
        <v>26295.669343587255</v>
      </c>
      <c r="H292" s="19">
        <f t="shared" si="15"/>
        <v>111331.48423292326</v>
      </c>
      <c r="I292" s="75">
        <f t="shared" si="16"/>
        <v>552598.57596954796</v>
      </c>
    </row>
    <row r="293" spans="1:9" x14ac:dyDescent="0.25">
      <c r="A293" s="61">
        <f>'A) Base RI'!A284</f>
        <v>5881</v>
      </c>
      <c r="B293" s="42" t="str">
        <f>'A) Base RI'!B284</f>
        <v>Blonay</v>
      </c>
      <c r="C293" s="19">
        <f>'D) Ecrêtage'!M282</f>
        <v>345610.45704485953</v>
      </c>
      <c r="D293" s="14">
        <f>'A) Base RI'!AN284</f>
        <v>6132</v>
      </c>
      <c r="E293" s="19">
        <f t="shared" si="14"/>
        <v>6390508.625274851</v>
      </c>
      <c r="F293" s="52">
        <f>'F) Population'!K285</f>
        <v>2454258.3501006039</v>
      </c>
      <c r="G293" s="14">
        <f>'G) Solidarité'!I282</f>
        <v>0</v>
      </c>
      <c r="H293" s="19">
        <f t="shared" si="15"/>
        <v>2454258.3501006039</v>
      </c>
      <c r="I293" s="75">
        <f t="shared" si="16"/>
        <v>3936250.2751742471</v>
      </c>
    </row>
    <row r="294" spans="1:9" x14ac:dyDescent="0.25">
      <c r="A294" s="61">
        <f>'A) Base RI'!A285</f>
        <v>5882</v>
      </c>
      <c r="B294" s="42" t="str">
        <f>'A) Base RI'!B285</f>
        <v>Chardonne</v>
      </c>
      <c r="C294" s="19">
        <f>'D) Ecrêtage'!M283</f>
        <v>161443.20422773872</v>
      </c>
      <c r="D294" s="14">
        <f>'A) Base RI'!AN285</f>
        <v>2889</v>
      </c>
      <c r="E294" s="19">
        <f t="shared" si="14"/>
        <v>2985164.8527389909</v>
      </c>
      <c r="F294" s="52">
        <f>'F) Population'!K286</f>
        <v>753492.55533199187</v>
      </c>
      <c r="G294" s="14">
        <f>'G) Solidarité'!I283</f>
        <v>0</v>
      </c>
      <c r="H294" s="19">
        <f t="shared" si="15"/>
        <v>753492.55533199187</v>
      </c>
      <c r="I294" s="75">
        <f t="shared" si="16"/>
        <v>2231672.2974069989</v>
      </c>
    </row>
    <row r="295" spans="1:9" x14ac:dyDescent="0.25">
      <c r="A295" s="61">
        <f>'A) Base RI'!A286</f>
        <v>5883</v>
      </c>
      <c r="B295" s="42" t="str">
        <f>'A) Base RI'!B286</f>
        <v>Corseaux</v>
      </c>
      <c r="C295" s="19">
        <f>'D) Ecrêtage'!M284</f>
        <v>135434.27141574418</v>
      </c>
      <c r="D295" s="14">
        <f>'A) Base RI'!AN286</f>
        <v>2172</v>
      </c>
      <c r="E295" s="19">
        <f t="shared" si="14"/>
        <v>2504246.7957727015</v>
      </c>
      <c r="F295" s="52">
        <f>'F) Population'!K287</f>
        <v>505067.20321931585</v>
      </c>
      <c r="G295" s="14">
        <f>'G) Solidarité'!I284</f>
        <v>0</v>
      </c>
      <c r="H295" s="19">
        <f t="shared" si="15"/>
        <v>505067.20321931585</v>
      </c>
      <c r="I295" s="75">
        <f t="shared" si="16"/>
        <v>1999179.5925533855</v>
      </c>
    </row>
    <row r="296" spans="1:9" x14ac:dyDescent="0.25">
      <c r="A296" s="61">
        <f>'A) Base RI'!A287</f>
        <v>5884</v>
      </c>
      <c r="B296" s="42" t="str">
        <f>'A) Base RI'!B287</f>
        <v>Corsier-sur-Vevey</v>
      </c>
      <c r="C296" s="19">
        <f>'D) Ecrêtage'!M285</f>
        <v>132379.93277777778</v>
      </c>
      <c r="D296" s="14">
        <f>'A) Base RI'!AN287</f>
        <v>3427</v>
      </c>
      <c r="E296" s="19">
        <f t="shared" si="14"/>
        <v>2447770.5607150886</v>
      </c>
      <c r="F296" s="52">
        <f>'F) Population'!K288</f>
        <v>1003303.8229376257</v>
      </c>
      <c r="G296" s="14">
        <f>'G) Solidarité'!I285</f>
        <v>296535.88220555452</v>
      </c>
      <c r="H296" s="19">
        <f t="shared" si="15"/>
        <v>1299839.7051431802</v>
      </c>
      <c r="I296" s="75">
        <f t="shared" si="16"/>
        <v>1147930.8555719084</v>
      </c>
    </row>
    <row r="297" spans="1:9" x14ac:dyDescent="0.25">
      <c r="A297" s="61">
        <f>'A) Base RI'!A288</f>
        <v>5885</v>
      </c>
      <c r="B297" s="42" t="str">
        <f>'A) Base RI'!B288</f>
        <v>Jongny</v>
      </c>
      <c r="C297" s="19">
        <f>'D) Ecrêtage'!M286</f>
        <v>140402.47310602231</v>
      </c>
      <c r="D297" s="14">
        <f>'A) Base RI'!AN288</f>
        <v>1493</v>
      </c>
      <c r="E297" s="19">
        <f t="shared" si="14"/>
        <v>2596111.3071225607</v>
      </c>
      <c r="F297" s="52">
        <f>'F) Population'!K289</f>
        <v>269808.04828973842</v>
      </c>
      <c r="G297" s="14">
        <f>'G) Solidarité'!I286</f>
        <v>0</v>
      </c>
      <c r="H297" s="19">
        <f t="shared" si="15"/>
        <v>269808.04828973842</v>
      </c>
      <c r="I297" s="75">
        <f t="shared" si="16"/>
        <v>2326303.2588328221</v>
      </c>
    </row>
    <row r="298" spans="1:9" x14ac:dyDescent="0.25">
      <c r="A298" s="61">
        <f>'A) Base RI'!A289</f>
        <v>5886</v>
      </c>
      <c r="B298" s="42" t="str">
        <f>'A) Base RI'!B289</f>
        <v>Montreux</v>
      </c>
      <c r="C298" s="19">
        <f>'D) Ecrêtage'!M287</f>
        <v>1113145.3400000003</v>
      </c>
      <c r="D298" s="14">
        <f>'A) Base RI'!AN289</f>
        <v>26283</v>
      </c>
      <c r="E298" s="19">
        <f t="shared" si="14"/>
        <v>20582608.979135089</v>
      </c>
      <c r="F298" s="52">
        <f>'F) Population'!K290</f>
        <v>21379874.84909457</v>
      </c>
      <c r="G298" s="14">
        <f>'G) Solidarité'!I287</f>
        <v>560766.09424747981</v>
      </c>
      <c r="H298" s="19">
        <f t="shared" si="15"/>
        <v>21940640.943342049</v>
      </c>
      <c r="I298" s="75">
        <f t="shared" si="16"/>
        <v>-1358031.9642069601</v>
      </c>
    </row>
    <row r="299" spans="1:9" x14ac:dyDescent="0.25">
      <c r="A299" s="61">
        <f>'A) Base RI'!A290</f>
        <v>5888</v>
      </c>
      <c r="B299" s="42" t="str">
        <f>'A) Base RI'!B290</f>
        <v>Saint-Légier-La Chiésaz</v>
      </c>
      <c r="C299" s="19">
        <f>'D) Ecrêtage'!M288</f>
        <v>300951.67037929955</v>
      </c>
      <c r="D299" s="14">
        <f>'A) Base RI'!AN290</f>
        <v>5071</v>
      </c>
      <c r="E299" s="19">
        <f t="shared" si="14"/>
        <v>5564745.5282296501</v>
      </c>
      <c r="F299" s="52">
        <f>'F) Population'!K291</f>
        <v>1824062.7766599599</v>
      </c>
      <c r="G299" s="14">
        <f>'G) Solidarité'!I288</f>
        <v>0</v>
      </c>
      <c r="H299" s="19">
        <f t="shared" si="15"/>
        <v>1824062.7766599599</v>
      </c>
      <c r="I299" s="75">
        <f t="shared" si="16"/>
        <v>3740682.7515696902</v>
      </c>
    </row>
    <row r="300" spans="1:9" x14ac:dyDescent="0.25">
      <c r="A300" s="61">
        <f>'A) Base RI'!A291</f>
        <v>5889</v>
      </c>
      <c r="B300" s="42" t="str">
        <f>'A) Base RI'!B291</f>
        <v>La Tour-de-Peilz</v>
      </c>
      <c r="C300" s="19">
        <f>'D) Ecrêtage'!M289</f>
        <v>590141.45856770838</v>
      </c>
      <c r="D300" s="14">
        <f>'A) Base RI'!AN291</f>
        <v>11421</v>
      </c>
      <c r="E300" s="19">
        <f t="shared" si="14"/>
        <v>10912008.025902161</v>
      </c>
      <c r="F300" s="52">
        <f>'F) Population'!K292</f>
        <v>6194893.7625754531</v>
      </c>
      <c r="G300" s="14">
        <f>'G) Solidarité'!I289</f>
        <v>0</v>
      </c>
      <c r="H300" s="19">
        <f t="shared" si="15"/>
        <v>6194893.7625754531</v>
      </c>
      <c r="I300" s="75">
        <f t="shared" si="16"/>
        <v>4717114.2633267082</v>
      </c>
    </row>
    <row r="301" spans="1:9" x14ac:dyDescent="0.25">
      <c r="A301" s="61">
        <f>'A) Base RI'!A292</f>
        <v>5890</v>
      </c>
      <c r="B301" s="42" t="str">
        <f>'A) Base RI'!B292</f>
        <v>Vevey</v>
      </c>
      <c r="C301" s="19">
        <f>'D) Ecrêtage'!M290</f>
        <v>922155.6933561645</v>
      </c>
      <c r="D301" s="14">
        <f>'A) Base RI'!AN292</f>
        <v>19217</v>
      </c>
      <c r="E301" s="19">
        <f t="shared" si="14"/>
        <v>17051115.763762828</v>
      </c>
      <c r="F301" s="52">
        <f>'F) Population'!K293</f>
        <v>14035215.694164991</v>
      </c>
      <c r="G301" s="14">
        <f>'G) Solidarité'!I290</f>
        <v>0</v>
      </c>
      <c r="H301" s="19">
        <f t="shared" si="15"/>
        <v>14035215.694164991</v>
      </c>
      <c r="I301" s="75">
        <f t="shared" si="16"/>
        <v>3015900.0695978366</v>
      </c>
    </row>
    <row r="302" spans="1:9" x14ac:dyDescent="0.25">
      <c r="A302" s="61">
        <f>'A) Base RI'!A293</f>
        <v>5891</v>
      </c>
      <c r="B302" s="42" t="str">
        <f>'A) Base RI'!B293</f>
        <v>Veytaux</v>
      </c>
      <c r="C302" s="19">
        <f>'D) Ecrêtage'!M291</f>
        <v>37259.444879227056</v>
      </c>
      <c r="D302" s="14">
        <f>'A) Base RI'!AN293</f>
        <v>854</v>
      </c>
      <c r="E302" s="19">
        <f t="shared" si="14"/>
        <v>688945.60051679099</v>
      </c>
      <c r="F302" s="52">
        <f>'F) Population'!K294</f>
        <v>84540.845070422525</v>
      </c>
      <c r="G302" s="14">
        <f>'G) Solidarité'!I291</f>
        <v>0</v>
      </c>
      <c r="H302" s="19">
        <f t="shared" si="15"/>
        <v>84540.845070422525</v>
      </c>
      <c r="I302" s="75">
        <f t="shared" si="16"/>
        <v>604404.75544636848</v>
      </c>
    </row>
    <row r="303" spans="1:9" x14ac:dyDescent="0.25">
      <c r="A303" s="61">
        <f>'A) Base RI'!A294</f>
        <v>5902</v>
      </c>
      <c r="B303" s="42" t="str">
        <f>'A) Base RI'!B294</f>
        <v>Belmont-sur-Yverdon</v>
      </c>
      <c r="C303" s="19">
        <f>'D) Ecrêtage'!M292</f>
        <v>8642.2247368421067</v>
      </c>
      <c r="D303" s="14">
        <f>'A) Base RI'!AN294</f>
        <v>369</v>
      </c>
      <c r="E303" s="19">
        <f t="shared" si="14"/>
        <v>159799.01822005532</v>
      </c>
      <c r="F303" s="52">
        <f>'F) Population'!K295</f>
        <v>36528.772635814887</v>
      </c>
      <c r="G303" s="14">
        <f>'G) Solidarité'!I292</f>
        <v>171289.15048004012</v>
      </c>
      <c r="H303" s="19">
        <f t="shared" si="15"/>
        <v>207817.923115855</v>
      </c>
      <c r="I303" s="75">
        <f t="shared" si="16"/>
        <v>-48018.904895799671</v>
      </c>
    </row>
    <row r="304" spans="1:9" x14ac:dyDescent="0.25">
      <c r="A304" s="61">
        <f>'A) Base RI'!A295</f>
        <v>5903</v>
      </c>
      <c r="B304" s="42" t="str">
        <f>'A) Base RI'!B295</f>
        <v>Bioley-Magnoux</v>
      </c>
      <c r="C304" s="19">
        <f>'D) Ecrêtage'!M293</f>
        <v>6046.5271621621623</v>
      </c>
      <c r="D304" s="14">
        <f>'A) Base RI'!AN295</f>
        <v>201</v>
      </c>
      <c r="E304" s="19">
        <f t="shared" si="14"/>
        <v>111803.28371181351</v>
      </c>
      <c r="F304" s="52">
        <f>'F) Population'!K296</f>
        <v>19897.786720321928</v>
      </c>
      <c r="G304" s="14">
        <f>'G) Solidarité'!I293</f>
        <v>59287.510454663236</v>
      </c>
      <c r="H304" s="19">
        <f t="shared" si="15"/>
        <v>79185.297174985171</v>
      </c>
      <c r="I304" s="75">
        <f t="shared" si="16"/>
        <v>32617.986536828335</v>
      </c>
    </row>
    <row r="305" spans="1:9" x14ac:dyDescent="0.25">
      <c r="A305" s="61">
        <f>'A) Base RI'!A296</f>
        <v>5904</v>
      </c>
      <c r="B305" s="42" t="str">
        <f>'A) Base RI'!B296</f>
        <v>Chamblon</v>
      </c>
      <c r="C305" s="19">
        <f>'D) Ecrêtage'!M294</f>
        <v>20170.434545454544</v>
      </c>
      <c r="D305" s="14">
        <f>'A) Base RI'!AN296</f>
        <v>568</v>
      </c>
      <c r="E305" s="19">
        <f t="shared" si="14"/>
        <v>372961.33062761521</v>
      </c>
      <c r="F305" s="52">
        <f>'F) Population'!K297</f>
        <v>56228.571428571428</v>
      </c>
      <c r="G305" s="14">
        <f>'G) Solidarité'!I294</f>
        <v>79832.051885346169</v>
      </c>
      <c r="H305" s="19">
        <f t="shared" si="15"/>
        <v>136060.6233139176</v>
      </c>
      <c r="I305" s="75">
        <f t="shared" si="16"/>
        <v>236900.70731369761</v>
      </c>
    </row>
    <row r="306" spans="1:9" x14ac:dyDescent="0.25">
      <c r="A306" s="61">
        <f>'A) Base RI'!A297</f>
        <v>5905</v>
      </c>
      <c r="B306" s="42" t="str">
        <f>'A) Base RI'!B297</f>
        <v>Champvent</v>
      </c>
      <c r="C306" s="19">
        <f>'D) Ecrêtage'!M295</f>
        <v>18220.765633802814</v>
      </c>
      <c r="D306" s="14">
        <f>'A) Base RI'!AN297</f>
        <v>617</v>
      </c>
      <c r="E306" s="19">
        <f t="shared" si="14"/>
        <v>336910.98625182745</v>
      </c>
      <c r="F306" s="52">
        <f>'F) Population'!K298</f>
        <v>61079.275653923534</v>
      </c>
      <c r="G306" s="14">
        <f>'G) Solidarité'!I295</f>
        <v>174353.02146096018</v>
      </c>
      <c r="H306" s="19">
        <f t="shared" si="15"/>
        <v>235432.29711488372</v>
      </c>
      <c r="I306" s="75">
        <f t="shared" si="16"/>
        <v>101478.68913694372</v>
      </c>
    </row>
    <row r="307" spans="1:9" x14ac:dyDescent="0.25">
      <c r="A307" s="61">
        <f>'A) Base RI'!A298</f>
        <v>5907</v>
      </c>
      <c r="B307" s="42" t="str">
        <f>'A) Base RI'!B298</f>
        <v>Chavannes-le-Chêne</v>
      </c>
      <c r="C307" s="19">
        <f>'D) Ecrêtage'!M296</f>
        <v>6951.74782051282</v>
      </c>
      <c r="D307" s="14">
        <f>'A) Base RI'!AN298</f>
        <v>278</v>
      </c>
      <c r="E307" s="19">
        <f t="shared" si="14"/>
        <v>128541.2622858125</v>
      </c>
      <c r="F307" s="52">
        <f>'F) Population'!K299</f>
        <v>27520.321931589537</v>
      </c>
      <c r="G307" s="14">
        <f>'G) Solidarité'!I296</f>
        <v>125259.07147795502</v>
      </c>
      <c r="H307" s="19">
        <f t="shared" si="15"/>
        <v>152779.39340954454</v>
      </c>
      <c r="I307" s="75">
        <f t="shared" si="16"/>
        <v>-24238.131123732048</v>
      </c>
    </row>
    <row r="308" spans="1:9" x14ac:dyDescent="0.25">
      <c r="A308" s="61">
        <f>'A) Base RI'!A299</f>
        <v>5908</v>
      </c>
      <c r="B308" s="42" t="str">
        <f>'A) Base RI'!B299</f>
        <v>Chêne-Pâquier</v>
      </c>
      <c r="C308" s="19">
        <f>'D) Ecrêtage'!M297</f>
        <v>2899.0017721518989</v>
      </c>
      <c r="D308" s="14">
        <f>'A) Base RI'!AN299</f>
        <v>125</v>
      </c>
      <c r="E308" s="19">
        <f t="shared" si="14"/>
        <v>53603.979428258841</v>
      </c>
      <c r="F308" s="52">
        <f>'F) Population'!K300</f>
        <v>12374.245472837021</v>
      </c>
      <c r="G308" s="14">
        <f>'G) Solidarité'!I297</f>
        <v>63405.73579903564</v>
      </c>
      <c r="H308" s="19">
        <f t="shared" si="15"/>
        <v>75779.981271872661</v>
      </c>
      <c r="I308" s="75">
        <f t="shared" si="16"/>
        <v>-22176.00184361382</v>
      </c>
    </row>
    <row r="309" spans="1:9" x14ac:dyDescent="0.25">
      <c r="A309" s="61">
        <f>'A) Base RI'!A300</f>
        <v>5909</v>
      </c>
      <c r="B309" s="42" t="str">
        <f>'A) Base RI'!B300</f>
        <v>Cheseaux-Noréaz</v>
      </c>
      <c r="C309" s="19">
        <f>'D) Ecrêtage'!M298</f>
        <v>22661.846714285719</v>
      </c>
      <c r="D309" s="14">
        <f>'A) Base RI'!AN300</f>
        <v>664</v>
      </c>
      <c r="E309" s="19">
        <f t="shared" si="14"/>
        <v>419028.77630089183</v>
      </c>
      <c r="F309" s="52">
        <f>'F) Population'!K301</f>
        <v>65731.991951710253</v>
      </c>
      <c r="G309" s="14">
        <f>'G) Solidarité'!I298</f>
        <v>122868.81523738446</v>
      </c>
      <c r="H309" s="19">
        <f t="shared" si="15"/>
        <v>188600.80718909472</v>
      </c>
      <c r="I309" s="75">
        <f t="shared" si="16"/>
        <v>230427.96911179711</v>
      </c>
    </row>
    <row r="310" spans="1:9" x14ac:dyDescent="0.25">
      <c r="A310" s="61">
        <f>'A) Base RI'!A301</f>
        <v>5910</v>
      </c>
      <c r="B310" s="42" t="str">
        <f>'A) Base RI'!B301</f>
        <v>Cronay</v>
      </c>
      <c r="C310" s="19">
        <f>'D) Ecrêtage'!M299</f>
        <v>10409.753209876544</v>
      </c>
      <c r="D310" s="14">
        <f>'A) Base RI'!AN301</f>
        <v>364</v>
      </c>
      <c r="E310" s="19">
        <f t="shared" si="14"/>
        <v>192481.49562229242</v>
      </c>
      <c r="F310" s="52">
        <f>'F) Population'!K302</f>
        <v>36033.802816901407</v>
      </c>
      <c r="G310" s="14">
        <f>'G) Solidarité'!I299</f>
        <v>142739.43918757117</v>
      </c>
      <c r="H310" s="19">
        <f t="shared" si="15"/>
        <v>178773.24200447259</v>
      </c>
      <c r="I310" s="75">
        <f t="shared" si="16"/>
        <v>13708.253617819835</v>
      </c>
    </row>
    <row r="311" spans="1:9" x14ac:dyDescent="0.25">
      <c r="A311" s="61">
        <f>'A) Base RI'!A302</f>
        <v>5911</v>
      </c>
      <c r="B311" s="42" t="str">
        <f>'A) Base RI'!B302</f>
        <v>Cuarny</v>
      </c>
      <c r="C311" s="19">
        <f>'D) Ecrêtage'!M300</f>
        <v>6783.6280246913584</v>
      </c>
      <c r="D311" s="14">
        <f>'A) Base RI'!AN302</f>
        <v>216</v>
      </c>
      <c r="E311" s="19">
        <f t="shared" si="14"/>
        <v>125432.64394578048</v>
      </c>
      <c r="F311" s="52">
        <f>'F) Population'!K303</f>
        <v>21382.696177062371</v>
      </c>
      <c r="G311" s="14">
        <f>'G) Solidarité'!I300</f>
        <v>68873.946271374472</v>
      </c>
      <c r="H311" s="19">
        <f t="shared" si="15"/>
        <v>90256.642448436847</v>
      </c>
      <c r="I311" s="75">
        <f t="shared" si="16"/>
        <v>35176.001497343634</v>
      </c>
    </row>
    <row r="312" spans="1:9" x14ac:dyDescent="0.25">
      <c r="A312" s="61">
        <f>'A) Base RI'!A303</f>
        <v>5912</v>
      </c>
      <c r="B312" s="42" t="str">
        <f>'A) Base RI'!B303</f>
        <v>Démoret</v>
      </c>
      <c r="C312" s="19">
        <f>'D) Ecrêtage'!M301</f>
        <v>3146.6025925925924</v>
      </c>
      <c r="D312" s="14">
        <f>'A) Base RI'!AN303</f>
        <v>123</v>
      </c>
      <c r="E312" s="19">
        <f t="shared" si="14"/>
        <v>58182.241301990296</v>
      </c>
      <c r="F312" s="52">
        <f>'F) Population'!K304</f>
        <v>12176.257545271628</v>
      </c>
      <c r="G312" s="14">
        <f>'G) Solidarité'!I301</f>
        <v>57916.681868957065</v>
      </c>
      <c r="H312" s="19">
        <f t="shared" si="15"/>
        <v>70092.939414228691</v>
      </c>
      <c r="I312" s="75">
        <f t="shared" si="16"/>
        <v>-11910.698112238395</v>
      </c>
    </row>
    <row r="313" spans="1:9" x14ac:dyDescent="0.25">
      <c r="A313" s="61">
        <f>'A) Base RI'!A304</f>
        <v>5913</v>
      </c>
      <c r="B313" s="42" t="str">
        <f>'A) Base RI'!B304</f>
        <v>Donneloye</v>
      </c>
      <c r="C313" s="19">
        <f>'D) Ecrêtage'!M302</f>
        <v>23116.238767123283</v>
      </c>
      <c r="D313" s="14">
        <f>'A) Base RI'!AN304</f>
        <v>765</v>
      </c>
      <c r="E313" s="19">
        <f t="shared" si="14"/>
        <v>427430.71054137655</v>
      </c>
      <c r="F313" s="52">
        <f>'F) Population'!K305</f>
        <v>75730.382293762566</v>
      </c>
      <c r="G313" s="14">
        <f>'G) Solidarité'!I302</f>
        <v>217398.3347498581</v>
      </c>
      <c r="H313" s="19">
        <f t="shared" si="15"/>
        <v>293128.71704362065</v>
      </c>
      <c r="I313" s="75">
        <f t="shared" si="16"/>
        <v>134301.9934977559</v>
      </c>
    </row>
    <row r="314" spans="1:9" x14ac:dyDescent="0.25">
      <c r="A314" s="61">
        <f>'A) Base RI'!A305</f>
        <v>5914</v>
      </c>
      <c r="B314" s="42" t="str">
        <f>'A) Base RI'!B305</f>
        <v>Ependes</v>
      </c>
      <c r="C314" s="19">
        <f>'D) Ecrêtage'!M303</f>
        <v>8750.2923999999985</v>
      </c>
      <c r="D314" s="14">
        <f>'A) Base RI'!AN305</f>
        <v>345</v>
      </c>
      <c r="E314" s="19">
        <f t="shared" si="14"/>
        <v>161797.24286704327</v>
      </c>
      <c r="F314" s="52">
        <f>'F) Population'!K306</f>
        <v>34152.917505030178</v>
      </c>
      <c r="G314" s="14">
        <f>'G) Solidarité'!I303</f>
        <v>140964.57889324456</v>
      </c>
      <c r="H314" s="19">
        <f t="shared" si="15"/>
        <v>175117.49639827473</v>
      </c>
      <c r="I314" s="75">
        <f t="shared" si="16"/>
        <v>-13320.253531231458</v>
      </c>
    </row>
    <row r="315" spans="1:9" x14ac:dyDescent="0.25">
      <c r="A315" s="61">
        <f>'A) Base RI'!A306</f>
        <v>5915</v>
      </c>
      <c r="B315" s="42" t="str">
        <f>'A) Base RI'!B306</f>
        <v>Essert-Pittet</v>
      </c>
      <c r="C315" s="19">
        <f>'D) Ecrêtage'!M304</f>
        <v>5181.7059529411763</v>
      </c>
      <c r="D315" s="14">
        <f>'A) Base RI'!AN306</f>
        <v>164</v>
      </c>
      <c r="E315" s="19">
        <f t="shared" si="14"/>
        <v>95812.310973017025</v>
      </c>
      <c r="F315" s="52">
        <f>'F) Population'!K307</f>
        <v>16235.010060362172</v>
      </c>
      <c r="G315" s="14">
        <f>'G) Solidarité'!I304</f>
        <v>44135.363702883493</v>
      </c>
      <c r="H315" s="19">
        <f t="shared" si="15"/>
        <v>60370.373763245661</v>
      </c>
      <c r="I315" s="75">
        <f t="shared" si="16"/>
        <v>35441.937209771364</v>
      </c>
    </row>
    <row r="316" spans="1:9" x14ac:dyDescent="0.25">
      <c r="A316" s="61">
        <f>'A) Base RI'!A307</f>
        <v>5919</v>
      </c>
      <c r="B316" s="42" t="str">
        <f>'A) Base RI'!B307</f>
        <v>Mathod</v>
      </c>
      <c r="C316" s="19">
        <f>'D) Ecrêtage'!M305</f>
        <v>16260.723851351351</v>
      </c>
      <c r="D316" s="14">
        <f>'A) Base RI'!AN307</f>
        <v>581</v>
      </c>
      <c r="E316" s="19">
        <f t="shared" si="14"/>
        <v>300668.8423544587</v>
      </c>
      <c r="F316" s="52">
        <f>'F) Population'!K308</f>
        <v>57515.492957746472</v>
      </c>
      <c r="G316" s="14">
        <f>'G) Solidarité'!I305</f>
        <v>197887.37178718561</v>
      </c>
      <c r="H316" s="19">
        <f t="shared" si="15"/>
        <v>255402.86474493207</v>
      </c>
      <c r="I316" s="75">
        <f t="shared" si="16"/>
        <v>45265.977609526628</v>
      </c>
    </row>
    <row r="317" spans="1:9" x14ac:dyDescent="0.25">
      <c r="A317" s="61">
        <f>'A) Base RI'!A308</f>
        <v>5921</v>
      </c>
      <c r="B317" s="42" t="str">
        <f>'A) Base RI'!B308</f>
        <v>Molondin</v>
      </c>
      <c r="C317" s="19">
        <f>'D) Ecrêtage'!M306</f>
        <v>4932.1140740740739</v>
      </c>
      <c r="D317" s="14">
        <f>'A) Base RI'!AN308</f>
        <v>224</v>
      </c>
      <c r="E317" s="19">
        <f t="shared" si="14"/>
        <v>91197.233442270488</v>
      </c>
      <c r="F317" s="52">
        <f>'F) Population'!K309</f>
        <v>22174.647887323943</v>
      </c>
      <c r="G317" s="14">
        <f>'G) Solidarité'!I306</f>
        <v>126311.116706546</v>
      </c>
      <c r="H317" s="19">
        <f t="shared" si="15"/>
        <v>148485.76459386994</v>
      </c>
      <c r="I317" s="75">
        <f t="shared" si="16"/>
        <v>-57288.531151599454</v>
      </c>
    </row>
    <row r="318" spans="1:9" x14ac:dyDescent="0.25">
      <c r="A318" s="61">
        <f>'A) Base RI'!A309</f>
        <v>5922</v>
      </c>
      <c r="B318" s="42" t="str">
        <f>'A) Base RI'!B309</f>
        <v>Montagny-près-Yverdon</v>
      </c>
      <c r="C318" s="19">
        <f>'D) Ecrêtage'!M307</f>
        <v>48327.826356462392</v>
      </c>
      <c r="D318" s="14">
        <f>'A) Base RI'!AN309</f>
        <v>713</v>
      </c>
      <c r="E318" s="19">
        <f t="shared" si="14"/>
        <v>893605.45919960819</v>
      </c>
      <c r="F318" s="52">
        <f>'F) Population'!K310</f>
        <v>70582.696177062375</v>
      </c>
      <c r="G318" s="14">
        <f>'G) Solidarité'!I307</f>
        <v>0</v>
      </c>
      <c r="H318" s="19">
        <f t="shared" si="15"/>
        <v>70582.696177062375</v>
      </c>
      <c r="I318" s="75">
        <f t="shared" si="16"/>
        <v>823022.76302254584</v>
      </c>
    </row>
    <row r="319" spans="1:9" x14ac:dyDescent="0.25">
      <c r="A319" s="61">
        <f>'A) Base RI'!A310</f>
        <v>5923</v>
      </c>
      <c r="B319" s="42" t="str">
        <f>'A) Base RI'!B310</f>
        <v>Oppens</v>
      </c>
      <c r="C319" s="19">
        <f>'D) Ecrêtage'!M308</f>
        <v>4902.1274074074072</v>
      </c>
      <c r="D319" s="14">
        <f>'A) Base RI'!AN310</f>
        <v>182</v>
      </c>
      <c r="E319" s="19">
        <f t="shared" si="14"/>
        <v>90642.765115081813</v>
      </c>
      <c r="F319" s="52">
        <f>'F) Population'!K311</f>
        <v>18016.901408450703</v>
      </c>
      <c r="G319" s="14">
        <f>'G) Solidarité'!I308</f>
        <v>79272.087327898553</v>
      </c>
      <c r="H319" s="19">
        <f t="shared" si="15"/>
        <v>97288.98873634926</v>
      </c>
      <c r="I319" s="75">
        <f t="shared" si="16"/>
        <v>-6646.223621267447</v>
      </c>
    </row>
    <row r="320" spans="1:9" x14ac:dyDescent="0.25">
      <c r="A320" s="61">
        <f>'A) Base RI'!A311</f>
        <v>5924</v>
      </c>
      <c r="B320" s="42" t="str">
        <f>'A) Base RI'!B311</f>
        <v>Orges</v>
      </c>
      <c r="C320" s="19">
        <f>'D) Ecrêtage'!M309</f>
        <v>9002.8555405405405</v>
      </c>
      <c r="D320" s="14">
        <f>'A) Base RI'!AN311</f>
        <v>275</v>
      </c>
      <c r="E320" s="19">
        <f t="shared" si="14"/>
        <v>166467.26049860279</v>
      </c>
      <c r="F320" s="52">
        <f>'F) Population'!K312</f>
        <v>27223.340040241448</v>
      </c>
      <c r="G320" s="14">
        <f>'G) Solidarité'!I309</f>
        <v>65206.024025686791</v>
      </c>
      <c r="H320" s="19">
        <f t="shared" si="15"/>
        <v>92429.364065928239</v>
      </c>
      <c r="I320" s="75">
        <f t="shared" si="16"/>
        <v>74037.896432674548</v>
      </c>
    </row>
    <row r="321" spans="1:9" x14ac:dyDescent="0.25">
      <c r="A321" s="61">
        <f>'A) Base RI'!A312</f>
        <v>5925</v>
      </c>
      <c r="B321" s="42" t="str">
        <f>'A) Base RI'!B312</f>
        <v>Orzens</v>
      </c>
      <c r="C321" s="19">
        <f>'D) Ecrêtage'!M310</f>
        <v>5053.7527848101263</v>
      </c>
      <c r="D321" s="14">
        <f>'A) Base RI'!AN312</f>
        <v>211</v>
      </c>
      <c r="E321" s="19">
        <f t="shared" si="14"/>
        <v>93446.39348439606</v>
      </c>
      <c r="F321" s="52">
        <f>'F) Population'!K313</f>
        <v>20887.726358148891</v>
      </c>
      <c r="G321" s="14">
        <f>'G) Solidarité'!I310</f>
        <v>103050.34563149729</v>
      </c>
      <c r="H321" s="19">
        <f t="shared" si="15"/>
        <v>123938.07198964618</v>
      </c>
      <c r="I321" s="75">
        <f t="shared" si="16"/>
        <v>-30491.678505250122</v>
      </c>
    </row>
    <row r="322" spans="1:9" x14ac:dyDescent="0.25">
      <c r="A322" s="61">
        <f>'A) Base RI'!A313</f>
        <v>5926</v>
      </c>
      <c r="B322" s="42" t="str">
        <f>'A) Base RI'!B313</f>
        <v>Pomy</v>
      </c>
      <c r="C322" s="19">
        <f>'D) Ecrêtage'!M311</f>
        <v>21029.126197183101</v>
      </c>
      <c r="D322" s="14">
        <f>'A) Base RI'!AN313</f>
        <v>730</v>
      </c>
      <c r="E322" s="19">
        <f t="shared" si="14"/>
        <v>388838.96481074585</v>
      </c>
      <c r="F322" s="52">
        <f>'F) Population'!K314</f>
        <v>72265.593561368209</v>
      </c>
      <c r="G322" s="14">
        <f>'G) Solidarité'!I311</f>
        <v>216887.1641849365</v>
      </c>
      <c r="H322" s="19">
        <f t="shared" si="15"/>
        <v>289152.75774630473</v>
      </c>
      <c r="I322" s="75">
        <f t="shared" si="16"/>
        <v>99686.207064441114</v>
      </c>
    </row>
    <row r="323" spans="1:9" x14ac:dyDescent="0.25">
      <c r="A323" s="61">
        <f>'A) Base RI'!A314</f>
        <v>5928</v>
      </c>
      <c r="B323" s="42" t="str">
        <f>'A) Base RI'!B314</f>
        <v>Rovray</v>
      </c>
      <c r="C323" s="19">
        <f>'D) Ecrêtage'!M312</f>
        <v>4897.1457333333328</v>
      </c>
      <c r="D323" s="14">
        <f>'A) Base RI'!AN314</f>
        <v>176</v>
      </c>
      <c r="E323" s="19">
        <f t="shared" si="14"/>
        <v>90550.651492679041</v>
      </c>
      <c r="F323" s="52">
        <f>'F) Population'!K315</f>
        <v>17422.937625754526</v>
      </c>
      <c r="G323" s="14">
        <f>'G) Solidarité'!I312</f>
        <v>62217.456847941365</v>
      </c>
      <c r="H323" s="19">
        <f t="shared" si="15"/>
        <v>79640.394473695895</v>
      </c>
      <c r="I323" s="75">
        <f t="shared" si="16"/>
        <v>10910.257018983146</v>
      </c>
    </row>
    <row r="324" spans="1:9" x14ac:dyDescent="0.25">
      <c r="A324" s="61">
        <f>'A) Base RI'!A315</f>
        <v>5929</v>
      </c>
      <c r="B324" s="42" t="str">
        <f>'A) Base RI'!B315</f>
        <v>Suchy</v>
      </c>
      <c r="C324" s="19">
        <f>'D) Ecrêtage'!M313</f>
        <v>16083.913284313729</v>
      </c>
      <c r="D324" s="14">
        <f>'A) Base RI'!AN315</f>
        <v>542</v>
      </c>
      <c r="E324" s="19">
        <f t="shared" si="14"/>
        <v>297399.52734774584</v>
      </c>
      <c r="F324" s="52">
        <f>'F) Population'!K316</f>
        <v>53654.728370221324</v>
      </c>
      <c r="G324" s="14">
        <f>'G) Solidarité'!I313</f>
        <v>139055.08836588776</v>
      </c>
      <c r="H324" s="19">
        <f t="shared" si="15"/>
        <v>192709.81673610909</v>
      </c>
      <c r="I324" s="75">
        <f t="shared" si="16"/>
        <v>104689.71061163675</v>
      </c>
    </row>
    <row r="325" spans="1:9" x14ac:dyDescent="0.25">
      <c r="A325" s="61">
        <f>'A) Base RI'!A316</f>
        <v>5930</v>
      </c>
      <c r="B325" s="42" t="str">
        <f>'A) Base RI'!B316</f>
        <v>Suscévaz</v>
      </c>
      <c r="C325" s="19">
        <f>'D) Ecrêtage'!M314</f>
        <v>5208.083787878787</v>
      </c>
      <c r="D325" s="14">
        <f>'A) Base RI'!AN316</f>
        <v>199</v>
      </c>
      <c r="E325" s="19">
        <f t="shared" si="14"/>
        <v>96300.050213103154</v>
      </c>
      <c r="F325" s="52">
        <f>'F) Population'!K317</f>
        <v>19699.798792756537</v>
      </c>
      <c r="G325" s="14">
        <f>'G) Solidarité'!I314</f>
        <v>60179.607313138345</v>
      </c>
      <c r="H325" s="19">
        <f t="shared" si="15"/>
        <v>79879.406105894886</v>
      </c>
      <c r="I325" s="75">
        <f t="shared" si="16"/>
        <v>16420.644107208267</v>
      </c>
    </row>
    <row r="326" spans="1:9" x14ac:dyDescent="0.25">
      <c r="A326" s="61">
        <f>'A) Base RI'!A317</f>
        <v>5931</v>
      </c>
      <c r="B326" s="42" t="str">
        <f>'A) Base RI'!B317</f>
        <v>Treycovagnes</v>
      </c>
      <c r="C326" s="19">
        <f>'D) Ecrêtage'!M315</f>
        <v>13922.074155844155</v>
      </c>
      <c r="D326" s="14">
        <f>'A) Base RI'!AN317</f>
        <v>462</v>
      </c>
      <c r="E326" s="19">
        <f t="shared" si="14"/>
        <v>257426.05051759226</v>
      </c>
      <c r="F326" s="52">
        <f>'F) Population'!K318</f>
        <v>45735.211267605628</v>
      </c>
      <c r="G326" s="14">
        <f>'G) Solidarité'!I315</f>
        <v>146977.7574499996</v>
      </c>
      <c r="H326" s="19">
        <f t="shared" si="15"/>
        <v>192712.96871760522</v>
      </c>
      <c r="I326" s="75">
        <f t="shared" si="16"/>
        <v>64713.081799987034</v>
      </c>
    </row>
    <row r="327" spans="1:9" x14ac:dyDescent="0.25">
      <c r="A327" s="61">
        <f>'A) Base RI'!A318</f>
        <v>5932</v>
      </c>
      <c r="B327" s="42" t="str">
        <f>'A) Base RI'!B318</f>
        <v>Ursins</v>
      </c>
      <c r="C327" s="19">
        <f>'D) Ecrêtage'!M316</f>
        <v>5429.3069230769233</v>
      </c>
      <c r="D327" s="14">
        <f>'A) Base RI'!AN318</f>
        <v>207</v>
      </c>
      <c r="E327" s="19">
        <f t="shared" si="14"/>
        <v>100390.5756146842</v>
      </c>
      <c r="F327" s="52">
        <f>'F) Population'!K319</f>
        <v>20491.750503018106</v>
      </c>
      <c r="G327" s="14">
        <f>'G) Solidarité'!I316</f>
        <v>87144.612223549804</v>
      </c>
      <c r="H327" s="19">
        <f t="shared" si="15"/>
        <v>107636.36272656791</v>
      </c>
      <c r="I327" s="75">
        <f t="shared" si="16"/>
        <v>-7245.7871118837065</v>
      </c>
    </row>
    <row r="328" spans="1:9" x14ac:dyDescent="0.25">
      <c r="A328" s="61">
        <f>'A) Base RI'!A319</f>
        <v>5933</v>
      </c>
      <c r="B328" s="42" t="str">
        <f>'A) Base RI'!B319</f>
        <v>Valeyres-sous-Montagny</v>
      </c>
      <c r="C328" s="19">
        <f>'D) Ecrêtage'!M317</f>
        <v>17165.971111111114</v>
      </c>
      <c r="D328" s="14">
        <f>'A) Base RI'!AN319</f>
        <v>661</v>
      </c>
      <c r="E328" s="19">
        <f t="shared" si="14"/>
        <v>317407.31280169496</v>
      </c>
      <c r="F328" s="52">
        <f>'F) Population'!K320</f>
        <v>65435.010060362169</v>
      </c>
      <c r="G328" s="14">
        <f>'G) Solidarité'!I317</f>
        <v>240637.22733082101</v>
      </c>
      <c r="H328" s="19">
        <f t="shared" si="15"/>
        <v>306072.23739118315</v>
      </c>
      <c r="I328" s="75">
        <f t="shared" si="16"/>
        <v>11335.07541051181</v>
      </c>
    </row>
    <row r="329" spans="1:9" x14ac:dyDescent="0.25">
      <c r="A329" s="61">
        <f>'A) Base RI'!A320</f>
        <v>5934</v>
      </c>
      <c r="B329" s="42" t="str">
        <f>'A) Base RI'!B320</f>
        <v>Valeyres-sous-Ursins</v>
      </c>
      <c r="C329" s="19">
        <f>'D) Ecrêtage'!M318</f>
        <v>6602.430506329114</v>
      </c>
      <c r="D329" s="14">
        <f>'A) Base RI'!AN320</f>
        <v>245</v>
      </c>
      <c r="E329" s="19">
        <f t="shared" si="14"/>
        <v>122082.21203502952</v>
      </c>
      <c r="F329" s="52">
        <f>'F) Population'!K321</f>
        <v>24253.521126760563</v>
      </c>
      <c r="G329" s="14">
        <f>'G) Solidarité'!I318</f>
        <v>101422.99718747401</v>
      </c>
      <c r="H329" s="19">
        <f t="shared" si="15"/>
        <v>125676.51831423458</v>
      </c>
      <c r="I329" s="75">
        <f t="shared" si="16"/>
        <v>-3594.3062792050623</v>
      </c>
    </row>
    <row r="330" spans="1:9" x14ac:dyDescent="0.25">
      <c r="A330" s="61">
        <f>'A) Base RI'!A321</f>
        <v>5935</v>
      </c>
      <c r="B330" s="42" t="str">
        <f>'A) Base RI'!B321</f>
        <v>Villars-Epeney</v>
      </c>
      <c r="C330" s="19">
        <f>'D) Ecrêtage'!M319</f>
        <v>6457.7949952619629</v>
      </c>
      <c r="D330" s="14">
        <f>'A) Base RI'!AN321</f>
        <v>90</v>
      </c>
      <c r="E330" s="19">
        <f t="shared" si="14"/>
        <v>119407.82975823488</v>
      </c>
      <c r="F330" s="52">
        <f>'F) Population'!K322</f>
        <v>8909.4567404426562</v>
      </c>
      <c r="G330" s="14">
        <f>'G) Solidarité'!I319</f>
        <v>0</v>
      </c>
      <c r="H330" s="19">
        <f t="shared" si="15"/>
        <v>8909.4567404426562</v>
      </c>
      <c r="I330" s="75">
        <f t="shared" si="16"/>
        <v>110498.37301779221</v>
      </c>
    </row>
    <row r="331" spans="1:9" x14ac:dyDescent="0.25">
      <c r="A331" s="61">
        <f>'A) Base RI'!A322</f>
        <v>5937</v>
      </c>
      <c r="B331" s="42" t="str">
        <f>'A) Base RI'!B322</f>
        <v>Vugelles-La Mothe</v>
      </c>
      <c r="C331" s="19">
        <f>'D) Ecrêtage'!M320</f>
        <v>2128.9780612244899</v>
      </c>
      <c r="D331" s="14">
        <f>'A) Base RI'!AN322</f>
        <v>135</v>
      </c>
      <c r="E331" s="19">
        <f t="shared" si="14"/>
        <v>39365.859411800433</v>
      </c>
      <c r="F331" s="52">
        <f>'F) Population'!K323</f>
        <v>13364.185110663982</v>
      </c>
      <c r="G331" s="14">
        <f>'G) Solidarité'!I320</f>
        <v>73296.187921279634</v>
      </c>
      <c r="H331" s="19">
        <f t="shared" si="15"/>
        <v>86660.373031943614</v>
      </c>
      <c r="I331" s="75">
        <f t="shared" si="16"/>
        <v>-47294.513620143181</v>
      </c>
    </row>
    <row r="332" spans="1:9" x14ac:dyDescent="0.25">
      <c r="A332" s="61">
        <f>'A) Base RI'!A323</f>
        <v>5938</v>
      </c>
      <c r="B332" s="42" t="str">
        <f>'A) Base RI'!B323</f>
        <v>Yverdon-les-Bains</v>
      </c>
      <c r="C332" s="19">
        <f>'D) Ecrêtage'!M321</f>
        <v>771340.02758169943</v>
      </c>
      <c r="D332" s="14">
        <f>'A) Base RI'!AN323</f>
        <v>29308</v>
      </c>
      <c r="E332" s="19">
        <f t="shared" si="14"/>
        <v>14262459.363724587</v>
      </c>
      <c r="F332" s="52">
        <f>'F) Population'!K324</f>
        <v>24524170.623742454</v>
      </c>
      <c r="G332" s="14">
        <f>'G) Solidarité'!I321</f>
        <v>11807013.727416195</v>
      </c>
      <c r="H332" s="19">
        <f t="shared" si="15"/>
        <v>36331184.351158649</v>
      </c>
      <c r="I332" s="75">
        <f t="shared" si="16"/>
        <v>-22068724.987434059</v>
      </c>
    </row>
    <row r="333" spans="1:9" x14ac:dyDescent="0.25">
      <c r="A333" s="61">
        <f>'A) Base RI'!A324</f>
        <v>5939</v>
      </c>
      <c r="B333" s="42" t="str">
        <f>'A) Base RI'!B324</f>
        <v>Yvonand</v>
      </c>
      <c r="C333" s="104">
        <f>'D) Ecrêtage'!M322</f>
        <v>88221.551917808203</v>
      </c>
      <c r="D333" s="25">
        <f>'A) Base RI'!AN324</f>
        <v>3152</v>
      </c>
      <c r="E333" s="19">
        <f t="shared" si="14"/>
        <v>1631260.2150018534</v>
      </c>
      <c r="F333" s="103">
        <f>'F) Population'!K325</f>
        <v>867187.12273641839</v>
      </c>
      <c r="G333" s="25">
        <f>'G) Solidarité'!I322</f>
        <v>1044638.7742001421</v>
      </c>
      <c r="H333" s="104">
        <f t="shared" si="15"/>
        <v>1911825.8969365605</v>
      </c>
      <c r="I333" s="75">
        <f t="shared" si="16"/>
        <v>-280565.6819347071</v>
      </c>
    </row>
    <row r="334" spans="1:9" x14ac:dyDescent="0.25">
      <c r="A334" s="40"/>
      <c r="B334" s="190">
        <f>COUNTA(B16:B333)</f>
        <v>318</v>
      </c>
      <c r="C334" s="191">
        <f>SUM(C16:C333)</f>
        <v>33479424.883787204</v>
      </c>
      <c r="D334" s="103">
        <f>SUM(D16:D333)</f>
        <v>767496</v>
      </c>
      <c r="E334" s="15">
        <f>SUM(E16:E333)</f>
        <v>619051157.53286803</v>
      </c>
      <c r="F334" s="103">
        <f>SUM(F16:F333)</f>
        <v>393784425.75452745</v>
      </c>
      <c r="G334" s="103">
        <f>SUM(G16:G333)</f>
        <v>96841397.243190914</v>
      </c>
      <c r="H334" s="105">
        <f>F334+G334</f>
        <v>490625822.99771833</v>
      </c>
      <c r="I334" s="47">
        <f>E334-H334</f>
        <v>128425334.53514969</v>
      </c>
    </row>
    <row r="335" spans="1:9" x14ac:dyDescent="0.25">
      <c r="C335" s="107"/>
      <c r="D335" s="107"/>
      <c r="E335" s="46"/>
      <c r="H335" s="46"/>
    </row>
    <row r="336" spans="1:9" x14ac:dyDescent="0.25">
      <c r="C336" s="186"/>
      <c r="D336" s="186"/>
      <c r="F336" s="17"/>
    </row>
    <row r="337" spans="3:9" x14ac:dyDescent="0.25">
      <c r="G337" s="17"/>
    </row>
    <row r="339" spans="3:9" x14ac:dyDescent="0.25">
      <c r="F339" s="17"/>
    </row>
    <row r="340" spans="3:9" x14ac:dyDescent="0.25">
      <c r="F340" s="17"/>
    </row>
    <row r="342" spans="3:9" x14ac:dyDescent="0.25">
      <c r="F342" s="166"/>
      <c r="G342" s="166"/>
      <c r="H342" s="166"/>
      <c r="I342" s="166"/>
    </row>
    <row r="343" spans="3:9" x14ac:dyDescent="0.25">
      <c r="E343" s="166"/>
      <c r="F343" s="166"/>
      <c r="G343" s="166"/>
      <c r="H343" s="166"/>
      <c r="I343" s="166"/>
    </row>
    <row r="344" spans="3:9" x14ac:dyDescent="0.25">
      <c r="E344" s="187"/>
      <c r="F344" s="187"/>
      <c r="G344" s="187"/>
      <c r="H344" s="187"/>
      <c r="I344" s="187"/>
    </row>
    <row r="351" spans="3:9" x14ac:dyDescent="0.25">
      <c r="C351" s="60"/>
    </row>
    <row r="352" spans="3:9" x14ac:dyDescent="0.25">
      <c r="C352" s="60"/>
    </row>
    <row r="353" spans="3:3" x14ac:dyDescent="0.25">
      <c r="C353" s="60"/>
    </row>
  </sheetData>
  <sheetProtection sheet="1" objects="1" scenarios="1"/>
  <mergeCells count="4">
    <mergeCell ref="D14:D15"/>
    <mergeCell ref="C14:C15"/>
    <mergeCell ref="B14:B15"/>
    <mergeCell ref="A14:A15"/>
  </mergeCells>
  <phoneticPr fontId="7" type="noConversion"/>
  <pageMargins left="0.25" right="0.25" top="0.75" bottom="0.75" header="0.3" footer="0.3"/>
  <pageSetup paperSize="9" orientation="landscape"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28"/>
  <sheetViews>
    <sheetView workbookViewId="0"/>
  </sheetViews>
  <sheetFormatPr baseColWidth="10" defaultColWidth="10.75" defaultRowHeight="15" x14ac:dyDescent="0.25"/>
  <cols>
    <col min="1" max="1" width="7.25" style="18" customWidth="1"/>
    <col min="2" max="2" width="18" style="18" customWidth="1"/>
    <col min="3" max="3" width="9.875" style="18" bestFit="1" customWidth="1"/>
    <col min="4" max="5" width="10.75" style="18" bestFit="1" customWidth="1"/>
    <col min="6" max="6" width="9.875" style="18" bestFit="1" customWidth="1"/>
    <col min="7" max="7" width="10.75" style="18" bestFit="1" customWidth="1"/>
    <col min="8" max="8" width="11.25" style="18" bestFit="1" customWidth="1"/>
    <col min="9" max="9" width="13" style="18" bestFit="1" customWidth="1"/>
    <col min="10" max="10" width="12.125" style="18" customWidth="1"/>
    <col min="11" max="11" width="10" style="18" customWidth="1"/>
    <col min="12" max="12" width="11.375" style="18" customWidth="1"/>
    <col min="13" max="13" width="10.75" style="18" customWidth="1"/>
    <col min="14" max="14" width="12.5" style="18" customWidth="1"/>
    <col min="15" max="15" width="12.875" style="18" customWidth="1"/>
    <col min="16" max="16" width="10" style="18" customWidth="1"/>
    <col min="17" max="17" width="2.5" style="18" customWidth="1"/>
    <col min="18" max="16384" width="10.75" style="18"/>
  </cols>
  <sheetData>
    <row r="1" spans="1:17" s="54" customFormat="1" ht="20.25" customHeight="1" x14ac:dyDescent="0.25">
      <c r="A1" s="65" t="s">
        <v>173</v>
      </c>
      <c r="B1" s="53"/>
      <c r="C1" s="100"/>
      <c r="D1" s="100"/>
      <c r="E1" s="100"/>
      <c r="F1" s="100"/>
      <c r="G1" s="100"/>
      <c r="H1" s="100"/>
      <c r="I1" s="100"/>
      <c r="J1" s="100"/>
      <c r="K1" s="78"/>
      <c r="M1" s="78"/>
      <c r="Q1" s="18"/>
    </row>
    <row r="3" spans="1:17" ht="60" customHeight="1" x14ac:dyDescent="0.25">
      <c r="A3" s="497" t="s">
        <v>51</v>
      </c>
      <c r="B3" s="497" t="s">
        <v>121</v>
      </c>
      <c r="C3" s="497" t="s">
        <v>482</v>
      </c>
      <c r="D3" s="497" t="s">
        <v>373</v>
      </c>
      <c r="E3" s="497" t="s">
        <v>374</v>
      </c>
      <c r="F3" s="516" t="s">
        <v>375</v>
      </c>
      <c r="G3" s="497" t="s">
        <v>346</v>
      </c>
      <c r="H3" s="524" t="s">
        <v>49</v>
      </c>
      <c r="I3" s="86" t="s">
        <v>347</v>
      </c>
      <c r="J3" s="86" t="s">
        <v>249</v>
      </c>
      <c r="K3" s="514" t="s">
        <v>250</v>
      </c>
      <c r="L3" s="497" t="s">
        <v>50</v>
      </c>
      <c r="M3" s="86" t="s">
        <v>251</v>
      </c>
      <c r="N3" s="86" t="s">
        <v>249</v>
      </c>
      <c r="O3" s="202" t="s">
        <v>413</v>
      </c>
      <c r="P3" s="86" t="s">
        <v>413</v>
      </c>
    </row>
    <row r="4" spans="1:17" x14ac:dyDescent="0.25">
      <c r="A4" s="498"/>
      <c r="B4" s="498"/>
      <c r="C4" s="498"/>
      <c r="D4" s="498"/>
      <c r="E4" s="498"/>
      <c r="F4" s="517"/>
      <c r="G4" s="498"/>
      <c r="H4" s="525"/>
      <c r="I4" s="87">
        <f>Paramètres!B37</f>
        <v>8</v>
      </c>
      <c r="J4" s="204">
        <f>+Paramètres!C37</f>
        <v>0.70734979086029259</v>
      </c>
      <c r="K4" s="515"/>
      <c r="L4" s="499"/>
      <c r="M4" s="87">
        <f>Paramètres!B38</f>
        <v>1</v>
      </c>
      <c r="N4" s="403">
        <f>+Paramètres!C38</f>
        <v>0.70734979086029259</v>
      </c>
      <c r="O4" s="203" t="s">
        <v>518</v>
      </c>
      <c r="P4" s="154" t="s">
        <v>519</v>
      </c>
    </row>
    <row r="5" spans="1:17" x14ac:dyDescent="0.25">
      <c r="A5" s="155">
        <f>'A) Base RI'!A7</f>
        <v>5401</v>
      </c>
      <c r="B5" s="58" t="str">
        <f>'A) Base RI'!B7</f>
        <v>Aigle</v>
      </c>
      <c r="C5" s="41">
        <f>'D) Ecrêtage'!M5</f>
        <v>260845.44622222218</v>
      </c>
      <c r="D5" s="126">
        <v>3929507</v>
      </c>
      <c r="E5" s="69">
        <v>1108022</v>
      </c>
      <c r="F5" s="101">
        <v>17733</v>
      </c>
      <c r="G5" s="101">
        <f>D5+E5+F5</f>
        <v>5055262</v>
      </c>
      <c r="H5" s="69">
        <f>C5*I$4</f>
        <v>2086763.5697777774</v>
      </c>
      <c r="I5" s="41">
        <f>IF(G5&gt;H5,G5-H5,0)</f>
        <v>2968498.4302222226</v>
      </c>
      <c r="J5" s="4">
        <f>-I5*J$4</f>
        <v>-2099766.743786796</v>
      </c>
      <c r="K5" s="102">
        <v>301349</v>
      </c>
      <c r="L5" s="69">
        <f>C5*M$4</f>
        <v>260845.44622222218</v>
      </c>
      <c r="M5" s="102">
        <f>IF(K5&gt;L5,K5-L5,0)</f>
        <v>40503.553777777823</v>
      </c>
      <c r="N5" s="205">
        <f>-M5*N$4</f>
        <v>-28650.180293809757</v>
      </c>
      <c r="O5" s="206">
        <f>N5+J5</f>
        <v>-2128416.9240806056</v>
      </c>
      <c r="P5" s="440">
        <f>O5/C5</f>
        <v>-8.1596859554425283</v>
      </c>
      <c r="Q5" s="197"/>
    </row>
    <row r="6" spans="1:17" x14ac:dyDescent="0.25">
      <c r="A6" s="198">
        <f>'A) Base RI'!A8</f>
        <v>5402</v>
      </c>
      <c r="B6" s="42" t="str">
        <f>'A) Base RI'!B8</f>
        <v>Bex</v>
      </c>
      <c r="C6" s="41">
        <f>'D) Ecrêtage'!M6</f>
        <v>175890.90239436619</v>
      </c>
      <c r="D6" s="41">
        <v>3078359</v>
      </c>
      <c r="E6" s="14">
        <v>560941</v>
      </c>
      <c r="F6" s="52">
        <v>275909</v>
      </c>
      <c r="G6" s="52">
        <f t="shared" ref="G6:G60" si="0">D6+E6+F6</f>
        <v>3915209</v>
      </c>
      <c r="H6" s="14">
        <f t="shared" ref="H6:H69" si="1">C6*I$4</f>
        <v>1407127.2191549295</v>
      </c>
      <c r="I6" s="41">
        <f t="shared" ref="I6:I60" si="2">IF(G6&gt;H6,G6-H6,0)</f>
        <v>2508081.7808450703</v>
      </c>
      <c r="J6" s="4">
        <f t="shared" ref="J6:J69" si="3">-I6*J$4</f>
        <v>-1774091.1231412706</v>
      </c>
      <c r="K6" s="19">
        <v>220626</v>
      </c>
      <c r="L6" s="14">
        <f t="shared" ref="L6:L69" si="4">C6*M$4</f>
        <v>175890.90239436619</v>
      </c>
      <c r="M6" s="19">
        <f t="shared" ref="M6:M60" si="5">IF(K6&gt;L6,K6-L6,0)</f>
        <v>44735.097605633811</v>
      </c>
      <c r="N6" s="4">
        <f t="shared" ref="N6:N69" si="6">-M6*N$4</f>
        <v>-31643.361935459852</v>
      </c>
      <c r="O6" s="207">
        <f t="shared" ref="O6:O60" si="7">N6+J6</f>
        <v>-1805734.4850767304</v>
      </c>
      <c r="P6" s="441">
        <f t="shared" ref="P6:P60" si="8">O6/C6</f>
        <v>-10.266218778206509</v>
      </c>
      <c r="Q6" s="197"/>
    </row>
    <row r="7" spans="1:17" x14ac:dyDescent="0.25">
      <c r="A7" s="198">
        <f>'A) Base RI'!A9</f>
        <v>5403</v>
      </c>
      <c r="B7" s="42" t="str">
        <f>'A) Base RI'!B9</f>
        <v>Chessel</v>
      </c>
      <c r="C7" s="41">
        <f>'D) Ecrêtage'!M7</f>
        <v>8284.5784210526326</v>
      </c>
      <c r="D7" s="41">
        <v>104915</v>
      </c>
      <c r="E7" s="14">
        <v>13476</v>
      </c>
      <c r="F7" s="52"/>
      <c r="G7" s="52">
        <f t="shared" si="0"/>
        <v>118391</v>
      </c>
      <c r="H7" s="14">
        <f t="shared" si="1"/>
        <v>66276.627368421061</v>
      </c>
      <c r="I7" s="41">
        <f t="shared" si="2"/>
        <v>52114.372631578939</v>
      </c>
      <c r="J7" s="4">
        <f t="shared" si="3"/>
        <v>-36863.090581762721</v>
      </c>
      <c r="K7" s="19">
        <v>17098</v>
      </c>
      <c r="L7" s="14">
        <f t="shared" si="4"/>
        <v>8284.5784210526326</v>
      </c>
      <c r="M7" s="19">
        <f t="shared" si="5"/>
        <v>8813.4215789473674</v>
      </c>
      <c r="N7" s="4">
        <f t="shared" si="6"/>
        <v>-6234.1719106320097</v>
      </c>
      <c r="O7" s="207">
        <f t="shared" si="7"/>
        <v>-43097.26249239473</v>
      </c>
      <c r="P7" s="441">
        <f t="shared" si="8"/>
        <v>-5.2021068909042718</v>
      </c>
      <c r="Q7" s="200"/>
    </row>
    <row r="8" spans="1:17" x14ac:dyDescent="0.25">
      <c r="A8" s="198">
        <f>'A) Base RI'!A10</f>
        <v>5404</v>
      </c>
      <c r="B8" s="42" t="str">
        <f>'A) Base RI'!B10</f>
        <v>Corbeyrier</v>
      </c>
      <c r="C8" s="41">
        <f>'D) Ecrêtage'!M8</f>
        <v>9966.1885714285709</v>
      </c>
      <c r="D8" s="41">
        <v>295489</v>
      </c>
      <c r="E8" s="14">
        <v>15673</v>
      </c>
      <c r="F8" s="52">
        <v>28213</v>
      </c>
      <c r="G8" s="52">
        <f t="shared" si="0"/>
        <v>339375</v>
      </c>
      <c r="H8" s="14">
        <f t="shared" si="1"/>
        <v>79729.508571428567</v>
      </c>
      <c r="I8" s="41">
        <f t="shared" si="2"/>
        <v>259645.49142857143</v>
      </c>
      <c r="J8" s="4">
        <f t="shared" si="3"/>
        <v>-183660.1840598179</v>
      </c>
      <c r="K8" s="19">
        <v>44616</v>
      </c>
      <c r="L8" s="14">
        <f t="shared" si="4"/>
        <v>9966.1885714285709</v>
      </c>
      <c r="M8" s="19">
        <f t="shared" si="5"/>
        <v>34649.811428571425</v>
      </c>
      <c r="N8" s="4">
        <f t="shared" si="6"/>
        <v>-24509.536867348575</v>
      </c>
      <c r="O8" s="207">
        <f t="shared" si="7"/>
        <v>-208169.72092716646</v>
      </c>
      <c r="P8" s="441">
        <f t="shared" si="8"/>
        <v>-20.887596038866345</v>
      </c>
      <c r="Q8" s="200"/>
    </row>
    <row r="9" spans="1:17" x14ac:dyDescent="0.25">
      <c r="A9" s="198">
        <f>'A) Base RI'!A11</f>
        <v>5405</v>
      </c>
      <c r="B9" s="42" t="str">
        <f>'A) Base RI'!B11</f>
        <v>Gryon</v>
      </c>
      <c r="C9" s="41">
        <f>'D) Ecrêtage'!M9</f>
        <v>71248.700388808633</v>
      </c>
      <c r="D9" s="41">
        <v>1124407</v>
      </c>
      <c r="E9" s="14">
        <v>128049</v>
      </c>
      <c r="F9" s="52">
        <v>38351</v>
      </c>
      <c r="G9" s="52">
        <f t="shared" si="0"/>
        <v>1290807</v>
      </c>
      <c r="H9" s="14">
        <f t="shared" si="1"/>
        <v>569989.60311046906</v>
      </c>
      <c r="I9" s="41">
        <f t="shared" si="2"/>
        <v>720817.39688953094</v>
      </c>
      <c r="J9" s="4">
        <f t="shared" si="3"/>
        <v>-509870.03493827023</v>
      </c>
      <c r="K9" s="19">
        <v>-15722</v>
      </c>
      <c r="L9" s="14">
        <f t="shared" si="4"/>
        <v>71248.700388808633</v>
      </c>
      <c r="M9" s="19">
        <f t="shared" si="5"/>
        <v>0</v>
      </c>
      <c r="N9" s="4">
        <f t="shared" si="6"/>
        <v>0</v>
      </c>
      <c r="O9" s="207">
        <f t="shared" si="7"/>
        <v>-509870.03493827023</v>
      </c>
      <c r="P9" s="441">
        <f t="shared" si="8"/>
        <v>-7.1562011960341367</v>
      </c>
      <c r="Q9" s="200"/>
    </row>
    <row r="10" spans="1:17" x14ac:dyDescent="0.25">
      <c r="A10" s="198">
        <f>'A) Base RI'!A12</f>
        <v>5406</v>
      </c>
      <c r="B10" s="42" t="str">
        <f>'A) Base RI'!B12</f>
        <v>Lavey-Morcles</v>
      </c>
      <c r="C10" s="41">
        <f>'D) Ecrêtage'!M10</f>
        <v>19831.448851570964</v>
      </c>
      <c r="D10" s="41">
        <v>209713</v>
      </c>
      <c r="E10" s="14">
        <v>32947</v>
      </c>
      <c r="F10" s="52">
        <v>31752</v>
      </c>
      <c r="G10" s="52">
        <f t="shared" si="0"/>
        <v>274412</v>
      </c>
      <c r="H10" s="14">
        <f t="shared" si="1"/>
        <v>158651.59081256771</v>
      </c>
      <c r="I10" s="41">
        <f t="shared" si="2"/>
        <v>115760.40918743229</v>
      </c>
      <c r="J10" s="4">
        <f t="shared" si="3"/>
        <v>-81883.10122863212</v>
      </c>
      <c r="K10" s="19">
        <v>9911</v>
      </c>
      <c r="L10" s="14">
        <f t="shared" si="4"/>
        <v>19831.448851570964</v>
      </c>
      <c r="M10" s="19">
        <f t="shared" si="5"/>
        <v>0</v>
      </c>
      <c r="N10" s="4">
        <f t="shared" si="6"/>
        <v>0</v>
      </c>
      <c r="O10" s="207">
        <f t="shared" si="7"/>
        <v>-81883.10122863212</v>
      </c>
      <c r="P10" s="441">
        <f t="shared" si="8"/>
        <v>-4.1289520418547578</v>
      </c>
      <c r="Q10" s="200"/>
    </row>
    <row r="11" spans="1:17" x14ac:dyDescent="0.25">
      <c r="A11" s="198">
        <f>'A) Base RI'!A13</f>
        <v>5407</v>
      </c>
      <c r="B11" s="42" t="str">
        <f>'A) Base RI'!B13</f>
        <v>Leysin</v>
      </c>
      <c r="C11" s="41">
        <f>'D) Ecrêtage'!M11</f>
        <v>102799.09089743589</v>
      </c>
      <c r="D11" s="41">
        <v>1746406</v>
      </c>
      <c r="E11" s="14">
        <v>693653</v>
      </c>
      <c r="F11" s="52">
        <v>242851</v>
      </c>
      <c r="G11" s="52">
        <f t="shared" si="0"/>
        <v>2682910</v>
      </c>
      <c r="H11" s="14">
        <f t="shared" si="1"/>
        <v>822392.72717948712</v>
      </c>
      <c r="I11" s="41">
        <f t="shared" si="2"/>
        <v>1860517.2728205128</v>
      </c>
      <c r="J11" s="4">
        <f t="shared" si="3"/>
        <v>-1316036.5038215516</v>
      </c>
      <c r="K11" s="19">
        <v>118632</v>
      </c>
      <c r="L11" s="14">
        <f t="shared" si="4"/>
        <v>102799.09089743589</v>
      </c>
      <c r="M11" s="19">
        <f t="shared" si="5"/>
        <v>15832.90910256411</v>
      </c>
      <c r="N11" s="4">
        <f t="shared" si="6"/>
        <v>-11199.404942408746</v>
      </c>
      <c r="O11" s="207">
        <f t="shared" si="7"/>
        <v>-1327235.9087639602</v>
      </c>
      <c r="P11" s="441">
        <f t="shared" si="8"/>
        <v>-12.910969320615513</v>
      </c>
      <c r="Q11" s="200"/>
    </row>
    <row r="12" spans="1:17" x14ac:dyDescent="0.25">
      <c r="A12" s="198">
        <f>'A) Base RI'!A14</f>
        <v>5408</v>
      </c>
      <c r="B12" s="42" t="str">
        <f>'A) Base RI'!B14</f>
        <v>Noville</v>
      </c>
      <c r="C12" s="41">
        <f>'D) Ecrêtage'!M12</f>
        <v>34745.229256900217</v>
      </c>
      <c r="D12" s="41">
        <v>324648</v>
      </c>
      <c r="E12" s="14">
        <v>36148</v>
      </c>
      <c r="F12" s="52">
        <v>35083</v>
      </c>
      <c r="G12" s="52">
        <f t="shared" si="0"/>
        <v>395879</v>
      </c>
      <c r="H12" s="14">
        <f t="shared" si="1"/>
        <v>277961.83405520173</v>
      </c>
      <c r="I12" s="41">
        <f t="shared" si="2"/>
        <v>117917.16594479827</v>
      </c>
      <c r="J12" s="4">
        <f t="shared" si="3"/>
        <v>-83408.682669891467</v>
      </c>
      <c r="K12" s="19">
        <v>44530</v>
      </c>
      <c r="L12" s="14">
        <f t="shared" si="4"/>
        <v>34745.229256900217</v>
      </c>
      <c r="M12" s="19">
        <f t="shared" si="5"/>
        <v>9784.7707430997834</v>
      </c>
      <c r="N12" s="4">
        <f t="shared" si="6"/>
        <v>-6921.2555387475413</v>
      </c>
      <c r="O12" s="207">
        <f t="shared" si="7"/>
        <v>-90329.938208639011</v>
      </c>
      <c r="P12" s="441">
        <f t="shared" si="8"/>
        <v>-2.5997795996899336</v>
      </c>
      <c r="Q12" s="200"/>
    </row>
    <row r="13" spans="1:17" x14ac:dyDescent="0.25">
      <c r="A13" s="198">
        <f>'A) Base RI'!A15</f>
        <v>5409</v>
      </c>
      <c r="B13" s="42" t="str">
        <f>'A) Base RI'!B15</f>
        <v>Ollon</v>
      </c>
      <c r="C13" s="41">
        <f>'D) Ecrêtage'!M13</f>
        <v>517844.500022105</v>
      </c>
      <c r="D13" s="41">
        <v>3939131</v>
      </c>
      <c r="E13" s="14">
        <v>665733</v>
      </c>
      <c r="F13" s="52">
        <v>703098</v>
      </c>
      <c r="G13" s="52">
        <f t="shared" si="0"/>
        <v>5307962</v>
      </c>
      <c r="H13" s="14">
        <f t="shared" si="1"/>
        <v>4142756.00017684</v>
      </c>
      <c r="I13" s="41">
        <f t="shared" si="2"/>
        <v>1165205.99982316</v>
      </c>
      <c r="J13" s="4">
        <f t="shared" si="3"/>
        <v>-824208.22028407035</v>
      </c>
      <c r="K13" s="19">
        <v>456609</v>
      </c>
      <c r="L13" s="14">
        <f t="shared" si="4"/>
        <v>517844.500022105</v>
      </c>
      <c r="M13" s="19">
        <f t="shared" si="5"/>
        <v>0</v>
      </c>
      <c r="N13" s="4">
        <f t="shared" si="6"/>
        <v>0</v>
      </c>
      <c r="O13" s="207">
        <f t="shared" si="7"/>
        <v>-824208.22028407035</v>
      </c>
      <c r="P13" s="441">
        <f t="shared" si="8"/>
        <v>-1.5916133515927808</v>
      </c>
      <c r="Q13" s="200"/>
    </row>
    <row r="14" spans="1:17" x14ac:dyDescent="0.25">
      <c r="A14" s="198">
        <f>'A) Base RI'!A16</f>
        <v>5410</v>
      </c>
      <c r="B14" s="42" t="str">
        <f>'A) Base RI'!B16</f>
        <v>Ormont-Dessous</v>
      </c>
      <c r="C14" s="41">
        <f>'D) Ecrêtage'!M14</f>
        <v>35234.198174097655</v>
      </c>
      <c r="D14" s="41">
        <v>1205806</v>
      </c>
      <c r="E14" s="14">
        <v>79816</v>
      </c>
      <c r="F14" s="52">
        <v>71679</v>
      </c>
      <c r="G14" s="52">
        <f t="shared" si="0"/>
        <v>1357301</v>
      </c>
      <c r="H14" s="14">
        <f t="shared" si="1"/>
        <v>281873.58539278124</v>
      </c>
      <c r="I14" s="41">
        <f t="shared" si="2"/>
        <v>1075427.4146072187</v>
      </c>
      <c r="J14" s="4">
        <f t="shared" si="3"/>
        <v>-760703.35680784134</v>
      </c>
      <c r="K14" s="19">
        <v>64432</v>
      </c>
      <c r="L14" s="14">
        <f t="shared" si="4"/>
        <v>35234.198174097655</v>
      </c>
      <c r="M14" s="19">
        <f t="shared" si="5"/>
        <v>29197.801825902345</v>
      </c>
      <c r="N14" s="4">
        <f t="shared" si="6"/>
        <v>-20653.059015132294</v>
      </c>
      <c r="O14" s="207">
        <f t="shared" si="7"/>
        <v>-781356.41582297359</v>
      </c>
      <c r="P14" s="441">
        <f t="shared" si="8"/>
        <v>-22.176080521604892</v>
      </c>
      <c r="Q14" s="200"/>
    </row>
    <row r="15" spans="1:17" x14ac:dyDescent="0.25">
      <c r="A15" s="198">
        <f>'A) Base RI'!A17</f>
        <v>5411</v>
      </c>
      <c r="B15" s="42" t="str">
        <f>'A) Base RI'!B17</f>
        <v>Ormont-Dessus</v>
      </c>
      <c r="C15" s="41">
        <f>'D) Ecrêtage'!M15</f>
        <v>71790.213859649128</v>
      </c>
      <c r="D15" s="41">
        <v>1404396</v>
      </c>
      <c r="E15" s="14">
        <v>177909</v>
      </c>
      <c r="F15" s="52">
        <v>79643</v>
      </c>
      <c r="G15" s="52">
        <f t="shared" si="0"/>
        <v>1661948</v>
      </c>
      <c r="H15" s="14">
        <f t="shared" si="1"/>
        <v>574321.71087719302</v>
      </c>
      <c r="I15" s="41">
        <f t="shared" si="2"/>
        <v>1087626.2891228069</v>
      </c>
      <c r="J15" s="4">
        <f t="shared" si="3"/>
        <v>-769332.22814517352</v>
      </c>
      <c r="K15" s="19">
        <v>123050</v>
      </c>
      <c r="L15" s="14">
        <f t="shared" si="4"/>
        <v>71790.213859649128</v>
      </c>
      <c r="M15" s="19">
        <f t="shared" si="5"/>
        <v>51259.786140350872</v>
      </c>
      <c r="N15" s="4">
        <f t="shared" si="6"/>
        <v>-36258.599005920514</v>
      </c>
      <c r="O15" s="207">
        <f t="shared" si="7"/>
        <v>-805590.82715109398</v>
      </c>
      <c r="P15" s="441">
        <f t="shared" si="8"/>
        <v>-11.221457408192645</v>
      </c>
      <c r="Q15" s="200"/>
    </row>
    <row r="16" spans="1:17" x14ac:dyDescent="0.25">
      <c r="A16" s="198">
        <f>'A) Base RI'!A18</f>
        <v>5412</v>
      </c>
      <c r="B16" s="42" t="str">
        <f>'A) Base RI'!B18</f>
        <v>Rennaz</v>
      </c>
      <c r="C16" s="41">
        <f>'D) Ecrêtage'!M16</f>
        <v>26501.739703703701</v>
      </c>
      <c r="D16" s="41">
        <v>138724</v>
      </c>
      <c r="E16" s="14">
        <v>29857</v>
      </c>
      <c r="F16" s="52">
        <v>30137</v>
      </c>
      <c r="G16" s="52">
        <f t="shared" si="0"/>
        <v>198718</v>
      </c>
      <c r="H16" s="14">
        <f t="shared" si="1"/>
        <v>212013.91762962961</v>
      </c>
      <c r="I16" s="41">
        <f t="shared" si="2"/>
        <v>0</v>
      </c>
      <c r="J16" s="4">
        <f t="shared" si="3"/>
        <v>0</v>
      </c>
      <c r="K16" s="19">
        <v>23134</v>
      </c>
      <c r="L16" s="14">
        <f t="shared" si="4"/>
        <v>26501.739703703701</v>
      </c>
      <c r="M16" s="19">
        <f t="shared" si="5"/>
        <v>0</v>
      </c>
      <c r="N16" s="4">
        <f t="shared" si="6"/>
        <v>0</v>
      </c>
      <c r="O16" s="207">
        <f t="shared" si="7"/>
        <v>0</v>
      </c>
      <c r="P16" s="441">
        <f t="shared" si="8"/>
        <v>0</v>
      </c>
      <c r="Q16" s="200"/>
    </row>
    <row r="17" spans="1:17" x14ac:dyDescent="0.25">
      <c r="A17" s="198">
        <f>'A) Base RI'!A19</f>
        <v>5413</v>
      </c>
      <c r="B17" s="42" t="str">
        <f>'A) Base RI'!B19</f>
        <v>Roche</v>
      </c>
      <c r="C17" s="41">
        <f>'D) Ecrêtage'!M17</f>
        <v>34861.221617647054</v>
      </c>
      <c r="D17" s="41">
        <v>144385</v>
      </c>
      <c r="E17" s="14">
        <v>87495</v>
      </c>
      <c r="F17" s="52">
        <v>76028</v>
      </c>
      <c r="G17" s="52">
        <f t="shared" si="0"/>
        <v>307908</v>
      </c>
      <c r="H17" s="14">
        <f t="shared" si="1"/>
        <v>278889.77294117643</v>
      </c>
      <c r="I17" s="41">
        <f t="shared" si="2"/>
        <v>29018.22705882357</v>
      </c>
      <c r="J17" s="4">
        <f t="shared" si="3"/>
        <v>-20526.036841195335</v>
      </c>
      <c r="K17" s="19">
        <v>16852</v>
      </c>
      <c r="L17" s="14">
        <f t="shared" si="4"/>
        <v>34861.221617647054</v>
      </c>
      <c r="M17" s="19">
        <f t="shared" si="5"/>
        <v>0</v>
      </c>
      <c r="N17" s="4">
        <f t="shared" si="6"/>
        <v>0</v>
      </c>
      <c r="O17" s="207">
        <f t="shared" si="7"/>
        <v>-20526.036841195335</v>
      </c>
      <c r="P17" s="441">
        <f t="shared" si="8"/>
        <v>-0.58879281587782561</v>
      </c>
      <c r="Q17" s="200"/>
    </row>
    <row r="18" spans="1:17" x14ac:dyDescent="0.25">
      <c r="A18" s="198">
        <f>'A) Base RI'!A20</f>
        <v>5414</v>
      </c>
      <c r="B18" s="42" t="str">
        <f>'A) Base RI'!B20</f>
        <v>Villeneuve</v>
      </c>
      <c r="C18" s="41">
        <f>'D) Ecrêtage'!M18</f>
        <v>168009.32057971013</v>
      </c>
      <c r="D18" s="41">
        <v>1706480</v>
      </c>
      <c r="E18" s="14">
        <v>859176</v>
      </c>
      <c r="F18" s="52">
        <v>109747</v>
      </c>
      <c r="G18" s="52">
        <f t="shared" si="0"/>
        <v>2675403</v>
      </c>
      <c r="H18" s="14">
        <f t="shared" si="1"/>
        <v>1344074.564637681</v>
      </c>
      <c r="I18" s="41">
        <f t="shared" si="2"/>
        <v>1331328.435362319</v>
      </c>
      <c r="J18" s="4">
        <f t="shared" si="3"/>
        <v>-941714.89031989686</v>
      </c>
      <c r="K18" s="19">
        <v>296924</v>
      </c>
      <c r="L18" s="14">
        <f t="shared" si="4"/>
        <v>168009.32057971013</v>
      </c>
      <c r="M18" s="19">
        <f t="shared" si="5"/>
        <v>128914.67942028987</v>
      </c>
      <c r="N18" s="4">
        <f t="shared" si="6"/>
        <v>-91187.77152676371</v>
      </c>
      <c r="O18" s="207">
        <f t="shared" si="7"/>
        <v>-1032902.6618466605</v>
      </c>
      <c r="P18" s="441">
        <f t="shared" si="8"/>
        <v>-6.1478890473615806</v>
      </c>
      <c r="Q18" s="200"/>
    </row>
    <row r="19" spans="1:17" x14ac:dyDescent="0.25">
      <c r="A19" s="198">
        <f>'A) Base RI'!A21</f>
        <v>5415</v>
      </c>
      <c r="B19" s="42" t="str">
        <f>'A) Base RI'!B21</f>
        <v>Yvorne</v>
      </c>
      <c r="C19" s="41">
        <f>'D) Ecrêtage'!M19</f>
        <v>43055.973722627736</v>
      </c>
      <c r="D19" s="41">
        <v>207683</v>
      </c>
      <c r="E19" s="14">
        <v>38680</v>
      </c>
      <c r="F19" s="52">
        <v>165110</v>
      </c>
      <c r="G19" s="52">
        <f t="shared" si="0"/>
        <v>411473</v>
      </c>
      <c r="H19" s="14">
        <f t="shared" si="1"/>
        <v>344447.78978102189</v>
      </c>
      <c r="I19" s="41">
        <f t="shared" si="2"/>
        <v>67025.210218978114</v>
      </c>
      <c r="J19" s="4">
        <f t="shared" si="3"/>
        <v>-47410.268430761316</v>
      </c>
      <c r="K19" s="19">
        <v>229030</v>
      </c>
      <c r="L19" s="14">
        <f t="shared" si="4"/>
        <v>43055.973722627736</v>
      </c>
      <c r="M19" s="19">
        <f t="shared" si="5"/>
        <v>185974.02627737226</v>
      </c>
      <c r="N19" s="4">
        <f t="shared" si="6"/>
        <v>-131548.68859274584</v>
      </c>
      <c r="O19" s="207">
        <f t="shared" si="7"/>
        <v>-178958.95702350716</v>
      </c>
      <c r="P19" s="441">
        <f t="shared" si="8"/>
        <v>-4.1564257302920238</v>
      </c>
      <c r="Q19" s="200"/>
    </row>
    <row r="20" spans="1:17" x14ac:dyDescent="0.25">
      <c r="A20" s="198">
        <f>'A) Base RI'!A22</f>
        <v>5421</v>
      </c>
      <c r="B20" s="42" t="str">
        <f>'A) Base RI'!B22</f>
        <v>Apples</v>
      </c>
      <c r="C20" s="41">
        <f>'D) Ecrêtage'!M20</f>
        <v>57391.691408450701</v>
      </c>
      <c r="D20" s="41">
        <v>404310</v>
      </c>
      <c r="E20" s="14">
        <v>104038</v>
      </c>
      <c r="F20" s="52">
        <v>177567</v>
      </c>
      <c r="G20" s="52">
        <f t="shared" si="0"/>
        <v>685915</v>
      </c>
      <c r="H20" s="14">
        <f t="shared" si="1"/>
        <v>459133.53126760561</v>
      </c>
      <c r="I20" s="41">
        <f t="shared" si="2"/>
        <v>226781.46873239439</v>
      </c>
      <c r="J20" s="4">
        <f t="shared" si="3"/>
        <v>-160413.82447884916</v>
      </c>
      <c r="K20" s="19">
        <v>87321</v>
      </c>
      <c r="L20" s="14">
        <f t="shared" si="4"/>
        <v>57391.691408450701</v>
      </c>
      <c r="M20" s="19">
        <f t="shared" si="5"/>
        <v>29929.308591549299</v>
      </c>
      <c r="N20" s="4">
        <f t="shared" si="6"/>
        <v>-21170.490172825554</v>
      </c>
      <c r="O20" s="207">
        <f t="shared" si="7"/>
        <v>-181584.31465167471</v>
      </c>
      <c r="P20" s="441">
        <f t="shared" si="8"/>
        <v>-3.1639477805133502</v>
      </c>
      <c r="Q20" s="200"/>
    </row>
    <row r="21" spans="1:17" x14ac:dyDescent="0.25">
      <c r="A21" s="198">
        <f>'A) Base RI'!A23</f>
        <v>5422</v>
      </c>
      <c r="B21" s="42" t="str">
        <f>'A) Base RI'!B23</f>
        <v>Aubonne</v>
      </c>
      <c r="C21" s="41">
        <f>'D) Ecrêtage'!M21</f>
        <v>211119.94817106269</v>
      </c>
      <c r="D21" s="41">
        <v>1295517</v>
      </c>
      <c r="E21" s="14">
        <v>108837</v>
      </c>
      <c r="F21" s="52">
        <v>354227</v>
      </c>
      <c r="G21" s="52">
        <f t="shared" si="0"/>
        <v>1758581</v>
      </c>
      <c r="H21" s="14">
        <f t="shared" si="1"/>
        <v>1688959.5853685015</v>
      </c>
      <c r="I21" s="41">
        <f t="shared" si="2"/>
        <v>69621.414631498512</v>
      </c>
      <c r="J21" s="4">
        <f t="shared" si="3"/>
        <v>-49246.693078988188</v>
      </c>
      <c r="K21" s="19">
        <v>81147</v>
      </c>
      <c r="L21" s="14">
        <f t="shared" si="4"/>
        <v>211119.94817106269</v>
      </c>
      <c r="M21" s="19">
        <f t="shared" si="5"/>
        <v>0</v>
      </c>
      <c r="N21" s="4">
        <f t="shared" si="6"/>
        <v>0</v>
      </c>
      <c r="O21" s="207">
        <f t="shared" si="7"/>
        <v>-49246.693078988188</v>
      </c>
      <c r="P21" s="441">
        <f t="shared" si="8"/>
        <v>-0.23326404494512956</v>
      </c>
      <c r="Q21" s="200"/>
    </row>
    <row r="22" spans="1:17" x14ac:dyDescent="0.25">
      <c r="A22" s="198">
        <f>'A) Base RI'!A24</f>
        <v>5423</v>
      </c>
      <c r="B22" s="42" t="str">
        <f>'A) Base RI'!B24</f>
        <v>Ballens</v>
      </c>
      <c r="C22" s="41">
        <f>'D) Ecrêtage'!M22</f>
        <v>19761.871884057968</v>
      </c>
      <c r="D22" s="41">
        <v>113482</v>
      </c>
      <c r="E22" s="14">
        <v>39334</v>
      </c>
      <c r="F22" s="52">
        <v>70064</v>
      </c>
      <c r="G22" s="52">
        <f t="shared" si="0"/>
        <v>222880</v>
      </c>
      <c r="H22" s="14">
        <f t="shared" si="1"/>
        <v>158094.97507246374</v>
      </c>
      <c r="I22" s="41">
        <f t="shared" si="2"/>
        <v>64785.024927536258</v>
      </c>
      <c r="J22" s="4">
        <f t="shared" si="3"/>
        <v>-45825.673833371613</v>
      </c>
      <c r="K22" s="19">
        <v>34043</v>
      </c>
      <c r="L22" s="14">
        <f t="shared" si="4"/>
        <v>19761.871884057968</v>
      </c>
      <c r="M22" s="19">
        <f t="shared" si="5"/>
        <v>14281.128115942032</v>
      </c>
      <c r="N22" s="4">
        <f t="shared" si="6"/>
        <v>-10101.752986060641</v>
      </c>
      <c r="O22" s="207">
        <f t="shared" si="7"/>
        <v>-55927.42681943225</v>
      </c>
      <c r="P22" s="441">
        <f t="shared" si="8"/>
        <v>-2.8300672703252001</v>
      </c>
      <c r="Q22" s="200"/>
    </row>
    <row r="23" spans="1:17" x14ac:dyDescent="0.25">
      <c r="A23" s="198">
        <f>'A) Base RI'!A25</f>
        <v>5424</v>
      </c>
      <c r="B23" s="42" t="str">
        <f>'A) Base RI'!B25</f>
        <v>Berolle</v>
      </c>
      <c r="C23" s="41">
        <f>'D) Ecrêtage'!M23</f>
        <v>9360.1262337662338</v>
      </c>
      <c r="D23" s="41">
        <v>75730</v>
      </c>
      <c r="E23" s="14">
        <v>9496</v>
      </c>
      <c r="F23" s="52">
        <v>44160</v>
      </c>
      <c r="G23" s="52">
        <f t="shared" si="0"/>
        <v>129386</v>
      </c>
      <c r="H23" s="14">
        <f t="shared" si="1"/>
        <v>74881.00987012987</v>
      </c>
      <c r="I23" s="41">
        <f t="shared" si="2"/>
        <v>54504.99012987013</v>
      </c>
      <c r="J23" s="4">
        <f t="shared" si="3"/>
        <v>-38554.093369205948</v>
      </c>
      <c r="K23" s="19">
        <v>15477</v>
      </c>
      <c r="L23" s="14">
        <f t="shared" si="4"/>
        <v>9360.1262337662338</v>
      </c>
      <c r="M23" s="19">
        <f t="shared" si="5"/>
        <v>6116.8737662337662</v>
      </c>
      <c r="N23" s="4">
        <f t="shared" si="6"/>
        <v>-4326.7693792642649</v>
      </c>
      <c r="O23" s="207">
        <f t="shared" si="7"/>
        <v>-42880.862748470216</v>
      </c>
      <c r="P23" s="441">
        <f t="shared" si="8"/>
        <v>-4.5812269703991211</v>
      </c>
      <c r="Q23" s="200"/>
    </row>
    <row r="24" spans="1:17" x14ac:dyDescent="0.25">
      <c r="A24" s="198">
        <f>'A) Base RI'!A26</f>
        <v>5425</v>
      </c>
      <c r="B24" s="42" t="str">
        <f>'A) Base RI'!B26</f>
        <v>Bière</v>
      </c>
      <c r="C24" s="41">
        <f>'D) Ecrêtage'!M24</f>
        <v>40787.403970588231</v>
      </c>
      <c r="D24" s="41">
        <v>573304</v>
      </c>
      <c r="E24" s="14">
        <v>106818</v>
      </c>
      <c r="F24" s="52">
        <v>197710</v>
      </c>
      <c r="G24" s="52">
        <f t="shared" si="0"/>
        <v>877832</v>
      </c>
      <c r="H24" s="14">
        <f t="shared" si="1"/>
        <v>326299.23176470585</v>
      </c>
      <c r="I24" s="41">
        <f t="shared" si="2"/>
        <v>551532.76823529415</v>
      </c>
      <c r="J24" s="4">
        <f t="shared" si="3"/>
        <v>-390126.58826383355</v>
      </c>
      <c r="K24" s="19">
        <v>55211</v>
      </c>
      <c r="L24" s="14">
        <f t="shared" si="4"/>
        <v>40787.403970588231</v>
      </c>
      <c r="M24" s="19">
        <f t="shared" si="5"/>
        <v>14423.596029411769</v>
      </c>
      <c r="N24" s="4">
        <f t="shared" si="6"/>
        <v>-10202.527634857761</v>
      </c>
      <c r="O24" s="207">
        <f t="shared" si="7"/>
        <v>-400329.11589869129</v>
      </c>
      <c r="P24" s="441">
        <f t="shared" si="8"/>
        <v>-9.8150182881795658</v>
      </c>
      <c r="Q24" s="200"/>
    </row>
    <row r="25" spans="1:17" x14ac:dyDescent="0.25">
      <c r="A25" s="198">
        <f>'A) Base RI'!A27</f>
        <v>5426</v>
      </c>
      <c r="B25" s="42" t="str">
        <f>'A) Base RI'!B27</f>
        <v>Bougy-Villars</v>
      </c>
      <c r="C25" s="41">
        <f>'D) Ecrêtage'!M25</f>
        <v>35572.27242014376</v>
      </c>
      <c r="D25" s="41">
        <v>112062</v>
      </c>
      <c r="E25" s="14">
        <v>38634</v>
      </c>
      <c r="F25" s="52">
        <v>42229</v>
      </c>
      <c r="G25" s="52">
        <f t="shared" si="0"/>
        <v>192925</v>
      </c>
      <c r="H25" s="14">
        <f t="shared" si="1"/>
        <v>284578.17936115008</v>
      </c>
      <c r="I25" s="41">
        <f t="shared" si="2"/>
        <v>0</v>
      </c>
      <c r="J25" s="4">
        <f t="shared" si="3"/>
        <v>0</v>
      </c>
      <c r="K25" s="19">
        <v>-1991</v>
      </c>
      <c r="L25" s="14">
        <f t="shared" si="4"/>
        <v>35572.27242014376</v>
      </c>
      <c r="M25" s="19">
        <f t="shared" si="5"/>
        <v>0</v>
      </c>
      <c r="N25" s="4">
        <f t="shared" si="6"/>
        <v>0</v>
      </c>
      <c r="O25" s="207">
        <f t="shared" si="7"/>
        <v>0</v>
      </c>
      <c r="P25" s="441">
        <f t="shared" si="8"/>
        <v>0</v>
      </c>
      <c r="Q25" s="200"/>
    </row>
    <row r="26" spans="1:17" x14ac:dyDescent="0.25">
      <c r="A26" s="198">
        <f>'A) Base RI'!A28</f>
        <v>5427</v>
      </c>
      <c r="B26" s="42" t="str">
        <f>'A) Base RI'!B28</f>
        <v>Féchy</v>
      </c>
      <c r="C26" s="41">
        <f>'D) Ecrêtage'!M26</f>
        <v>57693.918333518144</v>
      </c>
      <c r="D26" s="41">
        <v>134843</v>
      </c>
      <c r="E26" s="14">
        <v>23223</v>
      </c>
      <c r="F26" s="52">
        <v>90940</v>
      </c>
      <c r="G26" s="52">
        <f t="shared" si="0"/>
        <v>249006</v>
      </c>
      <c r="H26" s="14">
        <f t="shared" si="1"/>
        <v>461551.34666814515</v>
      </c>
      <c r="I26" s="41">
        <f t="shared" si="2"/>
        <v>0</v>
      </c>
      <c r="J26" s="4">
        <f t="shared" si="3"/>
        <v>0</v>
      </c>
      <c r="K26" s="19">
        <v>6201</v>
      </c>
      <c r="L26" s="14">
        <f t="shared" si="4"/>
        <v>57693.918333518144</v>
      </c>
      <c r="M26" s="19">
        <f t="shared" si="5"/>
        <v>0</v>
      </c>
      <c r="N26" s="4">
        <f t="shared" si="6"/>
        <v>0</v>
      </c>
      <c r="O26" s="207">
        <f t="shared" si="7"/>
        <v>0</v>
      </c>
      <c r="P26" s="441">
        <f t="shared" si="8"/>
        <v>0</v>
      </c>
      <c r="Q26" s="200"/>
    </row>
    <row r="27" spans="1:17" x14ac:dyDescent="0.25">
      <c r="A27" s="198">
        <f>'A) Base RI'!A29</f>
        <v>5428</v>
      </c>
      <c r="B27" s="42" t="str">
        <f>'A) Base RI'!B29</f>
        <v>Gimel</v>
      </c>
      <c r="C27" s="41">
        <f>'D) Ecrêtage'!M27</f>
        <v>57546.053752913758</v>
      </c>
      <c r="D27" s="41">
        <v>581246</v>
      </c>
      <c r="E27" s="14">
        <v>82979</v>
      </c>
      <c r="F27" s="52">
        <v>244191</v>
      </c>
      <c r="G27" s="52">
        <f t="shared" si="0"/>
        <v>908416</v>
      </c>
      <c r="H27" s="14">
        <f t="shared" si="1"/>
        <v>460368.43002331007</v>
      </c>
      <c r="I27" s="41">
        <f t="shared" si="2"/>
        <v>448047.56997668993</v>
      </c>
      <c r="J27" s="4">
        <f t="shared" si="3"/>
        <v>-316926.35491847392</v>
      </c>
      <c r="K27" s="19">
        <v>-44003</v>
      </c>
      <c r="L27" s="14">
        <f t="shared" si="4"/>
        <v>57546.053752913758</v>
      </c>
      <c r="M27" s="19">
        <f t="shared" si="5"/>
        <v>0</v>
      </c>
      <c r="N27" s="4">
        <f t="shared" si="6"/>
        <v>0</v>
      </c>
      <c r="O27" s="207">
        <f t="shared" si="7"/>
        <v>-316926.35491847392</v>
      </c>
      <c r="P27" s="441">
        <f t="shared" si="8"/>
        <v>-5.5073516644471354</v>
      </c>
      <c r="Q27" s="200"/>
    </row>
    <row r="28" spans="1:17" x14ac:dyDescent="0.25">
      <c r="A28" s="198">
        <f>'A) Base RI'!A30</f>
        <v>5429</v>
      </c>
      <c r="B28" s="42" t="str">
        <f>'A) Base RI'!B30</f>
        <v>Longirod</v>
      </c>
      <c r="C28" s="41">
        <f>'D) Ecrêtage'!M28</f>
        <v>13645.142716049384</v>
      </c>
      <c r="D28" s="41">
        <v>153752</v>
      </c>
      <c r="E28" s="14">
        <v>28398</v>
      </c>
      <c r="F28" s="52">
        <v>47473</v>
      </c>
      <c r="G28" s="52">
        <f t="shared" si="0"/>
        <v>229623</v>
      </c>
      <c r="H28" s="14">
        <f t="shared" si="1"/>
        <v>109161.14172839507</v>
      </c>
      <c r="I28" s="41">
        <f t="shared" si="2"/>
        <v>120461.85827160493</v>
      </c>
      <c r="J28" s="4">
        <f t="shared" si="3"/>
        <v>-85208.670255061952</v>
      </c>
      <c r="K28" s="19">
        <v>91438</v>
      </c>
      <c r="L28" s="14">
        <f t="shared" si="4"/>
        <v>13645.142716049384</v>
      </c>
      <c r="M28" s="19">
        <f t="shared" si="5"/>
        <v>77792.857283950609</v>
      </c>
      <c r="N28" s="4">
        <f t="shared" si="6"/>
        <v>-55026.761330227055</v>
      </c>
      <c r="O28" s="207">
        <f t="shared" si="7"/>
        <v>-140235.43158528901</v>
      </c>
      <c r="P28" s="441">
        <f t="shared" si="8"/>
        <v>-10.277315122570645</v>
      </c>
      <c r="Q28" s="200"/>
    </row>
    <row r="29" spans="1:17" x14ac:dyDescent="0.25">
      <c r="A29" s="198">
        <f>'A) Base RI'!A31</f>
        <v>5430</v>
      </c>
      <c r="B29" s="42" t="str">
        <f>'A) Base RI'!B31</f>
        <v>Marchissy</v>
      </c>
      <c r="C29" s="41">
        <f>'D) Ecrêtage'!M29</f>
        <v>12901.686543209877</v>
      </c>
      <c r="D29" s="41">
        <v>332755</v>
      </c>
      <c r="E29" s="14">
        <v>18976</v>
      </c>
      <c r="F29" s="52">
        <v>47064</v>
      </c>
      <c r="G29" s="52">
        <f t="shared" si="0"/>
        <v>398795</v>
      </c>
      <c r="H29" s="14">
        <f t="shared" si="1"/>
        <v>103213.49234567901</v>
      </c>
      <c r="I29" s="41">
        <f t="shared" si="2"/>
        <v>295581.50765432097</v>
      </c>
      <c r="J29" s="4">
        <f t="shared" si="3"/>
        <v>-209079.51762145391</v>
      </c>
      <c r="K29" s="19">
        <v>33704</v>
      </c>
      <c r="L29" s="14">
        <f t="shared" si="4"/>
        <v>12901.686543209877</v>
      </c>
      <c r="M29" s="19">
        <f t="shared" si="5"/>
        <v>20802.313456790122</v>
      </c>
      <c r="N29" s="4">
        <f t="shared" si="6"/>
        <v>-14714.512073070742</v>
      </c>
      <c r="O29" s="207">
        <f t="shared" si="7"/>
        <v>-223794.02969452465</v>
      </c>
      <c r="P29" s="441">
        <f t="shared" si="8"/>
        <v>-17.346106568703366</v>
      </c>
      <c r="Q29" s="200"/>
    </row>
    <row r="30" spans="1:17" x14ac:dyDescent="0.25">
      <c r="A30" s="198">
        <f>'A) Base RI'!A32</f>
        <v>5431</v>
      </c>
      <c r="B30" s="42" t="str">
        <f>'A) Base RI'!B32</f>
        <v>Mollens</v>
      </c>
      <c r="C30" s="41">
        <f>'D) Ecrêtage'!M30</f>
        <v>8965.3154054054066</v>
      </c>
      <c r="D30" s="41">
        <v>53355</v>
      </c>
      <c r="E30" s="14">
        <v>8937</v>
      </c>
      <c r="F30" s="52">
        <v>31897</v>
      </c>
      <c r="G30" s="52">
        <f t="shared" si="0"/>
        <v>94189</v>
      </c>
      <c r="H30" s="14">
        <f t="shared" si="1"/>
        <v>71722.523243243253</v>
      </c>
      <c r="I30" s="41">
        <f t="shared" si="2"/>
        <v>22466.476756756747</v>
      </c>
      <c r="J30" s="4">
        <f t="shared" si="3"/>
        <v>-15891.657635259509</v>
      </c>
      <c r="K30" s="19">
        <v>49003</v>
      </c>
      <c r="L30" s="14">
        <f t="shared" si="4"/>
        <v>8965.3154054054066</v>
      </c>
      <c r="M30" s="19">
        <f t="shared" si="5"/>
        <v>40037.684594594597</v>
      </c>
      <c r="N30" s="4">
        <f t="shared" si="6"/>
        <v>-28320.647824516847</v>
      </c>
      <c r="O30" s="207">
        <f t="shared" si="7"/>
        <v>-44212.305459776355</v>
      </c>
      <c r="P30" s="441">
        <f t="shared" si="8"/>
        <v>-4.9314835519472835</v>
      </c>
      <c r="Q30" s="200"/>
    </row>
    <row r="31" spans="1:17" x14ac:dyDescent="0.25">
      <c r="A31" s="198">
        <f>'A) Base RI'!A33</f>
        <v>5432</v>
      </c>
      <c r="B31" s="42" t="str">
        <f>'A) Base RI'!B33</f>
        <v>Montherod</v>
      </c>
      <c r="C31" s="41">
        <f>'D) Ecrêtage'!M31</f>
        <v>18938.674054054052</v>
      </c>
      <c r="D31" s="41">
        <v>71197</v>
      </c>
      <c r="E31" s="14">
        <v>17912</v>
      </c>
      <c r="F31" s="52">
        <v>60710</v>
      </c>
      <c r="G31" s="52">
        <f t="shared" si="0"/>
        <v>149819</v>
      </c>
      <c r="H31" s="14">
        <f t="shared" si="1"/>
        <v>151509.39243243242</v>
      </c>
      <c r="I31" s="41">
        <f t="shared" si="2"/>
        <v>0</v>
      </c>
      <c r="J31" s="4">
        <f t="shared" si="3"/>
        <v>0</v>
      </c>
      <c r="K31" s="19">
        <v>-6869</v>
      </c>
      <c r="L31" s="14">
        <f t="shared" si="4"/>
        <v>18938.674054054052</v>
      </c>
      <c r="M31" s="19">
        <f t="shared" si="5"/>
        <v>0</v>
      </c>
      <c r="N31" s="4">
        <f t="shared" si="6"/>
        <v>0</v>
      </c>
      <c r="O31" s="207">
        <f t="shared" si="7"/>
        <v>0</v>
      </c>
      <c r="P31" s="441">
        <f t="shared" si="8"/>
        <v>0</v>
      </c>
      <c r="Q31" s="200"/>
    </row>
    <row r="32" spans="1:17" x14ac:dyDescent="0.25">
      <c r="A32" s="198">
        <f>'A) Base RI'!A34</f>
        <v>5434</v>
      </c>
      <c r="B32" s="42" t="str">
        <f>'A) Base RI'!B34</f>
        <v>Saint-George</v>
      </c>
      <c r="C32" s="41">
        <f>'D) Ecrêtage'!M32</f>
        <v>33015.772116788328</v>
      </c>
      <c r="D32" s="41">
        <v>225107</v>
      </c>
      <c r="E32" s="14">
        <v>32695</v>
      </c>
      <c r="F32" s="52">
        <v>108527</v>
      </c>
      <c r="G32" s="52">
        <f t="shared" si="0"/>
        <v>366329</v>
      </c>
      <c r="H32" s="14">
        <f t="shared" si="1"/>
        <v>264126.17693430663</v>
      </c>
      <c r="I32" s="41">
        <f t="shared" si="2"/>
        <v>102202.82306569337</v>
      </c>
      <c r="J32" s="4">
        <f t="shared" si="3"/>
        <v>-72293.145520849692</v>
      </c>
      <c r="K32" s="19">
        <v>123571</v>
      </c>
      <c r="L32" s="14">
        <f t="shared" si="4"/>
        <v>33015.772116788328</v>
      </c>
      <c r="M32" s="19">
        <f t="shared" si="5"/>
        <v>90555.227883211672</v>
      </c>
      <c r="N32" s="4">
        <f t="shared" si="6"/>
        <v>-64054.221504495916</v>
      </c>
      <c r="O32" s="207">
        <f t="shared" si="7"/>
        <v>-136347.36702534562</v>
      </c>
      <c r="P32" s="441">
        <f t="shared" si="8"/>
        <v>-4.1297646029006172</v>
      </c>
      <c r="Q32" s="200"/>
    </row>
    <row r="33" spans="1:17" x14ac:dyDescent="0.25">
      <c r="A33" s="198">
        <f>'A) Base RI'!A35</f>
        <v>5435</v>
      </c>
      <c r="B33" s="42" t="str">
        <f>'A) Base RI'!B35</f>
        <v>Saint-Livres</v>
      </c>
      <c r="C33" s="41">
        <f>'D) Ecrêtage'!M33</f>
        <v>24335.25550724638</v>
      </c>
      <c r="D33" s="41">
        <v>112027</v>
      </c>
      <c r="E33" s="14">
        <v>33872</v>
      </c>
      <c r="F33" s="52">
        <v>85216</v>
      </c>
      <c r="G33" s="52">
        <f t="shared" si="0"/>
        <v>231115</v>
      </c>
      <c r="H33" s="14">
        <f t="shared" si="1"/>
        <v>194682.04405797104</v>
      </c>
      <c r="I33" s="41">
        <f t="shared" si="2"/>
        <v>36432.955942028959</v>
      </c>
      <c r="J33" s="4">
        <f t="shared" si="3"/>
        <v>-25770.843766016438</v>
      </c>
      <c r="K33" s="19">
        <v>-22488</v>
      </c>
      <c r="L33" s="14">
        <f t="shared" si="4"/>
        <v>24335.25550724638</v>
      </c>
      <c r="M33" s="19">
        <f t="shared" si="5"/>
        <v>0</v>
      </c>
      <c r="N33" s="4">
        <f t="shared" si="6"/>
        <v>0</v>
      </c>
      <c r="O33" s="207">
        <f t="shared" si="7"/>
        <v>-25770.843766016438</v>
      </c>
      <c r="P33" s="441">
        <f t="shared" si="8"/>
        <v>-1.058992117766858</v>
      </c>
      <c r="Q33" s="200"/>
    </row>
    <row r="34" spans="1:17" x14ac:dyDescent="0.25">
      <c r="A34" s="198">
        <f>'A) Base RI'!A36</f>
        <v>5436</v>
      </c>
      <c r="B34" s="42" t="str">
        <f>'A) Base RI'!B36</f>
        <v>Saint-Oyens</v>
      </c>
      <c r="C34" s="41">
        <f>'D) Ecrêtage'!M34</f>
        <v>9937.7678395061721</v>
      </c>
      <c r="D34" s="41">
        <v>92415</v>
      </c>
      <c r="E34" s="14">
        <v>17019</v>
      </c>
      <c r="F34" s="52">
        <v>29396</v>
      </c>
      <c r="G34" s="52">
        <f t="shared" si="0"/>
        <v>138830</v>
      </c>
      <c r="H34" s="14">
        <f t="shared" si="1"/>
        <v>79502.142716049377</v>
      </c>
      <c r="I34" s="41">
        <f t="shared" si="2"/>
        <v>59327.857283950623</v>
      </c>
      <c r="J34" s="4">
        <f t="shared" si="3"/>
        <v>-41965.547441991759</v>
      </c>
      <c r="K34" s="19">
        <v>40062</v>
      </c>
      <c r="L34" s="14">
        <f t="shared" si="4"/>
        <v>9937.7678395061721</v>
      </c>
      <c r="M34" s="19">
        <f t="shared" si="5"/>
        <v>30124.232160493826</v>
      </c>
      <c r="N34" s="4">
        <f t="shared" si="6"/>
        <v>-21308.36931855221</v>
      </c>
      <c r="O34" s="207">
        <f t="shared" si="7"/>
        <v>-63273.916760543972</v>
      </c>
      <c r="P34" s="441">
        <f t="shared" si="8"/>
        <v>-6.367014985901319</v>
      </c>
      <c r="Q34" s="200"/>
    </row>
    <row r="35" spans="1:17" x14ac:dyDescent="0.25">
      <c r="A35" s="198">
        <f>'A) Base RI'!A37</f>
        <v>5437</v>
      </c>
      <c r="B35" s="42" t="str">
        <f>'A) Base RI'!B37</f>
        <v>Saubraz</v>
      </c>
      <c r="C35" s="41">
        <f>'D) Ecrêtage'!M35</f>
        <v>9144.65614457831</v>
      </c>
      <c r="D35" s="41">
        <v>76922</v>
      </c>
      <c r="E35" s="14">
        <v>8824</v>
      </c>
      <c r="F35" s="52">
        <v>60244</v>
      </c>
      <c r="G35" s="52">
        <f t="shared" si="0"/>
        <v>145990</v>
      </c>
      <c r="H35" s="14">
        <f t="shared" si="1"/>
        <v>73157.24915662648</v>
      </c>
      <c r="I35" s="41">
        <f t="shared" si="2"/>
        <v>72832.75084337352</v>
      </c>
      <c r="J35" s="4">
        <f t="shared" si="3"/>
        <v>-51518.231076840057</v>
      </c>
      <c r="K35" s="19">
        <v>9387</v>
      </c>
      <c r="L35" s="14">
        <f t="shared" si="4"/>
        <v>9144.65614457831</v>
      </c>
      <c r="M35" s="19">
        <f t="shared" si="5"/>
        <v>242.34385542169002</v>
      </c>
      <c r="N35" s="4">
        <f t="shared" si="6"/>
        <v>-171.42187544880943</v>
      </c>
      <c r="O35" s="207">
        <f t="shared" si="7"/>
        <v>-51689.652952288867</v>
      </c>
      <c r="P35" s="441">
        <f t="shared" si="8"/>
        <v>-5.6524435839979246</v>
      </c>
      <c r="Q35" s="200"/>
    </row>
    <row r="36" spans="1:17" x14ac:dyDescent="0.25">
      <c r="A36" s="198">
        <f>'A) Base RI'!A38</f>
        <v>5451</v>
      </c>
      <c r="B36" s="42" t="str">
        <f>'A) Base RI'!B38</f>
        <v>Avenches</v>
      </c>
      <c r="C36" s="41">
        <f>'D) Ecrêtage'!M36</f>
        <v>102028.81651960785</v>
      </c>
      <c r="D36" s="41">
        <v>1892660</v>
      </c>
      <c r="E36" s="14">
        <v>443955</v>
      </c>
      <c r="F36" s="52">
        <v>597568</v>
      </c>
      <c r="G36" s="52">
        <f t="shared" si="0"/>
        <v>2934183</v>
      </c>
      <c r="H36" s="14">
        <f t="shared" si="1"/>
        <v>816230.53215686278</v>
      </c>
      <c r="I36" s="41">
        <f t="shared" si="2"/>
        <v>2117952.4678431372</v>
      </c>
      <c r="J36" s="4">
        <f t="shared" si="3"/>
        <v>-1498133.2351808837</v>
      </c>
      <c r="K36" s="19">
        <v>196560</v>
      </c>
      <c r="L36" s="14">
        <f t="shared" si="4"/>
        <v>102028.81651960785</v>
      </c>
      <c r="M36" s="19">
        <f t="shared" si="5"/>
        <v>94531.183480392152</v>
      </c>
      <c r="N36" s="4">
        <f t="shared" si="6"/>
        <v>-66866.61286463133</v>
      </c>
      <c r="O36" s="207">
        <f t="shared" si="7"/>
        <v>-1564999.8480455149</v>
      </c>
      <c r="P36" s="441">
        <f t="shared" si="8"/>
        <v>-15.338802324976042</v>
      </c>
      <c r="Q36" s="200"/>
    </row>
    <row r="37" spans="1:17" x14ac:dyDescent="0.25">
      <c r="A37" s="198">
        <f>'A) Base RI'!A39</f>
        <v>5456</v>
      </c>
      <c r="B37" s="42" t="str">
        <f>'A) Base RI'!B39</f>
        <v>Cudrefin</v>
      </c>
      <c r="C37" s="41">
        <f>'D) Ecrêtage'!M37</f>
        <v>45272.368813559326</v>
      </c>
      <c r="D37" s="41">
        <v>443723</v>
      </c>
      <c r="E37" s="14">
        <v>50202</v>
      </c>
      <c r="F37" s="52">
        <v>241254</v>
      </c>
      <c r="G37" s="52">
        <f t="shared" si="0"/>
        <v>735179</v>
      </c>
      <c r="H37" s="14">
        <f t="shared" si="1"/>
        <v>362178.95050847461</v>
      </c>
      <c r="I37" s="41">
        <f t="shared" si="2"/>
        <v>373000.04949152539</v>
      </c>
      <c r="J37" s="4">
        <f t="shared" si="3"/>
        <v>-263841.50699870929</v>
      </c>
      <c r="K37" s="19">
        <v>24418</v>
      </c>
      <c r="L37" s="14">
        <f t="shared" si="4"/>
        <v>45272.368813559326</v>
      </c>
      <c r="M37" s="19">
        <f t="shared" si="5"/>
        <v>0</v>
      </c>
      <c r="N37" s="4">
        <f t="shared" si="6"/>
        <v>0</v>
      </c>
      <c r="O37" s="207">
        <f t="shared" si="7"/>
        <v>-263841.50699870929</v>
      </c>
      <c r="P37" s="441">
        <f t="shared" si="8"/>
        <v>-5.8278705955339207</v>
      </c>
      <c r="Q37" s="200"/>
    </row>
    <row r="38" spans="1:17" x14ac:dyDescent="0.25">
      <c r="A38" s="198">
        <f>'A) Base RI'!A40</f>
        <v>5458</v>
      </c>
      <c r="B38" s="42" t="str">
        <f>'A) Base RI'!B40</f>
        <v>Faoug</v>
      </c>
      <c r="C38" s="41">
        <f>'D) Ecrêtage'!M38</f>
        <v>28143.986721311474</v>
      </c>
      <c r="D38" s="41">
        <v>221922</v>
      </c>
      <c r="E38" s="14">
        <v>37720</v>
      </c>
      <c r="F38" s="52">
        <v>125804</v>
      </c>
      <c r="G38" s="52">
        <f t="shared" si="0"/>
        <v>385446</v>
      </c>
      <c r="H38" s="14">
        <f t="shared" si="1"/>
        <v>225151.89377049179</v>
      </c>
      <c r="I38" s="41">
        <f t="shared" si="2"/>
        <v>160294.10622950821</v>
      </c>
      <c r="J38" s="4">
        <f t="shared" si="3"/>
        <v>-113384.00251758016</v>
      </c>
      <c r="K38" s="19">
        <v>27145</v>
      </c>
      <c r="L38" s="14">
        <f t="shared" si="4"/>
        <v>28143.986721311474</v>
      </c>
      <c r="M38" s="19">
        <f t="shared" si="5"/>
        <v>0</v>
      </c>
      <c r="N38" s="4">
        <f t="shared" si="6"/>
        <v>0</v>
      </c>
      <c r="O38" s="207">
        <f t="shared" si="7"/>
        <v>-113384.00251758016</v>
      </c>
      <c r="P38" s="441">
        <f t="shared" si="8"/>
        <v>-4.0287114842803122</v>
      </c>
      <c r="Q38" s="200"/>
    </row>
    <row r="39" spans="1:17" x14ac:dyDescent="0.25">
      <c r="A39" s="198">
        <f>'A) Base RI'!A41</f>
        <v>5464</v>
      </c>
      <c r="B39" s="42" t="str">
        <f>'A) Base RI'!B41</f>
        <v>Vully-les-Lacs</v>
      </c>
      <c r="C39" s="41">
        <f>'D) Ecrêtage'!M39</f>
        <v>96865.968557213928</v>
      </c>
      <c r="D39" s="8">
        <v>916445</v>
      </c>
      <c r="E39" s="14">
        <v>95947</v>
      </c>
      <c r="F39" s="8">
        <v>387400</v>
      </c>
      <c r="G39" s="52">
        <f t="shared" si="0"/>
        <v>1399792</v>
      </c>
      <c r="H39" s="14">
        <f t="shared" si="1"/>
        <v>774927.74845771142</v>
      </c>
      <c r="I39" s="41">
        <f t="shared" si="2"/>
        <v>624864.25154228858</v>
      </c>
      <c r="J39" s="4">
        <f t="shared" si="3"/>
        <v>-441997.59764451109</v>
      </c>
      <c r="K39" s="19">
        <v>51149</v>
      </c>
      <c r="L39" s="14">
        <f t="shared" si="4"/>
        <v>96865.968557213928</v>
      </c>
      <c r="M39" s="19">
        <f t="shared" si="5"/>
        <v>0</v>
      </c>
      <c r="N39" s="4">
        <f t="shared" si="6"/>
        <v>0</v>
      </c>
      <c r="O39" s="207">
        <f t="shared" si="7"/>
        <v>-441997.59764451109</v>
      </c>
      <c r="P39" s="441">
        <f t="shared" si="8"/>
        <v>-4.5629812433398111</v>
      </c>
      <c r="Q39" s="200"/>
    </row>
    <row r="40" spans="1:17" x14ac:dyDescent="0.25">
      <c r="A40" s="198">
        <f>'A) Base RI'!A42</f>
        <v>5471</v>
      </c>
      <c r="B40" s="42" t="str">
        <f>'A) Base RI'!B42</f>
        <v>Bettens</v>
      </c>
      <c r="C40" s="41">
        <f>'D) Ecrêtage'!M40</f>
        <v>18168.257063492067</v>
      </c>
      <c r="D40" s="41">
        <v>68330</v>
      </c>
      <c r="E40" s="14">
        <v>16016</v>
      </c>
      <c r="F40" s="52">
        <v>53551</v>
      </c>
      <c r="G40" s="52">
        <f t="shared" si="0"/>
        <v>137897</v>
      </c>
      <c r="H40" s="14">
        <f t="shared" si="1"/>
        <v>145346.05650793653</v>
      </c>
      <c r="I40" s="41">
        <f t="shared" si="2"/>
        <v>0</v>
      </c>
      <c r="J40" s="4">
        <f t="shared" si="3"/>
        <v>0</v>
      </c>
      <c r="K40" s="19">
        <v>955</v>
      </c>
      <c r="L40" s="14">
        <f t="shared" si="4"/>
        <v>18168.257063492067</v>
      </c>
      <c r="M40" s="19">
        <f t="shared" si="5"/>
        <v>0</v>
      </c>
      <c r="N40" s="4">
        <f t="shared" si="6"/>
        <v>0</v>
      </c>
      <c r="O40" s="207">
        <f t="shared" si="7"/>
        <v>0</v>
      </c>
      <c r="P40" s="441">
        <f t="shared" si="8"/>
        <v>0</v>
      </c>
      <c r="Q40" s="200"/>
    </row>
    <row r="41" spans="1:17" x14ac:dyDescent="0.25">
      <c r="A41" s="198">
        <f>'A) Base RI'!A43</f>
        <v>5472</v>
      </c>
      <c r="B41" s="42" t="str">
        <f>'A) Base RI'!B43</f>
        <v>Bournens</v>
      </c>
      <c r="C41" s="41">
        <f>'D) Ecrêtage'!M41</f>
        <v>13213.617875</v>
      </c>
      <c r="D41" s="41">
        <v>69664</v>
      </c>
      <c r="E41" s="14">
        <v>16378</v>
      </c>
      <c r="F41" s="52">
        <v>23733</v>
      </c>
      <c r="G41" s="52">
        <f t="shared" si="0"/>
        <v>109775</v>
      </c>
      <c r="H41" s="14">
        <f t="shared" si="1"/>
        <v>105708.943</v>
      </c>
      <c r="I41" s="41">
        <f t="shared" si="2"/>
        <v>4066.0570000000007</v>
      </c>
      <c r="J41" s="4">
        <f t="shared" si="3"/>
        <v>-2876.1245685760291</v>
      </c>
      <c r="K41" s="19">
        <v>46708</v>
      </c>
      <c r="L41" s="14">
        <f t="shared" si="4"/>
        <v>13213.617875</v>
      </c>
      <c r="M41" s="19">
        <f t="shared" si="5"/>
        <v>33494.382125000004</v>
      </c>
      <c r="N41" s="4">
        <f t="shared" si="6"/>
        <v>-23692.244191113474</v>
      </c>
      <c r="O41" s="207">
        <f t="shared" si="7"/>
        <v>-26568.368759689503</v>
      </c>
      <c r="P41" s="441">
        <f t="shared" si="8"/>
        <v>-2.0106808756711909</v>
      </c>
      <c r="Q41" s="200"/>
    </row>
    <row r="42" spans="1:17" x14ac:dyDescent="0.25">
      <c r="A42" s="198">
        <f>'A) Base RI'!A44</f>
        <v>5473</v>
      </c>
      <c r="B42" s="42" t="str">
        <f>'A) Base RI'!B44</f>
        <v>Boussens</v>
      </c>
      <c r="C42" s="41">
        <f>'D) Ecrêtage'!M42</f>
        <v>33007.750579710155</v>
      </c>
      <c r="D42" s="41">
        <v>48811</v>
      </c>
      <c r="E42" s="14">
        <v>42709</v>
      </c>
      <c r="F42" s="52">
        <v>50265</v>
      </c>
      <c r="G42" s="52">
        <f t="shared" si="0"/>
        <v>141785</v>
      </c>
      <c r="H42" s="14">
        <f t="shared" si="1"/>
        <v>264062.00463768124</v>
      </c>
      <c r="I42" s="41">
        <f t="shared" si="2"/>
        <v>0</v>
      </c>
      <c r="J42" s="4">
        <f t="shared" si="3"/>
        <v>0</v>
      </c>
      <c r="K42" s="19">
        <v>6723</v>
      </c>
      <c r="L42" s="14">
        <f t="shared" si="4"/>
        <v>33007.750579710155</v>
      </c>
      <c r="M42" s="19">
        <f t="shared" si="5"/>
        <v>0</v>
      </c>
      <c r="N42" s="4">
        <f t="shared" si="6"/>
        <v>0</v>
      </c>
      <c r="O42" s="207">
        <f t="shared" si="7"/>
        <v>0</v>
      </c>
      <c r="P42" s="441">
        <f t="shared" si="8"/>
        <v>0</v>
      </c>
      <c r="Q42" s="200"/>
    </row>
    <row r="43" spans="1:17" x14ac:dyDescent="0.25">
      <c r="A43" s="198">
        <f>'A) Base RI'!A45</f>
        <v>5474</v>
      </c>
      <c r="B43" s="42" t="str">
        <f>'A) Base RI'!B45</f>
        <v>La Chaux (Cossonay)</v>
      </c>
      <c r="C43" s="41">
        <f>'D) Ecrêtage'!M43</f>
        <v>12690.44829004329</v>
      </c>
      <c r="D43" s="41">
        <v>174682</v>
      </c>
      <c r="E43" s="14">
        <v>13096</v>
      </c>
      <c r="F43" s="52">
        <v>62031</v>
      </c>
      <c r="G43" s="52">
        <f t="shared" si="0"/>
        <v>249809</v>
      </c>
      <c r="H43" s="14">
        <f t="shared" si="1"/>
        <v>101523.58632034632</v>
      </c>
      <c r="I43" s="41">
        <f t="shared" si="2"/>
        <v>148285.41367965366</v>
      </c>
      <c r="J43" s="4">
        <f t="shared" si="3"/>
        <v>-104889.65635393499</v>
      </c>
      <c r="K43" s="19">
        <v>19735</v>
      </c>
      <c r="L43" s="14">
        <f t="shared" si="4"/>
        <v>12690.44829004329</v>
      </c>
      <c r="M43" s="19">
        <f t="shared" si="5"/>
        <v>7044.5517099567096</v>
      </c>
      <c r="N43" s="4">
        <f t="shared" si="6"/>
        <v>-4982.9621787423948</v>
      </c>
      <c r="O43" s="207">
        <f t="shared" si="7"/>
        <v>-109872.61853267738</v>
      </c>
      <c r="P43" s="441">
        <f t="shared" si="8"/>
        <v>-8.6578989190540714</v>
      </c>
      <c r="Q43" s="200"/>
    </row>
    <row r="44" spans="1:17" x14ac:dyDescent="0.25">
      <c r="A44" s="198">
        <f>'A) Base RI'!A46</f>
        <v>5475</v>
      </c>
      <c r="B44" s="42" t="str">
        <f>'A) Base RI'!B46</f>
        <v>Chavannes-le-Veyron</v>
      </c>
      <c r="C44" s="41">
        <f>'D) Ecrêtage'!M44</f>
        <v>2750.1545454545449</v>
      </c>
      <c r="D44" s="41">
        <v>68368</v>
      </c>
      <c r="E44" s="14">
        <v>3941</v>
      </c>
      <c r="F44" s="52">
        <v>21159</v>
      </c>
      <c r="G44" s="52">
        <f t="shared" si="0"/>
        <v>93468</v>
      </c>
      <c r="H44" s="14">
        <f t="shared" si="1"/>
        <v>22001.236363636359</v>
      </c>
      <c r="I44" s="41">
        <f t="shared" si="2"/>
        <v>71466.763636363641</v>
      </c>
      <c r="J44" s="4">
        <f t="shared" si="3"/>
        <v>-50552.000311643787</v>
      </c>
      <c r="K44" s="19">
        <v>22904</v>
      </c>
      <c r="L44" s="14">
        <f t="shared" si="4"/>
        <v>2750.1545454545449</v>
      </c>
      <c r="M44" s="19">
        <f t="shared" si="5"/>
        <v>20153.845454545455</v>
      </c>
      <c r="N44" s="4">
        <f t="shared" si="6"/>
        <v>-14255.818367303385</v>
      </c>
      <c r="O44" s="207">
        <f t="shared" si="7"/>
        <v>-64807.818678947173</v>
      </c>
      <c r="P44" s="441">
        <f t="shared" si="8"/>
        <v>-23.565155196845765</v>
      </c>
      <c r="Q44" s="200"/>
    </row>
    <row r="45" spans="1:17" x14ac:dyDescent="0.25">
      <c r="A45" s="198">
        <f>'A) Base RI'!A47</f>
        <v>5476</v>
      </c>
      <c r="B45" s="42" t="str">
        <f>'A) Base RI'!B47</f>
        <v>Chevilly</v>
      </c>
      <c r="C45" s="41">
        <f>'D) Ecrêtage'!M45</f>
        <v>7887.6179729729729</v>
      </c>
      <c r="D45" s="41">
        <v>21780</v>
      </c>
      <c r="E45" s="14">
        <v>32877</v>
      </c>
      <c r="F45" s="52">
        <v>59772</v>
      </c>
      <c r="G45" s="52">
        <f t="shared" si="0"/>
        <v>114429</v>
      </c>
      <c r="H45" s="14">
        <f t="shared" si="1"/>
        <v>63100.943783783783</v>
      </c>
      <c r="I45" s="41">
        <f t="shared" si="2"/>
        <v>51328.056216216217</v>
      </c>
      <c r="J45" s="4">
        <f t="shared" si="3"/>
        <v>-36306.889829805885</v>
      </c>
      <c r="K45" s="19">
        <v>1912</v>
      </c>
      <c r="L45" s="14">
        <f t="shared" si="4"/>
        <v>7887.6179729729729</v>
      </c>
      <c r="M45" s="19">
        <f t="shared" si="5"/>
        <v>0</v>
      </c>
      <c r="N45" s="4">
        <f t="shared" si="6"/>
        <v>0</v>
      </c>
      <c r="O45" s="207">
        <f t="shared" si="7"/>
        <v>-36306.889829805885</v>
      </c>
      <c r="P45" s="441">
        <f t="shared" si="8"/>
        <v>-4.6030233657628861</v>
      </c>
      <c r="Q45" s="200"/>
    </row>
    <row r="46" spans="1:17" x14ac:dyDescent="0.25">
      <c r="A46" s="198">
        <f>'A) Base RI'!A48</f>
        <v>5477</v>
      </c>
      <c r="B46" s="42" t="str">
        <f>'A) Base RI'!B48</f>
        <v>Cossonay</v>
      </c>
      <c r="C46" s="41">
        <f>'D) Ecrêtage'!M46</f>
        <v>120589.74256854257</v>
      </c>
      <c r="D46" s="41">
        <v>1071548</v>
      </c>
      <c r="E46" s="14">
        <v>279916</v>
      </c>
      <c r="F46" s="52">
        <v>530294</v>
      </c>
      <c r="G46" s="52">
        <f t="shared" si="0"/>
        <v>1881758</v>
      </c>
      <c r="H46" s="14">
        <f t="shared" si="1"/>
        <v>964717.94054834056</v>
      </c>
      <c r="I46" s="41">
        <f t="shared" si="2"/>
        <v>917040.05945165944</v>
      </c>
      <c r="J46" s="4">
        <f t="shared" si="3"/>
        <v>-648668.09426364163</v>
      </c>
      <c r="K46" s="19">
        <v>44646</v>
      </c>
      <c r="L46" s="14">
        <f t="shared" si="4"/>
        <v>120589.74256854257</v>
      </c>
      <c r="M46" s="19">
        <f t="shared" si="5"/>
        <v>0</v>
      </c>
      <c r="N46" s="4">
        <f t="shared" si="6"/>
        <v>0</v>
      </c>
      <c r="O46" s="207">
        <f t="shared" si="7"/>
        <v>-648668.09426364163</v>
      </c>
      <c r="P46" s="441">
        <f t="shared" si="8"/>
        <v>-5.3791315948364522</v>
      </c>
      <c r="Q46" s="200"/>
    </row>
    <row r="47" spans="1:17" x14ac:dyDescent="0.25">
      <c r="A47" s="198">
        <f>'A) Base RI'!A49</f>
        <v>5478</v>
      </c>
      <c r="B47" s="42" t="str">
        <f>'A) Base RI'!B49</f>
        <v>Cottens</v>
      </c>
      <c r="C47" s="41">
        <f>'D) Ecrêtage'!M47</f>
        <v>15464.23347222222</v>
      </c>
      <c r="D47" s="41">
        <v>57937</v>
      </c>
      <c r="E47" s="14">
        <v>14892</v>
      </c>
      <c r="F47" s="52">
        <v>64295</v>
      </c>
      <c r="G47" s="52">
        <f t="shared" si="0"/>
        <v>137124</v>
      </c>
      <c r="H47" s="14">
        <f t="shared" si="1"/>
        <v>123713.86777777776</v>
      </c>
      <c r="I47" s="41">
        <f t="shared" si="2"/>
        <v>13410.132222222237</v>
      </c>
      <c r="J47" s="4">
        <f t="shared" si="3"/>
        <v>-9485.6542227977698</v>
      </c>
      <c r="K47" s="19">
        <v>3787</v>
      </c>
      <c r="L47" s="14">
        <f t="shared" si="4"/>
        <v>15464.23347222222</v>
      </c>
      <c r="M47" s="19">
        <f t="shared" si="5"/>
        <v>0</v>
      </c>
      <c r="N47" s="4">
        <f t="shared" si="6"/>
        <v>0</v>
      </c>
      <c r="O47" s="207">
        <f t="shared" si="7"/>
        <v>-9485.6542227977698</v>
      </c>
      <c r="P47" s="441">
        <f t="shared" si="8"/>
        <v>-0.61339310738139519</v>
      </c>
      <c r="Q47" s="200"/>
    </row>
    <row r="48" spans="1:17" x14ac:dyDescent="0.25">
      <c r="A48" s="198">
        <f>'A) Base RI'!A50</f>
        <v>5479</v>
      </c>
      <c r="B48" s="42" t="str">
        <f>'A) Base RI'!B50</f>
        <v>Cuarnens</v>
      </c>
      <c r="C48" s="41">
        <f>'D) Ecrêtage'!M48</f>
        <v>11805.525064935064</v>
      </c>
      <c r="D48" s="41">
        <v>188649</v>
      </c>
      <c r="E48" s="14">
        <v>13499</v>
      </c>
      <c r="F48" s="52">
        <v>82013</v>
      </c>
      <c r="G48" s="52">
        <f t="shared" si="0"/>
        <v>284161</v>
      </c>
      <c r="H48" s="14">
        <f t="shared" si="1"/>
        <v>94444.20051948051</v>
      </c>
      <c r="I48" s="41">
        <f t="shared" si="2"/>
        <v>189716.79948051949</v>
      </c>
      <c r="J48" s="4">
        <f t="shared" si="3"/>
        <v>-134196.13843522951</v>
      </c>
      <c r="K48" s="19">
        <v>81667</v>
      </c>
      <c r="L48" s="14">
        <f t="shared" si="4"/>
        <v>11805.525064935064</v>
      </c>
      <c r="M48" s="19">
        <f t="shared" si="5"/>
        <v>69861.474935064936</v>
      </c>
      <c r="N48" s="4">
        <f t="shared" si="6"/>
        <v>-49416.499684509756</v>
      </c>
      <c r="O48" s="207">
        <f t="shared" si="7"/>
        <v>-183612.63811973928</v>
      </c>
      <c r="P48" s="441">
        <f t="shared" si="8"/>
        <v>-15.553110692645777</v>
      </c>
      <c r="Q48" s="200"/>
    </row>
    <row r="49" spans="1:17" x14ac:dyDescent="0.25">
      <c r="A49" s="198">
        <f>'A) Base RI'!A51</f>
        <v>5480</v>
      </c>
      <c r="B49" s="42" t="str">
        <f>'A) Base RI'!B51</f>
        <v>Daillens</v>
      </c>
      <c r="C49" s="41">
        <f>'D) Ecrêtage'!M49</f>
        <v>42113.849718309852</v>
      </c>
      <c r="D49" s="41">
        <v>394512</v>
      </c>
      <c r="E49" s="14">
        <v>62209</v>
      </c>
      <c r="F49" s="52">
        <v>133432</v>
      </c>
      <c r="G49" s="52">
        <f t="shared" si="0"/>
        <v>590153</v>
      </c>
      <c r="H49" s="14">
        <f t="shared" si="1"/>
        <v>336910.79774647881</v>
      </c>
      <c r="I49" s="41">
        <f t="shared" si="2"/>
        <v>253242.20225352119</v>
      </c>
      <c r="J49" s="4">
        <f t="shared" si="3"/>
        <v>-179130.81880102813</v>
      </c>
      <c r="K49" s="19">
        <v>1767</v>
      </c>
      <c r="L49" s="14">
        <f t="shared" si="4"/>
        <v>42113.849718309852</v>
      </c>
      <c r="M49" s="19">
        <f t="shared" si="5"/>
        <v>0</v>
      </c>
      <c r="N49" s="4">
        <f t="shared" si="6"/>
        <v>0</v>
      </c>
      <c r="O49" s="207">
        <f t="shared" si="7"/>
        <v>-179130.81880102813</v>
      </c>
      <c r="P49" s="441">
        <f t="shared" si="8"/>
        <v>-4.2534895289600509</v>
      </c>
      <c r="Q49" s="200"/>
    </row>
    <row r="50" spans="1:17" x14ac:dyDescent="0.25">
      <c r="A50" s="198">
        <f>'A) Base RI'!A52</f>
        <v>5481</v>
      </c>
      <c r="B50" s="42" t="str">
        <f>'A) Base RI'!B52</f>
        <v>Dizy</v>
      </c>
      <c r="C50" s="41">
        <f>'D) Ecrêtage'!M50</f>
        <v>8240.9954054054051</v>
      </c>
      <c r="D50" s="41">
        <v>49187</v>
      </c>
      <c r="E50" s="14"/>
      <c r="F50" s="52">
        <v>33907</v>
      </c>
      <c r="G50" s="52">
        <f t="shared" si="0"/>
        <v>83094</v>
      </c>
      <c r="H50" s="14">
        <f t="shared" si="1"/>
        <v>65927.963243243241</v>
      </c>
      <c r="I50" s="41">
        <f t="shared" si="2"/>
        <v>17166.036756756759</v>
      </c>
      <c r="J50" s="4">
        <f t="shared" si="3"/>
        <v>-12142.392509791989</v>
      </c>
      <c r="K50" s="19">
        <v>5949</v>
      </c>
      <c r="L50" s="14">
        <f t="shared" si="4"/>
        <v>8240.9954054054051</v>
      </c>
      <c r="M50" s="19">
        <f t="shared" si="5"/>
        <v>0</v>
      </c>
      <c r="N50" s="4">
        <f t="shared" si="6"/>
        <v>0</v>
      </c>
      <c r="O50" s="207">
        <f t="shared" si="7"/>
        <v>-12142.392509791989</v>
      </c>
      <c r="P50" s="441">
        <f t="shared" si="8"/>
        <v>-1.4734133332761712</v>
      </c>
      <c r="Q50" s="200"/>
    </row>
    <row r="51" spans="1:17" x14ac:dyDescent="0.25">
      <c r="A51" s="198">
        <f>'A) Base RI'!A53</f>
        <v>5482</v>
      </c>
      <c r="B51" s="42" t="str">
        <f>'A) Base RI'!B53</f>
        <v>Eclépens</v>
      </c>
      <c r="C51" s="41">
        <f>'D) Ecrêtage'!M51</f>
        <v>61885.968188874984</v>
      </c>
      <c r="D51" s="41">
        <v>181296</v>
      </c>
      <c r="E51" s="14">
        <v>78358</v>
      </c>
      <c r="F51" s="52">
        <v>203564</v>
      </c>
      <c r="G51" s="52">
        <f t="shared" si="0"/>
        <v>463218</v>
      </c>
      <c r="H51" s="14">
        <f t="shared" si="1"/>
        <v>495087.74551099987</v>
      </c>
      <c r="I51" s="41">
        <f t="shared" si="2"/>
        <v>0</v>
      </c>
      <c r="J51" s="4">
        <f t="shared" si="3"/>
        <v>0</v>
      </c>
      <c r="K51" s="19">
        <v>76572</v>
      </c>
      <c r="L51" s="14">
        <f t="shared" si="4"/>
        <v>61885.968188874984</v>
      </c>
      <c r="M51" s="19">
        <f t="shared" si="5"/>
        <v>14686.031811125016</v>
      </c>
      <c r="N51" s="4">
        <f t="shared" si="6"/>
        <v>-10388.161530166884</v>
      </c>
      <c r="O51" s="207">
        <f t="shared" si="7"/>
        <v>-10388.161530166884</v>
      </c>
      <c r="P51" s="441">
        <f t="shared" si="8"/>
        <v>-0.16785972384664616</v>
      </c>
      <c r="Q51" s="200"/>
    </row>
    <row r="52" spans="1:17" x14ac:dyDescent="0.25">
      <c r="A52" s="198">
        <f>'A) Base RI'!A54</f>
        <v>5483</v>
      </c>
      <c r="B52" s="42" t="str">
        <f>'A) Base RI'!B54</f>
        <v>Ferreyres</v>
      </c>
      <c r="C52" s="41">
        <f>'D) Ecrêtage'!M52</f>
        <v>9097.5578947368413</v>
      </c>
      <c r="D52" s="41">
        <v>22387</v>
      </c>
      <c r="E52" s="14">
        <v>9372</v>
      </c>
      <c r="F52" s="52">
        <v>65157</v>
      </c>
      <c r="G52" s="52">
        <f t="shared" si="0"/>
        <v>96916</v>
      </c>
      <c r="H52" s="14">
        <f t="shared" si="1"/>
        <v>72780.46315789473</v>
      </c>
      <c r="I52" s="41">
        <f t="shared" si="2"/>
        <v>24135.53684210527</v>
      </c>
      <c r="J52" s="4">
        <f t="shared" si="3"/>
        <v>-17072.266937564051</v>
      </c>
      <c r="K52" s="19">
        <v>6560</v>
      </c>
      <c r="L52" s="14">
        <f t="shared" si="4"/>
        <v>9097.5578947368413</v>
      </c>
      <c r="M52" s="19">
        <f t="shared" si="5"/>
        <v>0</v>
      </c>
      <c r="N52" s="4">
        <f t="shared" si="6"/>
        <v>0</v>
      </c>
      <c r="O52" s="207">
        <f t="shared" si="7"/>
        <v>-17072.266937564051</v>
      </c>
      <c r="P52" s="441">
        <f t="shared" si="8"/>
        <v>-1.8765768940520591</v>
      </c>
      <c r="Q52" s="200"/>
    </row>
    <row r="53" spans="1:17" x14ac:dyDescent="0.25">
      <c r="A53" s="198">
        <f>'A) Base RI'!A55</f>
        <v>5484</v>
      </c>
      <c r="B53" s="42" t="str">
        <f>'A) Base RI'!B55</f>
        <v>Gollion</v>
      </c>
      <c r="C53" s="41">
        <f>'D) Ecrêtage'!M53</f>
        <v>23163.007162162161</v>
      </c>
      <c r="D53" s="41">
        <v>208299</v>
      </c>
      <c r="E53" s="14">
        <v>58107</v>
      </c>
      <c r="F53" s="52">
        <v>102128</v>
      </c>
      <c r="G53" s="52">
        <f t="shared" si="0"/>
        <v>368534</v>
      </c>
      <c r="H53" s="14">
        <f t="shared" si="1"/>
        <v>185304.05729729729</v>
      </c>
      <c r="I53" s="41">
        <f t="shared" si="2"/>
        <v>183229.94270270271</v>
      </c>
      <c r="J53" s="4">
        <f t="shared" si="3"/>
        <v>-129607.66165010016</v>
      </c>
      <c r="K53" s="19">
        <v>53022</v>
      </c>
      <c r="L53" s="14">
        <f t="shared" si="4"/>
        <v>23163.007162162161</v>
      </c>
      <c r="M53" s="19">
        <f t="shared" si="5"/>
        <v>29858.992837837839</v>
      </c>
      <c r="N53" s="4">
        <f t="shared" si="6"/>
        <v>-21120.752339143572</v>
      </c>
      <c r="O53" s="207">
        <f t="shared" si="7"/>
        <v>-150728.41398924374</v>
      </c>
      <c r="P53" s="441">
        <f t="shared" si="8"/>
        <v>-6.5072903934280841</v>
      </c>
      <c r="Q53" s="200"/>
    </row>
    <row r="54" spans="1:17" x14ac:dyDescent="0.25">
      <c r="A54" s="198">
        <f>'A) Base RI'!A56</f>
        <v>5485</v>
      </c>
      <c r="B54" s="42" t="str">
        <f>'A) Base RI'!B56</f>
        <v>Grancy</v>
      </c>
      <c r="C54" s="41">
        <f>'D) Ecrêtage'!M54</f>
        <v>17298.355857142858</v>
      </c>
      <c r="D54" s="41">
        <v>46576</v>
      </c>
      <c r="E54" s="14">
        <v>12040</v>
      </c>
      <c r="F54" s="52">
        <v>50465</v>
      </c>
      <c r="G54" s="52">
        <f t="shared" si="0"/>
        <v>109081</v>
      </c>
      <c r="H54" s="14">
        <f t="shared" si="1"/>
        <v>138386.84685714287</v>
      </c>
      <c r="I54" s="41">
        <f t="shared" si="2"/>
        <v>0</v>
      </c>
      <c r="J54" s="4">
        <f t="shared" si="3"/>
        <v>0</v>
      </c>
      <c r="K54" s="19">
        <v>89779</v>
      </c>
      <c r="L54" s="14">
        <f t="shared" si="4"/>
        <v>17298.355857142858</v>
      </c>
      <c r="M54" s="19">
        <f t="shared" si="5"/>
        <v>72480.644142857142</v>
      </c>
      <c r="N54" s="4">
        <f t="shared" si="6"/>
        <v>-51269.168475869294</v>
      </c>
      <c r="O54" s="207">
        <f t="shared" si="7"/>
        <v>-51269.168475869294</v>
      </c>
      <c r="P54" s="441">
        <f t="shared" si="8"/>
        <v>-2.9638174228390133</v>
      </c>
      <c r="Q54" s="200"/>
    </row>
    <row r="55" spans="1:17" x14ac:dyDescent="0.25">
      <c r="A55" s="198">
        <f>'A) Base RI'!A57</f>
        <v>5486</v>
      </c>
      <c r="B55" s="42" t="str">
        <f>'A) Base RI'!B57</f>
        <v>L'Isle</v>
      </c>
      <c r="C55" s="41">
        <f>'D) Ecrêtage'!M55</f>
        <v>27212.445657894736</v>
      </c>
      <c r="D55" s="41">
        <v>284300</v>
      </c>
      <c r="E55" s="14">
        <v>62314</v>
      </c>
      <c r="F55" s="52">
        <v>190600</v>
      </c>
      <c r="G55" s="52">
        <f t="shared" si="0"/>
        <v>537214</v>
      </c>
      <c r="H55" s="14">
        <f t="shared" si="1"/>
        <v>217699.56526315789</v>
      </c>
      <c r="I55" s="41">
        <f t="shared" si="2"/>
        <v>319514.43473684211</v>
      </c>
      <c r="J55" s="4">
        <f t="shared" si="3"/>
        <v>-226008.46858794987</v>
      </c>
      <c r="K55" s="19">
        <v>193131</v>
      </c>
      <c r="L55" s="14">
        <f t="shared" si="4"/>
        <v>27212.445657894736</v>
      </c>
      <c r="M55" s="19">
        <f t="shared" si="5"/>
        <v>165918.55434210526</v>
      </c>
      <c r="N55" s="4">
        <f t="shared" si="6"/>
        <v>-117362.45471373024</v>
      </c>
      <c r="O55" s="207">
        <f t="shared" si="7"/>
        <v>-343370.92330168013</v>
      </c>
      <c r="P55" s="441">
        <f t="shared" si="8"/>
        <v>-12.618157427613021</v>
      </c>
      <c r="Q55" s="200"/>
    </row>
    <row r="56" spans="1:17" x14ac:dyDescent="0.25">
      <c r="A56" s="198">
        <f>'A) Base RI'!A58</f>
        <v>5487</v>
      </c>
      <c r="B56" s="42" t="str">
        <f>'A) Base RI'!B58</f>
        <v>Lussery-Villars</v>
      </c>
      <c r="C56" s="41">
        <f>'D) Ecrêtage'!M56</f>
        <v>11872.69955882353</v>
      </c>
      <c r="D56" s="41">
        <v>85157</v>
      </c>
      <c r="E56" s="14">
        <v>26744</v>
      </c>
      <c r="F56" s="52">
        <v>47826</v>
      </c>
      <c r="G56" s="52">
        <f t="shared" si="0"/>
        <v>159727</v>
      </c>
      <c r="H56" s="14">
        <f t="shared" si="1"/>
        <v>94981.596470588236</v>
      </c>
      <c r="I56" s="41">
        <f t="shared" si="2"/>
        <v>64745.403529411764</v>
      </c>
      <c r="J56" s="4">
        <f t="shared" si="3"/>
        <v>-45797.647645694662</v>
      </c>
      <c r="K56" s="19">
        <v>2112</v>
      </c>
      <c r="L56" s="14">
        <f t="shared" si="4"/>
        <v>11872.69955882353</v>
      </c>
      <c r="M56" s="19">
        <f t="shared" si="5"/>
        <v>0</v>
      </c>
      <c r="N56" s="4">
        <f t="shared" si="6"/>
        <v>0</v>
      </c>
      <c r="O56" s="207">
        <f t="shared" si="7"/>
        <v>-45797.647645694662</v>
      </c>
      <c r="P56" s="441">
        <f t="shared" si="8"/>
        <v>-3.857391271360763</v>
      </c>
      <c r="Q56" s="200"/>
    </row>
    <row r="57" spans="1:17" x14ac:dyDescent="0.25">
      <c r="A57" s="198">
        <f>'A) Base RI'!A59</f>
        <v>5488</v>
      </c>
      <c r="B57" s="42" t="str">
        <f>'A) Base RI'!B59</f>
        <v>Mauraz</v>
      </c>
      <c r="C57" s="41">
        <f>'D) Ecrêtage'!M57</f>
        <v>1417.5255405405405</v>
      </c>
      <c r="D57" s="41">
        <v>6394</v>
      </c>
      <c r="E57" s="14"/>
      <c r="F57" s="52">
        <v>11548</v>
      </c>
      <c r="G57" s="52">
        <f t="shared" si="0"/>
        <v>17942</v>
      </c>
      <c r="H57" s="14">
        <f t="shared" si="1"/>
        <v>11340.204324324324</v>
      </c>
      <c r="I57" s="41">
        <f t="shared" si="2"/>
        <v>6601.7956756756757</v>
      </c>
      <c r="J57" s="4">
        <f t="shared" si="3"/>
        <v>-4669.7787904915731</v>
      </c>
      <c r="K57" s="19"/>
      <c r="L57" s="14">
        <f t="shared" si="4"/>
        <v>1417.5255405405405</v>
      </c>
      <c r="M57" s="19">
        <f t="shared" si="5"/>
        <v>0</v>
      </c>
      <c r="N57" s="4">
        <f t="shared" si="6"/>
        <v>0</v>
      </c>
      <c r="O57" s="207">
        <f t="shared" si="7"/>
        <v>-4669.7787904915731</v>
      </c>
      <c r="P57" s="441">
        <f t="shared" si="8"/>
        <v>-3.2943172147084288</v>
      </c>
      <c r="Q57" s="200"/>
    </row>
    <row r="58" spans="1:17" x14ac:dyDescent="0.25">
      <c r="A58" s="198">
        <f>'A) Base RI'!A60</f>
        <v>5489</v>
      </c>
      <c r="B58" s="42" t="str">
        <f>'A) Base RI'!B60</f>
        <v>Mex</v>
      </c>
      <c r="C58" s="41">
        <f>'D) Ecrêtage'!M58</f>
        <v>37121.285573770496</v>
      </c>
      <c r="D58" s="41">
        <v>210530</v>
      </c>
      <c r="E58" s="14">
        <v>20209</v>
      </c>
      <c r="F58" s="52">
        <v>75555</v>
      </c>
      <c r="G58" s="52">
        <f t="shared" si="0"/>
        <v>306294</v>
      </c>
      <c r="H58" s="14">
        <f t="shared" si="1"/>
        <v>296970.28459016397</v>
      </c>
      <c r="I58" s="41">
        <f t="shared" si="2"/>
        <v>9323.7154098360334</v>
      </c>
      <c r="J58" s="4">
        <f t="shared" si="3"/>
        <v>-6595.1281451884051</v>
      </c>
      <c r="K58" s="19">
        <v>-3305</v>
      </c>
      <c r="L58" s="14">
        <f t="shared" si="4"/>
        <v>37121.285573770496</v>
      </c>
      <c r="M58" s="19">
        <f t="shared" si="5"/>
        <v>0</v>
      </c>
      <c r="N58" s="4">
        <f t="shared" si="6"/>
        <v>0</v>
      </c>
      <c r="O58" s="207">
        <f t="shared" si="7"/>
        <v>-6595.1281451884051</v>
      </c>
      <c r="P58" s="441">
        <f t="shared" si="8"/>
        <v>-0.17766432501595397</v>
      </c>
      <c r="Q58" s="200"/>
    </row>
    <row r="59" spans="1:17" x14ac:dyDescent="0.25">
      <c r="A59" s="198">
        <f>'A) Base RI'!A61</f>
        <v>5490</v>
      </c>
      <c r="B59" s="42" t="str">
        <f>'A) Base RI'!B61</f>
        <v>Moiry</v>
      </c>
      <c r="C59" s="41">
        <f>'D) Ecrêtage'!M59</f>
        <v>7321.727037037037</v>
      </c>
      <c r="D59" s="41">
        <v>18962</v>
      </c>
      <c r="E59" s="14">
        <v>8162</v>
      </c>
      <c r="F59" s="52">
        <v>56401</v>
      </c>
      <c r="G59" s="52">
        <f t="shared" si="0"/>
        <v>83525</v>
      </c>
      <c r="H59" s="14">
        <f t="shared" si="1"/>
        <v>58573.816296296296</v>
      </c>
      <c r="I59" s="41">
        <f t="shared" si="2"/>
        <v>24951.183703703704</v>
      </c>
      <c r="J59" s="4">
        <f t="shared" si="3"/>
        <v>-17649.214574531557</v>
      </c>
      <c r="K59" s="19">
        <v>2365</v>
      </c>
      <c r="L59" s="14">
        <f t="shared" si="4"/>
        <v>7321.727037037037</v>
      </c>
      <c r="M59" s="19">
        <f t="shared" si="5"/>
        <v>0</v>
      </c>
      <c r="N59" s="4">
        <f t="shared" si="6"/>
        <v>0</v>
      </c>
      <c r="O59" s="207">
        <f t="shared" si="7"/>
        <v>-17649.214574531557</v>
      </c>
      <c r="P59" s="441">
        <f t="shared" si="8"/>
        <v>-2.410526162099845</v>
      </c>
      <c r="Q59" s="200"/>
    </row>
    <row r="60" spans="1:17" x14ac:dyDescent="0.25">
      <c r="A60" s="198">
        <f>'A) Base RI'!A62</f>
        <v>5491</v>
      </c>
      <c r="B60" s="42" t="str">
        <f>'A) Base RI'!B62</f>
        <v>Mont-la-Ville</v>
      </c>
      <c r="C60" s="41">
        <f>'D) Ecrêtage'!M60</f>
        <v>8599.6809210526335</v>
      </c>
      <c r="D60" s="41">
        <v>108251</v>
      </c>
      <c r="E60" s="14">
        <v>11544</v>
      </c>
      <c r="F60" s="52">
        <v>81368</v>
      </c>
      <c r="G60" s="52">
        <f t="shared" si="0"/>
        <v>201163</v>
      </c>
      <c r="H60" s="14">
        <f t="shared" si="1"/>
        <v>68797.447368421068</v>
      </c>
      <c r="I60" s="41">
        <f t="shared" si="2"/>
        <v>132365.55263157893</v>
      </c>
      <c r="J60" s="4">
        <f t="shared" si="3"/>
        <v>-93628.745971054406</v>
      </c>
      <c r="K60" s="19">
        <v>32204</v>
      </c>
      <c r="L60" s="14">
        <f t="shared" si="4"/>
        <v>8599.6809210526335</v>
      </c>
      <c r="M60" s="19">
        <f t="shared" si="5"/>
        <v>23604.319078947367</v>
      </c>
      <c r="N60" s="4">
        <f t="shared" si="6"/>
        <v>-16696.510163893035</v>
      </c>
      <c r="O60" s="207">
        <f t="shared" si="7"/>
        <v>-110325.25613494744</v>
      </c>
      <c r="P60" s="441">
        <f t="shared" si="8"/>
        <v>-12.828994139173622</v>
      </c>
      <c r="Q60" s="200"/>
    </row>
    <row r="61" spans="1:17" x14ac:dyDescent="0.25">
      <c r="A61" s="198">
        <f>'A) Base RI'!A63</f>
        <v>5492</v>
      </c>
      <c r="B61" s="42" t="str">
        <f>'A) Base RI'!B63</f>
        <v>Montricher</v>
      </c>
      <c r="C61" s="41">
        <f>'D) Ecrêtage'!M61</f>
        <v>111247.59927159132</v>
      </c>
      <c r="D61" s="41">
        <v>259625</v>
      </c>
      <c r="E61" s="14">
        <v>79685</v>
      </c>
      <c r="F61" s="52">
        <v>175729</v>
      </c>
      <c r="G61" s="52">
        <f t="shared" ref="G61:G115" si="9">D61+E61+F61</f>
        <v>515039</v>
      </c>
      <c r="H61" s="14">
        <f t="shared" si="1"/>
        <v>889980.79417273053</v>
      </c>
      <c r="I61" s="41">
        <f t="shared" ref="I61:I115" si="10">IF(G61&gt;H61,G61-H61,0)</f>
        <v>0</v>
      </c>
      <c r="J61" s="4">
        <f t="shared" si="3"/>
        <v>0</v>
      </c>
      <c r="K61" s="19">
        <v>466122</v>
      </c>
      <c r="L61" s="14">
        <f t="shared" si="4"/>
        <v>111247.59927159132</v>
      </c>
      <c r="M61" s="19">
        <f t="shared" ref="M61:M115" si="11">IF(K61&gt;L61,K61-L61,0)</f>
        <v>354874.40072840871</v>
      </c>
      <c r="N61" s="4">
        <f t="shared" si="6"/>
        <v>-251020.33313691156</v>
      </c>
      <c r="O61" s="207">
        <f t="shared" ref="O61:O115" si="12">N61+J61</f>
        <v>-251020.33313691156</v>
      </c>
      <c r="P61" s="441">
        <f t="shared" ref="P61:P115" si="13">O61/C61</f>
        <v>-2.2564112374604135</v>
      </c>
      <c r="Q61" s="200"/>
    </row>
    <row r="62" spans="1:17" x14ac:dyDescent="0.25">
      <c r="A62" s="198">
        <f>'A) Base RI'!A64</f>
        <v>5493</v>
      </c>
      <c r="B62" s="42" t="str">
        <f>'A) Base RI'!B64</f>
        <v>Orny</v>
      </c>
      <c r="C62" s="41">
        <f>'D) Ecrêtage'!M62</f>
        <v>10614.324773445733</v>
      </c>
      <c r="D62" s="41">
        <v>82651</v>
      </c>
      <c r="E62" s="14"/>
      <c r="F62" s="52">
        <v>76517</v>
      </c>
      <c r="G62" s="52">
        <f t="shared" si="9"/>
        <v>159168</v>
      </c>
      <c r="H62" s="14">
        <f t="shared" si="1"/>
        <v>84914.598187565862</v>
      </c>
      <c r="I62" s="41">
        <f t="shared" si="10"/>
        <v>74253.401812434138</v>
      </c>
      <c r="J62" s="4">
        <f t="shared" si="3"/>
        <v>-52523.12824269056</v>
      </c>
      <c r="K62" s="19">
        <v>9356</v>
      </c>
      <c r="L62" s="14">
        <f t="shared" si="4"/>
        <v>10614.324773445733</v>
      </c>
      <c r="M62" s="19">
        <f t="shared" si="11"/>
        <v>0</v>
      </c>
      <c r="N62" s="4">
        <f t="shared" si="6"/>
        <v>0</v>
      </c>
      <c r="O62" s="207">
        <f t="shared" si="12"/>
        <v>-52523.12824269056</v>
      </c>
      <c r="P62" s="441">
        <f t="shared" si="13"/>
        <v>-4.9483249630809967</v>
      </c>
      <c r="Q62" s="200"/>
    </row>
    <row r="63" spans="1:17" x14ac:dyDescent="0.25">
      <c r="A63" s="198">
        <f>'A) Base RI'!A65</f>
        <v>5494</v>
      </c>
      <c r="B63" s="42" t="str">
        <f>'A) Base RI'!B65</f>
        <v>Pampigny</v>
      </c>
      <c r="C63" s="41">
        <f>'D) Ecrêtage'!M63</f>
        <v>33982.091568253971</v>
      </c>
      <c r="D63" s="41">
        <v>400451</v>
      </c>
      <c r="E63" s="14">
        <v>68521</v>
      </c>
      <c r="F63" s="52">
        <v>154429</v>
      </c>
      <c r="G63" s="52">
        <f t="shared" si="9"/>
        <v>623401</v>
      </c>
      <c r="H63" s="14">
        <f t="shared" si="1"/>
        <v>271856.73254603177</v>
      </c>
      <c r="I63" s="41">
        <f t="shared" si="10"/>
        <v>351544.26745396823</v>
      </c>
      <c r="J63" s="4">
        <f t="shared" si="3"/>
        <v>-248664.76406169918</v>
      </c>
      <c r="K63" s="19">
        <v>118596</v>
      </c>
      <c r="L63" s="14">
        <f t="shared" si="4"/>
        <v>33982.091568253971</v>
      </c>
      <c r="M63" s="19">
        <f t="shared" si="11"/>
        <v>84613.908431746037</v>
      </c>
      <c r="N63" s="4">
        <f t="shared" si="6"/>
        <v>-59851.630433067505</v>
      </c>
      <c r="O63" s="207">
        <f t="shared" si="12"/>
        <v>-308516.39449476672</v>
      </c>
      <c r="P63" s="441">
        <f t="shared" si="13"/>
        <v>-9.0787935720525912</v>
      </c>
      <c r="Q63" s="200"/>
    </row>
    <row r="64" spans="1:17" x14ac:dyDescent="0.25">
      <c r="A64" s="198">
        <f>'A) Base RI'!A66</f>
        <v>5495</v>
      </c>
      <c r="B64" s="42" t="str">
        <f>'A) Base RI'!B66</f>
        <v>Penthalaz</v>
      </c>
      <c r="C64" s="41">
        <f>'D) Ecrêtage'!M64</f>
        <v>96162.321351351362</v>
      </c>
      <c r="D64" s="41">
        <v>559365</v>
      </c>
      <c r="E64" s="14">
        <v>353916</v>
      </c>
      <c r="F64" s="52">
        <v>403701</v>
      </c>
      <c r="G64" s="52">
        <f t="shared" si="9"/>
        <v>1316982</v>
      </c>
      <c r="H64" s="14">
        <f t="shared" si="1"/>
        <v>769298.5708108109</v>
      </c>
      <c r="I64" s="41">
        <f t="shared" si="10"/>
        <v>547683.4291891891</v>
      </c>
      <c r="J64" s="4">
        <f t="shared" si="3"/>
        <v>-387403.75909462076</v>
      </c>
      <c r="K64" s="19">
        <v>108585</v>
      </c>
      <c r="L64" s="14">
        <f t="shared" si="4"/>
        <v>96162.321351351362</v>
      </c>
      <c r="M64" s="19">
        <f t="shared" si="11"/>
        <v>12422.678648648638</v>
      </c>
      <c r="N64" s="4">
        <f t="shared" si="6"/>
        <v>-8787.1791440462366</v>
      </c>
      <c r="O64" s="207">
        <f t="shared" si="12"/>
        <v>-396190.93823866697</v>
      </c>
      <c r="P64" s="441">
        <f t="shared" si="13"/>
        <v>-4.1200226104265036</v>
      </c>
      <c r="Q64" s="200"/>
    </row>
    <row r="65" spans="1:17" x14ac:dyDescent="0.25">
      <c r="A65" s="198">
        <f>'A) Base RI'!A67</f>
        <v>5496</v>
      </c>
      <c r="B65" s="42" t="str">
        <f>'A) Base RI'!B67</f>
        <v>Penthaz</v>
      </c>
      <c r="C65" s="41">
        <f>'D) Ecrêtage'!M65</f>
        <v>56906.521408450702</v>
      </c>
      <c r="D65" s="41">
        <v>356603</v>
      </c>
      <c r="E65" s="14">
        <v>110251</v>
      </c>
      <c r="F65" s="52">
        <v>237237</v>
      </c>
      <c r="G65" s="52">
        <f t="shared" si="9"/>
        <v>704091</v>
      </c>
      <c r="H65" s="14">
        <f t="shared" si="1"/>
        <v>455252.17126760562</v>
      </c>
      <c r="I65" s="41">
        <f t="shared" si="10"/>
        <v>248838.82873239438</v>
      </c>
      <c r="J65" s="4">
        <f t="shared" si="3"/>
        <v>-176016.09346177932</v>
      </c>
      <c r="K65" s="19">
        <v>15045</v>
      </c>
      <c r="L65" s="14">
        <f t="shared" si="4"/>
        <v>56906.521408450702</v>
      </c>
      <c r="M65" s="19">
        <f t="shared" si="11"/>
        <v>0</v>
      </c>
      <c r="N65" s="4">
        <f t="shared" si="6"/>
        <v>0</v>
      </c>
      <c r="O65" s="207">
        <f t="shared" si="12"/>
        <v>-176016.09346177932</v>
      </c>
      <c r="P65" s="441">
        <f t="shared" si="13"/>
        <v>-3.0930742049476367</v>
      </c>
      <c r="Q65" s="200"/>
    </row>
    <row r="66" spans="1:17" x14ac:dyDescent="0.25">
      <c r="A66" s="198">
        <f>'A) Base RI'!A68</f>
        <v>5497</v>
      </c>
      <c r="B66" s="42" t="str">
        <f>'A) Base RI'!B68</f>
        <v>Pompaples</v>
      </c>
      <c r="C66" s="41">
        <f>'D) Ecrêtage'!M66</f>
        <v>22227.212272727276</v>
      </c>
      <c r="D66" s="41">
        <v>199968</v>
      </c>
      <c r="E66" s="14">
        <v>39055</v>
      </c>
      <c r="F66" s="52">
        <v>178809</v>
      </c>
      <c r="G66" s="52">
        <f t="shared" si="9"/>
        <v>417832</v>
      </c>
      <c r="H66" s="14">
        <f t="shared" si="1"/>
        <v>177817.69818181821</v>
      </c>
      <c r="I66" s="41">
        <f t="shared" si="10"/>
        <v>240014.30181818179</v>
      </c>
      <c r="J66" s="4">
        <f t="shared" si="3"/>
        <v>-169774.06619457004</v>
      </c>
      <c r="K66" s="19">
        <v>21595</v>
      </c>
      <c r="L66" s="14">
        <f t="shared" si="4"/>
        <v>22227.212272727276</v>
      </c>
      <c r="M66" s="19">
        <f t="shared" si="11"/>
        <v>0</v>
      </c>
      <c r="N66" s="4">
        <f t="shared" si="6"/>
        <v>0</v>
      </c>
      <c r="O66" s="207">
        <f t="shared" si="12"/>
        <v>-169774.06619457004</v>
      </c>
      <c r="P66" s="441">
        <f t="shared" si="13"/>
        <v>-7.6381178220393533</v>
      </c>
      <c r="Q66" s="200"/>
    </row>
    <row r="67" spans="1:17" x14ac:dyDescent="0.25">
      <c r="A67" s="198">
        <f>'A) Base RI'!A69</f>
        <v>5498</v>
      </c>
      <c r="B67" s="42" t="str">
        <f>'A) Base RI'!B69</f>
        <v>La Sarraz</v>
      </c>
      <c r="C67" s="41">
        <f>'D) Ecrêtage'!M67</f>
        <v>72104.13</v>
      </c>
      <c r="D67" s="41">
        <v>606426</v>
      </c>
      <c r="E67" s="14">
        <v>194731</v>
      </c>
      <c r="F67" s="52">
        <v>515123</v>
      </c>
      <c r="G67" s="52">
        <f t="shared" si="9"/>
        <v>1316280</v>
      </c>
      <c r="H67" s="14">
        <f t="shared" si="1"/>
        <v>576833.04</v>
      </c>
      <c r="I67" s="41">
        <f t="shared" si="10"/>
        <v>739446.96</v>
      </c>
      <c r="J67" s="4">
        <f t="shared" si="3"/>
        <v>-523047.65250827913</v>
      </c>
      <c r="K67" s="19">
        <v>41774</v>
      </c>
      <c r="L67" s="14">
        <f t="shared" si="4"/>
        <v>72104.13</v>
      </c>
      <c r="M67" s="19">
        <f t="shared" si="11"/>
        <v>0</v>
      </c>
      <c r="N67" s="4">
        <f t="shared" si="6"/>
        <v>0</v>
      </c>
      <c r="O67" s="207">
        <f t="shared" si="12"/>
        <v>-523047.65250827913</v>
      </c>
      <c r="P67" s="441">
        <f t="shared" si="13"/>
        <v>-7.254059545663738</v>
      </c>
      <c r="Q67" s="200"/>
    </row>
    <row r="68" spans="1:17" x14ac:dyDescent="0.25">
      <c r="A68" s="198">
        <f>'A) Base RI'!A70</f>
        <v>5499</v>
      </c>
      <c r="B68" s="42" t="str">
        <f>'A) Base RI'!B70</f>
        <v>Senarclens</v>
      </c>
      <c r="C68" s="41">
        <f>'D) Ecrêtage'!M68</f>
        <v>21697.695620437953</v>
      </c>
      <c r="D68" s="41">
        <v>57708</v>
      </c>
      <c r="E68" s="14">
        <v>13664</v>
      </c>
      <c r="F68" s="52">
        <v>66115</v>
      </c>
      <c r="G68" s="52">
        <f t="shared" si="9"/>
        <v>137487</v>
      </c>
      <c r="H68" s="14">
        <f t="shared" si="1"/>
        <v>173581.56496350362</v>
      </c>
      <c r="I68" s="41">
        <f t="shared" si="10"/>
        <v>0</v>
      </c>
      <c r="J68" s="4">
        <f t="shared" si="3"/>
        <v>0</v>
      </c>
      <c r="K68" s="19">
        <v>5010</v>
      </c>
      <c r="L68" s="14">
        <f t="shared" si="4"/>
        <v>21697.695620437953</v>
      </c>
      <c r="M68" s="19">
        <f t="shared" si="11"/>
        <v>0</v>
      </c>
      <c r="N68" s="4">
        <f t="shared" si="6"/>
        <v>0</v>
      </c>
      <c r="O68" s="207">
        <f t="shared" si="12"/>
        <v>0</v>
      </c>
      <c r="P68" s="441">
        <f t="shared" si="13"/>
        <v>0</v>
      </c>
      <c r="Q68" s="200"/>
    </row>
    <row r="69" spans="1:17" x14ac:dyDescent="0.25">
      <c r="A69" s="198">
        <f>'A) Base RI'!A71</f>
        <v>5500</v>
      </c>
      <c r="B69" s="42" t="str">
        <f>'A) Base RI'!B71</f>
        <v>Sévery</v>
      </c>
      <c r="C69" s="41">
        <f>'D) Ecrêtage'!M69</f>
        <v>6767.1525657894736</v>
      </c>
      <c r="D69" s="41">
        <v>55343</v>
      </c>
      <c r="E69" s="14">
        <v>10380</v>
      </c>
      <c r="F69" s="52">
        <v>26604</v>
      </c>
      <c r="G69" s="52">
        <f t="shared" si="9"/>
        <v>92327</v>
      </c>
      <c r="H69" s="14">
        <f t="shared" si="1"/>
        <v>54137.220526315788</v>
      </c>
      <c r="I69" s="41">
        <f t="shared" si="10"/>
        <v>38189.779473684212</v>
      </c>
      <c r="J69" s="4">
        <f t="shared" si="3"/>
        <v>-27013.532523711223</v>
      </c>
      <c r="K69" s="19">
        <v>1561</v>
      </c>
      <c r="L69" s="14">
        <f t="shared" si="4"/>
        <v>6767.1525657894736</v>
      </c>
      <c r="M69" s="19">
        <f t="shared" si="11"/>
        <v>0</v>
      </c>
      <c r="N69" s="4">
        <f t="shared" si="6"/>
        <v>0</v>
      </c>
      <c r="O69" s="207">
        <f t="shared" si="12"/>
        <v>-27013.532523711223</v>
      </c>
      <c r="P69" s="441">
        <f t="shared" si="13"/>
        <v>-3.9918610170361593</v>
      </c>
      <c r="Q69" s="200"/>
    </row>
    <row r="70" spans="1:17" x14ac:dyDescent="0.25">
      <c r="A70" s="198">
        <f>'A) Base RI'!A72</f>
        <v>5501</v>
      </c>
      <c r="B70" s="42" t="str">
        <f>'A) Base RI'!B72</f>
        <v>Sullens</v>
      </c>
      <c r="C70" s="41">
        <f>'D) Ecrêtage'!M70</f>
        <v>35887.851857142865</v>
      </c>
      <c r="D70" s="41">
        <v>210192</v>
      </c>
      <c r="E70" s="14">
        <v>40809</v>
      </c>
      <c r="F70" s="52">
        <v>41477</v>
      </c>
      <c r="G70" s="52">
        <f t="shared" si="9"/>
        <v>292478</v>
      </c>
      <c r="H70" s="14">
        <f t="shared" ref="H70:H133" si="14">C70*I$4</f>
        <v>287102.81485714292</v>
      </c>
      <c r="I70" s="41">
        <f t="shared" si="10"/>
        <v>5375.1851428570808</v>
      </c>
      <c r="J70" s="4">
        <f t="shared" ref="J70:J133" si="15">-I70*J$4</f>
        <v>-3802.1360866353079</v>
      </c>
      <c r="K70" s="19">
        <v>46286</v>
      </c>
      <c r="L70" s="14">
        <f t="shared" ref="L70:L133" si="16">C70*M$4</f>
        <v>35887.851857142865</v>
      </c>
      <c r="M70" s="19">
        <f t="shared" si="11"/>
        <v>10398.148142857135</v>
      </c>
      <c r="N70" s="4">
        <f t="shared" ref="N70:N133" si="17">-M70*N$4</f>
        <v>-7355.1279141843343</v>
      </c>
      <c r="O70" s="207">
        <f t="shared" si="12"/>
        <v>-11157.264000819643</v>
      </c>
      <c r="P70" s="441">
        <f t="shared" si="13"/>
        <v>-0.31089250048269412</v>
      </c>
      <c r="Q70" s="200"/>
    </row>
    <row r="71" spans="1:17" x14ac:dyDescent="0.25">
      <c r="A71" s="198">
        <f>'A) Base RI'!A73</f>
        <v>5503</v>
      </c>
      <c r="B71" s="42" t="str">
        <f>'A) Base RI'!B73</f>
        <v>Vufflens-la-Ville</v>
      </c>
      <c r="C71" s="41">
        <f>'D) Ecrêtage'!M71</f>
        <v>61379.446318407958</v>
      </c>
      <c r="D71" s="41">
        <v>210234</v>
      </c>
      <c r="E71" s="14">
        <v>95116</v>
      </c>
      <c r="F71" s="52">
        <v>175923</v>
      </c>
      <c r="G71" s="52">
        <f t="shared" si="9"/>
        <v>481273</v>
      </c>
      <c r="H71" s="14">
        <f t="shared" si="14"/>
        <v>491035.57054726366</v>
      </c>
      <c r="I71" s="41">
        <f t="shared" si="10"/>
        <v>0</v>
      </c>
      <c r="J71" s="4">
        <f t="shared" si="15"/>
        <v>0</v>
      </c>
      <c r="K71" s="19">
        <v>48102</v>
      </c>
      <c r="L71" s="14">
        <f t="shared" si="16"/>
        <v>61379.446318407958</v>
      </c>
      <c r="M71" s="19">
        <f t="shared" si="11"/>
        <v>0</v>
      </c>
      <c r="N71" s="4">
        <f t="shared" si="17"/>
        <v>0</v>
      </c>
      <c r="O71" s="207">
        <f t="shared" si="12"/>
        <v>0</v>
      </c>
      <c r="P71" s="441">
        <f t="shared" si="13"/>
        <v>0</v>
      </c>
      <c r="Q71" s="200"/>
    </row>
    <row r="72" spans="1:17" x14ac:dyDescent="0.25">
      <c r="A72" s="198">
        <f>'A) Base RI'!A74</f>
        <v>5511</v>
      </c>
      <c r="B72" s="42" t="str">
        <f>'A) Base RI'!B74</f>
        <v>Assens</v>
      </c>
      <c r="C72" s="41">
        <f>'D) Ecrêtage'!M72</f>
        <v>41422.612571428566</v>
      </c>
      <c r="D72" s="41">
        <v>398337</v>
      </c>
      <c r="E72" s="14">
        <v>77215</v>
      </c>
      <c r="F72" s="52">
        <v>103270</v>
      </c>
      <c r="G72" s="52">
        <f t="shared" si="9"/>
        <v>578822</v>
      </c>
      <c r="H72" s="14">
        <f t="shared" si="14"/>
        <v>331380.90057142853</v>
      </c>
      <c r="I72" s="41">
        <f t="shared" si="10"/>
        <v>247441.09942857147</v>
      </c>
      <c r="J72" s="4">
        <f t="shared" si="15"/>
        <v>-175027.40993104089</v>
      </c>
      <c r="K72" s="19">
        <v>18465</v>
      </c>
      <c r="L72" s="14">
        <f t="shared" si="16"/>
        <v>41422.612571428566</v>
      </c>
      <c r="M72" s="19">
        <f t="shared" si="11"/>
        <v>0</v>
      </c>
      <c r="N72" s="4">
        <f t="shared" si="17"/>
        <v>0</v>
      </c>
      <c r="O72" s="207">
        <f t="shared" si="12"/>
        <v>-175027.40993104089</v>
      </c>
      <c r="P72" s="441">
        <f t="shared" si="13"/>
        <v>-4.2254073093343907</v>
      </c>
      <c r="Q72" s="200"/>
    </row>
    <row r="73" spans="1:17" x14ac:dyDescent="0.25">
      <c r="A73" s="198">
        <f>'A) Base RI'!A75</f>
        <v>5512</v>
      </c>
      <c r="B73" s="42" t="str">
        <f>'A) Base RI'!B75</f>
        <v>Bercher</v>
      </c>
      <c r="C73" s="41">
        <f>'D) Ecrêtage'!M73</f>
        <v>32079.191772151898</v>
      </c>
      <c r="D73" s="41">
        <v>273375</v>
      </c>
      <c r="E73" s="14">
        <v>86188</v>
      </c>
      <c r="F73" s="52">
        <v>115272</v>
      </c>
      <c r="G73" s="52">
        <f t="shared" si="9"/>
        <v>474835</v>
      </c>
      <c r="H73" s="14">
        <f t="shared" si="14"/>
        <v>256633.53417721519</v>
      </c>
      <c r="I73" s="41">
        <f t="shared" si="10"/>
        <v>218201.46582278481</v>
      </c>
      <c r="J73" s="4">
        <f t="shared" si="15"/>
        <v>-154344.76121515612</v>
      </c>
      <c r="K73" s="19">
        <v>29782</v>
      </c>
      <c r="L73" s="14">
        <f t="shared" si="16"/>
        <v>32079.191772151898</v>
      </c>
      <c r="M73" s="19">
        <f t="shared" si="11"/>
        <v>0</v>
      </c>
      <c r="N73" s="4">
        <f t="shared" si="17"/>
        <v>0</v>
      </c>
      <c r="O73" s="207">
        <f t="shared" si="12"/>
        <v>-154344.76121515612</v>
      </c>
      <c r="P73" s="441">
        <f t="shared" si="13"/>
        <v>-4.8113668920157631</v>
      </c>
      <c r="Q73" s="200"/>
    </row>
    <row r="74" spans="1:17" x14ac:dyDescent="0.25">
      <c r="A74" s="198">
        <f>'A) Base RI'!A76</f>
        <v>5513</v>
      </c>
      <c r="B74" s="42" t="str">
        <f>'A) Base RI'!B76</f>
        <v>Bioley-Orjulaz</v>
      </c>
      <c r="C74" s="41">
        <f>'D) Ecrêtage'!M74</f>
        <v>24024.471515151512</v>
      </c>
      <c r="D74" s="41">
        <v>167814</v>
      </c>
      <c r="E74" s="14">
        <v>13875</v>
      </c>
      <c r="F74" s="52">
        <v>46391</v>
      </c>
      <c r="G74" s="52">
        <f t="shared" si="9"/>
        <v>228080</v>
      </c>
      <c r="H74" s="14">
        <f t="shared" si="14"/>
        <v>192195.7721212121</v>
      </c>
      <c r="I74" s="41">
        <f t="shared" si="10"/>
        <v>35884.227878787904</v>
      </c>
      <c r="J74" s="4">
        <f t="shared" si="15"/>
        <v>-25382.701085243705</v>
      </c>
      <c r="K74" s="19">
        <v>-3242</v>
      </c>
      <c r="L74" s="14">
        <f t="shared" si="16"/>
        <v>24024.471515151512</v>
      </c>
      <c r="M74" s="19">
        <f t="shared" si="11"/>
        <v>0</v>
      </c>
      <c r="N74" s="4">
        <f t="shared" si="17"/>
        <v>0</v>
      </c>
      <c r="O74" s="207">
        <f t="shared" si="12"/>
        <v>-25382.701085243705</v>
      </c>
      <c r="P74" s="441">
        <f t="shared" si="13"/>
        <v>-1.056535252783213</v>
      </c>
      <c r="Q74" s="200"/>
    </row>
    <row r="75" spans="1:17" x14ac:dyDescent="0.25">
      <c r="A75" s="198">
        <f>'A) Base RI'!A77</f>
        <v>5514</v>
      </c>
      <c r="B75" s="42" t="str">
        <f>'A) Base RI'!B77</f>
        <v>Bottens</v>
      </c>
      <c r="C75" s="41">
        <f>'D) Ecrêtage'!M75</f>
        <v>38346.680434782604</v>
      </c>
      <c r="D75" s="41">
        <v>167212</v>
      </c>
      <c r="E75" s="14">
        <v>57956</v>
      </c>
      <c r="F75" s="52">
        <v>129188</v>
      </c>
      <c r="G75" s="52">
        <f t="shared" si="9"/>
        <v>354356</v>
      </c>
      <c r="H75" s="14">
        <f t="shared" si="14"/>
        <v>306773.44347826083</v>
      </c>
      <c r="I75" s="41">
        <f t="shared" si="10"/>
        <v>47582.55652173917</v>
      </c>
      <c r="J75" s="4">
        <f t="shared" si="15"/>
        <v>-33657.511404250254</v>
      </c>
      <c r="K75" s="19">
        <v>6854</v>
      </c>
      <c r="L75" s="14">
        <f t="shared" si="16"/>
        <v>38346.680434782604</v>
      </c>
      <c r="M75" s="19">
        <f t="shared" si="11"/>
        <v>0</v>
      </c>
      <c r="N75" s="4">
        <f t="shared" si="17"/>
        <v>0</v>
      </c>
      <c r="O75" s="207">
        <f t="shared" si="12"/>
        <v>-33657.511404250254</v>
      </c>
      <c r="P75" s="441">
        <f t="shared" si="13"/>
        <v>-0.87771642871389177</v>
      </c>
      <c r="Q75" s="200"/>
    </row>
    <row r="76" spans="1:17" x14ac:dyDescent="0.25">
      <c r="A76" s="198">
        <f>'A) Base RI'!A78</f>
        <v>5515</v>
      </c>
      <c r="B76" s="42" t="str">
        <f>'A) Base RI'!B78</f>
        <v>Bretigny-sur-Morrens</v>
      </c>
      <c r="C76" s="41">
        <f>'D) Ecrêtage'!M76</f>
        <v>24345.34643835617</v>
      </c>
      <c r="D76" s="41">
        <v>214771</v>
      </c>
      <c r="E76" s="14">
        <v>35516</v>
      </c>
      <c r="F76" s="52">
        <v>57546</v>
      </c>
      <c r="G76" s="52">
        <f t="shared" si="9"/>
        <v>307833</v>
      </c>
      <c r="H76" s="14">
        <f t="shared" si="14"/>
        <v>194762.77150684936</v>
      </c>
      <c r="I76" s="41">
        <f t="shared" si="10"/>
        <v>113070.22849315064</v>
      </c>
      <c r="J76" s="4">
        <f t="shared" si="15"/>
        <v>-79980.202477155603</v>
      </c>
      <c r="K76" s="19">
        <v>8835</v>
      </c>
      <c r="L76" s="14">
        <f t="shared" si="16"/>
        <v>24345.34643835617</v>
      </c>
      <c r="M76" s="19">
        <f t="shared" si="11"/>
        <v>0</v>
      </c>
      <c r="N76" s="4">
        <f t="shared" si="17"/>
        <v>0</v>
      </c>
      <c r="O76" s="207">
        <f t="shared" si="12"/>
        <v>-79980.202477155603</v>
      </c>
      <c r="P76" s="441">
        <f t="shared" si="13"/>
        <v>-3.2852357504819296</v>
      </c>
      <c r="Q76" s="200"/>
    </row>
    <row r="77" spans="1:17" x14ac:dyDescent="0.25">
      <c r="A77" s="198">
        <f>'A) Base RI'!A79</f>
        <v>5516</v>
      </c>
      <c r="B77" s="42" t="str">
        <f>'A) Base RI'!B79</f>
        <v>Cugy</v>
      </c>
      <c r="C77" s="41">
        <f>'D) Ecrêtage'!M77</f>
        <v>104935.17701492537</v>
      </c>
      <c r="D77" s="41">
        <v>826401</v>
      </c>
      <c r="E77" s="14">
        <v>123876</v>
      </c>
      <c r="F77" s="52">
        <v>205147</v>
      </c>
      <c r="G77" s="52">
        <f t="shared" si="9"/>
        <v>1155424</v>
      </c>
      <c r="H77" s="14">
        <f t="shared" si="14"/>
        <v>839481.41611940297</v>
      </c>
      <c r="I77" s="41">
        <f t="shared" si="10"/>
        <v>315942.58388059703</v>
      </c>
      <c r="J77" s="4">
        <f t="shared" si="15"/>
        <v>-223481.92063180075</v>
      </c>
      <c r="K77" s="19">
        <v>33919</v>
      </c>
      <c r="L77" s="14">
        <f t="shared" si="16"/>
        <v>104935.17701492537</v>
      </c>
      <c r="M77" s="19">
        <f t="shared" si="11"/>
        <v>0</v>
      </c>
      <c r="N77" s="4">
        <f t="shared" si="17"/>
        <v>0</v>
      </c>
      <c r="O77" s="207">
        <f t="shared" si="12"/>
        <v>-223481.92063180075</v>
      </c>
      <c r="P77" s="441">
        <f t="shared" si="13"/>
        <v>-2.1297140481310093</v>
      </c>
      <c r="Q77" s="200"/>
    </row>
    <row r="78" spans="1:17" x14ac:dyDescent="0.25">
      <c r="A78" s="198">
        <f>'A) Base RI'!A80</f>
        <v>5518</v>
      </c>
      <c r="B78" s="42" t="str">
        <f>'A) Base RI'!B80</f>
        <v>Echallens</v>
      </c>
      <c r="C78" s="41">
        <f>'D) Ecrêtage'!M78</f>
        <v>181423.1631081081</v>
      </c>
      <c r="D78" s="41">
        <v>1648631</v>
      </c>
      <c r="E78" s="14">
        <v>413596</v>
      </c>
      <c r="F78" s="52">
        <v>541205</v>
      </c>
      <c r="G78" s="52">
        <f t="shared" si="9"/>
        <v>2603432</v>
      </c>
      <c r="H78" s="14">
        <f t="shared" si="14"/>
        <v>1451385.3048648648</v>
      </c>
      <c r="I78" s="41">
        <f t="shared" si="10"/>
        <v>1152046.6951351352</v>
      </c>
      <c r="J78" s="4">
        <f t="shared" si="15"/>
        <v>-814899.98886512918</v>
      </c>
      <c r="K78" s="19">
        <v>77555</v>
      </c>
      <c r="L78" s="14">
        <f t="shared" si="16"/>
        <v>181423.1631081081</v>
      </c>
      <c r="M78" s="19">
        <f t="shared" si="11"/>
        <v>0</v>
      </c>
      <c r="N78" s="4">
        <f t="shared" si="17"/>
        <v>0</v>
      </c>
      <c r="O78" s="207">
        <f t="shared" si="12"/>
        <v>-814899.98886512918</v>
      </c>
      <c r="P78" s="441">
        <f t="shared" si="13"/>
        <v>-4.4917086379953544</v>
      </c>
      <c r="Q78" s="200"/>
    </row>
    <row r="79" spans="1:17" x14ac:dyDescent="0.25">
      <c r="A79" s="198">
        <f>'A) Base RI'!A81</f>
        <v>5520</v>
      </c>
      <c r="B79" s="42" t="str">
        <f>'A) Base RI'!B81</f>
        <v>Essertines-sur-Yverdon</v>
      </c>
      <c r="C79" s="41">
        <f>'D) Ecrêtage'!M79</f>
        <v>28021.579589041095</v>
      </c>
      <c r="D79" s="41">
        <v>198675</v>
      </c>
      <c r="E79" s="14">
        <v>27367</v>
      </c>
      <c r="F79" s="52">
        <v>91572</v>
      </c>
      <c r="G79" s="52">
        <f t="shared" si="9"/>
        <v>317614</v>
      </c>
      <c r="H79" s="14">
        <f t="shared" si="14"/>
        <v>224172.63671232876</v>
      </c>
      <c r="I79" s="41">
        <f t="shared" si="10"/>
        <v>93441.363287671236</v>
      </c>
      <c r="J79" s="4">
        <f t="shared" si="15"/>
        <v>-66095.728779234865</v>
      </c>
      <c r="K79" s="19">
        <v>97485</v>
      </c>
      <c r="L79" s="14">
        <f t="shared" si="16"/>
        <v>28021.579589041095</v>
      </c>
      <c r="M79" s="19">
        <f t="shared" si="11"/>
        <v>69463.420410958905</v>
      </c>
      <c r="N79" s="4">
        <f t="shared" si="17"/>
        <v>-49134.935900132361</v>
      </c>
      <c r="O79" s="207">
        <f t="shared" si="12"/>
        <v>-115230.66467936723</v>
      </c>
      <c r="P79" s="441">
        <f t="shared" si="13"/>
        <v>-4.1122116015341463</v>
      </c>
      <c r="Q79" s="200"/>
    </row>
    <row r="80" spans="1:17" x14ac:dyDescent="0.25">
      <c r="A80" s="198">
        <f>'A) Base RI'!A82</f>
        <v>5521</v>
      </c>
      <c r="B80" s="42" t="str">
        <f>'A) Base RI'!B82</f>
        <v>Etagnières</v>
      </c>
      <c r="C80" s="41">
        <f>'D) Ecrêtage'!M80</f>
        <v>42327.784109589047</v>
      </c>
      <c r="D80" s="41">
        <v>137576</v>
      </c>
      <c r="E80" s="14">
        <v>83398</v>
      </c>
      <c r="F80" s="52">
        <v>115574</v>
      </c>
      <c r="G80" s="52">
        <f t="shared" si="9"/>
        <v>336548</v>
      </c>
      <c r="H80" s="14">
        <f t="shared" si="14"/>
        <v>338622.27287671238</v>
      </c>
      <c r="I80" s="41">
        <f t="shared" si="10"/>
        <v>0</v>
      </c>
      <c r="J80" s="4">
        <f t="shared" si="15"/>
        <v>0</v>
      </c>
      <c r="K80" s="19">
        <v>24611</v>
      </c>
      <c r="L80" s="14">
        <f t="shared" si="16"/>
        <v>42327.784109589047</v>
      </c>
      <c r="M80" s="19">
        <f t="shared" si="11"/>
        <v>0</v>
      </c>
      <c r="N80" s="4">
        <f t="shared" si="17"/>
        <v>0</v>
      </c>
      <c r="O80" s="207">
        <f t="shared" si="12"/>
        <v>0</v>
      </c>
      <c r="P80" s="441">
        <f t="shared" si="13"/>
        <v>0</v>
      </c>
      <c r="Q80" s="200"/>
    </row>
    <row r="81" spans="1:17" x14ac:dyDescent="0.25">
      <c r="A81" s="198">
        <f>'A) Base RI'!A83</f>
        <v>5522</v>
      </c>
      <c r="B81" s="42" t="str">
        <f>'A) Base RI'!B83</f>
        <v>Fey</v>
      </c>
      <c r="C81" s="41">
        <f>'D) Ecrêtage'!M81</f>
        <v>18218.5124</v>
      </c>
      <c r="D81" s="41">
        <v>208442</v>
      </c>
      <c r="E81" s="14">
        <v>46751</v>
      </c>
      <c r="F81" s="52">
        <v>62527</v>
      </c>
      <c r="G81" s="52">
        <f t="shared" si="9"/>
        <v>317720</v>
      </c>
      <c r="H81" s="14">
        <f t="shared" si="14"/>
        <v>145748.0992</v>
      </c>
      <c r="I81" s="41">
        <f t="shared" si="10"/>
        <v>171971.9008</v>
      </c>
      <c r="J81" s="4">
        <f t="shared" si="15"/>
        <v>-121644.28806472699</v>
      </c>
      <c r="K81" s="19">
        <v>17752</v>
      </c>
      <c r="L81" s="14">
        <f t="shared" si="16"/>
        <v>18218.5124</v>
      </c>
      <c r="M81" s="19">
        <f t="shared" si="11"/>
        <v>0</v>
      </c>
      <c r="N81" s="4">
        <f t="shared" si="17"/>
        <v>0</v>
      </c>
      <c r="O81" s="207">
        <f t="shared" si="12"/>
        <v>-121644.28806472699</v>
      </c>
      <c r="P81" s="441">
        <f t="shared" si="13"/>
        <v>-6.6769605220197334</v>
      </c>
      <c r="Q81" s="200"/>
    </row>
    <row r="82" spans="1:17" x14ac:dyDescent="0.25">
      <c r="A82" s="198">
        <f>'A) Base RI'!A84</f>
        <v>5523</v>
      </c>
      <c r="B82" s="42" t="str">
        <f>'A) Base RI'!B84</f>
        <v>Froideville</v>
      </c>
      <c r="C82" s="41">
        <f>'D) Ecrêtage'!M82</f>
        <v>77819.657763157898</v>
      </c>
      <c r="D82" s="41">
        <v>602917</v>
      </c>
      <c r="E82" s="14">
        <v>104285</v>
      </c>
      <c r="F82" s="52">
        <v>188920</v>
      </c>
      <c r="G82" s="52">
        <f t="shared" si="9"/>
        <v>896122</v>
      </c>
      <c r="H82" s="14">
        <f t="shared" si="14"/>
        <v>622557.26210526319</v>
      </c>
      <c r="I82" s="41">
        <f t="shared" si="10"/>
        <v>273564.73789473681</v>
      </c>
      <c r="J82" s="4">
        <f t="shared" si="15"/>
        <v>-193505.96013659285</v>
      </c>
      <c r="K82" s="19">
        <v>24071</v>
      </c>
      <c r="L82" s="14">
        <f t="shared" si="16"/>
        <v>77819.657763157898</v>
      </c>
      <c r="M82" s="19">
        <f t="shared" si="11"/>
        <v>0</v>
      </c>
      <c r="N82" s="4">
        <f t="shared" si="17"/>
        <v>0</v>
      </c>
      <c r="O82" s="207">
        <f t="shared" si="12"/>
        <v>-193505.96013659285</v>
      </c>
      <c r="P82" s="441">
        <f t="shared" si="13"/>
        <v>-2.4865948488943914</v>
      </c>
      <c r="Q82" s="200"/>
    </row>
    <row r="83" spans="1:17" x14ac:dyDescent="0.25">
      <c r="A83" s="198">
        <f>'A) Base RI'!A85</f>
        <v>5527</v>
      </c>
      <c r="B83" s="42" t="str">
        <f>'A) Base RI'!B85</f>
        <v>Morrens</v>
      </c>
      <c r="C83" s="41">
        <f>'D) Ecrêtage'!M83</f>
        <v>36998.677183098589</v>
      </c>
      <c r="D83" s="41">
        <v>209018</v>
      </c>
      <c r="E83" s="14">
        <v>31610</v>
      </c>
      <c r="F83" s="52">
        <v>74064</v>
      </c>
      <c r="G83" s="52">
        <f t="shared" si="9"/>
        <v>314692</v>
      </c>
      <c r="H83" s="14">
        <f t="shared" si="14"/>
        <v>295989.41746478871</v>
      </c>
      <c r="I83" s="41">
        <f t="shared" si="10"/>
        <v>18702.582535211288</v>
      </c>
      <c r="J83" s="4">
        <f t="shared" si="15"/>
        <v>-13229.267844829066</v>
      </c>
      <c r="K83" s="19">
        <v>15246</v>
      </c>
      <c r="L83" s="14">
        <f t="shared" si="16"/>
        <v>36998.677183098589</v>
      </c>
      <c r="M83" s="19">
        <f t="shared" si="11"/>
        <v>0</v>
      </c>
      <c r="N83" s="4">
        <f t="shared" si="17"/>
        <v>0</v>
      </c>
      <c r="O83" s="207">
        <f t="shared" si="12"/>
        <v>-13229.267844829066</v>
      </c>
      <c r="P83" s="441">
        <f t="shared" si="13"/>
        <v>-0.35756056302662476</v>
      </c>
      <c r="Q83" s="200"/>
    </row>
    <row r="84" spans="1:17" x14ac:dyDescent="0.25">
      <c r="A84" s="198">
        <f>'A) Base RI'!A86</f>
        <v>5529</v>
      </c>
      <c r="B84" s="42" t="str">
        <f>'A) Base RI'!B86</f>
        <v>Oulens-sous-Echallens</v>
      </c>
      <c r="C84" s="41">
        <f>'D) Ecrêtage'!M84</f>
        <v>16830.940140845072</v>
      </c>
      <c r="D84" s="41">
        <v>228472</v>
      </c>
      <c r="E84" s="14">
        <v>15956</v>
      </c>
      <c r="F84" s="52">
        <v>53350</v>
      </c>
      <c r="G84" s="52">
        <f t="shared" si="9"/>
        <v>297778</v>
      </c>
      <c r="H84" s="14">
        <f t="shared" si="14"/>
        <v>134647.52112676058</v>
      </c>
      <c r="I84" s="41">
        <f t="shared" si="10"/>
        <v>163130.47887323942</v>
      </c>
      <c r="J84" s="4">
        <f t="shared" si="15"/>
        <v>-115390.31011392528</v>
      </c>
      <c r="K84" s="19">
        <v>25878</v>
      </c>
      <c r="L84" s="14">
        <f t="shared" si="16"/>
        <v>16830.940140845072</v>
      </c>
      <c r="M84" s="19">
        <f t="shared" si="11"/>
        <v>9047.0598591549278</v>
      </c>
      <c r="N84" s="4">
        <f t="shared" si="17"/>
        <v>-6399.4358992737862</v>
      </c>
      <c r="O84" s="207">
        <f t="shared" si="12"/>
        <v>-121789.74601319907</v>
      </c>
      <c r="P84" s="441">
        <f t="shared" si="13"/>
        <v>-7.2360631666463799</v>
      </c>
      <c r="Q84" s="200"/>
    </row>
    <row r="85" spans="1:17" x14ac:dyDescent="0.25">
      <c r="A85" s="198">
        <f>'A) Base RI'!A87</f>
        <v>5530</v>
      </c>
      <c r="B85" s="42" t="str">
        <f>'A) Base RI'!B87</f>
        <v>Pailly</v>
      </c>
      <c r="C85" s="41">
        <f>'D) Ecrêtage'!M85</f>
        <v>15988.116172043008</v>
      </c>
      <c r="D85" s="41">
        <v>445475</v>
      </c>
      <c r="E85" s="14">
        <v>23707</v>
      </c>
      <c r="F85" s="52">
        <v>52845</v>
      </c>
      <c r="G85" s="52">
        <f t="shared" si="9"/>
        <v>522027</v>
      </c>
      <c r="H85" s="14">
        <f t="shared" si="14"/>
        <v>127904.92937634407</v>
      </c>
      <c r="I85" s="41">
        <f t="shared" si="10"/>
        <v>394122.07062365592</v>
      </c>
      <c r="J85" s="4">
        <f t="shared" si="15"/>
        <v>-278782.1642290685</v>
      </c>
      <c r="K85" s="19">
        <v>36426</v>
      </c>
      <c r="L85" s="14">
        <f t="shared" si="16"/>
        <v>15988.116172043008</v>
      </c>
      <c r="M85" s="19">
        <f t="shared" si="11"/>
        <v>20437.88382795699</v>
      </c>
      <c r="N85" s="4">
        <f t="shared" si="17"/>
        <v>-14456.732851332334</v>
      </c>
      <c r="O85" s="207">
        <f t="shared" si="12"/>
        <v>-293238.89708040084</v>
      </c>
      <c r="P85" s="441">
        <f t="shared" si="13"/>
        <v>-18.341053687936139</v>
      </c>
      <c r="Q85" s="200"/>
    </row>
    <row r="86" spans="1:17" x14ac:dyDescent="0.25">
      <c r="A86" s="198">
        <f>'A) Base RI'!A88</f>
        <v>5531</v>
      </c>
      <c r="B86" s="42" t="str">
        <f>'A) Base RI'!B88</f>
        <v>Penthéréaz</v>
      </c>
      <c r="C86" s="41">
        <f>'D) Ecrêtage'!M86</f>
        <v>11628.696923076923</v>
      </c>
      <c r="D86" s="41">
        <v>90436</v>
      </c>
      <c r="E86" s="14">
        <v>11673</v>
      </c>
      <c r="F86" s="52">
        <v>39029</v>
      </c>
      <c r="G86" s="52">
        <f t="shared" si="9"/>
        <v>141138</v>
      </c>
      <c r="H86" s="14">
        <f t="shared" si="14"/>
        <v>93029.575384615382</v>
      </c>
      <c r="I86" s="41">
        <f t="shared" si="10"/>
        <v>48108.424615384618</v>
      </c>
      <c r="J86" s="4">
        <f t="shared" si="15"/>
        <v>-34029.484090310463</v>
      </c>
      <c r="K86" s="19">
        <v>26940</v>
      </c>
      <c r="L86" s="14">
        <f t="shared" si="16"/>
        <v>11628.696923076923</v>
      </c>
      <c r="M86" s="19">
        <f t="shared" si="11"/>
        <v>15311.303076923077</v>
      </c>
      <c r="N86" s="4">
        <f t="shared" si="17"/>
        <v>-10830.447029260093</v>
      </c>
      <c r="O86" s="207">
        <f t="shared" si="12"/>
        <v>-44859.931119570552</v>
      </c>
      <c r="P86" s="441">
        <f t="shared" si="13"/>
        <v>-3.8576920024931507</v>
      </c>
      <c r="Q86" s="200"/>
    </row>
    <row r="87" spans="1:17" x14ac:dyDescent="0.25">
      <c r="A87" s="198">
        <f>'A) Base RI'!A89</f>
        <v>5533</v>
      </c>
      <c r="B87" s="42" t="str">
        <f>'A) Base RI'!B89</f>
        <v>Poliez-Pittet</v>
      </c>
      <c r="C87" s="41">
        <f>'D) Ecrêtage'!M87</f>
        <v>21286.915727699528</v>
      </c>
      <c r="D87" s="41">
        <v>209104</v>
      </c>
      <c r="E87" s="14">
        <v>24190</v>
      </c>
      <c r="F87" s="52">
        <v>80882</v>
      </c>
      <c r="G87" s="52">
        <f t="shared" si="9"/>
        <v>314176</v>
      </c>
      <c r="H87" s="14">
        <f t="shared" si="14"/>
        <v>170295.32582159623</v>
      </c>
      <c r="I87" s="41">
        <f t="shared" si="10"/>
        <v>143880.67417840377</v>
      </c>
      <c r="J87" s="4">
        <f t="shared" si="15"/>
        <v>-101773.96478893181</v>
      </c>
      <c r="K87" s="19">
        <v>35698</v>
      </c>
      <c r="L87" s="14">
        <f t="shared" si="16"/>
        <v>21286.915727699528</v>
      </c>
      <c r="M87" s="19">
        <f t="shared" si="11"/>
        <v>14411.084272300472</v>
      </c>
      <c r="N87" s="4">
        <f t="shared" si="17"/>
        <v>-10193.677446081791</v>
      </c>
      <c r="O87" s="207">
        <f t="shared" si="12"/>
        <v>-111967.6422350136</v>
      </c>
      <c r="P87" s="441">
        <f t="shared" si="13"/>
        <v>-5.259927913808391</v>
      </c>
      <c r="Q87" s="200"/>
    </row>
    <row r="88" spans="1:17" x14ac:dyDescent="0.25">
      <c r="A88" s="198">
        <f>'A) Base RI'!A90</f>
        <v>5534</v>
      </c>
      <c r="B88" s="42" t="str">
        <f>'A) Base RI'!B90</f>
        <v>Rueyres</v>
      </c>
      <c r="C88" s="41">
        <f>'D) Ecrêtage'!M88</f>
        <v>8123.1504109589041</v>
      </c>
      <c r="D88" s="41">
        <v>58795</v>
      </c>
      <c r="E88" s="14">
        <v>15745</v>
      </c>
      <c r="F88" s="52">
        <v>26322</v>
      </c>
      <c r="G88" s="52">
        <f t="shared" si="9"/>
        <v>100862</v>
      </c>
      <c r="H88" s="14">
        <f t="shared" si="14"/>
        <v>64985.203287671233</v>
      </c>
      <c r="I88" s="41">
        <f t="shared" si="10"/>
        <v>35876.796712328767</v>
      </c>
      <c r="J88" s="4">
        <f t="shared" si="15"/>
        <v>-25377.444651202986</v>
      </c>
      <c r="K88" s="19">
        <v>11915</v>
      </c>
      <c r="L88" s="14">
        <f t="shared" si="16"/>
        <v>8123.1504109589041</v>
      </c>
      <c r="M88" s="19">
        <f t="shared" si="11"/>
        <v>3791.8495890410959</v>
      </c>
      <c r="N88" s="4">
        <f t="shared" si="17"/>
        <v>-2682.1640137819054</v>
      </c>
      <c r="O88" s="207">
        <f t="shared" si="12"/>
        <v>-28059.608664984891</v>
      </c>
      <c r="P88" s="441">
        <f t="shared" si="13"/>
        <v>-3.4542766347314959</v>
      </c>
      <c r="Q88" s="200"/>
    </row>
    <row r="89" spans="1:17" x14ac:dyDescent="0.25">
      <c r="A89" s="198">
        <f>'A) Base RI'!A91</f>
        <v>5535</v>
      </c>
      <c r="B89" s="42" t="str">
        <f>'A) Base RI'!B91</f>
        <v>Saint-Barthélemy</v>
      </c>
      <c r="C89" s="41">
        <f>'D) Ecrêtage'!M89</f>
        <v>21652.779733333333</v>
      </c>
      <c r="D89" s="41">
        <v>142862</v>
      </c>
      <c r="E89" s="14">
        <v>23406</v>
      </c>
      <c r="F89" s="52">
        <v>78260</v>
      </c>
      <c r="G89" s="52">
        <f t="shared" si="9"/>
        <v>244528</v>
      </c>
      <c r="H89" s="14">
        <f t="shared" si="14"/>
        <v>173222.23786666666</v>
      </c>
      <c r="I89" s="41">
        <f t="shared" si="10"/>
        <v>71305.762133333337</v>
      </c>
      <c r="J89" s="4">
        <f t="shared" si="15"/>
        <v>-50438.115932147106</v>
      </c>
      <c r="K89" s="19">
        <v>-14962</v>
      </c>
      <c r="L89" s="14">
        <f t="shared" si="16"/>
        <v>21652.779733333333</v>
      </c>
      <c r="M89" s="19">
        <f t="shared" si="11"/>
        <v>0</v>
      </c>
      <c r="N89" s="4">
        <f t="shared" si="17"/>
        <v>0</v>
      </c>
      <c r="O89" s="207">
        <f t="shared" si="12"/>
        <v>-50438.115932147106</v>
      </c>
      <c r="P89" s="441">
        <f t="shared" si="13"/>
        <v>-2.3294060417794875</v>
      </c>
      <c r="Q89" s="200"/>
    </row>
    <row r="90" spans="1:17" x14ac:dyDescent="0.25">
      <c r="A90" s="198">
        <f>'A) Base RI'!A92</f>
        <v>5537</v>
      </c>
      <c r="B90" s="42" t="str">
        <f>'A) Base RI'!B92</f>
        <v>Villars-le-Terroir</v>
      </c>
      <c r="C90" s="41">
        <f>'D) Ecrêtage'!M90</f>
        <v>28181.728767123288</v>
      </c>
      <c r="D90" s="41">
        <v>108718</v>
      </c>
      <c r="E90" s="14">
        <v>28473</v>
      </c>
      <c r="F90" s="52">
        <v>95202</v>
      </c>
      <c r="G90" s="52">
        <f t="shared" si="9"/>
        <v>232393</v>
      </c>
      <c r="H90" s="14">
        <f t="shared" si="14"/>
        <v>225453.8301369863</v>
      </c>
      <c r="I90" s="41">
        <f t="shared" si="10"/>
        <v>6939.1698630136962</v>
      </c>
      <c r="J90" s="4">
        <f t="shared" si="15"/>
        <v>-4908.4203513467828</v>
      </c>
      <c r="K90" s="19">
        <v>35776</v>
      </c>
      <c r="L90" s="14">
        <f t="shared" si="16"/>
        <v>28181.728767123288</v>
      </c>
      <c r="M90" s="19">
        <f t="shared" si="11"/>
        <v>7594.271232876712</v>
      </c>
      <c r="N90" s="4">
        <f t="shared" si="17"/>
        <v>-5371.8061683116784</v>
      </c>
      <c r="O90" s="207">
        <f t="shared" si="12"/>
        <v>-10280.226519658461</v>
      </c>
      <c r="P90" s="441">
        <f t="shared" si="13"/>
        <v>-0.3647833887199759</v>
      </c>
      <c r="Q90" s="200"/>
    </row>
    <row r="91" spans="1:17" x14ac:dyDescent="0.25">
      <c r="A91" s="198">
        <f>'A) Base RI'!A93</f>
        <v>5539</v>
      </c>
      <c r="B91" s="42" t="str">
        <f>'A) Base RI'!B93</f>
        <v>Vuarrens</v>
      </c>
      <c r="C91" s="41">
        <f>'D) Ecrêtage'!M91</f>
        <v>22756.172933333331</v>
      </c>
      <c r="D91" s="41">
        <v>136974</v>
      </c>
      <c r="E91" s="14">
        <v>28051</v>
      </c>
      <c r="F91" s="52">
        <v>93791</v>
      </c>
      <c r="G91" s="52">
        <f t="shared" si="9"/>
        <v>258816</v>
      </c>
      <c r="H91" s="14">
        <f t="shared" si="14"/>
        <v>182049.38346666665</v>
      </c>
      <c r="I91" s="41">
        <f t="shared" si="10"/>
        <v>76766.616533333348</v>
      </c>
      <c r="J91" s="4">
        <f t="shared" si="15"/>
        <v>-54300.850149905622</v>
      </c>
      <c r="K91" s="19">
        <v>78202</v>
      </c>
      <c r="L91" s="14">
        <f t="shared" si="16"/>
        <v>22756.172933333331</v>
      </c>
      <c r="M91" s="19">
        <f t="shared" si="11"/>
        <v>55445.827066666665</v>
      </c>
      <c r="N91" s="4">
        <f t="shared" si="17"/>
        <v>-39219.594179682616</v>
      </c>
      <c r="O91" s="207">
        <f t="shared" si="12"/>
        <v>-93520.444329588237</v>
      </c>
      <c r="P91" s="441">
        <f t="shared" si="13"/>
        <v>-4.1096736522246724</v>
      </c>
      <c r="Q91" s="200"/>
    </row>
    <row r="92" spans="1:17" x14ac:dyDescent="0.25">
      <c r="A92" s="198">
        <f>'A) Base RI'!A94</f>
        <v>5540</v>
      </c>
      <c r="B92" s="42" t="str">
        <f>'A) Base RI'!B94</f>
        <v>Montilliez</v>
      </c>
      <c r="C92" s="41">
        <f>'D) Ecrêtage'!M92</f>
        <v>47199.265101351346</v>
      </c>
      <c r="D92" s="41">
        <v>1603726</v>
      </c>
      <c r="E92" s="41">
        <v>123287</v>
      </c>
      <c r="F92" s="19">
        <v>164890</v>
      </c>
      <c r="G92" s="52">
        <f t="shared" si="9"/>
        <v>1891903</v>
      </c>
      <c r="H92" s="14">
        <f t="shared" si="14"/>
        <v>377594.12081081077</v>
      </c>
      <c r="I92" s="41">
        <f>IF(G92&gt;H92,G92-H92,0)</f>
        <v>1514308.8791891893</v>
      </c>
      <c r="J92" s="4">
        <f t="shared" si="15"/>
        <v>-1071146.0689923572</v>
      </c>
      <c r="K92" s="19">
        <v>88180</v>
      </c>
      <c r="L92" s="14">
        <f t="shared" si="16"/>
        <v>47199.265101351346</v>
      </c>
      <c r="M92" s="19">
        <f>IF(K92&gt;L92,K92-L92,0)</f>
        <v>40980.734898648654</v>
      </c>
      <c r="N92" s="4">
        <f t="shared" si="17"/>
        <v>-28987.714259860219</v>
      </c>
      <c r="O92" s="207">
        <f>N92+J92</f>
        <v>-1100133.7832522173</v>
      </c>
      <c r="P92" s="441">
        <f>O92/C92</f>
        <v>-23.308282044008347</v>
      </c>
      <c r="Q92" s="200"/>
    </row>
    <row r="93" spans="1:17" x14ac:dyDescent="0.25">
      <c r="A93" s="198">
        <f>'A) Base RI'!A95</f>
        <v>5541</v>
      </c>
      <c r="B93" s="42" t="str">
        <f>'A) Base RI'!B95</f>
        <v>Goumoëns</v>
      </c>
      <c r="C93" s="41">
        <f>'D) Ecrêtage'!M93</f>
        <v>35607.690389610398</v>
      </c>
      <c r="D93" s="41">
        <v>203524</v>
      </c>
      <c r="E93" s="41">
        <v>29016</v>
      </c>
      <c r="F93" s="19">
        <v>97018</v>
      </c>
      <c r="G93" s="52">
        <f t="shared" si="9"/>
        <v>329558</v>
      </c>
      <c r="H93" s="14">
        <f t="shared" si="14"/>
        <v>284861.52311688318</v>
      </c>
      <c r="I93" s="41">
        <f>IF(G93&gt;H93,G93-H93,0)</f>
        <v>44696.476883116818</v>
      </c>
      <c r="J93" s="4">
        <f t="shared" si="15"/>
        <v>-31616.043575464584</v>
      </c>
      <c r="K93" s="19">
        <v>12319</v>
      </c>
      <c r="L93" s="14">
        <f t="shared" si="16"/>
        <v>35607.690389610398</v>
      </c>
      <c r="M93" s="19">
        <f>IF(K93&gt;L93,K93-L93,0)</f>
        <v>0</v>
      </c>
      <c r="N93" s="4">
        <f t="shared" si="17"/>
        <v>0</v>
      </c>
      <c r="O93" s="207">
        <f>N93+J93</f>
        <v>-31616.043575464584</v>
      </c>
      <c r="P93" s="441">
        <f>O93/C93</f>
        <v>-0.8878993057266501</v>
      </c>
      <c r="Q93" s="200"/>
    </row>
    <row r="94" spans="1:17" x14ac:dyDescent="0.25">
      <c r="A94" s="198">
        <f>'A) Base RI'!A96</f>
        <v>5551</v>
      </c>
      <c r="B94" s="42" t="str">
        <f>'A) Base RI'!B96</f>
        <v>Bonvillars</v>
      </c>
      <c r="C94" s="41">
        <f>'D) Ecrêtage'!M94</f>
        <v>15988.430935064936</v>
      </c>
      <c r="D94" s="41">
        <v>209184</v>
      </c>
      <c r="E94" s="14">
        <v>23238</v>
      </c>
      <c r="F94" s="52">
        <v>65440</v>
      </c>
      <c r="G94" s="52">
        <f t="shared" si="9"/>
        <v>297862</v>
      </c>
      <c r="H94" s="14">
        <f t="shared" si="14"/>
        <v>127907.44748051949</v>
      </c>
      <c r="I94" s="41">
        <f t="shared" si="10"/>
        <v>169954.55251948052</v>
      </c>
      <c r="J94" s="4">
        <f t="shared" si="15"/>
        <v>-120217.31718040917</v>
      </c>
      <c r="K94" s="19">
        <v>47032</v>
      </c>
      <c r="L94" s="14">
        <f t="shared" si="16"/>
        <v>15988.430935064936</v>
      </c>
      <c r="M94" s="19">
        <f t="shared" si="11"/>
        <v>31043.569064935065</v>
      </c>
      <c r="N94" s="4">
        <f t="shared" si="17"/>
        <v>-21958.662085638869</v>
      </c>
      <c r="O94" s="207">
        <f t="shared" si="12"/>
        <v>-142175.97926604803</v>
      </c>
      <c r="P94" s="441">
        <f t="shared" si="13"/>
        <v>-8.8924285218154573</v>
      </c>
      <c r="Q94" s="200"/>
    </row>
    <row r="95" spans="1:17" x14ac:dyDescent="0.25">
      <c r="A95" s="198">
        <f>'A) Base RI'!A97</f>
        <v>5552</v>
      </c>
      <c r="B95" s="42" t="str">
        <f>'A) Base RI'!B97</f>
        <v>Bullet</v>
      </c>
      <c r="C95" s="41">
        <f>'D) Ecrêtage'!M95</f>
        <v>15525.607571428574</v>
      </c>
      <c r="D95" s="41">
        <v>278485</v>
      </c>
      <c r="E95" s="14">
        <v>17963</v>
      </c>
      <c r="F95" s="52">
        <v>35421</v>
      </c>
      <c r="G95" s="52">
        <f t="shared" si="9"/>
        <v>331869</v>
      </c>
      <c r="H95" s="14">
        <f t="shared" si="14"/>
        <v>124204.86057142859</v>
      </c>
      <c r="I95" s="41">
        <f t="shared" si="10"/>
        <v>207664.13942857139</v>
      </c>
      <c r="J95" s="4">
        <f t="shared" si="15"/>
        <v>-146891.18559398261</v>
      </c>
      <c r="K95" s="19">
        <v>64043</v>
      </c>
      <c r="L95" s="14">
        <f t="shared" si="16"/>
        <v>15525.607571428574</v>
      </c>
      <c r="M95" s="19">
        <f t="shared" si="11"/>
        <v>48517.392428571424</v>
      </c>
      <c r="N95" s="4">
        <f t="shared" si="17"/>
        <v>-34318.767387436739</v>
      </c>
      <c r="O95" s="207">
        <f t="shared" si="12"/>
        <v>-181209.95298141934</v>
      </c>
      <c r="P95" s="441">
        <f t="shared" si="13"/>
        <v>-11.671681906664698</v>
      </c>
      <c r="Q95" s="200"/>
    </row>
    <row r="96" spans="1:17" x14ac:dyDescent="0.25">
      <c r="A96" s="198">
        <f>'A) Base RI'!A98</f>
        <v>5553</v>
      </c>
      <c r="B96" s="42" t="str">
        <f>'A) Base RI'!B98</f>
        <v>Champagne</v>
      </c>
      <c r="C96" s="41">
        <f>'D) Ecrêtage'!M96</f>
        <v>55334.370317460314</v>
      </c>
      <c r="D96" s="41">
        <v>465493</v>
      </c>
      <c r="E96" s="14">
        <v>45436</v>
      </c>
      <c r="F96" s="52">
        <v>135149</v>
      </c>
      <c r="G96" s="52">
        <f t="shared" si="9"/>
        <v>646078</v>
      </c>
      <c r="H96" s="14">
        <f t="shared" si="14"/>
        <v>442674.96253968251</v>
      </c>
      <c r="I96" s="41">
        <f t="shared" si="10"/>
        <v>203403.03746031749</v>
      </c>
      <c r="J96" s="4">
        <f t="shared" si="15"/>
        <v>-143877.09600790383</v>
      </c>
      <c r="K96" s="19">
        <v>33352</v>
      </c>
      <c r="L96" s="14">
        <f t="shared" si="16"/>
        <v>55334.370317460314</v>
      </c>
      <c r="M96" s="19">
        <f t="shared" si="11"/>
        <v>0</v>
      </c>
      <c r="N96" s="4">
        <f t="shared" si="17"/>
        <v>0</v>
      </c>
      <c r="O96" s="207">
        <f t="shared" si="12"/>
        <v>-143877.09600790383</v>
      </c>
      <c r="P96" s="441">
        <f t="shared" si="13"/>
        <v>-2.6001397536912889</v>
      </c>
      <c r="Q96" s="200"/>
    </row>
    <row r="97" spans="1:17" x14ac:dyDescent="0.25">
      <c r="A97" s="198">
        <f>'A) Base RI'!A99</f>
        <v>5554</v>
      </c>
      <c r="B97" s="42" t="str">
        <f>'A) Base RI'!B99</f>
        <v>Concise</v>
      </c>
      <c r="C97" s="41">
        <f>'D) Ecrêtage'!M97</f>
        <v>29691.100933333331</v>
      </c>
      <c r="D97" s="41">
        <v>216329</v>
      </c>
      <c r="E97" s="14">
        <v>56181</v>
      </c>
      <c r="F97" s="52">
        <v>113971</v>
      </c>
      <c r="G97" s="52">
        <f t="shared" si="9"/>
        <v>386481</v>
      </c>
      <c r="H97" s="14">
        <f t="shared" si="14"/>
        <v>237528.80746666665</v>
      </c>
      <c r="I97" s="41">
        <f t="shared" si="10"/>
        <v>148952.19253333335</v>
      </c>
      <c r="J97" s="4">
        <f t="shared" si="15"/>
        <v>-105361.30223663538</v>
      </c>
      <c r="K97" s="19">
        <v>18943</v>
      </c>
      <c r="L97" s="14">
        <f t="shared" si="16"/>
        <v>29691.100933333331</v>
      </c>
      <c r="M97" s="19">
        <f t="shared" si="11"/>
        <v>0</v>
      </c>
      <c r="N97" s="4">
        <f t="shared" si="17"/>
        <v>0</v>
      </c>
      <c r="O97" s="207">
        <f t="shared" si="12"/>
        <v>-105361.30223663538</v>
      </c>
      <c r="P97" s="441">
        <f t="shared" si="13"/>
        <v>-3.5485818620605385</v>
      </c>
      <c r="Q97" s="200"/>
    </row>
    <row r="98" spans="1:17" x14ac:dyDescent="0.25">
      <c r="A98" s="198">
        <f>'A) Base RI'!A100</f>
        <v>5555</v>
      </c>
      <c r="B98" s="42" t="str">
        <f>'A) Base RI'!B100</f>
        <v>Corcelles-près-Concise</v>
      </c>
      <c r="C98" s="41">
        <f>'D) Ecrêtage'!M98</f>
        <v>9762.6867605633779</v>
      </c>
      <c r="D98" s="41">
        <v>163404</v>
      </c>
      <c r="E98" s="14">
        <v>14965</v>
      </c>
      <c r="F98" s="52">
        <v>39011</v>
      </c>
      <c r="G98" s="52">
        <f t="shared" si="9"/>
        <v>217380</v>
      </c>
      <c r="H98" s="14">
        <f t="shared" si="14"/>
        <v>78101.494084507023</v>
      </c>
      <c r="I98" s="41">
        <f t="shared" si="10"/>
        <v>139278.50591549298</v>
      </c>
      <c r="J98" s="4">
        <f t="shared" si="15"/>
        <v>-98518.622030657978</v>
      </c>
      <c r="K98" s="19">
        <v>23304</v>
      </c>
      <c r="L98" s="14">
        <f t="shared" si="16"/>
        <v>9762.6867605633779</v>
      </c>
      <c r="M98" s="19">
        <f t="shared" si="11"/>
        <v>13541.313239436622</v>
      </c>
      <c r="N98" s="4">
        <f t="shared" si="17"/>
        <v>-9578.4450878892058</v>
      </c>
      <c r="O98" s="207">
        <f t="shared" si="12"/>
        <v>-108097.06711854719</v>
      </c>
      <c r="P98" s="441">
        <f t="shared" si="13"/>
        <v>-11.072471110638114</v>
      </c>
      <c r="Q98" s="200"/>
    </row>
    <row r="99" spans="1:17" x14ac:dyDescent="0.25">
      <c r="A99" s="198">
        <f>'A) Base RI'!A101</f>
        <v>5556</v>
      </c>
      <c r="B99" s="42" t="str">
        <f>'A) Base RI'!B101</f>
        <v>Fiez</v>
      </c>
      <c r="C99" s="41">
        <f>'D) Ecrêtage'!M99</f>
        <v>10799.932053140095</v>
      </c>
      <c r="D99" s="41">
        <v>74252</v>
      </c>
      <c r="E99" s="14">
        <v>12388</v>
      </c>
      <c r="F99" s="52">
        <v>68286</v>
      </c>
      <c r="G99" s="52">
        <f t="shared" si="9"/>
        <v>154926</v>
      </c>
      <c r="H99" s="14">
        <f t="shared" si="14"/>
        <v>86399.456425120763</v>
      </c>
      <c r="I99" s="41">
        <f t="shared" si="10"/>
        <v>68526.543574879237</v>
      </c>
      <c r="J99" s="4">
        <f t="shared" si="15"/>
        <v>-48472.236266069558</v>
      </c>
      <c r="K99" s="19">
        <v>24711</v>
      </c>
      <c r="L99" s="14">
        <f t="shared" si="16"/>
        <v>10799.932053140095</v>
      </c>
      <c r="M99" s="19">
        <f t="shared" si="11"/>
        <v>13911.067946859905</v>
      </c>
      <c r="N99" s="4">
        <f t="shared" si="17"/>
        <v>-9839.9910028546728</v>
      </c>
      <c r="O99" s="207">
        <f t="shared" si="12"/>
        <v>-58312.227268924231</v>
      </c>
      <c r="P99" s="441">
        <f t="shared" si="13"/>
        <v>-5.3993142717939477</v>
      </c>
      <c r="Q99" s="200"/>
    </row>
    <row r="100" spans="1:17" x14ac:dyDescent="0.25">
      <c r="A100" s="198">
        <f>'A) Base RI'!A102</f>
        <v>5557</v>
      </c>
      <c r="B100" s="42" t="str">
        <f>'A) Base RI'!B102</f>
        <v>Fontaines-sur-Grandson</v>
      </c>
      <c r="C100" s="41">
        <f>'D) Ecrêtage'!M100</f>
        <v>4200.6523188405799</v>
      </c>
      <c r="D100" s="41">
        <v>21081</v>
      </c>
      <c r="E100" s="14">
        <v>5516</v>
      </c>
      <c r="F100" s="52">
        <v>27741</v>
      </c>
      <c r="G100" s="52">
        <f t="shared" si="9"/>
        <v>54338</v>
      </c>
      <c r="H100" s="14">
        <f t="shared" si="14"/>
        <v>33605.218550724639</v>
      </c>
      <c r="I100" s="41">
        <f t="shared" si="10"/>
        <v>20732.781449275361</v>
      </c>
      <c r="J100" s="4">
        <f t="shared" si="15"/>
        <v>-14665.32862209708</v>
      </c>
      <c r="K100" s="19">
        <v>19330</v>
      </c>
      <c r="L100" s="14">
        <f t="shared" si="16"/>
        <v>4200.6523188405799</v>
      </c>
      <c r="M100" s="19">
        <f t="shared" si="11"/>
        <v>15129.347681159419</v>
      </c>
      <c r="N100" s="4">
        <f t="shared" si="17"/>
        <v>-10701.740918120768</v>
      </c>
      <c r="O100" s="207">
        <f t="shared" si="12"/>
        <v>-25367.069540217846</v>
      </c>
      <c r="P100" s="441">
        <f t="shared" si="13"/>
        <v>-6.0388405454178127</v>
      </c>
      <c r="Q100" s="200"/>
    </row>
    <row r="101" spans="1:17" x14ac:dyDescent="0.25">
      <c r="A101" s="198">
        <f>'A) Base RI'!A103</f>
        <v>5559</v>
      </c>
      <c r="B101" s="42" t="str">
        <f>'A) Base RI'!B103</f>
        <v>Giez</v>
      </c>
      <c r="C101" s="41">
        <f>'D) Ecrêtage'!M101</f>
        <v>17998.483636363639</v>
      </c>
      <c r="D101" s="41">
        <v>80054</v>
      </c>
      <c r="E101" s="14">
        <v>11574</v>
      </c>
      <c r="F101" s="52">
        <v>50503</v>
      </c>
      <c r="G101" s="52">
        <f t="shared" si="9"/>
        <v>142131</v>
      </c>
      <c r="H101" s="14">
        <f t="shared" si="14"/>
        <v>143987.86909090911</v>
      </c>
      <c r="I101" s="41">
        <f t="shared" si="10"/>
        <v>0</v>
      </c>
      <c r="J101" s="4">
        <f t="shared" si="15"/>
        <v>0</v>
      </c>
      <c r="K101" s="19">
        <v>10261</v>
      </c>
      <c r="L101" s="14">
        <f t="shared" si="16"/>
        <v>17998.483636363639</v>
      </c>
      <c r="M101" s="19">
        <f t="shared" si="11"/>
        <v>0</v>
      </c>
      <c r="N101" s="4">
        <f t="shared" si="17"/>
        <v>0</v>
      </c>
      <c r="O101" s="207">
        <f t="shared" si="12"/>
        <v>0</v>
      </c>
      <c r="P101" s="441">
        <f t="shared" si="13"/>
        <v>0</v>
      </c>
      <c r="Q101" s="200"/>
    </row>
    <row r="102" spans="1:17" x14ac:dyDescent="0.25">
      <c r="A102" s="198">
        <f>'A) Base RI'!A104</f>
        <v>5560</v>
      </c>
      <c r="B102" s="42" t="str">
        <f>'A) Base RI'!B104</f>
        <v>Grandevent</v>
      </c>
      <c r="C102" s="41">
        <f>'D) Ecrêtage'!M102</f>
        <v>6396.1444117647052</v>
      </c>
      <c r="D102" s="41">
        <v>22448</v>
      </c>
      <c r="E102" s="14">
        <v>6811</v>
      </c>
      <c r="F102" s="52">
        <v>31297</v>
      </c>
      <c r="G102" s="52">
        <f t="shared" si="9"/>
        <v>60556</v>
      </c>
      <c r="H102" s="14">
        <f t="shared" si="14"/>
        <v>51169.155294117641</v>
      </c>
      <c r="I102" s="41">
        <f t="shared" si="10"/>
        <v>9386.8447058823585</v>
      </c>
      <c r="J102" s="4">
        <f t="shared" si="15"/>
        <v>-6639.7826395439306</v>
      </c>
      <c r="K102" s="19">
        <v>15089</v>
      </c>
      <c r="L102" s="14">
        <f t="shared" si="16"/>
        <v>6396.1444117647052</v>
      </c>
      <c r="M102" s="19">
        <f t="shared" si="11"/>
        <v>8692.8555882352957</v>
      </c>
      <c r="N102" s="4">
        <f t="shared" si="17"/>
        <v>-6148.8895823169623</v>
      </c>
      <c r="O102" s="207">
        <f t="shared" si="12"/>
        <v>-12788.672221860892</v>
      </c>
      <c r="P102" s="441">
        <f t="shared" si="13"/>
        <v>-1.9994345653512973</v>
      </c>
      <c r="Q102" s="200"/>
    </row>
    <row r="103" spans="1:17" x14ac:dyDescent="0.25">
      <c r="A103" s="198">
        <f>'A) Base RI'!A105</f>
        <v>5561</v>
      </c>
      <c r="B103" s="42" t="str">
        <f>'A) Base RI'!B105</f>
        <v>Grandson</v>
      </c>
      <c r="C103" s="41">
        <f>'D) Ecrêtage'!M103</f>
        <v>106507.86840579711</v>
      </c>
      <c r="D103" s="41">
        <v>1128426</v>
      </c>
      <c r="E103" s="14">
        <v>195549</v>
      </c>
      <c r="F103" s="52">
        <v>552092</v>
      </c>
      <c r="G103" s="52">
        <f t="shared" si="9"/>
        <v>1876067</v>
      </c>
      <c r="H103" s="14">
        <f t="shared" si="14"/>
        <v>852062.94724637689</v>
      </c>
      <c r="I103" s="41">
        <f t="shared" si="10"/>
        <v>1024004.0527536231</v>
      </c>
      <c r="J103" s="4">
        <f t="shared" si="15"/>
        <v>-724329.05255536735</v>
      </c>
      <c r="K103" s="19">
        <v>74856</v>
      </c>
      <c r="L103" s="14">
        <f t="shared" si="16"/>
        <v>106507.86840579711</v>
      </c>
      <c r="M103" s="19">
        <f t="shared" si="11"/>
        <v>0</v>
      </c>
      <c r="N103" s="4">
        <f t="shared" si="17"/>
        <v>0</v>
      </c>
      <c r="O103" s="207">
        <f t="shared" si="12"/>
        <v>-724329.05255536735</v>
      </c>
      <c r="P103" s="441">
        <f t="shared" si="13"/>
        <v>-6.8007093128148917</v>
      </c>
      <c r="Q103" s="200"/>
    </row>
    <row r="104" spans="1:17" x14ac:dyDescent="0.25">
      <c r="A104" s="198">
        <f>'A) Base RI'!A106</f>
        <v>5562</v>
      </c>
      <c r="B104" s="42" t="str">
        <f>'A) Base RI'!B106</f>
        <v>Mauborget</v>
      </c>
      <c r="C104" s="41">
        <f>'D) Ecrêtage'!M104</f>
        <v>3916.9319285714282</v>
      </c>
      <c r="D104" s="41">
        <v>43228</v>
      </c>
      <c r="E104" s="14">
        <v>3315</v>
      </c>
      <c r="F104" s="52">
        <v>5276</v>
      </c>
      <c r="G104" s="52">
        <f t="shared" si="9"/>
        <v>51819</v>
      </c>
      <c r="H104" s="14">
        <f t="shared" si="14"/>
        <v>31335.455428571426</v>
      </c>
      <c r="I104" s="41">
        <f t="shared" si="10"/>
        <v>20483.544571428574</v>
      </c>
      <c r="J104" s="4">
        <f t="shared" si="15"/>
        <v>-14489.030968677484</v>
      </c>
      <c r="K104" s="19">
        <v>-101</v>
      </c>
      <c r="L104" s="14">
        <f t="shared" si="16"/>
        <v>3916.9319285714282</v>
      </c>
      <c r="M104" s="19">
        <f t="shared" si="11"/>
        <v>0</v>
      </c>
      <c r="N104" s="4">
        <f t="shared" si="17"/>
        <v>0</v>
      </c>
      <c r="O104" s="207">
        <f t="shared" si="12"/>
        <v>-14489.030968677484</v>
      </c>
      <c r="P104" s="441">
        <f t="shared" si="13"/>
        <v>-3.6990765305339068</v>
      </c>
      <c r="Q104" s="200"/>
    </row>
    <row r="105" spans="1:17" x14ac:dyDescent="0.25">
      <c r="A105" s="198">
        <f>'A) Base RI'!A107</f>
        <v>5563</v>
      </c>
      <c r="B105" s="42" t="str">
        <f>'A) Base RI'!B107</f>
        <v>Mutrux</v>
      </c>
      <c r="C105" s="41">
        <f>'D) Ecrêtage'!M105</f>
        <v>4102.2142675159239</v>
      </c>
      <c r="D105" s="41">
        <v>36016</v>
      </c>
      <c r="E105" s="14">
        <v>4490</v>
      </c>
      <c r="F105" s="52">
        <v>19917</v>
      </c>
      <c r="G105" s="52">
        <f t="shared" si="9"/>
        <v>60423</v>
      </c>
      <c r="H105" s="14">
        <f t="shared" si="14"/>
        <v>32817.714140127391</v>
      </c>
      <c r="I105" s="41">
        <f t="shared" si="10"/>
        <v>27605.285859872609</v>
      </c>
      <c r="J105" s="4">
        <f t="shared" si="15"/>
        <v>-19526.593179619482</v>
      </c>
      <c r="K105" s="19">
        <v>3158</v>
      </c>
      <c r="L105" s="14">
        <f t="shared" si="16"/>
        <v>4102.2142675159239</v>
      </c>
      <c r="M105" s="19">
        <f t="shared" si="11"/>
        <v>0</v>
      </c>
      <c r="N105" s="4">
        <f t="shared" si="17"/>
        <v>0</v>
      </c>
      <c r="O105" s="207">
        <f t="shared" si="12"/>
        <v>-19526.593179619482</v>
      </c>
      <c r="P105" s="441">
        <f t="shared" si="13"/>
        <v>-4.7600129847541375</v>
      </c>
      <c r="Q105" s="200"/>
    </row>
    <row r="106" spans="1:17" x14ac:dyDescent="0.25">
      <c r="A106" s="198">
        <f>'A) Base RI'!A108</f>
        <v>5564</v>
      </c>
      <c r="B106" s="42" t="str">
        <f>'A) Base RI'!B108</f>
        <v>Novalles</v>
      </c>
      <c r="C106" s="41">
        <f>'D) Ecrêtage'!M106</f>
        <v>2120.1975328947365</v>
      </c>
      <c r="D106" s="41">
        <v>8097</v>
      </c>
      <c r="E106" s="14">
        <v>3075</v>
      </c>
      <c r="F106" s="52">
        <v>12092</v>
      </c>
      <c r="G106" s="52">
        <f t="shared" si="9"/>
        <v>23264</v>
      </c>
      <c r="H106" s="14">
        <f t="shared" si="14"/>
        <v>16961.580263157892</v>
      </c>
      <c r="I106" s="41">
        <f t="shared" si="10"/>
        <v>6302.4197368421083</v>
      </c>
      <c r="J106" s="4">
        <f t="shared" si="15"/>
        <v>-4458.0152827690454</v>
      </c>
      <c r="K106" s="19">
        <v>5203</v>
      </c>
      <c r="L106" s="14">
        <f t="shared" si="16"/>
        <v>2120.1975328947365</v>
      </c>
      <c r="M106" s="19">
        <f t="shared" si="11"/>
        <v>3082.8024671052635</v>
      </c>
      <c r="N106" s="4">
        <f t="shared" si="17"/>
        <v>-2180.619680370502</v>
      </c>
      <c r="O106" s="207">
        <f t="shared" si="12"/>
        <v>-6638.6349631395478</v>
      </c>
      <c r="P106" s="441">
        <f t="shared" si="13"/>
        <v>-3.131139839633585</v>
      </c>
      <c r="Q106" s="200"/>
    </row>
    <row r="107" spans="1:17" x14ac:dyDescent="0.25">
      <c r="A107" s="198">
        <f>'A) Base RI'!A109</f>
        <v>5565</v>
      </c>
      <c r="B107" s="42" t="str">
        <f>'A) Base RI'!B109</f>
        <v>Onnens</v>
      </c>
      <c r="C107" s="41">
        <f>'D) Ecrêtage'!M107</f>
        <v>22453.434769230771</v>
      </c>
      <c r="D107" s="41">
        <v>87786</v>
      </c>
      <c r="E107" s="14">
        <v>22605</v>
      </c>
      <c r="F107" s="52">
        <v>78955</v>
      </c>
      <c r="G107" s="52">
        <f t="shared" si="9"/>
        <v>189346</v>
      </c>
      <c r="H107" s="14">
        <f t="shared" si="14"/>
        <v>179627.47815384617</v>
      </c>
      <c r="I107" s="41">
        <f t="shared" si="10"/>
        <v>9718.5218461538316</v>
      </c>
      <c r="J107" s="4">
        <f t="shared" si="15"/>
        <v>-6874.3943953480975</v>
      </c>
      <c r="K107" s="19">
        <v>26350</v>
      </c>
      <c r="L107" s="14">
        <f t="shared" si="16"/>
        <v>22453.434769230771</v>
      </c>
      <c r="M107" s="19">
        <f t="shared" si="11"/>
        <v>3896.5652307692289</v>
      </c>
      <c r="N107" s="4">
        <f t="shared" si="17"/>
        <v>-2756.2346010581018</v>
      </c>
      <c r="O107" s="207">
        <f t="shared" si="12"/>
        <v>-9630.6289964061998</v>
      </c>
      <c r="P107" s="441">
        <f t="shared" si="13"/>
        <v>-0.42891562450853188</v>
      </c>
      <c r="Q107" s="200"/>
    </row>
    <row r="108" spans="1:17" x14ac:dyDescent="0.25">
      <c r="A108" s="198">
        <f>'A) Base RI'!A110</f>
        <v>5566</v>
      </c>
      <c r="B108" s="42" t="str">
        <f>'A) Base RI'!B110</f>
        <v>Provence</v>
      </c>
      <c r="C108" s="41">
        <f>'D) Ecrêtage'!M108</f>
        <v>7814.1319753086409</v>
      </c>
      <c r="D108" s="41">
        <v>290835</v>
      </c>
      <c r="E108" s="14">
        <v>11242</v>
      </c>
      <c r="F108" s="52">
        <v>37699</v>
      </c>
      <c r="G108" s="52">
        <f t="shared" si="9"/>
        <v>339776</v>
      </c>
      <c r="H108" s="14">
        <f t="shared" si="14"/>
        <v>62513.055802469127</v>
      </c>
      <c r="I108" s="41">
        <f t="shared" si="10"/>
        <v>277262.94419753086</v>
      </c>
      <c r="J108" s="4">
        <f t="shared" si="15"/>
        <v>-196121.88559143242</v>
      </c>
      <c r="K108" s="19">
        <v>7302</v>
      </c>
      <c r="L108" s="14">
        <f t="shared" si="16"/>
        <v>7814.1319753086409</v>
      </c>
      <c r="M108" s="19">
        <f t="shared" si="11"/>
        <v>0</v>
      </c>
      <c r="N108" s="4">
        <f t="shared" si="17"/>
        <v>0</v>
      </c>
      <c r="O108" s="207">
        <f t="shared" si="12"/>
        <v>-196121.88559143242</v>
      </c>
      <c r="P108" s="441">
        <f t="shared" si="13"/>
        <v>-25.098358488331783</v>
      </c>
      <c r="Q108" s="200"/>
    </row>
    <row r="109" spans="1:17" x14ac:dyDescent="0.25">
      <c r="A109" s="198">
        <f>'A) Base RI'!A111</f>
        <v>5568</v>
      </c>
      <c r="B109" s="42" t="str">
        <f>'A) Base RI'!B111</f>
        <v>Sainte-Croix</v>
      </c>
      <c r="C109" s="41">
        <f>'D) Ecrêtage'!M109</f>
        <v>93435.029714285716</v>
      </c>
      <c r="D109" s="41">
        <v>1718956</v>
      </c>
      <c r="E109" s="14">
        <v>356557</v>
      </c>
      <c r="F109" s="52">
        <v>188588</v>
      </c>
      <c r="G109" s="52">
        <f t="shared" si="9"/>
        <v>2264101</v>
      </c>
      <c r="H109" s="14">
        <f t="shared" si="14"/>
        <v>747480.23771428573</v>
      </c>
      <c r="I109" s="41">
        <f t="shared" si="10"/>
        <v>1516620.7622857143</v>
      </c>
      <c r="J109" s="4">
        <f t="shared" si="15"/>
        <v>-1072781.3790171775</v>
      </c>
      <c r="K109" s="19">
        <v>176995</v>
      </c>
      <c r="L109" s="14">
        <f t="shared" si="16"/>
        <v>93435.029714285716</v>
      </c>
      <c r="M109" s="19">
        <f t="shared" si="11"/>
        <v>83559.970285714284</v>
      </c>
      <c r="N109" s="4">
        <f t="shared" si="17"/>
        <v>-59106.127505892262</v>
      </c>
      <c r="O109" s="207">
        <f t="shared" si="12"/>
        <v>-1131887.5065230697</v>
      </c>
      <c r="P109" s="441">
        <f t="shared" si="13"/>
        <v>-12.114166496058921</v>
      </c>
      <c r="Q109" s="200"/>
    </row>
    <row r="110" spans="1:17" x14ac:dyDescent="0.25">
      <c r="A110" s="198">
        <f>'A) Base RI'!A112</f>
        <v>5571</v>
      </c>
      <c r="B110" s="42" t="str">
        <f>'A) Base RI'!B112</f>
        <v>Tévenon</v>
      </c>
      <c r="C110" s="41">
        <f>'D) Ecrêtage'!M110</f>
        <v>20766.182465753427</v>
      </c>
      <c r="D110" s="8">
        <v>129787</v>
      </c>
      <c r="E110" s="8">
        <v>22906</v>
      </c>
      <c r="F110" s="8">
        <v>98450</v>
      </c>
      <c r="G110" s="52">
        <f t="shared" si="9"/>
        <v>251143</v>
      </c>
      <c r="H110" s="14">
        <f t="shared" si="14"/>
        <v>166129.45972602742</v>
      </c>
      <c r="I110" s="41">
        <f t="shared" si="10"/>
        <v>85013.540273972583</v>
      </c>
      <c r="J110" s="4">
        <f t="shared" si="15"/>
        <v>-60134.30993308757</v>
      </c>
      <c r="K110" s="19">
        <v>11176</v>
      </c>
      <c r="L110" s="14">
        <f t="shared" si="16"/>
        <v>20766.182465753427</v>
      </c>
      <c r="M110" s="19">
        <f t="shared" si="11"/>
        <v>0</v>
      </c>
      <c r="N110" s="4">
        <f t="shared" si="17"/>
        <v>0</v>
      </c>
      <c r="O110" s="207">
        <f t="shared" si="12"/>
        <v>-60134.30993308757</v>
      </c>
      <c r="P110" s="441">
        <f t="shared" si="13"/>
        <v>-2.8957806776598507</v>
      </c>
      <c r="Q110" s="200"/>
    </row>
    <row r="111" spans="1:17" x14ac:dyDescent="0.25">
      <c r="A111" s="198">
        <f>'A) Base RI'!A113</f>
        <v>5581</v>
      </c>
      <c r="B111" s="42" t="str">
        <f>'A) Base RI'!B113</f>
        <v>Belmont-sur-Lausanne</v>
      </c>
      <c r="C111" s="41">
        <f>'D) Ecrêtage'!M111</f>
        <v>173034.35179856114</v>
      </c>
      <c r="D111" s="41">
        <v>1090133</v>
      </c>
      <c r="E111" s="14">
        <v>975992</v>
      </c>
      <c r="F111" s="52">
        <v>200632</v>
      </c>
      <c r="G111" s="52">
        <f t="shared" si="9"/>
        <v>2266757</v>
      </c>
      <c r="H111" s="14">
        <f t="shared" si="14"/>
        <v>1384274.8143884891</v>
      </c>
      <c r="I111" s="41">
        <f t="shared" si="10"/>
        <v>882482.18561151088</v>
      </c>
      <c r="J111" s="4">
        <f t="shared" si="15"/>
        <v>-624223.58943023614</v>
      </c>
      <c r="K111" s="19">
        <v>23105</v>
      </c>
      <c r="L111" s="14">
        <f t="shared" si="16"/>
        <v>173034.35179856114</v>
      </c>
      <c r="M111" s="19">
        <f t="shared" si="11"/>
        <v>0</v>
      </c>
      <c r="N111" s="4">
        <f t="shared" si="17"/>
        <v>0</v>
      </c>
      <c r="O111" s="207">
        <f t="shared" si="12"/>
        <v>-624223.58943023614</v>
      </c>
      <c r="P111" s="441">
        <f t="shared" si="13"/>
        <v>-3.607512513798008</v>
      </c>
      <c r="Q111" s="200"/>
    </row>
    <row r="112" spans="1:17" x14ac:dyDescent="0.25">
      <c r="A112" s="198">
        <f>'A) Base RI'!A114</f>
        <v>5582</v>
      </c>
      <c r="B112" s="42" t="str">
        <f>'A) Base RI'!B114</f>
        <v>Cheseaux-sur-Lausanne</v>
      </c>
      <c r="C112" s="41">
        <f>'D) Ecrêtage'!M112</f>
        <v>165346.44872483221</v>
      </c>
      <c r="D112" s="41">
        <v>1041279</v>
      </c>
      <c r="E112" s="14">
        <v>388122</v>
      </c>
      <c r="F112" s="52">
        <v>196849</v>
      </c>
      <c r="G112" s="52">
        <f t="shared" si="9"/>
        <v>1626250</v>
      </c>
      <c r="H112" s="14">
        <f t="shared" si="14"/>
        <v>1322771.5897986577</v>
      </c>
      <c r="I112" s="41">
        <f t="shared" si="10"/>
        <v>303478.41020134231</v>
      </c>
      <c r="J112" s="4">
        <f t="shared" si="15"/>
        <v>-214665.38998653356</v>
      </c>
      <c r="K112" s="19">
        <v>102630</v>
      </c>
      <c r="L112" s="14">
        <f t="shared" si="16"/>
        <v>165346.44872483221</v>
      </c>
      <c r="M112" s="19">
        <f t="shared" si="11"/>
        <v>0</v>
      </c>
      <c r="N112" s="4">
        <f t="shared" si="17"/>
        <v>0</v>
      </c>
      <c r="O112" s="207">
        <f t="shared" si="12"/>
        <v>-214665.38998653356</v>
      </c>
      <c r="P112" s="441">
        <f t="shared" si="13"/>
        <v>-1.2982763865934455</v>
      </c>
      <c r="Q112" s="200"/>
    </row>
    <row r="113" spans="1:17" x14ac:dyDescent="0.25">
      <c r="A113" s="198">
        <f>'A) Base RI'!A115</f>
        <v>5583</v>
      </c>
      <c r="B113" s="42" t="str">
        <f>'A) Base RI'!B115</f>
        <v>Crissier</v>
      </c>
      <c r="C113" s="41">
        <f>'D) Ecrêtage'!M113</f>
        <v>323925.7196923077</v>
      </c>
      <c r="D113" s="41">
        <v>2129759</v>
      </c>
      <c r="E113" s="14">
        <v>2745952</v>
      </c>
      <c r="F113" s="52">
        <v>291189</v>
      </c>
      <c r="G113" s="52">
        <f t="shared" si="9"/>
        <v>5166900</v>
      </c>
      <c r="H113" s="14">
        <f t="shared" si="14"/>
        <v>2591405.7575384616</v>
      </c>
      <c r="I113" s="41">
        <f t="shared" si="10"/>
        <v>2575494.2424615384</v>
      </c>
      <c r="J113" s="4">
        <f t="shared" si="15"/>
        <v>-1821775.3137670569</v>
      </c>
      <c r="K113" s="19">
        <v>120049</v>
      </c>
      <c r="L113" s="14">
        <f t="shared" si="16"/>
        <v>323925.7196923077</v>
      </c>
      <c r="M113" s="19">
        <f t="shared" si="11"/>
        <v>0</v>
      </c>
      <c r="N113" s="4">
        <f t="shared" si="17"/>
        <v>0</v>
      </c>
      <c r="O113" s="207">
        <f t="shared" si="12"/>
        <v>-1821775.3137670569</v>
      </c>
      <c r="P113" s="441">
        <f t="shared" si="13"/>
        <v>-5.6240526855895689</v>
      </c>
      <c r="Q113" s="200"/>
    </row>
    <row r="114" spans="1:17" x14ac:dyDescent="0.25">
      <c r="A114" s="198">
        <f>'A) Base RI'!A116</f>
        <v>5584</v>
      </c>
      <c r="B114" s="42" t="str">
        <f>'A) Base RI'!B116</f>
        <v>Epalinges</v>
      </c>
      <c r="C114" s="41">
        <f>'D) Ecrêtage'!M114</f>
        <v>455923.60696969699</v>
      </c>
      <c r="D114" s="41">
        <v>4028564</v>
      </c>
      <c r="E114" s="14">
        <v>2670840</v>
      </c>
      <c r="F114" s="52">
        <v>644588</v>
      </c>
      <c r="G114" s="52">
        <f t="shared" si="9"/>
        <v>7343992</v>
      </c>
      <c r="H114" s="14">
        <f t="shared" si="14"/>
        <v>3647388.8557575759</v>
      </c>
      <c r="I114" s="41">
        <f t="shared" si="10"/>
        <v>3696603.1442424241</v>
      </c>
      <c r="J114" s="4">
        <f t="shared" si="15"/>
        <v>-2614791.4609733787</v>
      </c>
      <c r="K114" s="19">
        <v>365823</v>
      </c>
      <c r="L114" s="14">
        <f t="shared" si="16"/>
        <v>455923.60696969699</v>
      </c>
      <c r="M114" s="19">
        <f t="shared" si="11"/>
        <v>0</v>
      </c>
      <c r="N114" s="4">
        <f t="shared" si="17"/>
        <v>0</v>
      </c>
      <c r="O114" s="207">
        <f t="shared" si="12"/>
        <v>-2614791.4609733787</v>
      </c>
      <c r="P114" s="441">
        <f t="shared" si="13"/>
        <v>-5.7351526023243871</v>
      </c>
      <c r="Q114" s="200"/>
    </row>
    <row r="115" spans="1:17" x14ac:dyDescent="0.25">
      <c r="A115" s="198">
        <f>'A) Base RI'!A117</f>
        <v>5585</v>
      </c>
      <c r="B115" s="42" t="str">
        <f>'A) Base RI'!B117</f>
        <v>Jouxtens-Mézery</v>
      </c>
      <c r="C115" s="41">
        <f>'D) Ecrêtage'!M115</f>
        <v>120397.11668857002</v>
      </c>
      <c r="D115" s="41">
        <v>461560</v>
      </c>
      <c r="E115" s="14">
        <v>105416</v>
      </c>
      <c r="F115" s="52">
        <v>9372</v>
      </c>
      <c r="G115" s="52">
        <f t="shared" si="9"/>
        <v>576348</v>
      </c>
      <c r="H115" s="14">
        <f t="shared" si="14"/>
        <v>963176.93350856018</v>
      </c>
      <c r="I115" s="41">
        <f t="shared" si="10"/>
        <v>0</v>
      </c>
      <c r="J115" s="4">
        <f t="shared" si="15"/>
        <v>0</v>
      </c>
      <c r="K115" s="19">
        <v>45040</v>
      </c>
      <c r="L115" s="14">
        <f t="shared" si="16"/>
        <v>120397.11668857002</v>
      </c>
      <c r="M115" s="19">
        <f t="shared" si="11"/>
        <v>0</v>
      </c>
      <c r="N115" s="4">
        <f t="shared" si="17"/>
        <v>0</v>
      </c>
      <c r="O115" s="207">
        <f t="shared" si="12"/>
        <v>0</v>
      </c>
      <c r="P115" s="441">
        <f t="shared" si="13"/>
        <v>0</v>
      </c>
      <c r="Q115" s="200"/>
    </row>
    <row r="116" spans="1:17" x14ac:dyDescent="0.25">
      <c r="A116" s="198">
        <f>'A) Base RI'!A118</f>
        <v>5586</v>
      </c>
      <c r="B116" s="42" t="str">
        <f>'A) Base RI'!B118</f>
        <v>Lausanne</v>
      </c>
      <c r="C116" s="41">
        <f>'D) Ecrêtage'!M116</f>
        <v>5897479.10464135</v>
      </c>
      <c r="D116" s="41">
        <v>55574214</v>
      </c>
      <c r="E116" s="14">
        <v>49210098</v>
      </c>
      <c r="F116" s="52">
        <v>2413764</v>
      </c>
      <c r="G116" s="52">
        <f t="shared" ref="G116:G169" si="18">D116+E116+F116</f>
        <v>107198076</v>
      </c>
      <c r="H116" s="14">
        <f t="shared" si="14"/>
        <v>47179832.8371308</v>
      </c>
      <c r="I116" s="41">
        <f t="shared" ref="I116:I169" si="19">IF(G116&gt;H116,G116-H116,0)</f>
        <v>60018243.1628692</v>
      </c>
      <c r="J116" s="4">
        <f t="shared" si="15"/>
        <v>-42453891.749057718</v>
      </c>
      <c r="K116" s="19">
        <v>3040499</v>
      </c>
      <c r="L116" s="14">
        <f t="shared" si="16"/>
        <v>5897479.10464135</v>
      </c>
      <c r="M116" s="19">
        <f t="shared" ref="M116:M169" si="20">IF(K116&gt;L116,K116-L116,0)</f>
        <v>0</v>
      </c>
      <c r="N116" s="4">
        <f t="shared" si="17"/>
        <v>0</v>
      </c>
      <c r="O116" s="207">
        <f t="shared" ref="O116:O169" si="21">N116+J116</f>
        <v>-42453891.749057718</v>
      </c>
      <c r="P116" s="441">
        <f t="shared" ref="P116:P169" si="22">O116/C116</f>
        <v>-7.1986506430597199</v>
      </c>
      <c r="Q116" s="200"/>
    </row>
    <row r="117" spans="1:17" x14ac:dyDescent="0.25">
      <c r="A117" s="198">
        <f>'A) Base RI'!A119</f>
        <v>5587</v>
      </c>
      <c r="B117" s="42" t="str">
        <f>'A) Base RI'!B119</f>
        <v>Le Mont-sur-Lausanne</v>
      </c>
      <c r="C117" s="41">
        <f>'D) Ecrêtage'!M117</f>
        <v>380449.00348888891</v>
      </c>
      <c r="D117" s="41">
        <v>3751769</v>
      </c>
      <c r="E117" s="14">
        <v>1720645</v>
      </c>
      <c r="F117" s="52">
        <v>639068</v>
      </c>
      <c r="G117" s="52">
        <f t="shared" si="18"/>
        <v>6111482</v>
      </c>
      <c r="H117" s="14">
        <f t="shared" si="14"/>
        <v>3043592.0279111112</v>
      </c>
      <c r="I117" s="41">
        <f t="shared" si="19"/>
        <v>3067889.9720888888</v>
      </c>
      <c r="J117" s="4">
        <f t="shared" si="15"/>
        <v>-2170071.3301394642</v>
      </c>
      <c r="K117" s="19">
        <v>26121</v>
      </c>
      <c r="L117" s="14">
        <f t="shared" si="16"/>
        <v>380449.00348888891</v>
      </c>
      <c r="M117" s="19">
        <f t="shared" si="20"/>
        <v>0</v>
      </c>
      <c r="N117" s="4">
        <f t="shared" si="17"/>
        <v>0</v>
      </c>
      <c r="O117" s="207">
        <f t="shared" si="21"/>
        <v>-2170071.3301394642</v>
      </c>
      <c r="P117" s="441">
        <f t="shared" si="22"/>
        <v>-5.7039742783893024</v>
      </c>
      <c r="Q117" s="200"/>
    </row>
    <row r="118" spans="1:17" x14ac:dyDescent="0.25">
      <c r="A118" s="198">
        <f>'A) Base RI'!A120</f>
        <v>5588</v>
      </c>
      <c r="B118" s="42" t="str">
        <f>'A) Base RI'!B120</f>
        <v>Paudex</v>
      </c>
      <c r="C118" s="41">
        <f>'D) Ecrêtage'!M118</f>
        <v>120453.76581784204</v>
      </c>
      <c r="D118" s="41">
        <v>104540</v>
      </c>
      <c r="E118" s="14">
        <v>467856</v>
      </c>
      <c r="F118" s="52">
        <v>31158</v>
      </c>
      <c r="G118" s="52">
        <f t="shared" si="18"/>
        <v>603554</v>
      </c>
      <c r="H118" s="14">
        <f t="shared" si="14"/>
        <v>963630.12654273631</v>
      </c>
      <c r="I118" s="41">
        <f t="shared" si="19"/>
        <v>0</v>
      </c>
      <c r="J118" s="4">
        <f t="shared" si="15"/>
        <v>0</v>
      </c>
      <c r="K118" s="19">
        <v>3491</v>
      </c>
      <c r="L118" s="14">
        <f t="shared" si="16"/>
        <v>120453.76581784204</v>
      </c>
      <c r="M118" s="19">
        <f t="shared" si="20"/>
        <v>0</v>
      </c>
      <c r="N118" s="4">
        <f t="shared" si="17"/>
        <v>0</v>
      </c>
      <c r="O118" s="207">
        <f t="shared" si="21"/>
        <v>0</v>
      </c>
      <c r="P118" s="441">
        <f t="shared" si="22"/>
        <v>0</v>
      </c>
      <c r="Q118" s="200"/>
    </row>
    <row r="119" spans="1:17" x14ac:dyDescent="0.25">
      <c r="A119" s="198">
        <f>'A) Base RI'!A121</f>
        <v>5589</v>
      </c>
      <c r="B119" s="42" t="str">
        <f>'A) Base RI'!B121</f>
        <v>Prilly</v>
      </c>
      <c r="C119" s="41">
        <f>'D) Ecrêtage'!M119</f>
        <v>462414.97306122456</v>
      </c>
      <c r="D119" s="41">
        <v>3982850</v>
      </c>
      <c r="E119" s="14">
        <v>3330940</v>
      </c>
      <c r="F119" s="52">
        <v>82976</v>
      </c>
      <c r="G119" s="52">
        <f t="shared" si="18"/>
        <v>7396766</v>
      </c>
      <c r="H119" s="14">
        <f t="shared" si="14"/>
        <v>3699319.7844897965</v>
      </c>
      <c r="I119" s="41">
        <f t="shared" si="19"/>
        <v>3697446.2155102035</v>
      </c>
      <c r="J119" s="4">
        <f t="shared" si="15"/>
        <v>-2615387.8072583228</v>
      </c>
      <c r="K119" s="19">
        <v>28559</v>
      </c>
      <c r="L119" s="14">
        <f t="shared" si="16"/>
        <v>462414.97306122456</v>
      </c>
      <c r="M119" s="19">
        <f t="shared" si="20"/>
        <v>0</v>
      </c>
      <c r="N119" s="4">
        <f t="shared" si="17"/>
        <v>0</v>
      </c>
      <c r="O119" s="207">
        <f t="shared" si="21"/>
        <v>-2615387.8072583228</v>
      </c>
      <c r="P119" s="441">
        <f t="shared" si="22"/>
        <v>-5.6559323543185549</v>
      </c>
      <c r="Q119" s="200"/>
    </row>
    <row r="120" spans="1:17" x14ac:dyDescent="0.25">
      <c r="A120" s="198">
        <f>'A) Base RI'!A122</f>
        <v>5590</v>
      </c>
      <c r="B120" s="42" t="str">
        <f>'A) Base RI'!B122</f>
        <v>Pully</v>
      </c>
      <c r="C120" s="41">
        <f>'D) Ecrêtage'!M120</f>
        <v>1213129.8133681584</v>
      </c>
      <c r="D120" s="41">
        <v>5488005</v>
      </c>
      <c r="E120" s="14">
        <v>7049679</v>
      </c>
      <c r="F120" s="52">
        <v>297251</v>
      </c>
      <c r="G120" s="52">
        <f t="shared" si="18"/>
        <v>12834935</v>
      </c>
      <c r="H120" s="14">
        <f t="shared" si="14"/>
        <v>9705038.5069452673</v>
      </c>
      <c r="I120" s="41">
        <f t="shared" si="19"/>
        <v>3129896.4930547327</v>
      </c>
      <c r="J120" s="4">
        <f t="shared" si="15"/>
        <v>-2213931.6297766282</v>
      </c>
      <c r="K120" s="19">
        <v>499480</v>
      </c>
      <c r="L120" s="14">
        <f t="shared" si="16"/>
        <v>1213129.8133681584</v>
      </c>
      <c r="M120" s="19">
        <f t="shared" si="20"/>
        <v>0</v>
      </c>
      <c r="N120" s="4">
        <f t="shared" si="17"/>
        <v>0</v>
      </c>
      <c r="O120" s="207">
        <f t="shared" si="21"/>
        <v>-2213931.6297766282</v>
      </c>
      <c r="P120" s="441">
        <f t="shared" si="22"/>
        <v>-1.8249750400823332</v>
      </c>
      <c r="Q120" s="200"/>
    </row>
    <row r="121" spans="1:17" x14ac:dyDescent="0.25">
      <c r="A121" s="198">
        <f>'A) Base RI'!A123</f>
        <v>5591</v>
      </c>
      <c r="B121" s="42" t="str">
        <f>'A) Base RI'!B123</f>
        <v>Renens</v>
      </c>
      <c r="C121" s="41">
        <f>'D) Ecrêtage'!M121</f>
        <v>546895.28569608741</v>
      </c>
      <c r="D121" s="41">
        <v>3950430</v>
      </c>
      <c r="E121" s="14">
        <v>7249747</v>
      </c>
      <c r="F121" s="52">
        <v>247756</v>
      </c>
      <c r="G121" s="52">
        <f t="shared" si="18"/>
        <v>11447933</v>
      </c>
      <c r="H121" s="14">
        <f t="shared" si="14"/>
        <v>4375162.2855686992</v>
      </c>
      <c r="I121" s="41">
        <f t="shared" si="19"/>
        <v>7072770.7144313008</v>
      </c>
      <c r="J121" s="4">
        <f t="shared" si="15"/>
        <v>-5002922.8856557831</v>
      </c>
      <c r="K121" s="19">
        <v>27821</v>
      </c>
      <c r="L121" s="14">
        <f t="shared" si="16"/>
        <v>546895.28569608741</v>
      </c>
      <c r="M121" s="19">
        <f t="shared" si="20"/>
        <v>0</v>
      </c>
      <c r="N121" s="4">
        <f t="shared" si="17"/>
        <v>0</v>
      </c>
      <c r="O121" s="207">
        <f t="shared" si="21"/>
        <v>-5002922.8856557831</v>
      </c>
      <c r="P121" s="441">
        <f t="shared" si="22"/>
        <v>-9.14786251866858</v>
      </c>
      <c r="Q121" s="200"/>
    </row>
    <row r="122" spans="1:17" x14ac:dyDescent="0.25">
      <c r="A122" s="198">
        <f>'A) Base RI'!A124</f>
        <v>5592</v>
      </c>
      <c r="B122" s="42" t="str">
        <f>'A) Base RI'!B124</f>
        <v>Romanel-sur-Lausanne</v>
      </c>
      <c r="C122" s="41">
        <f>'D) Ecrêtage'!M122</f>
        <v>110273.83828571429</v>
      </c>
      <c r="D122" s="41">
        <v>866143</v>
      </c>
      <c r="E122" s="14">
        <v>248083</v>
      </c>
      <c r="F122" s="52">
        <v>33815</v>
      </c>
      <c r="G122" s="52">
        <f t="shared" si="18"/>
        <v>1148041</v>
      </c>
      <c r="H122" s="14">
        <f t="shared" si="14"/>
        <v>882190.70628571429</v>
      </c>
      <c r="I122" s="41">
        <f t="shared" si="19"/>
        <v>265850.29371428571</v>
      </c>
      <c r="J122" s="4">
        <f t="shared" si="15"/>
        <v>-188049.14965894737</v>
      </c>
      <c r="K122" s="19">
        <v>12193</v>
      </c>
      <c r="L122" s="14">
        <f t="shared" si="16"/>
        <v>110273.83828571429</v>
      </c>
      <c r="M122" s="19">
        <f t="shared" si="20"/>
        <v>0</v>
      </c>
      <c r="N122" s="4">
        <f t="shared" si="17"/>
        <v>0</v>
      </c>
      <c r="O122" s="207">
        <f t="shared" si="21"/>
        <v>-188049.14965894737</v>
      </c>
      <c r="P122" s="441">
        <f t="shared" si="22"/>
        <v>-1.7052925025763677</v>
      </c>
      <c r="Q122" s="200"/>
    </row>
    <row r="123" spans="1:17" x14ac:dyDescent="0.25">
      <c r="A123" s="198">
        <f>'A) Base RI'!A125</f>
        <v>5601</v>
      </c>
      <c r="B123" s="42" t="str">
        <f>'A) Base RI'!B125</f>
        <v>Chexbres</v>
      </c>
      <c r="C123" s="41">
        <f>'D) Ecrêtage'!M123</f>
        <v>104474.96078125002</v>
      </c>
      <c r="D123" s="41">
        <v>738666</v>
      </c>
      <c r="E123" s="14">
        <v>142918</v>
      </c>
      <c r="F123" s="52">
        <v>166452</v>
      </c>
      <c r="G123" s="52">
        <f t="shared" si="18"/>
        <v>1048036</v>
      </c>
      <c r="H123" s="14">
        <f t="shared" si="14"/>
        <v>835799.68625000014</v>
      </c>
      <c r="I123" s="41">
        <f t="shared" si="19"/>
        <v>212236.31374999986</v>
      </c>
      <c r="J123" s="4">
        <f t="shared" si="15"/>
        <v>-150125.31214402185</v>
      </c>
      <c r="K123" s="19">
        <v>73882</v>
      </c>
      <c r="L123" s="14">
        <f t="shared" si="16"/>
        <v>104474.96078125002</v>
      </c>
      <c r="M123" s="19">
        <f t="shared" si="20"/>
        <v>0</v>
      </c>
      <c r="N123" s="4">
        <f t="shared" si="17"/>
        <v>0</v>
      </c>
      <c r="O123" s="207">
        <f t="shared" si="21"/>
        <v>-150125.31214402185</v>
      </c>
      <c r="P123" s="441">
        <f t="shared" si="22"/>
        <v>-1.436950165105634</v>
      </c>
      <c r="Q123" s="200"/>
    </row>
    <row r="124" spans="1:17" x14ac:dyDescent="0.25">
      <c r="A124" s="198">
        <f>'A) Base RI'!A126</f>
        <v>5604</v>
      </c>
      <c r="B124" s="42" t="str">
        <f>'A) Base RI'!B126</f>
        <v>Forel (Lavaux)</v>
      </c>
      <c r="C124" s="41">
        <f>'D) Ecrêtage'!M124</f>
        <v>65514.699852941172</v>
      </c>
      <c r="D124" s="41">
        <v>586633</v>
      </c>
      <c r="E124" s="14">
        <v>93744</v>
      </c>
      <c r="F124" s="52">
        <v>254755.55</v>
      </c>
      <c r="G124" s="52">
        <f t="shared" si="18"/>
        <v>935132.55</v>
      </c>
      <c r="H124" s="14">
        <f t="shared" si="14"/>
        <v>524117.59882352938</v>
      </c>
      <c r="I124" s="41">
        <f t="shared" si="19"/>
        <v>411014.95117647067</v>
      </c>
      <c r="J124" s="4">
        <f t="shared" si="15"/>
        <v>-290731.33975512988</v>
      </c>
      <c r="K124" s="19">
        <v>60557</v>
      </c>
      <c r="L124" s="14">
        <f t="shared" si="16"/>
        <v>65514.699852941172</v>
      </c>
      <c r="M124" s="19">
        <f t="shared" si="20"/>
        <v>0</v>
      </c>
      <c r="N124" s="4">
        <f t="shared" si="17"/>
        <v>0</v>
      </c>
      <c r="O124" s="207">
        <f t="shared" si="21"/>
        <v>-290731.33975512988</v>
      </c>
      <c r="P124" s="441">
        <f t="shared" si="22"/>
        <v>-4.4376504877184137</v>
      </c>
      <c r="Q124" s="200"/>
    </row>
    <row r="125" spans="1:17" x14ac:dyDescent="0.25">
      <c r="A125" s="198">
        <f>'A) Base RI'!A127</f>
        <v>5606</v>
      </c>
      <c r="B125" s="42" t="str">
        <f>'A) Base RI'!B127</f>
        <v>Lutry</v>
      </c>
      <c r="C125" s="41">
        <f>'D) Ecrêtage'!M125</f>
        <v>660728.72689955926</v>
      </c>
      <c r="D125" s="41">
        <v>3939350</v>
      </c>
      <c r="E125" s="14">
        <v>2499264</v>
      </c>
      <c r="F125" s="52">
        <v>1377940</v>
      </c>
      <c r="G125" s="52">
        <f t="shared" si="18"/>
        <v>7816554</v>
      </c>
      <c r="H125" s="14">
        <f t="shared" si="14"/>
        <v>5285829.8151964741</v>
      </c>
      <c r="I125" s="41">
        <f t="shared" si="19"/>
        <v>2530724.1848035259</v>
      </c>
      <c r="J125" s="4">
        <f t="shared" si="15"/>
        <v>-1790107.2228458584</v>
      </c>
      <c r="K125" s="19">
        <v>393974</v>
      </c>
      <c r="L125" s="14">
        <f t="shared" si="16"/>
        <v>660728.72689955926</v>
      </c>
      <c r="M125" s="19">
        <f t="shared" si="20"/>
        <v>0</v>
      </c>
      <c r="N125" s="4">
        <f t="shared" si="17"/>
        <v>0</v>
      </c>
      <c r="O125" s="207">
        <f t="shared" si="21"/>
        <v>-1790107.2228458584</v>
      </c>
      <c r="P125" s="441">
        <f t="shared" si="22"/>
        <v>-2.7092922556067123</v>
      </c>
      <c r="Q125" s="200"/>
    </row>
    <row r="126" spans="1:17" x14ac:dyDescent="0.25">
      <c r="A126" s="198">
        <f>'A) Base RI'!A128</f>
        <v>5607</v>
      </c>
      <c r="B126" s="42" t="str">
        <f>'A) Base RI'!B128</f>
        <v>Puidoux</v>
      </c>
      <c r="C126" s="41">
        <f>'D) Ecrêtage'!M126</f>
        <v>100862.46201406649</v>
      </c>
      <c r="D126" s="41">
        <v>952161</v>
      </c>
      <c r="E126" s="14">
        <v>230685</v>
      </c>
      <c r="F126" s="52">
        <v>426683</v>
      </c>
      <c r="G126" s="52">
        <f t="shared" si="18"/>
        <v>1609529</v>
      </c>
      <c r="H126" s="14">
        <f t="shared" si="14"/>
        <v>806899.69611253194</v>
      </c>
      <c r="I126" s="41">
        <f t="shared" si="19"/>
        <v>802629.30388746806</v>
      </c>
      <c r="J126" s="4">
        <f t="shared" si="15"/>
        <v>-567739.67024314275</v>
      </c>
      <c r="K126" s="19">
        <v>24187</v>
      </c>
      <c r="L126" s="14">
        <f t="shared" si="16"/>
        <v>100862.46201406649</v>
      </c>
      <c r="M126" s="19">
        <f t="shared" si="20"/>
        <v>0</v>
      </c>
      <c r="N126" s="4">
        <f t="shared" si="17"/>
        <v>0</v>
      </c>
      <c r="O126" s="207">
        <f t="shared" si="21"/>
        <v>-567739.67024314275</v>
      </c>
      <c r="P126" s="441">
        <f t="shared" si="22"/>
        <v>-5.6288500092726723</v>
      </c>
      <c r="Q126" s="200"/>
    </row>
    <row r="127" spans="1:17" x14ac:dyDescent="0.25">
      <c r="A127" s="198">
        <f>'A) Base RI'!A129</f>
        <v>5609</v>
      </c>
      <c r="B127" s="42" t="str">
        <f>'A) Base RI'!B129</f>
        <v>Rivaz</v>
      </c>
      <c r="C127" s="41">
        <f>'D) Ecrêtage'!M127</f>
        <v>16122.244409448818</v>
      </c>
      <c r="D127" s="41">
        <v>98833</v>
      </c>
      <c r="E127" s="14">
        <v>28272</v>
      </c>
      <c r="F127" s="52">
        <v>39029</v>
      </c>
      <c r="G127" s="52">
        <f t="shared" si="18"/>
        <v>166134</v>
      </c>
      <c r="H127" s="14">
        <f t="shared" si="14"/>
        <v>128977.95527559055</v>
      </c>
      <c r="I127" s="41">
        <f t="shared" si="19"/>
        <v>37156.044724409454</v>
      </c>
      <c r="J127" s="4">
        <f t="shared" si="15"/>
        <v>-26282.320465006705</v>
      </c>
      <c r="K127" s="19">
        <v>17422</v>
      </c>
      <c r="L127" s="14">
        <f t="shared" si="16"/>
        <v>16122.244409448818</v>
      </c>
      <c r="M127" s="19">
        <f t="shared" si="20"/>
        <v>1299.7555905511817</v>
      </c>
      <c r="N127" s="4">
        <f t="shared" si="17"/>
        <v>-919.38184514587454</v>
      </c>
      <c r="O127" s="207">
        <f t="shared" si="21"/>
        <v>-27201.702310152581</v>
      </c>
      <c r="P127" s="441">
        <f t="shared" si="22"/>
        <v>-1.6872156022030276</v>
      </c>
      <c r="Q127" s="200"/>
    </row>
    <row r="128" spans="1:17" x14ac:dyDescent="0.25">
      <c r="A128" s="198">
        <f>'A) Base RI'!A130</f>
        <v>5610</v>
      </c>
      <c r="B128" s="42" t="str">
        <f>'A) Base RI'!B130</f>
        <v>St-Saphorin (Lavaux)</v>
      </c>
      <c r="C128" s="41">
        <f>'D) Ecrêtage'!M128</f>
        <v>20974.487096774192</v>
      </c>
      <c r="D128" s="41">
        <v>135266</v>
      </c>
      <c r="E128" s="14">
        <v>31137</v>
      </c>
      <c r="F128" s="52">
        <v>62591</v>
      </c>
      <c r="G128" s="52">
        <f t="shared" si="18"/>
        <v>228994</v>
      </c>
      <c r="H128" s="14">
        <f t="shared" si="14"/>
        <v>167795.89677419353</v>
      </c>
      <c r="I128" s="41">
        <f t="shared" si="19"/>
        <v>61198.103225806466</v>
      </c>
      <c r="J128" s="4">
        <f t="shared" si="15"/>
        <v>-43288.465517820798</v>
      </c>
      <c r="K128" s="19">
        <v>3475</v>
      </c>
      <c r="L128" s="14">
        <f t="shared" si="16"/>
        <v>20974.487096774192</v>
      </c>
      <c r="M128" s="19">
        <f t="shared" si="20"/>
        <v>0</v>
      </c>
      <c r="N128" s="4">
        <f t="shared" si="17"/>
        <v>0</v>
      </c>
      <c r="O128" s="207">
        <f t="shared" si="21"/>
        <v>-43288.465517820798</v>
      </c>
      <c r="P128" s="441">
        <f t="shared" si="22"/>
        <v>-2.0638628881884995</v>
      </c>
      <c r="Q128" s="200"/>
    </row>
    <row r="129" spans="1:17" x14ac:dyDescent="0.25">
      <c r="A129" s="198">
        <f>'A) Base RI'!A131</f>
        <v>5611</v>
      </c>
      <c r="B129" s="42" t="str">
        <f>'A) Base RI'!B131</f>
        <v>Savigny</v>
      </c>
      <c r="C129" s="41">
        <f>'D) Ecrêtage'!M129</f>
        <v>130312.40671641791</v>
      </c>
      <c r="D129" s="41">
        <v>1262790</v>
      </c>
      <c r="E129" s="14">
        <v>149483</v>
      </c>
      <c r="F129" s="52">
        <v>392750</v>
      </c>
      <c r="G129" s="52">
        <f t="shared" si="18"/>
        <v>1805023</v>
      </c>
      <c r="H129" s="14">
        <f t="shared" si="14"/>
        <v>1042499.2537313433</v>
      </c>
      <c r="I129" s="41">
        <f t="shared" si="19"/>
        <v>762523.74626865669</v>
      </c>
      <c r="J129" s="4">
        <f t="shared" si="15"/>
        <v>-539371.01244914113</v>
      </c>
      <c r="K129" s="19">
        <v>21639</v>
      </c>
      <c r="L129" s="14">
        <f t="shared" si="16"/>
        <v>130312.40671641791</v>
      </c>
      <c r="M129" s="19">
        <f t="shared" si="20"/>
        <v>0</v>
      </c>
      <c r="N129" s="4">
        <f t="shared" si="17"/>
        <v>0</v>
      </c>
      <c r="O129" s="207">
        <f t="shared" si="21"/>
        <v>-539371.01244914113</v>
      </c>
      <c r="P129" s="441">
        <f t="shared" si="22"/>
        <v>-4.139061092033276</v>
      </c>
      <c r="Q129" s="200"/>
    </row>
    <row r="130" spans="1:17" x14ac:dyDescent="0.25">
      <c r="A130" s="198">
        <f>'A) Base RI'!A132</f>
        <v>5613</v>
      </c>
      <c r="B130" s="42" t="str">
        <f>'A) Base RI'!B132</f>
        <v>Bourg-en-Lavaux</v>
      </c>
      <c r="C130" s="41">
        <f>'D) Ecrêtage'!M130</f>
        <v>293114.98705338885</v>
      </c>
      <c r="D130" s="41">
        <v>1590264</v>
      </c>
      <c r="E130" s="14">
        <v>390900</v>
      </c>
      <c r="F130" s="52">
        <v>705127</v>
      </c>
      <c r="G130" s="52">
        <f t="shared" si="18"/>
        <v>2686291</v>
      </c>
      <c r="H130" s="14">
        <f t="shared" si="14"/>
        <v>2344919.8964271108</v>
      </c>
      <c r="I130" s="41">
        <f t="shared" si="19"/>
        <v>341371.10357288923</v>
      </c>
      <c r="J130" s="4">
        <f t="shared" si="15"/>
        <v>-241468.77871803049</v>
      </c>
      <c r="K130" s="19">
        <v>219396</v>
      </c>
      <c r="L130" s="14">
        <f t="shared" si="16"/>
        <v>293114.98705338885</v>
      </c>
      <c r="M130" s="19">
        <f t="shared" si="20"/>
        <v>0</v>
      </c>
      <c r="N130" s="4">
        <f t="shared" si="17"/>
        <v>0</v>
      </c>
      <c r="O130" s="207">
        <f t="shared" si="21"/>
        <v>-241468.77871803049</v>
      </c>
      <c r="P130" s="441">
        <f t="shared" si="22"/>
        <v>-0.82380222569120509</v>
      </c>
      <c r="Q130" s="200"/>
    </row>
    <row r="131" spans="1:17" x14ac:dyDescent="0.25">
      <c r="A131" s="198">
        <f>'A) Base RI'!A133</f>
        <v>5621</v>
      </c>
      <c r="B131" s="42" t="str">
        <f>'A) Base RI'!B133</f>
        <v>Aclens</v>
      </c>
      <c r="C131" s="41">
        <f>'D) Ecrêtage'!M131</f>
        <v>32060.648499917781</v>
      </c>
      <c r="D131" s="41">
        <v>163363</v>
      </c>
      <c r="E131" s="14">
        <v>16696</v>
      </c>
      <c r="F131" s="52">
        <v>51560</v>
      </c>
      <c r="G131" s="52">
        <f t="shared" si="18"/>
        <v>231619</v>
      </c>
      <c r="H131" s="14">
        <f t="shared" si="14"/>
        <v>256485.18799934225</v>
      </c>
      <c r="I131" s="41">
        <f t="shared" si="19"/>
        <v>0</v>
      </c>
      <c r="J131" s="4">
        <f t="shared" si="15"/>
        <v>0</v>
      </c>
      <c r="K131" s="19">
        <v>27649</v>
      </c>
      <c r="L131" s="14">
        <f t="shared" si="16"/>
        <v>32060.648499917781</v>
      </c>
      <c r="M131" s="19">
        <f t="shared" si="20"/>
        <v>0</v>
      </c>
      <c r="N131" s="4">
        <f t="shared" si="17"/>
        <v>0</v>
      </c>
      <c r="O131" s="207">
        <f t="shared" si="21"/>
        <v>0</v>
      </c>
      <c r="P131" s="441">
        <f t="shared" si="22"/>
        <v>0</v>
      </c>
      <c r="Q131" s="200"/>
    </row>
    <row r="132" spans="1:17" x14ac:dyDescent="0.25">
      <c r="A132" s="198">
        <f>'A) Base RI'!A134</f>
        <v>5622</v>
      </c>
      <c r="B132" s="42" t="str">
        <f>'A) Base RI'!B134</f>
        <v>Bremblens</v>
      </c>
      <c r="C132" s="41">
        <f>'D) Ecrêtage'!M132</f>
        <v>28118.887477201486</v>
      </c>
      <c r="D132" s="41">
        <v>103653</v>
      </c>
      <c r="E132" s="14">
        <v>15361</v>
      </c>
      <c r="F132" s="52">
        <v>59742</v>
      </c>
      <c r="G132" s="52">
        <f t="shared" si="18"/>
        <v>178756</v>
      </c>
      <c r="H132" s="14">
        <f t="shared" si="14"/>
        <v>224951.09981761189</v>
      </c>
      <c r="I132" s="41">
        <f t="shared" si="19"/>
        <v>0</v>
      </c>
      <c r="J132" s="4">
        <f t="shared" si="15"/>
        <v>0</v>
      </c>
      <c r="K132" s="19">
        <v>44172</v>
      </c>
      <c r="L132" s="14">
        <f t="shared" si="16"/>
        <v>28118.887477201486</v>
      </c>
      <c r="M132" s="19">
        <f t="shared" si="20"/>
        <v>16053.112522798514</v>
      </c>
      <c r="N132" s="4">
        <f t="shared" si="17"/>
        <v>-11355.165785658273</v>
      </c>
      <c r="O132" s="207">
        <f t="shared" si="21"/>
        <v>-11355.165785658273</v>
      </c>
      <c r="P132" s="441">
        <f t="shared" si="22"/>
        <v>-0.40382699332841415</v>
      </c>
      <c r="Q132" s="200"/>
    </row>
    <row r="133" spans="1:17" x14ac:dyDescent="0.25">
      <c r="A133" s="198">
        <f>'A) Base RI'!A135</f>
        <v>5623</v>
      </c>
      <c r="B133" s="42" t="str">
        <f>'A) Base RI'!B135</f>
        <v>Buchillon</v>
      </c>
      <c r="C133" s="41">
        <f>'D) Ecrêtage'!M133</f>
        <v>60201.490489984266</v>
      </c>
      <c r="D133" s="41">
        <v>159362</v>
      </c>
      <c r="E133" s="14">
        <v>48967</v>
      </c>
      <c r="F133" s="52">
        <v>67766</v>
      </c>
      <c r="G133" s="52">
        <f t="shared" si="18"/>
        <v>276095</v>
      </c>
      <c r="H133" s="14">
        <f t="shared" si="14"/>
        <v>481611.92391987413</v>
      </c>
      <c r="I133" s="41">
        <f t="shared" si="19"/>
        <v>0</v>
      </c>
      <c r="J133" s="4">
        <f t="shared" si="15"/>
        <v>0</v>
      </c>
      <c r="K133" s="19">
        <v>9284</v>
      </c>
      <c r="L133" s="14">
        <f t="shared" si="16"/>
        <v>60201.490489984266</v>
      </c>
      <c r="M133" s="19">
        <f t="shared" si="20"/>
        <v>0</v>
      </c>
      <c r="N133" s="4">
        <f t="shared" si="17"/>
        <v>0</v>
      </c>
      <c r="O133" s="207">
        <f t="shared" si="21"/>
        <v>0</v>
      </c>
      <c r="P133" s="441">
        <f t="shared" si="22"/>
        <v>0</v>
      </c>
      <c r="Q133" s="200"/>
    </row>
    <row r="134" spans="1:17" x14ac:dyDescent="0.25">
      <c r="A134" s="198">
        <f>'A) Base RI'!A136</f>
        <v>5624</v>
      </c>
      <c r="B134" s="42" t="str">
        <f>'A) Base RI'!B136</f>
        <v>Bussigny</v>
      </c>
      <c r="C134" s="41">
        <f>'D) Ecrêtage'!M134</f>
        <v>312174.83774193545</v>
      </c>
      <c r="D134" s="41">
        <v>1238862</v>
      </c>
      <c r="E134" s="14">
        <v>2377992</v>
      </c>
      <c r="F134" s="52">
        <v>246061</v>
      </c>
      <c r="G134" s="52">
        <f t="shared" si="18"/>
        <v>3862915</v>
      </c>
      <c r="H134" s="14">
        <f t="shared" ref="H134:H197" si="23">C134*I$4</f>
        <v>2497398.7019354836</v>
      </c>
      <c r="I134" s="41">
        <f t="shared" si="19"/>
        <v>1365516.2980645164</v>
      </c>
      <c r="J134" s="4">
        <f t="shared" ref="J134:J197" si="24">-I134*J$4</f>
        <v>-965897.66785225668</v>
      </c>
      <c r="K134" s="19">
        <v>201509</v>
      </c>
      <c r="L134" s="14">
        <f t="shared" ref="L134:L197" si="25">C134*M$4</f>
        <v>312174.83774193545</v>
      </c>
      <c r="M134" s="19">
        <f t="shared" si="20"/>
        <v>0</v>
      </c>
      <c r="N134" s="4">
        <f t="shared" ref="N134:N197" si="26">-M134*N$4</f>
        <v>0</v>
      </c>
      <c r="O134" s="207">
        <f t="shared" si="21"/>
        <v>-965897.66785225668</v>
      </c>
      <c r="P134" s="441">
        <f t="shared" si="22"/>
        <v>-3.0940919993389477</v>
      </c>
      <c r="Q134" s="200"/>
    </row>
    <row r="135" spans="1:17" x14ac:dyDescent="0.25">
      <c r="A135" s="198">
        <f>'A) Base RI'!A137</f>
        <v>5625</v>
      </c>
      <c r="B135" s="42" t="str">
        <f>'A) Base RI'!B137</f>
        <v>Bussy-Chardonney</v>
      </c>
      <c r="C135" s="41">
        <f>'D) Ecrêtage'!M135</f>
        <v>16172.617200854704</v>
      </c>
      <c r="D135" s="41">
        <v>54297</v>
      </c>
      <c r="E135" s="14">
        <v>30102</v>
      </c>
      <c r="F135" s="52">
        <v>55772</v>
      </c>
      <c r="G135" s="52">
        <f t="shared" si="18"/>
        <v>140171</v>
      </c>
      <c r="H135" s="14">
        <f t="shared" si="23"/>
        <v>129380.93760683763</v>
      </c>
      <c r="I135" s="41">
        <f t="shared" si="19"/>
        <v>10790.06239316237</v>
      </c>
      <c r="J135" s="4">
        <f t="shared" si="24"/>
        <v>-7632.3483771729107</v>
      </c>
      <c r="K135" s="19">
        <v>7156</v>
      </c>
      <c r="L135" s="14">
        <f t="shared" si="25"/>
        <v>16172.617200854704</v>
      </c>
      <c r="M135" s="19">
        <f t="shared" si="20"/>
        <v>0</v>
      </c>
      <c r="N135" s="4">
        <f t="shared" si="26"/>
        <v>0</v>
      </c>
      <c r="O135" s="207">
        <f t="shared" si="21"/>
        <v>-7632.3483771729107</v>
      </c>
      <c r="P135" s="441">
        <f t="shared" si="22"/>
        <v>-0.47193031791845974</v>
      </c>
      <c r="Q135" s="200"/>
    </row>
    <row r="136" spans="1:17" x14ac:dyDescent="0.25">
      <c r="A136" s="198">
        <f>'A) Base RI'!A138</f>
        <v>5627</v>
      </c>
      <c r="B136" s="42" t="str">
        <f>'A) Base RI'!B138</f>
        <v>Chavannes-près-Renens</v>
      </c>
      <c r="C136" s="41">
        <f>'D) Ecrêtage'!M136</f>
        <v>162511.92244725736</v>
      </c>
      <c r="D136" s="41">
        <v>773671</v>
      </c>
      <c r="E136" s="14">
        <v>2212177</v>
      </c>
      <c r="F136" s="52">
        <v>2295</v>
      </c>
      <c r="G136" s="52">
        <f t="shared" si="18"/>
        <v>2988143</v>
      </c>
      <c r="H136" s="14">
        <f t="shared" si="23"/>
        <v>1300095.3795780588</v>
      </c>
      <c r="I136" s="41">
        <f t="shared" si="19"/>
        <v>1688047.6204219412</v>
      </c>
      <c r="J136" s="4">
        <f t="shared" si="24"/>
        <v>-1194040.1312676747</v>
      </c>
      <c r="K136" s="19">
        <v>8052</v>
      </c>
      <c r="L136" s="14">
        <f t="shared" si="25"/>
        <v>162511.92244725736</v>
      </c>
      <c r="M136" s="19">
        <f t="shared" si="20"/>
        <v>0</v>
      </c>
      <c r="N136" s="4">
        <f t="shared" si="26"/>
        <v>0</v>
      </c>
      <c r="O136" s="207">
        <f t="shared" si="21"/>
        <v>-1194040.1312676747</v>
      </c>
      <c r="P136" s="441">
        <f t="shared" si="22"/>
        <v>-7.3474001986235571</v>
      </c>
      <c r="Q136" s="200"/>
    </row>
    <row r="137" spans="1:17" x14ac:dyDescent="0.25">
      <c r="A137" s="198">
        <f>'A) Base RI'!A139</f>
        <v>5628</v>
      </c>
      <c r="B137" s="42" t="str">
        <f>'A) Base RI'!B139</f>
        <v>Chigny</v>
      </c>
      <c r="C137" s="41">
        <f>'D) Ecrêtage'!M137</f>
        <v>18755.108338073293</v>
      </c>
      <c r="D137" s="41">
        <v>16054</v>
      </c>
      <c r="E137" s="14">
        <v>25602</v>
      </c>
      <c r="F137" s="52">
        <v>64982</v>
      </c>
      <c r="G137" s="52">
        <f t="shared" si="18"/>
        <v>106638</v>
      </c>
      <c r="H137" s="14">
        <f t="shared" si="23"/>
        <v>150040.86670458634</v>
      </c>
      <c r="I137" s="41">
        <f t="shared" si="19"/>
        <v>0</v>
      </c>
      <c r="J137" s="4">
        <f t="shared" si="24"/>
        <v>0</v>
      </c>
      <c r="K137" s="19">
        <v>986</v>
      </c>
      <c r="L137" s="14">
        <f t="shared" si="25"/>
        <v>18755.108338073293</v>
      </c>
      <c r="M137" s="19">
        <f t="shared" si="20"/>
        <v>0</v>
      </c>
      <c r="N137" s="4">
        <f t="shared" si="26"/>
        <v>0</v>
      </c>
      <c r="O137" s="207">
        <f t="shared" si="21"/>
        <v>0</v>
      </c>
      <c r="P137" s="441">
        <f t="shared" si="22"/>
        <v>0</v>
      </c>
      <c r="Q137" s="200"/>
    </row>
    <row r="138" spans="1:17" x14ac:dyDescent="0.25">
      <c r="A138" s="198">
        <f>'A) Base RI'!A140</f>
        <v>5629</v>
      </c>
      <c r="B138" s="42" t="str">
        <f>'A) Base RI'!B140</f>
        <v>Clarmont</v>
      </c>
      <c r="C138" s="41">
        <f>'D) Ecrêtage'!M138</f>
        <v>7581.8990666666659</v>
      </c>
      <c r="D138" s="41">
        <v>104969</v>
      </c>
      <c r="E138" s="14">
        <v>4810</v>
      </c>
      <c r="F138" s="52">
        <v>20127</v>
      </c>
      <c r="G138" s="52">
        <f t="shared" si="18"/>
        <v>129906</v>
      </c>
      <c r="H138" s="14">
        <f t="shared" si="23"/>
        <v>60655.192533333327</v>
      </c>
      <c r="I138" s="41">
        <f t="shared" si="19"/>
        <v>69250.80746666668</v>
      </c>
      <c r="J138" s="4">
        <f t="shared" si="24"/>
        <v>-48984.544178453063</v>
      </c>
      <c r="K138" s="19">
        <v>203</v>
      </c>
      <c r="L138" s="14">
        <f t="shared" si="25"/>
        <v>7581.8990666666659</v>
      </c>
      <c r="M138" s="19">
        <f t="shared" si="20"/>
        <v>0</v>
      </c>
      <c r="N138" s="4">
        <f t="shared" si="26"/>
        <v>0</v>
      </c>
      <c r="O138" s="207">
        <f t="shared" si="21"/>
        <v>-48984.544178453063</v>
      </c>
      <c r="P138" s="441">
        <f t="shared" si="22"/>
        <v>-6.4607222738971135</v>
      </c>
      <c r="Q138" s="200"/>
    </row>
    <row r="139" spans="1:17" x14ac:dyDescent="0.25">
      <c r="A139" s="198">
        <f>'A) Base RI'!A141</f>
        <v>5631</v>
      </c>
      <c r="B139" s="42" t="str">
        <f>'A) Base RI'!B141</f>
        <v>Denens</v>
      </c>
      <c r="C139" s="41">
        <f>'D) Ecrêtage'!M139</f>
        <v>34218.35955882354</v>
      </c>
      <c r="D139" s="41">
        <v>108985</v>
      </c>
      <c r="E139" s="14">
        <v>44030</v>
      </c>
      <c r="F139" s="52">
        <v>72987</v>
      </c>
      <c r="G139" s="52">
        <f t="shared" si="18"/>
        <v>226002</v>
      </c>
      <c r="H139" s="14">
        <f t="shared" si="23"/>
        <v>273746.87647058832</v>
      </c>
      <c r="I139" s="41">
        <f t="shared" si="19"/>
        <v>0</v>
      </c>
      <c r="J139" s="4">
        <f t="shared" si="24"/>
        <v>0</v>
      </c>
      <c r="K139" s="19">
        <v>4109</v>
      </c>
      <c r="L139" s="14">
        <f t="shared" si="25"/>
        <v>34218.35955882354</v>
      </c>
      <c r="M139" s="19">
        <f t="shared" si="20"/>
        <v>0</v>
      </c>
      <c r="N139" s="4">
        <f t="shared" si="26"/>
        <v>0</v>
      </c>
      <c r="O139" s="207">
        <f t="shared" si="21"/>
        <v>0</v>
      </c>
      <c r="P139" s="441">
        <f t="shared" si="22"/>
        <v>0</v>
      </c>
      <c r="Q139" s="200"/>
    </row>
    <row r="140" spans="1:17" x14ac:dyDescent="0.25">
      <c r="A140" s="198">
        <f>'A) Base RI'!A142</f>
        <v>5632</v>
      </c>
      <c r="B140" s="42" t="str">
        <f>'A) Base RI'!B142</f>
        <v>Denges</v>
      </c>
      <c r="C140" s="41">
        <f>'D) Ecrêtage'!M140</f>
        <v>70599.599193548376</v>
      </c>
      <c r="D140" s="41">
        <v>171821</v>
      </c>
      <c r="E140" s="14">
        <v>355987</v>
      </c>
      <c r="F140" s="52">
        <v>66092</v>
      </c>
      <c r="G140" s="52">
        <f t="shared" si="18"/>
        <v>593900</v>
      </c>
      <c r="H140" s="14">
        <f t="shared" si="23"/>
        <v>564796.79354838701</v>
      </c>
      <c r="I140" s="41">
        <f t="shared" si="19"/>
        <v>29103.20645161299</v>
      </c>
      <c r="J140" s="4">
        <f t="shared" si="24"/>
        <v>-20586.146996912368</v>
      </c>
      <c r="K140" s="19">
        <v>10541</v>
      </c>
      <c r="L140" s="14">
        <f t="shared" si="25"/>
        <v>70599.599193548376</v>
      </c>
      <c r="M140" s="19">
        <f t="shared" si="20"/>
        <v>0</v>
      </c>
      <c r="N140" s="4">
        <f t="shared" si="26"/>
        <v>0</v>
      </c>
      <c r="O140" s="207">
        <f t="shared" si="21"/>
        <v>-20586.146996912368</v>
      </c>
      <c r="P140" s="441">
        <f t="shared" si="22"/>
        <v>-0.29159013977509379</v>
      </c>
      <c r="Q140" s="200"/>
    </row>
    <row r="141" spans="1:17" x14ac:dyDescent="0.25">
      <c r="A141" s="198">
        <f>'A) Base RI'!A143</f>
        <v>5633</v>
      </c>
      <c r="B141" s="42" t="str">
        <f>'A) Base RI'!B143</f>
        <v>Echandens</v>
      </c>
      <c r="C141" s="41">
        <f>'D) Ecrêtage'!M141</f>
        <v>123013.45645161292</v>
      </c>
      <c r="D141" s="41">
        <v>820945</v>
      </c>
      <c r="E141" s="14">
        <v>600822</v>
      </c>
      <c r="F141" s="52">
        <v>126204</v>
      </c>
      <c r="G141" s="52">
        <f t="shared" si="18"/>
        <v>1547971</v>
      </c>
      <c r="H141" s="14">
        <f t="shared" si="23"/>
        <v>984107.65161290334</v>
      </c>
      <c r="I141" s="41">
        <f t="shared" si="19"/>
        <v>563863.34838709666</v>
      </c>
      <c r="J141" s="4">
        <f t="shared" si="24"/>
        <v>-398848.62155539711</v>
      </c>
      <c r="K141" s="19">
        <v>36791</v>
      </c>
      <c r="L141" s="14">
        <f t="shared" si="25"/>
        <v>123013.45645161292</v>
      </c>
      <c r="M141" s="19">
        <f t="shared" si="20"/>
        <v>0</v>
      </c>
      <c r="N141" s="4">
        <f t="shared" si="26"/>
        <v>0</v>
      </c>
      <c r="O141" s="207">
        <f t="shared" si="21"/>
        <v>-398848.62155539711</v>
      </c>
      <c r="P141" s="441">
        <f t="shared" si="22"/>
        <v>-3.2423170038497648</v>
      </c>
      <c r="Q141" s="200"/>
    </row>
    <row r="142" spans="1:17" x14ac:dyDescent="0.25">
      <c r="A142" s="198">
        <f>'A) Base RI'!A144</f>
        <v>5634</v>
      </c>
      <c r="B142" s="42" t="str">
        <f>'A) Base RI'!B144</f>
        <v>Echichens</v>
      </c>
      <c r="C142" s="41">
        <f>'D) Ecrêtage'!M142</f>
        <v>121660.2017647059</v>
      </c>
      <c r="D142" s="41">
        <v>261472</v>
      </c>
      <c r="E142" s="14">
        <v>356034</v>
      </c>
      <c r="F142" s="52">
        <v>162572</v>
      </c>
      <c r="G142" s="52">
        <f t="shared" si="18"/>
        <v>780078</v>
      </c>
      <c r="H142" s="14">
        <f t="shared" si="23"/>
        <v>973281.61411764717</v>
      </c>
      <c r="I142" s="41">
        <f t="shared" si="19"/>
        <v>0</v>
      </c>
      <c r="J142" s="4">
        <f t="shared" si="24"/>
        <v>0</v>
      </c>
      <c r="K142" s="19">
        <v>9734</v>
      </c>
      <c r="L142" s="14">
        <f t="shared" si="25"/>
        <v>121660.2017647059</v>
      </c>
      <c r="M142" s="19">
        <f t="shared" si="20"/>
        <v>0</v>
      </c>
      <c r="N142" s="4">
        <f t="shared" si="26"/>
        <v>0</v>
      </c>
      <c r="O142" s="207">
        <f t="shared" si="21"/>
        <v>0</v>
      </c>
      <c r="P142" s="441">
        <f t="shared" si="22"/>
        <v>0</v>
      </c>
      <c r="Q142" s="200"/>
    </row>
    <row r="143" spans="1:17" x14ac:dyDescent="0.25">
      <c r="A143" s="198">
        <f>'A) Base RI'!A145</f>
        <v>5635</v>
      </c>
      <c r="B143" s="42" t="str">
        <f>'A) Base RI'!B145</f>
        <v>Ecublens</v>
      </c>
      <c r="C143" s="41">
        <f>'D) Ecrêtage'!M143</f>
        <v>470087.75038200343</v>
      </c>
      <c r="D143" s="41">
        <v>3241880</v>
      </c>
      <c r="E143" s="14">
        <v>3705808</v>
      </c>
      <c r="F143" s="52">
        <v>208286</v>
      </c>
      <c r="G143" s="52">
        <f t="shared" si="18"/>
        <v>7155974</v>
      </c>
      <c r="H143" s="14">
        <f t="shared" si="23"/>
        <v>3760702.0030560275</v>
      </c>
      <c r="I143" s="41">
        <f t="shared" si="19"/>
        <v>3395271.9969439725</v>
      </c>
      <c r="J143" s="4">
        <f t="shared" si="24"/>
        <v>-2401644.9369521271</v>
      </c>
      <c r="K143" s="19">
        <v>145283</v>
      </c>
      <c r="L143" s="14">
        <f t="shared" si="25"/>
        <v>470087.75038200343</v>
      </c>
      <c r="M143" s="19">
        <f t="shared" si="20"/>
        <v>0</v>
      </c>
      <c r="N143" s="4">
        <f t="shared" si="26"/>
        <v>0</v>
      </c>
      <c r="O143" s="207">
        <f t="shared" si="21"/>
        <v>-2401644.9369521271</v>
      </c>
      <c r="P143" s="441">
        <f t="shared" si="22"/>
        <v>-5.1089289925136292</v>
      </c>
      <c r="Q143" s="200"/>
    </row>
    <row r="144" spans="1:17" x14ac:dyDescent="0.25">
      <c r="A144" s="198">
        <f>'A) Base RI'!A146</f>
        <v>5636</v>
      </c>
      <c r="B144" s="42" t="str">
        <f>'A) Base RI'!B146</f>
        <v>Etoy</v>
      </c>
      <c r="C144" s="41">
        <f>'D) Ecrêtage'!M144</f>
        <v>158779.04229508198</v>
      </c>
      <c r="D144" s="41">
        <v>531801</v>
      </c>
      <c r="E144" s="14">
        <v>274569</v>
      </c>
      <c r="F144" s="52">
        <v>350638</v>
      </c>
      <c r="G144" s="52">
        <f t="shared" si="18"/>
        <v>1157008</v>
      </c>
      <c r="H144" s="14">
        <f t="shared" si="23"/>
        <v>1270232.3383606558</v>
      </c>
      <c r="I144" s="41">
        <f t="shared" si="19"/>
        <v>0</v>
      </c>
      <c r="J144" s="4">
        <f t="shared" si="24"/>
        <v>0</v>
      </c>
      <c r="K144" s="19">
        <v>10601</v>
      </c>
      <c r="L144" s="14">
        <f t="shared" si="25"/>
        <v>158779.04229508198</v>
      </c>
      <c r="M144" s="19">
        <f t="shared" si="20"/>
        <v>0</v>
      </c>
      <c r="N144" s="4">
        <f t="shared" si="26"/>
        <v>0</v>
      </c>
      <c r="O144" s="207">
        <f t="shared" si="21"/>
        <v>0</v>
      </c>
      <c r="P144" s="441">
        <f t="shared" si="22"/>
        <v>0</v>
      </c>
      <c r="Q144" s="200"/>
    </row>
    <row r="145" spans="1:17" x14ac:dyDescent="0.25">
      <c r="A145" s="198">
        <f>'A) Base RI'!A147</f>
        <v>5637</v>
      </c>
      <c r="B145" s="42" t="str">
        <f>'A) Base RI'!B147</f>
        <v>Lavigny</v>
      </c>
      <c r="C145" s="41">
        <f>'D) Ecrêtage'!M145</f>
        <v>31075.388277404931</v>
      </c>
      <c r="D145" s="41">
        <v>380706</v>
      </c>
      <c r="E145" s="14">
        <v>68596</v>
      </c>
      <c r="F145" s="52">
        <v>122142</v>
      </c>
      <c r="G145" s="52">
        <f t="shared" si="18"/>
        <v>571444</v>
      </c>
      <c r="H145" s="14">
        <f t="shared" si="23"/>
        <v>248603.10621923945</v>
      </c>
      <c r="I145" s="41">
        <f t="shared" si="19"/>
        <v>322840.89378076058</v>
      </c>
      <c r="J145" s="4">
        <f t="shared" si="24"/>
        <v>-228361.43869697093</v>
      </c>
      <c r="K145" s="19"/>
      <c r="L145" s="14">
        <f t="shared" si="25"/>
        <v>31075.388277404931</v>
      </c>
      <c r="M145" s="19">
        <f t="shared" si="20"/>
        <v>0</v>
      </c>
      <c r="N145" s="4">
        <f t="shared" si="26"/>
        <v>0</v>
      </c>
      <c r="O145" s="207">
        <f t="shared" si="21"/>
        <v>-228361.43869697093</v>
      </c>
      <c r="P145" s="441">
        <f t="shared" si="22"/>
        <v>-7.3486270439624297</v>
      </c>
      <c r="Q145" s="200"/>
    </row>
    <row r="146" spans="1:17" x14ac:dyDescent="0.25">
      <c r="A146" s="198">
        <f>'A) Base RI'!A148</f>
        <v>5638</v>
      </c>
      <c r="B146" s="42" t="str">
        <f>'A) Base RI'!B148</f>
        <v>Lonay</v>
      </c>
      <c r="C146" s="41">
        <f>'D) Ecrêtage'!M146</f>
        <v>147798.4691291679</v>
      </c>
      <c r="D146" s="41">
        <v>707431</v>
      </c>
      <c r="E146" s="14">
        <v>672048</v>
      </c>
      <c r="F146" s="52">
        <v>88856</v>
      </c>
      <c r="G146" s="52">
        <f t="shared" si="18"/>
        <v>1468335</v>
      </c>
      <c r="H146" s="14">
        <f t="shared" si="23"/>
        <v>1182387.7530333432</v>
      </c>
      <c r="I146" s="41">
        <f t="shared" si="19"/>
        <v>285947.24696665676</v>
      </c>
      <c r="J146" s="4">
        <f t="shared" si="24"/>
        <v>-202264.72533894109</v>
      </c>
      <c r="K146" s="19">
        <v>7103</v>
      </c>
      <c r="L146" s="14">
        <f t="shared" si="25"/>
        <v>147798.4691291679</v>
      </c>
      <c r="M146" s="19">
        <f t="shared" si="20"/>
        <v>0</v>
      </c>
      <c r="N146" s="4">
        <f t="shared" si="26"/>
        <v>0</v>
      </c>
      <c r="O146" s="207">
        <f t="shared" si="21"/>
        <v>-202264.72533894109</v>
      </c>
      <c r="P146" s="441">
        <f t="shared" si="22"/>
        <v>-1.3685170525154264</v>
      </c>
      <c r="Q146" s="200"/>
    </row>
    <row r="147" spans="1:17" x14ac:dyDescent="0.25">
      <c r="A147" s="198">
        <f>'A) Base RI'!A149</f>
        <v>5639</v>
      </c>
      <c r="B147" s="42" t="str">
        <f>'A) Base RI'!B149</f>
        <v>Lully</v>
      </c>
      <c r="C147" s="41">
        <f>'D) Ecrêtage'!M147</f>
        <v>42132.184933492586</v>
      </c>
      <c r="D147" s="41">
        <v>330048</v>
      </c>
      <c r="E147" s="14">
        <v>135832</v>
      </c>
      <c r="F147" s="52">
        <v>12215</v>
      </c>
      <c r="G147" s="52">
        <f t="shared" si="18"/>
        <v>478095</v>
      </c>
      <c r="H147" s="14">
        <f t="shared" si="23"/>
        <v>337057.47946794069</v>
      </c>
      <c r="I147" s="41">
        <f t="shared" si="19"/>
        <v>141037.52053205931</v>
      </c>
      <c r="J147" s="4">
        <f t="shared" si="24"/>
        <v>-99762.860651806375</v>
      </c>
      <c r="K147" s="19">
        <v>22383</v>
      </c>
      <c r="L147" s="14">
        <f t="shared" si="25"/>
        <v>42132.184933492586</v>
      </c>
      <c r="M147" s="19">
        <f t="shared" si="20"/>
        <v>0</v>
      </c>
      <c r="N147" s="4">
        <f t="shared" si="26"/>
        <v>0</v>
      </c>
      <c r="O147" s="207">
        <f t="shared" si="21"/>
        <v>-99762.860651806375</v>
      </c>
      <c r="P147" s="441">
        <f t="shared" si="22"/>
        <v>-2.3678539532019576</v>
      </c>
      <c r="Q147" s="200"/>
    </row>
    <row r="148" spans="1:17" x14ac:dyDescent="0.25">
      <c r="A148" s="198">
        <f>'A) Base RI'!A150</f>
        <v>5640</v>
      </c>
      <c r="B148" s="42" t="str">
        <f>'A) Base RI'!B150</f>
        <v>Lussy-sur-Morges</v>
      </c>
      <c r="C148" s="41">
        <f>'D) Ecrêtage'!M148</f>
        <v>41700.35347316313</v>
      </c>
      <c r="D148" s="41">
        <v>146250</v>
      </c>
      <c r="E148" s="14">
        <v>97596</v>
      </c>
      <c r="F148" s="52">
        <v>68916</v>
      </c>
      <c r="G148" s="52">
        <f t="shared" si="18"/>
        <v>312762</v>
      </c>
      <c r="H148" s="14">
        <f t="shared" si="23"/>
        <v>333602.82778530504</v>
      </c>
      <c r="I148" s="41">
        <f t="shared" si="19"/>
        <v>0</v>
      </c>
      <c r="J148" s="4">
        <f t="shared" si="24"/>
        <v>0</v>
      </c>
      <c r="K148" s="19">
        <v>15365</v>
      </c>
      <c r="L148" s="14">
        <f t="shared" si="25"/>
        <v>41700.35347316313</v>
      </c>
      <c r="M148" s="19">
        <f t="shared" si="20"/>
        <v>0</v>
      </c>
      <c r="N148" s="4">
        <f t="shared" si="26"/>
        <v>0</v>
      </c>
      <c r="O148" s="207">
        <f t="shared" si="21"/>
        <v>0</v>
      </c>
      <c r="P148" s="441">
        <f t="shared" si="22"/>
        <v>0</v>
      </c>
      <c r="Q148" s="200"/>
    </row>
    <row r="149" spans="1:17" x14ac:dyDescent="0.25">
      <c r="A149" s="198">
        <f>'A) Base RI'!A151</f>
        <v>5642</v>
      </c>
      <c r="B149" s="42" t="str">
        <f>'A) Base RI'!B151</f>
        <v>Morges</v>
      </c>
      <c r="C149" s="41">
        <f>'D) Ecrêtage'!M149</f>
        <v>715380.13065693423</v>
      </c>
      <c r="D149" s="41">
        <v>3419227</v>
      </c>
      <c r="E149" s="14">
        <v>3537380</v>
      </c>
      <c r="F149" s="52">
        <v>486171</v>
      </c>
      <c r="G149" s="52">
        <f t="shared" si="18"/>
        <v>7442778</v>
      </c>
      <c r="H149" s="14">
        <f t="shared" si="23"/>
        <v>5723041.0452554738</v>
      </c>
      <c r="I149" s="41">
        <f t="shared" si="19"/>
        <v>1719736.9547445262</v>
      </c>
      <c r="J149" s="4">
        <f t="shared" si="24"/>
        <v>-1216455.575273257</v>
      </c>
      <c r="K149" s="19">
        <v>61820</v>
      </c>
      <c r="L149" s="14">
        <f t="shared" si="25"/>
        <v>715380.13065693423</v>
      </c>
      <c r="M149" s="19">
        <f t="shared" si="20"/>
        <v>0</v>
      </c>
      <c r="N149" s="4">
        <f t="shared" si="26"/>
        <v>0</v>
      </c>
      <c r="O149" s="207">
        <f t="shared" si="21"/>
        <v>-1216455.575273257</v>
      </c>
      <c r="P149" s="441">
        <f t="shared" si="22"/>
        <v>-1.7004324318543551</v>
      </c>
      <c r="Q149" s="200"/>
    </row>
    <row r="150" spans="1:17" x14ac:dyDescent="0.25">
      <c r="A150" s="198">
        <f>'A) Base RI'!A152</f>
        <v>5643</v>
      </c>
      <c r="B150" s="42" t="str">
        <f>'A) Base RI'!B152</f>
        <v>Préverenges</v>
      </c>
      <c r="C150" s="41">
        <f>'D) Ecrêtage'!M150</f>
        <v>249793.53640625</v>
      </c>
      <c r="D150" s="41">
        <v>125103</v>
      </c>
      <c r="E150" s="14">
        <v>1008472</v>
      </c>
      <c r="F150" s="52">
        <v>115483</v>
      </c>
      <c r="G150" s="52">
        <f t="shared" si="18"/>
        <v>1249058</v>
      </c>
      <c r="H150" s="14">
        <f t="shared" si="23"/>
        <v>1998348.29125</v>
      </c>
      <c r="I150" s="41">
        <f t="shared" si="19"/>
        <v>0</v>
      </c>
      <c r="J150" s="4">
        <f t="shared" si="24"/>
        <v>0</v>
      </c>
      <c r="K150" s="19">
        <v>150</v>
      </c>
      <c r="L150" s="14">
        <f t="shared" si="25"/>
        <v>249793.53640625</v>
      </c>
      <c r="M150" s="19">
        <f t="shared" si="20"/>
        <v>0</v>
      </c>
      <c r="N150" s="4">
        <f t="shared" si="26"/>
        <v>0</v>
      </c>
      <c r="O150" s="207">
        <f t="shared" si="21"/>
        <v>0</v>
      </c>
      <c r="P150" s="441">
        <f t="shared" si="22"/>
        <v>0</v>
      </c>
      <c r="Q150" s="200"/>
    </row>
    <row r="151" spans="1:17" x14ac:dyDescent="0.25">
      <c r="A151" s="198">
        <f>'A) Base RI'!A153</f>
        <v>5644</v>
      </c>
      <c r="B151" s="42" t="str">
        <f>'A) Base RI'!B153</f>
        <v>Reverolle</v>
      </c>
      <c r="C151" s="41">
        <f>'D) Ecrêtage'!M151</f>
        <v>15594.857631578949</v>
      </c>
      <c r="D151" s="41">
        <v>157917</v>
      </c>
      <c r="E151" s="14">
        <v>22095</v>
      </c>
      <c r="F151" s="52">
        <v>46132</v>
      </c>
      <c r="G151" s="52">
        <f t="shared" si="18"/>
        <v>226144</v>
      </c>
      <c r="H151" s="14">
        <f t="shared" si="23"/>
        <v>124758.86105263159</v>
      </c>
      <c r="I151" s="41">
        <f t="shared" si="19"/>
        <v>101385.13894736841</v>
      </c>
      <c r="J151" s="4">
        <f t="shared" si="24"/>
        <v>-71714.756830762752</v>
      </c>
      <c r="K151" s="19">
        <v>10509</v>
      </c>
      <c r="L151" s="14">
        <f t="shared" si="25"/>
        <v>15594.857631578949</v>
      </c>
      <c r="M151" s="19">
        <f t="shared" si="20"/>
        <v>0</v>
      </c>
      <c r="N151" s="4">
        <f t="shared" si="26"/>
        <v>0</v>
      </c>
      <c r="O151" s="207">
        <f t="shared" si="21"/>
        <v>-71714.756830762752</v>
      </c>
      <c r="P151" s="441">
        <f t="shared" si="22"/>
        <v>-4.5986156799240865</v>
      </c>
      <c r="Q151" s="200"/>
    </row>
    <row r="152" spans="1:17" x14ac:dyDescent="0.25">
      <c r="A152" s="198">
        <f>'A) Base RI'!A154</f>
        <v>5645</v>
      </c>
      <c r="B152" s="42" t="str">
        <f>'A) Base RI'!B154</f>
        <v>Romanel-sur-Morges</v>
      </c>
      <c r="C152" s="41">
        <f>'D) Ecrêtage'!M152</f>
        <v>25330.743383595498</v>
      </c>
      <c r="D152" s="41">
        <v>64418</v>
      </c>
      <c r="E152" s="14">
        <v>13499</v>
      </c>
      <c r="F152" s="52">
        <v>47371</v>
      </c>
      <c r="G152" s="52">
        <f t="shared" si="18"/>
        <v>125288</v>
      </c>
      <c r="H152" s="14">
        <f t="shared" si="23"/>
        <v>202645.94706876398</v>
      </c>
      <c r="I152" s="41">
        <f t="shared" si="19"/>
        <v>0</v>
      </c>
      <c r="J152" s="4">
        <f t="shared" si="24"/>
        <v>0</v>
      </c>
      <c r="K152" s="19">
        <v>8769</v>
      </c>
      <c r="L152" s="14">
        <f t="shared" si="25"/>
        <v>25330.743383595498</v>
      </c>
      <c r="M152" s="19">
        <f t="shared" si="20"/>
        <v>0</v>
      </c>
      <c r="N152" s="4">
        <f t="shared" si="26"/>
        <v>0</v>
      </c>
      <c r="O152" s="207">
        <f t="shared" si="21"/>
        <v>0</v>
      </c>
      <c r="P152" s="441">
        <f t="shared" si="22"/>
        <v>0</v>
      </c>
      <c r="Q152" s="200"/>
    </row>
    <row r="153" spans="1:17" x14ac:dyDescent="0.25">
      <c r="A153" s="198">
        <f>'A) Base RI'!A155</f>
        <v>5646</v>
      </c>
      <c r="B153" s="42" t="str">
        <f>'A) Base RI'!B155</f>
        <v>Saint-Prex</v>
      </c>
      <c r="C153" s="41">
        <f>'D) Ecrêtage'!M153</f>
        <v>307317.64145454549</v>
      </c>
      <c r="D153" s="41">
        <v>670009</v>
      </c>
      <c r="E153" s="14">
        <v>422590</v>
      </c>
      <c r="F153" s="52">
        <v>167532</v>
      </c>
      <c r="G153" s="52">
        <f t="shared" si="18"/>
        <v>1260131</v>
      </c>
      <c r="H153" s="14">
        <f t="shared" si="23"/>
        <v>2458541.1316363639</v>
      </c>
      <c r="I153" s="41">
        <f t="shared" si="19"/>
        <v>0</v>
      </c>
      <c r="J153" s="4">
        <f t="shared" si="24"/>
        <v>0</v>
      </c>
      <c r="K153" s="19">
        <v>16268</v>
      </c>
      <c r="L153" s="14">
        <f t="shared" si="25"/>
        <v>307317.64145454549</v>
      </c>
      <c r="M153" s="19">
        <f t="shared" si="20"/>
        <v>0</v>
      </c>
      <c r="N153" s="4">
        <f t="shared" si="26"/>
        <v>0</v>
      </c>
      <c r="O153" s="207">
        <f t="shared" si="21"/>
        <v>0</v>
      </c>
      <c r="P153" s="441">
        <f t="shared" si="22"/>
        <v>0</v>
      </c>
      <c r="Q153" s="200"/>
    </row>
    <row r="154" spans="1:17" x14ac:dyDescent="0.25">
      <c r="A154" s="198">
        <f>'A) Base RI'!A156</f>
        <v>5648</v>
      </c>
      <c r="B154" s="42" t="str">
        <f>'A) Base RI'!B156</f>
        <v>Saint-Sulpice</v>
      </c>
      <c r="C154" s="41">
        <f>'D) Ecrêtage'!M154</f>
        <v>269943.08106620441</v>
      </c>
      <c r="D154" s="41">
        <v>382687</v>
      </c>
      <c r="E154" s="14">
        <v>1749230</v>
      </c>
      <c r="F154" s="52">
        <v>208577</v>
      </c>
      <c r="G154" s="52">
        <f t="shared" si="18"/>
        <v>2340494</v>
      </c>
      <c r="H154" s="14">
        <f t="shared" si="23"/>
        <v>2159544.6485296353</v>
      </c>
      <c r="I154" s="41">
        <f t="shared" si="19"/>
        <v>180949.35147036472</v>
      </c>
      <c r="J154" s="4">
        <f t="shared" si="24"/>
        <v>-127994.48591886807</v>
      </c>
      <c r="K154" s="19">
        <v>55285</v>
      </c>
      <c r="L154" s="14">
        <f t="shared" si="25"/>
        <v>269943.08106620441</v>
      </c>
      <c r="M154" s="19">
        <f t="shared" si="20"/>
        <v>0</v>
      </c>
      <c r="N154" s="4">
        <f t="shared" si="26"/>
        <v>0</v>
      </c>
      <c r="O154" s="207">
        <f t="shared" si="21"/>
        <v>-127994.48591886807</v>
      </c>
      <c r="P154" s="441">
        <f t="shared" si="22"/>
        <v>-0.47415360828409975</v>
      </c>
      <c r="Q154" s="200"/>
    </row>
    <row r="155" spans="1:17" x14ac:dyDescent="0.25">
      <c r="A155" s="198">
        <f>'A) Base RI'!A157</f>
        <v>5649</v>
      </c>
      <c r="B155" s="42" t="str">
        <f>'A) Base RI'!B157</f>
        <v>Tolochenaz</v>
      </c>
      <c r="C155" s="41">
        <f>'D) Ecrêtage'!M155</f>
        <v>106720.43327669609</v>
      </c>
      <c r="D155" s="41">
        <v>372931</v>
      </c>
      <c r="E155" s="14">
        <v>554523</v>
      </c>
      <c r="F155" s="52">
        <v>28916</v>
      </c>
      <c r="G155" s="52">
        <f t="shared" si="18"/>
        <v>956370</v>
      </c>
      <c r="H155" s="14">
        <f t="shared" si="23"/>
        <v>853763.4662135687</v>
      </c>
      <c r="I155" s="41">
        <f t="shared" si="19"/>
        <v>102606.5337864313</v>
      </c>
      <c r="J155" s="4">
        <f t="shared" si="24"/>
        <v>-72578.710214731735</v>
      </c>
      <c r="K155" s="19">
        <v>8469</v>
      </c>
      <c r="L155" s="14">
        <f t="shared" si="25"/>
        <v>106720.43327669609</v>
      </c>
      <c r="M155" s="19">
        <f t="shared" si="20"/>
        <v>0</v>
      </c>
      <c r="N155" s="4">
        <f t="shared" si="26"/>
        <v>0</v>
      </c>
      <c r="O155" s="207">
        <f t="shared" si="21"/>
        <v>-72578.710214731735</v>
      </c>
      <c r="P155" s="441">
        <f t="shared" si="22"/>
        <v>-0.68008260448639235</v>
      </c>
      <c r="Q155" s="200"/>
    </row>
    <row r="156" spans="1:17" x14ac:dyDescent="0.25">
      <c r="A156" s="198">
        <f>'A) Base RI'!A158</f>
        <v>5650</v>
      </c>
      <c r="B156" s="42" t="str">
        <f>'A) Base RI'!B158</f>
        <v>Vaux-sur-Morges</v>
      </c>
      <c r="C156" s="41">
        <f>'D) Ecrêtage'!M156</f>
        <v>72988.269043769353</v>
      </c>
      <c r="D156" s="41">
        <v>20801</v>
      </c>
      <c r="E156" s="14">
        <v>12165</v>
      </c>
      <c r="F156" s="52">
        <v>24815</v>
      </c>
      <c r="G156" s="52">
        <f t="shared" si="18"/>
        <v>57781</v>
      </c>
      <c r="H156" s="14">
        <f t="shared" si="23"/>
        <v>583906.15235015482</v>
      </c>
      <c r="I156" s="41">
        <f t="shared" si="19"/>
        <v>0</v>
      </c>
      <c r="J156" s="4">
        <f t="shared" si="24"/>
        <v>0</v>
      </c>
      <c r="K156" s="19">
        <v>1407</v>
      </c>
      <c r="L156" s="14">
        <f t="shared" si="25"/>
        <v>72988.269043769353</v>
      </c>
      <c r="M156" s="19">
        <f t="shared" si="20"/>
        <v>0</v>
      </c>
      <c r="N156" s="4">
        <f t="shared" si="26"/>
        <v>0</v>
      </c>
      <c r="O156" s="207">
        <f t="shared" si="21"/>
        <v>0</v>
      </c>
      <c r="P156" s="441">
        <f t="shared" si="22"/>
        <v>0</v>
      </c>
      <c r="Q156" s="200"/>
    </row>
    <row r="157" spans="1:17" x14ac:dyDescent="0.25">
      <c r="A157" s="198">
        <f>'A) Base RI'!A159</f>
        <v>5651</v>
      </c>
      <c r="B157" s="42" t="str">
        <f>'A) Base RI'!B159</f>
        <v>Villars-Sainte-Croix</v>
      </c>
      <c r="C157" s="41">
        <f>'D) Ecrêtage'!M157</f>
        <v>37823.297796610175</v>
      </c>
      <c r="D157" s="41">
        <v>114058</v>
      </c>
      <c r="E157" s="14">
        <v>71045</v>
      </c>
      <c r="F157" s="52">
        <v>31738</v>
      </c>
      <c r="G157" s="52">
        <f t="shared" si="18"/>
        <v>216841</v>
      </c>
      <c r="H157" s="14">
        <f t="shared" si="23"/>
        <v>302586.3823728814</v>
      </c>
      <c r="I157" s="41">
        <f t="shared" si="19"/>
        <v>0</v>
      </c>
      <c r="J157" s="4">
        <f t="shared" si="24"/>
        <v>0</v>
      </c>
      <c r="K157" s="19">
        <v>22791</v>
      </c>
      <c r="L157" s="14">
        <f t="shared" si="25"/>
        <v>37823.297796610175</v>
      </c>
      <c r="M157" s="19">
        <f t="shared" si="20"/>
        <v>0</v>
      </c>
      <c r="N157" s="4">
        <f t="shared" si="26"/>
        <v>0</v>
      </c>
      <c r="O157" s="207">
        <f t="shared" si="21"/>
        <v>0</v>
      </c>
      <c r="P157" s="441">
        <f t="shared" si="22"/>
        <v>0</v>
      </c>
      <c r="Q157" s="200"/>
    </row>
    <row r="158" spans="1:17" x14ac:dyDescent="0.25">
      <c r="A158" s="198">
        <f>'A) Base RI'!A160</f>
        <v>5652</v>
      </c>
      <c r="B158" s="42" t="str">
        <f>'A) Base RI'!B160</f>
        <v>Villars-sous-Yens</v>
      </c>
      <c r="C158" s="41">
        <f>'D) Ecrêtage'!M158</f>
        <v>23640.281403508772</v>
      </c>
      <c r="D158" s="41">
        <v>253752</v>
      </c>
      <c r="E158" s="14">
        <v>57152</v>
      </c>
      <c r="F158" s="52">
        <v>57575</v>
      </c>
      <c r="G158" s="52">
        <f t="shared" si="18"/>
        <v>368479</v>
      </c>
      <c r="H158" s="14">
        <f t="shared" si="23"/>
        <v>189122.25122807018</v>
      </c>
      <c r="I158" s="41">
        <f t="shared" si="19"/>
        <v>179356.74877192982</v>
      </c>
      <c r="J158" s="4">
        <f t="shared" si="24"/>
        <v>-126867.9587332066</v>
      </c>
      <c r="K158" s="19">
        <v>1052</v>
      </c>
      <c r="L158" s="14">
        <f t="shared" si="25"/>
        <v>23640.281403508772</v>
      </c>
      <c r="M158" s="19">
        <f t="shared" si="20"/>
        <v>0</v>
      </c>
      <c r="N158" s="4">
        <f t="shared" si="26"/>
        <v>0</v>
      </c>
      <c r="O158" s="207">
        <f t="shared" si="21"/>
        <v>-126867.9587332066</v>
      </c>
      <c r="P158" s="441">
        <f t="shared" si="22"/>
        <v>-5.3666010386143892</v>
      </c>
      <c r="Q158" s="200"/>
    </row>
    <row r="159" spans="1:17" x14ac:dyDescent="0.25">
      <c r="A159" s="198">
        <f>'A) Base RI'!A161</f>
        <v>5653</v>
      </c>
      <c r="B159" s="42" t="str">
        <f>'A) Base RI'!B161</f>
        <v>Vufflens-le-Château</v>
      </c>
      <c r="C159" s="41">
        <f>'D) Ecrêtage'!M159</f>
        <v>54198.120409152303</v>
      </c>
      <c r="D159" s="41">
        <v>84304</v>
      </c>
      <c r="E159" s="14">
        <v>64005</v>
      </c>
      <c r="F159" s="52">
        <v>11250</v>
      </c>
      <c r="G159" s="52">
        <f t="shared" si="18"/>
        <v>159559</v>
      </c>
      <c r="H159" s="14">
        <f t="shared" si="23"/>
        <v>433584.96327321843</v>
      </c>
      <c r="I159" s="41">
        <f t="shared" si="19"/>
        <v>0</v>
      </c>
      <c r="J159" s="4">
        <f t="shared" si="24"/>
        <v>0</v>
      </c>
      <c r="K159" s="19">
        <v>7155</v>
      </c>
      <c r="L159" s="14">
        <f t="shared" si="25"/>
        <v>54198.120409152303</v>
      </c>
      <c r="M159" s="19">
        <f t="shared" si="20"/>
        <v>0</v>
      </c>
      <c r="N159" s="4">
        <f t="shared" si="26"/>
        <v>0</v>
      </c>
      <c r="O159" s="207">
        <f t="shared" si="21"/>
        <v>0</v>
      </c>
      <c r="P159" s="441">
        <f t="shared" si="22"/>
        <v>0</v>
      </c>
      <c r="Q159" s="200"/>
    </row>
    <row r="160" spans="1:17" x14ac:dyDescent="0.25">
      <c r="A160" s="198">
        <f>'A) Base RI'!A162</f>
        <v>5654</v>
      </c>
      <c r="B160" s="42" t="str">
        <f>'A) Base RI'!B162</f>
        <v>Vullierens</v>
      </c>
      <c r="C160" s="41">
        <f>'D) Ecrêtage'!M160</f>
        <v>16948.890394736845</v>
      </c>
      <c r="D160" s="41">
        <v>230185</v>
      </c>
      <c r="E160" s="14">
        <v>14182</v>
      </c>
      <c r="F160" s="52">
        <v>56376</v>
      </c>
      <c r="G160" s="52">
        <f t="shared" si="18"/>
        <v>300743</v>
      </c>
      <c r="H160" s="14">
        <f t="shared" si="23"/>
        <v>135591.12315789476</v>
      </c>
      <c r="I160" s="41">
        <f t="shared" si="19"/>
        <v>165151.87684210524</v>
      </c>
      <c r="J160" s="4">
        <f t="shared" si="24"/>
        <v>-116820.14554444794</v>
      </c>
      <c r="K160" s="19">
        <v>8507</v>
      </c>
      <c r="L160" s="14">
        <f t="shared" si="25"/>
        <v>16948.890394736845</v>
      </c>
      <c r="M160" s="19">
        <f t="shared" si="20"/>
        <v>0</v>
      </c>
      <c r="N160" s="4">
        <f t="shared" si="26"/>
        <v>0</v>
      </c>
      <c r="O160" s="207">
        <f t="shared" si="21"/>
        <v>-116820.14554444794</v>
      </c>
      <c r="P160" s="441">
        <f t="shared" si="22"/>
        <v>-6.8924951913503554</v>
      </c>
      <c r="Q160" s="200"/>
    </row>
    <row r="161" spans="1:17" x14ac:dyDescent="0.25">
      <c r="A161" s="198">
        <f>'A) Base RI'!A163</f>
        <v>5655</v>
      </c>
      <c r="B161" s="42" t="str">
        <f>'A) Base RI'!B163</f>
        <v>Yens</v>
      </c>
      <c r="C161" s="41">
        <f>'D) Ecrêtage'!M161</f>
        <v>68107.282191780832</v>
      </c>
      <c r="D161" s="41">
        <v>199274</v>
      </c>
      <c r="E161" s="14">
        <v>102952</v>
      </c>
      <c r="F161" s="52">
        <v>149685</v>
      </c>
      <c r="G161" s="52">
        <f t="shared" si="18"/>
        <v>451911</v>
      </c>
      <c r="H161" s="14">
        <f t="shared" si="23"/>
        <v>544858.25753424666</v>
      </c>
      <c r="I161" s="41">
        <f t="shared" si="19"/>
        <v>0</v>
      </c>
      <c r="J161" s="4">
        <f t="shared" si="24"/>
        <v>0</v>
      </c>
      <c r="K161" s="19">
        <v>30451</v>
      </c>
      <c r="L161" s="14">
        <f t="shared" si="25"/>
        <v>68107.282191780832</v>
      </c>
      <c r="M161" s="19">
        <f t="shared" si="20"/>
        <v>0</v>
      </c>
      <c r="N161" s="4">
        <f t="shared" si="26"/>
        <v>0</v>
      </c>
      <c r="O161" s="207">
        <f t="shared" si="21"/>
        <v>0</v>
      </c>
      <c r="P161" s="441">
        <f t="shared" si="22"/>
        <v>0</v>
      </c>
      <c r="Q161" s="200"/>
    </row>
    <row r="162" spans="1:17" x14ac:dyDescent="0.25">
      <c r="A162" s="198">
        <f>'A) Base RI'!A164</f>
        <v>5661</v>
      </c>
      <c r="B162" s="42" t="str">
        <f>'A) Base RI'!B164</f>
        <v>Boulens</v>
      </c>
      <c r="C162" s="41">
        <f>'D) Ecrêtage'!M162</f>
        <v>7277.4751898734185</v>
      </c>
      <c r="D162" s="41">
        <v>45703</v>
      </c>
      <c r="E162" s="14">
        <v>7155</v>
      </c>
      <c r="F162" s="52">
        <v>31566</v>
      </c>
      <c r="G162" s="52">
        <f t="shared" si="18"/>
        <v>84424</v>
      </c>
      <c r="H162" s="14">
        <f t="shared" si="23"/>
        <v>58219.801518987348</v>
      </c>
      <c r="I162" s="41">
        <f t="shared" si="19"/>
        <v>26204.198481012652</v>
      </c>
      <c r="J162" s="4">
        <f t="shared" si="24"/>
        <v>-18535.534315205896</v>
      </c>
      <c r="K162" s="19">
        <v>44658</v>
      </c>
      <c r="L162" s="14">
        <f t="shared" si="25"/>
        <v>7277.4751898734185</v>
      </c>
      <c r="M162" s="19">
        <f t="shared" si="20"/>
        <v>37380.524810126582</v>
      </c>
      <c r="N162" s="4">
        <f t="shared" si="26"/>
        <v>-26441.106406691015</v>
      </c>
      <c r="O162" s="207">
        <f t="shared" si="21"/>
        <v>-44976.640721896911</v>
      </c>
      <c r="P162" s="441">
        <f t="shared" si="22"/>
        <v>-6.1802533912423021</v>
      </c>
      <c r="Q162" s="200"/>
    </row>
    <row r="163" spans="1:17" x14ac:dyDescent="0.25">
      <c r="A163" s="198">
        <f>'A) Base RI'!A165</f>
        <v>5662</v>
      </c>
      <c r="B163" s="42" t="str">
        <f>'A) Base RI'!B165</f>
        <v>Brenles</v>
      </c>
      <c r="C163" s="41">
        <f>'D) Ecrêtage'!M163</f>
        <v>4680.0413390313388</v>
      </c>
      <c r="D163" s="41">
        <v>36027</v>
      </c>
      <c r="E163" s="14">
        <v>3291</v>
      </c>
      <c r="F163" s="52">
        <v>7527</v>
      </c>
      <c r="G163" s="52">
        <f t="shared" si="18"/>
        <v>46845</v>
      </c>
      <c r="H163" s="14">
        <f t="shared" si="23"/>
        <v>37440.33071225071</v>
      </c>
      <c r="I163" s="41">
        <f t="shared" si="19"/>
        <v>9404.6692877492897</v>
      </c>
      <c r="J163" s="4">
        <f t="shared" si="24"/>
        <v>-6652.3908537996767</v>
      </c>
      <c r="K163" s="19">
        <v>2354</v>
      </c>
      <c r="L163" s="14">
        <f t="shared" si="25"/>
        <v>4680.0413390313388</v>
      </c>
      <c r="M163" s="19">
        <f t="shared" si="20"/>
        <v>0</v>
      </c>
      <c r="N163" s="4">
        <f t="shared" si="26"/>
        <v>0</v>
      </c>
      <c r="O163" s="207">
        <f t="shared" si="21"/>
        <v>-6652.3908537996767</v>
      </c>
      <c r="P163" s="441">
        <f t="shared" si="22"/>
        <v>-1.421438481390972</v>
      </c>
      <c r="Q163" s="200"/>
    </row>
    <row r="164" spans="1:17" x14ac:dyDescent="0.25">
      <c r="A164" s="198">
        <f>'A) Base RI'!A166</f>
        <v>5663</v>
      </c>
      <c r="B164" s="42" t="str">
        <f>'A) Base RI'!B166</f>
        <v>Bussy-sur-Moudon</v>
      </c>
      <c r="C164" s="41">
        <f>'D) Ecrêtage'!M164</f>
        <v>4999.1039999999994</v>
      </c>
      <c r="D164" s="41">
        <v>40878</v>
      </c>
      <c r="E164" s="14">
        <v>4504</v>
      </c>
      <c r="F164" s="52">
        <v>11187</v>
      </c>
      <c r="G164" s="52">
        <f t="shared" si="18"/>
        <v>56569</v>
      </c>
      <c r="H164" s="14">
        <f t="shared" si="23"/>
        <v>39992.831999999995</v>
      </c>
      <c r="I164" s="41">
        <f t="shared" si="19"/>
        <v>16576.168000000005</v>
      </c>
      <c r="J164" s="4">
        <f t="shared" si="24"/>
        <v>-11725.148968065077</v>
      </c>
      <c r="K164" s="19">
        <v>36223</v>
      </c>
      <c r="L164" s="14">
        <f t="shared" si="25"/>
        <v>4999.1039999999994</v>
      </c>
      <c r="M164" s="19">
        <f t="shared" si="20"/>
        <v>31223.896000000001</v>
      </c>
      <c r="N164" s="4">
        <f t="shared" si="26"/>
        <v>-22086.216305443526</v>
      </c>
      <c r="O164" s="207">
        <f t="shared" si="21"/>
        <v>-33811.365273508607</v>
      </c>
      <c r="P164" s="441">
        <f t="shared" si="22"/>
        <v>-6.7634850712264862</v>
      </c>
      <c r="Q164" s="200"/>
    </row>
    <row r="165" spans="1:17" x14ac:dyDescent="0.25">
      <c r="A165" s="198">
        <f>'A) Base RI'!A167</f>
        <v>5665</v>
      </c>
      <c r="B165" s="42" t="str">
        <f>'A) Base RI'!B167</f>
        <v>Chavannes-sur-Moudon</v>
      </c>
      <c r="C165" s="41">
        <f>'D) Ecrêtage'!M165</f>
        <v>4834.5158333333329</v>
      </c>
      <c r="D165" s="41">
        <v>46004</v>
      </c>
      <c r="E165" s="14">
        <v>5327</v>
      </c>
      <c r="F165" s="52">
        <v>13463</v>
      </c>
      <c r="G165" s="52">
        <f t="shared" si="18"/>
        <v>64794</v>
      </c>
      <c r="H165" s="14">
        <f t="shared" si="23"/>
        <v>38676.126666666663</v>
      </c>
      <c r="I165" s="41">
        <f t="shared" si="19"/>
        <v>26117.873333333337</v>
      </c>
      <c r="J165" s="4">
        <f t="shared" si="24"/>
        <v>-18474.472240048948</v>
      </c>
      <c r="K165" s="19">
        <v>5169</v>
      </c>
      <c r="L165" s="14">
        <f t="shared" si="25"/>
        <v>4834.5158333333329</v>
      </c>
      <c r="M165" s="19">
        <f t="shared" si="20"/>
        <v>334.48416666666708</v>
      </c>
      <c r="N165" s="4">
        <f t="shared" si="26"/>
        <v>-236.59730533774621</v>
      </c>
      <c r="O165" s="207">
        <f t="shared" si="21"/>
        <v>-18711.069545386694</v>
      </c>
      <c r="P165" s="441">
        <f t="shared" si="22"/>
        <v>-3.8703088769254617</v>
      </c>
      <c r="Q165" s="200"/>
    </row>
    <row r="166" spans="1:17" x14ac:dyDescent="0.25">
      <c r="A166" s="198">
        <f>'A) Base RI'!A168</f>
        <v>5666</v>
      </c>
      <c r="B166" s="42" t="str">
        <f>'A) Base RI'!B168</f>
        <v>Chesalles-sur-Moudon</v>
      </c>
      <c r="C166" s="41">
        <f>'D) Ecrêtage'!M166</f>
        <v>3561.2682666666665</v>
      </c>
      <c r="D166" s="41">
        <v>11284</v>
      </c>
      <c r="E166" s="14">
        <v>3657</v>
      </c>
      <c r="F166" s="52">
        <v>7858</v>
      </c>
      <c r="G166" s="52">
        <f t="shared" si="18"/>
        <v>22799</v>
      </c>
      <c r="H166" s="14">
        <f t="shared" si="23"/>
        <v>28490.146133333332</v>
      </c>
      <c r="I166" s="41">
        <f t="shared" si="19"/>
        <v>0</v>
      </c>
      <c r="J166" s="4">
        <f t="shared" si="24"/>
        <v>0</v>
      </c>
      <c r="K166" s="19">
        <v>686</v>
      </c>
      <c r="L166" s="14">
        <f t="shared" si="25"/>
        <v>3561.2682666666665</v>
      </c>
      <c r="M166" s="19">
        <f t="shared" si="20"/>
        <v>0</v>
      </c>
      <c r="N166" s="4">
        <f t="shared" si="26"/>
        <v>0</v>
      </c>
      <c r="O166" s="207">
        <f t="shared" si="21"/>
        <v>0</v>
      </c>
      <c r="P166" s="441">
        <f t="shared" si="22"/>
        <v>0</v>
      </c>
      <c r="Q166" s="200"/>
    </row>
    <row r="167" spans="1:17" x14ac:dyDescent="0.25">
      <c r="A167" s="198">
        <f>'A) Base RI'!A169</f>
        <v>5668</v>
      </c>
      <c r="B167" s="42" t="str">
        <f>'A) Base RI'!B169</f>
        <v>Cremin</v>
      </c>
      <c r="C167" s="41">
        <f>'D) Ecrêtage'!M167</f>
        <v>902.96818181818162</v>
      </c>
      <c r="D167" s="41">
        <v>2336</v>
      </c>
      <c r="E167" s="14">
        <v>1166</v>
      </c>
      <c r="F167" s="52">
        <v>3550</v>
      </c>
      <c r="G167" s="52">
        <f t="shared" si="18"/>
        <v>7052</v>
      </c>
      <c r="H167" s="14">
        <f t="shared" si="23"/>
        <v>7223.745454545453</v>
      </c>
      <c r="I167" s="41">
        <f t="shared" si="19"/>
        <v>0</v>
      </c>
      <c r="J167" s="4">
        <f t="shared" si="24"/>
        <v>0</v>
      </c>
      <c r="K167" s="19"/>
      <c r="L167" s="14">
        <f t="shared" si="25"/>
        <v>902.96818181818162</v>
      </c>
      <c r="M167" s="19">
        <f t="shared" si="20"/>
        <v>0</v>
      </c>
      <c r="N167" s="4">
        <f t="shared" si="26"/>
        <v>0</v>
      </c>
      <c r="O167" s="207">
        <f t="shared" si="21"/>
        <v>0</v>
      </c>
      <c r="P167" s="441">
        <f t="shared" si="22"/>
        <v>0</v>
      </c>
      <c r="Q167" s="200"/>
    </row>
    <row r="168" spans="1:17" x14ac:dyDescent="0.25">
      <c r="A168" s="198">
        <f>'A) Base RI'!A170</f>
        <v>5669</v>
      </c>
      <c r="B168" s="42" t="str">
        <f>'A) Base RI'!B170</f>
        <v>Curtilles</v>
      </c>
      <c r="C168" s="41">
        <f>'D) Ecrêtage'!M168</f>
        <v>8707.7998611111107</v>
      </c>
      <c r="D168" s="41">
        <v>50019</v>
      </c>
      <c r="E168" s="14">
        <v>13991</v>
      </c>
      <c r="F168" s="52">
        <v>19147</v>
      </c>
      <c r="G168" s="52">
        <f t="shared" si="18"/>
        <v>83157</v>
      </c>
      <c r="H168" s="14">
        <f t="shared" si="23"/>
        <v>69662.398888888885</v>
      </c>
      <c r="I168" s="41">
        <f t="shared" si="19"/>
        <v>13494.601111111115</v>
      </c>
      <c r="J168" s="4">
        <f t="shared" si="24"/>
        <v>-9545.4032736875197</v>
      </c>
      <c r="K168" s="19">
        <v>222</v>
      </c>
      <c r="L168" s="14">
        <f t="shared" si="25"/>
        <v>8707.7998611111107</v>
      </c>
      <c r="M168" s="19">
        <f t="shared" si="20"/>
        <v>0</v>
      </c>
      <c r="N168" s="4">
        <f t="shared" si="26"/>
        <v>0</v>
      </c>
      <c r="O168" s="207">
        <f t="shared" si="21"/>
        <v>-9545.4032736875197</v>
      </c>
      <c r="P168" s="441">
        <f t="shared" si="22"/>
        <v>-1.0961900165295635</v>
      </c>
      <c r="Q168" s="200"/>
    </row>
    <row r="169" spans="1:17" x14ac:dyDescent="0.25">
      <c r="A169" s="198">
        <f>'A) Base RI'!A171</f>
        <v>5671</v>
      </c>
      <c r="B169" s="42" t="str">
        <f>'A) Base RI'!B171</f>
        <v>Dompierre</v>
      </c>
      <c r="C169" s="41">
        <f>'D) Ecrêtage'!M169</f>
        <v>6226.6947500000006</v>
      </c>
      <c r="D169" s="41">
        <v>103828</v>
      </c>
      <c r="E169" s="14">
        <v>5647</v>
      </c>
      <c r="F169" s="52">
        <v>33668</v>
      </c>
      <c r="G169" s="52">
        <f t="shared" si="18"/>
        <v>143143</v>
      </c>
      <c r="H169" s="14">
        <f t="shared" si="23"/>
        <v>49813.558000000005</v>
      </c>
      <c r="I169" s="41">
        <f t="shared" si="19"/>
        <v>93329.441999999995</v>
      </c>
      <c r="J169" s="4">
        <f t="shared" si="24"/>
        <v>-66016.561279807807</v>
      </c>
      <c r="K169" s="19">
        <v>2997</v>
      </c>
      <c r="L169" s="14">
        <f t="shared" si="25"/>
        <v>6226.6947500000006</v>
      </c>
      <c r="M169" s="19">
        <f t="shared" si="20"/>
        <v>0</v>
      </c>
      <c r="N169" s="4">
        <f t="shared" si="26"/>
        <v>0</v>
      </c>
      <c r="O169" s="207">
        <f t="shared" si="21"/>
        <v>-66016.561279807807</v>
      </c>
      <c r="P169" s="441">
        <f t="shared" si="22"/>
        <v>-10.602183651255395</v>
      </c>
      <c r="Q169" s="200"/>
    </row>
    <row r="170" spans="1:17" x14ac:dyDescent="0.25">
      <c r="A170" s="198">
        <f>'A) Base RI'!A172</f>
        <v>5672</v>
      </c>
      <c r="B170" s="42" t="str">
        <f>'A) Base RI'!B172</f>
        <v>Forel-sur-Lucens</v>
      </c>
      <c r="C170" s="41">
        <f>'D) Ecrêtage'!M170</f>
        <v>4324.9200666666666</v>
      </c>
      <c r="D170" s="41">
        <v>12679</v>
      </c>
      <c r="E170" s="14">
        <v>3498</v>
      </c>
      <c r="F170" s="52">
        <v>7600</v>
      </c>
      <c r="G170" s="52">
        <f t="shared" ref="G170:G225" si="27">D170+E170+F170</f>
        <v>23777</v>
      </c>
      <c r="H170" s="14">
        <f t="shared" si="23"/>
        <v>34599.360533333333</v>
      </c>
      <c r="I170" s="41">
        <f t="shared" ref="I170:I225" si="28">IF(G170&gt;H170,G170-H170,0)</f>
        <v>0</v>
      </c>
      <c r="J170" s="4">
        <f t="shared" si="24"/>
        <v>0</v>
      </c>
      <c r="K170" s="19">
        <v>675</v>
      </c>
      <c r="L170" s="14">
        <f t="shared" si="25"/>
        <v>4324.9200666666666</v>
      </c>
      <c r="M170" s="19">
        <f t="shared" ref="M170:M225" si="29">IF(K170&gt;L170,K170-L170,0)</f>
        <v>0</v>
      </c>
      <c r="N170" s="4">
        <f t="shared" si="26"/>
        <v>0</v>
      </c>
      <c r="O170" s="207">
        <f t="shared" ref="O170:O225" si="30">N170+J170</f>
        <v>0</v>
      </c>
      <c r="P170" s="441">
        <f t="shared" ref="P170:P225" si="31">O170/C170</f>
        <v>0</v>
      </c>
      <c r="Q170" s="200"/>
    </row>
    <row r="171" spans="1:17" x14ac:dyDescent="0.25">
      <c r="A171" s="198">
        <f>'A) Base RI'!A173</f>
        <v>5673</v>
      </c>
      <c r="B171" s="42" t="str">
        <f>'A) Base RI'!B173</f>
        <v>Hermenches</v>
      </c>
      <c r="C171" s="41">
        <f>'D) Ecrêtage'!M171</f>
        <v>8854.2944888888887</v>
      </c>
      <c r="D171" s="41">
        <v>123751</v>
      </c>
      <c r="E171" s="14">
        <v>8596</v>
      </c>
      <c r="F171" s="52">
        <v>22878</v>
      </c>
      <c r="G171" s="52">
        <f t="shared" si="27"/>
        <v>155225</v>
      </c>
      <c r="H171" s="14">
        <f t="shared" si="23"/>
        <v>70834.35591111111</v>
      </c>
      <c r="I171" s="41">
        <f t="shared" si="28"/>
        <v>84390.64408888889</v>
      </c>
      <c r="J171" s="4">
        <f t="shared" si="24"/>
        <v>-59693.704446840944</v>
      </c>
      <c r="K171" s="19">
        <v>-4113</v>
      </c>
      <c r="L171" s="14">
        <f t="shared" si="25"/>
        <v>8854.2944888888887</v>
      </c>
      <c r="M171" s="19">
        <f t="shared" si="29"/>
        <v>0</v>
      </c>
      <c r="N171" s="4">
        <f t="shared" si="26"/>
        <v>0</v>
      </c>
      <c r="O171" s="207">
        <f t="shared" si="30"/>
        <v>-59693.704446840944</v>
      </c>
      <c r="P171" s="441">
        <f t="shared" si="31"/>
        <v>-6.7417798811356011</v>
      </c>
      <c r="Q171" s="200"/>
    </row>
    <row r="172" spans="1:17" x14ac:dyDescent="0.25">
      <c r="A172" s="198">
        <f>'A) Base RI'!A174</f>
        <v>5674</v>
      </c>
      <c r="B172" s="42" t="str">
        <f>'A) Base RI'!B174</f>
        <v>Lovatens</v>
      </c>
      <c r="C172" s="41">
        <f>'D) Ecrêtage'!M172</f>
        <v>3347.4317333333333</v>
      </c>
      <c r="D172" s="41">
        <v>31251</v>
      </c>
      <c r="E172" s="14">
        <v>3201</v>
      </c>
      <c r="F172" s="52">
        <v>9434</v>
      </c>
      <c r="G172" s="52">
        <f t="shared" si="27"/>
        <v>43886</v>
      </c>
      <c r="H172" s="14">
        <f t="shared" si="23"/>
        <v>26779.453866666667</v>
      </c>
      <c r="I172" s="41">
        <f t="shared" si="28"/>
        <v>17106.546133333333</v>
      </c>
      <c r="J172" s="4">
        <f t="shared" si="24"/>
        <v>-12100.311829755281</v>
      </c>
      <c r="K172" s="19">
        <v>1906</v>
      </c>
      <c r="L172" s="14">
        <f t="shared" si="25"/>
        <v>3347.4317333333333</v>
      </c>
      <c r="M172" s="19">
        <f t="shared" si="29"/>
        <v>0</v>
      </c>
      <c r="N172" s="4">
        <f t="shared" si="26"/>
        <v>0</v>
      </c>
      <c r="O172" s="207">
        <f t="shared" si="30"/>
        <v>-12100.311829755281</v>
      </c>
      <c r="P172" s="441">
        <f t="shared" si="31"/>
        <v>-3.6148046603196691</v>
      </c>
      <c r="Q172" s="200"/>
    </row>
    <row r="173" spans="1:17" x14ac:dyDescent="0.25">
      <c r="A173" s="198">
        <f>'A) Base RI'!A175</f>
        <v>5675</v>
      </c>
      <c r="B173" s="42" t="str">
        <f>'A) Base RI'!B175</f>
        <v>Lucens</v>
      </c>
      <c r="C173" s="41">
        <f>'D) Ecrêtage'!M173</f>
        <v>76574.855468319569</v>
      </c>
      <c r="D173" s="8">
        <v>650960</v>
      </c>
      <c r="E173" s="14">
        <v>186430</v>
      </c>
      <c r="F173" s="8">
        <v>212431</v>
      </c>
      <c r="G173" s="52">
        <f t="shared" si="27"/>
        <v>1049821</v>
      </c>
      <c r="H173" s="14">
        <f t="shared" si="23"/>
        <v>612598.84374655655</v>
      </c>
      <c r="I173" s="41">
        <f t="shared" si="28"/>
        <v>437222.15625344345</v>
      </c>
      <c r="J173" s="4">
        <f t="shared" si="24"/>
        <v>-309269.00078535941</v>
      </c>
      <c r="K173" s="19">
        <v>70480</v>
      </c>
      <c r="L173" s="14">
        <f t="shared" si="25"/>
        <v>76574.855468319569</v>
      </c>
      <c r="M173" s="19">
        <f t="shared" si="29"/>
        <v>0</v>
      </c>
      <c r="N173" s="4">
        <f t="shared" si="26"/>
        <v>0</v>
      </c>
      <c r="O173" s="207">
        <f t="shared" si="30"/>
        <v>-309269.00078535941</v>
      </c>
      <c r="P173" s="441">
        <f t="shared" si="31"/>
        <v>-4.0387800785769645</v>
      </c>
      <c r="Q173" s="200"/>
    </row>
    <row r="174" spans="1:17" x14ac:dyDescent="0.25">
      <c r="A174" s="198">
        <f>'A) Base RI'!A176</f>
        <v>5678</v>
      </c>
      <c r="B174" s="42" t="str">
        <f>'A) Base RI'!B176</f>
        <v>Moudon</v>
      </c>
      <c r="C174" s="41">
        <f>'D) Ecrêtage'!M174</f>
        <v>122060.45639999998</v>
      </c>
      <c r="D174" s="41">
        <v>1691725</v>
      </c>
      <c r="E174" s="14">
        <v>323252</v>
      </c>
      <c r="F174" s="52">
        <v>385970</v>
      </c>
      <c r="G174" s="52">
        <f t="shared" si="27"/>
        <v>2400947</v>
      </c>
      <c r="H174" s="14">
        <f t="shared" si="23"/>
        <v>976483.65119999985</v>
      </c>
      <c r="I174" s="41">
        <f t="shared" si="28"/>
        <v>1424463.3488000003</v>
      </c>
      <c r="J174" s="4">
        <f t="shared" si="24"/>
        <v>-1007593.8518618322</v>
      </c>
      <c r="K174" s="19">
        <v>345961</v>
      </c>
      <c r="L174" s="14">
        <f t="shared" si="25"/>
        <v>122060.45639999998</v>
      </c>
      <c r="M174" s="19">
        <f t="shared" si="29"/>
        <v>223900.54360000003</v>
      </c>
      <c r="N174" s="4">
        <f t="shared" si="26"/>
        <v>-158376.00268896585</v>
      </c>
      <c r="O174" s="207">
        <f t="shared" si="30"/>
        <v>-1165969.854550798</v>
      </c>
      <c r="P174" s="441">
        <f t="shared" si="31"/>
        <v>-9.5523963201467943</v>
      </c>
      <c r="Q174" s="200"/>
    </row>
    <row r="175" spans="1:17" x14ac:dyDescent="0.25">
      <c r="A175" s="198">
        <f>'A) Base RI'!A177</f>
        <v>5680</v>
      </c>
      <c r="B175" s="42" t="str">
        <f>'A) Base RI'!B177</f>
        <v>Ogens</v>
      </c>
      <c r="C175" s="41">
        <f>'D) Ecrêtage'!M175</f>
        <v>8163.3689316239324</v>
      </c>
      <c r="D175" s="41">
        <v>27922</v>
      </c>
      <c r="E175" s="14">
        <v>7867</v>
      </c>
      <c r="F175" s="52">
        <v>27330</v>
      </c>
      <c r="G175" s="52">
        <f t="shared" si="27"/>
        <v>63119</v>
      </c>
      <c r="H175" s="14">
        <f t="shared" si="23"/>
        <v>65306.95145299146</v>
      </c>
      <c r="I175" s="41">
        <f t="shared" si="28"/>
        <v>0</v>
      </c>
      <c r="J175" s="4">
        <f t="shared" si="24"/>
        <v>0</v>
      </c>
      <c r="K175" s="19">
        <v>2668</v>
      </c>
      <c r="L175" s="14">
        <f t="shared" si="25"/>
        <v>8163.3689316239324</v>
      </c>
      <c r="M175" s="19">
        <f t="shared" si="29"/>
        <v>0</v>
      </c>
      <c r="N175" s="4">
        <f t="shared" si="26"/>
        <v>0</v>
      </c>
      <c r="O175" s="207">
        <f t="shared" si="30"/>
        <v>0</v>
      </c>
      <c r="P175" s="441">
        <f t="shared" si="31"/>
        <v>0</v>
      </c>
      <c r="Q175" s="200"/>
    </row>
    <row r="176" spans="1:17" x14ac:dyDescent="0.25">
      <c r="A176" s="198">
        <f>'A) Base RI'!A178</f>
        <v>5683</v>
      </c>
      <c r="B176" s="42" t="str">
        <f>'A) Base RI'!B178</f>
        <v>Prévonloup</v>
      </c>
      <c r="C176" s="41">
        <f>'D) Ecrêtage'!M176</f>
        <v>3618.5018918918922</v>
      </c>
      <c r="D176" s="41">
        <v>36161</v>
      </c>
      <c r="E176" s="14">
        <v>3955</v>
      </c>
      <c r="F176" s="52">
        <v>12977</v>
      </c>
      <c r="G176" s="52">
        <f t="shared" si="27"/>
        <v>53093</v>
      </c>
      <c r="H176" s="14">
        <f t="shared" si="23"/>
        <v>28948.015135135138</v>
      </c>
      <c r="I176" s="41">
        <f t="shared" si="28"/>
        <v>24144.984864864862</v>
      </c>
      <c r="J176" s="4">
        <f t="shared" si="24"/>
        <v>-17078.949994487091</v>
      </c>
      <c r="K176" s="19">
        <v>3378</v>
      </c>
      <c r="L176" s="14">
        <f t="shared" si="25"/>
        <v>3618.5018918918922</v>
      </c>
      <c r="M176" s="19">
        <f t="shared" si="29"/>
        <v>0</v>
      </c>
      <c r="N176" s="4">
        <f t="shared" si="26"/>
        <v>0</v>
      </c>
      <c r="O176" s="207">
        <f t="shared" si="30"/>
        <v>-17078.949994487091</v>
      </c>
      <c r="P176" s="441">
        <f t="shared" si="31"/>
        <v>-4.7198952784179857</v>
      </c>
      <c r="Q176" s="200"/>
    </row>
    <row r="177" spans="1:17" x14ac:dyDescent="0.25">
      <c r="A177" s="198">
        <f>'A) Base RI'!A179</f>
        <v>5684</v>
      </c>
      <c r="B177" s="42" t="str">
        <f>'A) Base RI'!B179</f>
        <v>Rossenges</v>
      </c>
      <c r="C177" s="41">
        <f>'D) Ecrêtage'!M177</f>
        <v>2611.7396666666664</v>
      </c>
      <c r="D177" s="41">
        <v>4977</v>
      </c>
      <c r="E177" s="14">
        <v>1440</v>
      </c>
      <c r="F177" s="52">
        <v>3776</v>
      </c>
      <c r="G177" s="52">
        <f t="shared" si="27"/>
        <v>10193</v>
      </c>
      <c r="H177" s="14">
        <f t="shared" si="23"/>
        <v>20893.917333333331</v>
      </c>
      <c r="I177" s="41">
        <f t="shared" si="28"/>
        <v>0</v>
      </c>
      <c r="J177" s="4">
        <f t="shared" si="24"/>
        <v>0</v>
      </c>
      <c r="K177" s="19"/>
      <c r="L177" s="14">
        <f t="shared" si="25"/>
        <v>2611.7396666666664</v>
      </c>
      <c r="M177" s="19">
        <f t="shared" si="29"/>
        <v>0</v>
      </c>
      <c r="N177" s="4">
        <f t="shared" si="26"/>
        <v>0</v>
      </c>
      <c r="O177" s="207">
        <f t="shared" si="30"/>
        <v>0</v>
      </c>
      <c r="P177" s="441">
        <f t="shared" si="31"/>
        <v>0</v>
      </c>
      <c r="Q177" s="200"/>
    </row>
    <row r="178" spans="1:17" x14ac:dyDescent="0.25">
      <c r="A178" s="198">
        <f>'A) Base RI'!A180</f>
        <v>5686</v>
      </c>
      <c r="B178" s="42" t="str">
        <f>'A) Base RI'!B180</f>
        <v>Sarzens</v>
      </c>
      <c r="C178" s="41">
        <f>'D) Ecrêtage'!M178</f>
        <v>1857.3194594594593</v>
      </c>
      <c r="D178" s="41"/>
      <c r="E178" s="14"/>
      <c r="F178" s="52">
        <v>6174.65</v>
      </c>
      <c r="G178" s="52">
        <f t="shared" si="27"/>
        <v>6174.65</v>
      </c>
      <c r="H178" s="14">
        <f t="shared" si="23"/>
        <v>14858.555675675674</v>
      </c>
      <c r="I178" s="41">
        <f t="shared" si="28"/>
        <v>0</v>
      </c>
      <c r="J178" s="4">
        <f t="shared" si="24"/>
        <v>0</v>
      </c>
      <c r="K178" s="19"/>
      <c r="L178" s="14">
        <f t="shared" si="25"/>
        <v>1857.3194594594593</v>
      </c>
      <c r="M178" s="19">
        <f t="shared" si="29"/>
        <v>0</v>
      </c>
      <c r="N178" s="4">
        <f t="shared" si="26"/>
        <v>0</v>
      </c>
      <c r="O178" s="207">
        <f t="shared" si="30"/>
        <v>0</v>
      </c>
      <c r="P178" s="441">
        <f t="shared" si="31"/>
        <v>0</v>
      </c>
      <c r="Q178" s="200"/>
    </row>
    <row r="179" spans="1:17" x14ac:dyDescent="0.25">
      <c r="A179" s="198">
        <f>'A) Base RI'!A181</f>
        <v>5688</v>
      </c>
      <c r="B179" s="42" t="str">
        <f>'A) Base RI'!B181</f>
        <v>Syens</v>
      </c>
      <c r="C179" s="41">
        <f>'D) Ecrêtage'!M179</f>
        <v>5385.636772486775</v>
      </c>
      <c r="D179" s="41">
        <v>36182</v>
      </c>
      <c r="E179" s="14">
        <v>4321</v>
      </c>
      <c r="F179" s="52">
        <v>7844</v>
      </c>
      <c r="G179" s="52">
        <f t="shared" si="27"/>
        <v>48347</v>
      </c>
      <c r="H179" s="14">
        <f t="shared" si="23"/>
        <v>43085.0941798942</v>
      </c>
      <c r="I179" s="41">
        <f t="shared" si="28"/>
        <v>5261.9058201057996</v>
      </c>
      <c r="J179" s="4">
        <f t="shared" si="24"/>
        <v>-3722.0079813783937</v>
      </c>
      <c r="K179" s="19">
        <v>10615</v>
      </c>
      <c r="L179" s="14">
        <f t="shared" si="25"/>
        <v>5385.636772486775</v>
      </c>
      <c r="M179" s="19">
        <f t="shared" si="29"/>
        <v>5229.363227513225</v>
      </c>
      <c r="N179" s="4">
        <f t="shared" si="26"/>
        <v>-3698.9889853139844</v>
      </c>
      <c r="O179" s="207">
        <f t="shared" si="30"/>
        <v>-7420.996966692378</v>
      </c>
      <c r="P179" s="441">
        <f t="shared" si="31"/>
        <v>-1.3779237776679454</v>
      </c>
      <c r="Q179" s="200"/>
    </row>
    <row r="180" spans="1:17" x14ac:dyDescent="0.25">
      <c r="A180" s="198">
        <f>'A) Base RI'!A182</f>
        <v>5690</v>
      </c>
      <c r="B180" s="42" t="str">
        <f>'A) Base RI'!B182</f>
        <v>Villars-le-Comte</v>
      </c>
      <c r="C180" s="41">
        <f>'D) Ecrêtage'!M180</f>
        <v>3468.3659210526316</v>
      </c>
      <c r="D180" s="41">
        <v>16324</v>
      </c>
      <c r="E180" s="14">
        <v>3498</v>
      </c>
      <c r="F180" s="52">
        <v>9635</v>
      </c>
      <c r="G180" s="52">
        <f t="shared" si="27"/>
        <v>29457</v>
      </c>
      <c r="H180" s="14">
        <f t="shared" si="23"/>
        <v>27746.927368421053</v>
      </c>
      <c r="I180" s="41">
        <f t="shared" si="28"/>
        <v>1710.072631578947</v>
      </c>
      <c r="J180" s="4">
        <f t="shared" si="24"/>
        <v>-1209.6195183032785</v>
      </c>
      <c r="K180" s="19">
        <v>4050</v>
      </c>
      <c r="L180" s="14">
        <f t="shared" si="25"/>
        <v>3468.3659210526316</v>
      </c>
      <c r="M180" s="19">
        <f t="shared" si="29"/>
        <v>581.63407894736838</v>
      </c>
      <c r="N180" s="4">
        <f t="shared" si="26"/>
        <v>-411.41874410063991</v>
      </c>
      <c r="O180" s="207">
        <f t="shared" si="30"/>
        <v>-1621.0382624039185</v>
      </c>
      <c r="P180" s="441">
        <f t="shared" si="31"/>
        <v>-0.46737809657406088</v>
      </c>
      <c r="Q180" s="200"/>
    </row>
    <row r="181" spans="1:17" x14ac:dyDescent="0.25">
      <c r="A181" s="198">
        <f>'A) Base RI'!A183</f>
        <v>5692</v>
      </c>
      <c r="B181" s="42" t="str">
        <f>'A) Base RI'!B183</f>
        <v>Vucherens</v>
      </c>
      <c r="C181" s="41">
        <f>'D) Ecrêtage'!M181</f>
        <v>15125.888354430383</v>
      </c>
      <c r="D181" s="41">
        <v>106870</v>
      </c>
      <c r="E181" s="14">
        <v>18243</v>
      </c>
      <c r="F181" s="52">
        <v>60870</v>
      </c>
      <c r="G181" s="52">
        <f t="shared" si="27"/>
        <v>185983</v>
      </c>
      <c r="H181" s="14">
        <f t="shared" si="23"/>
        <v>121007.10683544306</v>
      </c>
      <c r="I181" s="41">
        <f t="shared" si="28"/>
        <v>64975.893164556939</v>
      </c>
      <c r="J181" s="4">
        <f t="shared" si="24"/>
        <v>-45960.684440910067</v>
      </c>
      <c r="K181" s="19">
        <v>40833</v>
      </c>
      <c r="L181" s="14">
        <f t="shared" si="25"/>
        <v>15125.888354430383</v>
      </c>
      <c r="M181" s="19">
        <f t="shared" si="29"/>
        <v>25707.111645569617</v>
      </c>
      <c r="N181" s="4">
        <f t="shared" si="26"/>
        <v>-18183.920046115862</v>
      </c>
      <c r="O181" s="207">
        <f t="shared" si="30"/>
        <v>-64144.604487025928</v>
      </c>
      <c r="P181" s="441">
        <f t="shared" si="31"/>
        <v>-4.2407165109239973</v>
      </c>
      <c r="Q181" s="200"/>
    </row>
    <row r="182" spans="1:17" x14ac:dyDescent="0.25">
      <c r="A182" s="198">
        <f>'A) Base RI'!A184</f>
        <v>5693</v>
      </c>
      <c r="B182" s="42" t="str">
        <f>'A) Base RI'!B184</f>
        <v>Montanaire</v>
      </c>
      <c r="C182" s="41">
        <f>'D) Ecrêtage'!M182</f>
        <v>62987.795555555575</v>
      </c>
      <c r="D182" s="41">
        <v>755502</v>
      </c>
      <c r="E182" s="14">
        <v>55689</v>
      </c>
      <c r="F182" s="52">
        <v>245671</v>
      </c>
      <c r="G182" s="52">
        <f t="shared" si="27"/>
        <v>1056862</v>
      </c>
      <c r="H182" s="14">
        <f t="shared" si="23"/>
        <v>503902.3644444446</v>
      </c>
      <c r="I182" s="41">
        <f>IF(G182&gt;H182,G182-H182,0)</f>
        <v>552959.63555555535</v>
      </c>
      <c r="J182" s="4">
        <f t="shared" si="24"/>
        <v>-391135.88256440568</v>
      </c>
      <c r="K182" s="19">
        <v>124672</v>
      </c>
      <c r="L182" s="14">
        <f t="shared" si="25"/>
        <v>62987.795555555575</v>
      </c>
      <c r="M182" s="19">
        <f>IF(K182&gt;L182,K182-L182,0)</f>
        <v>61684.204444444425</v>
      </c>
      <c r="N182" s="4">
        <f t="shared" si="26"/>
        <v>-43632.309113161296</v>
      </c>
      <c r="O182" s="207">
        <f>N182+J182</f>
        <v>-434768.19167756697</v>
      </c>
      <c r="P182" s="441">
        <f>O182/C182</f>
        <v>-6.9024195535482598</v>
      </c>
      <c r="Q182" s="200"/>
    </row>
    <row r="183" spans="1:17" x14ac:dyDescent="0.25">
      <c r="A183" s="198">
        <f>'A) Base RI'!A185</f>
        <v>5701</v>
      </c>
      <c r="B183" s="42" t="str">
        <f>'A) Base RI'!B185</f>
        <v>Arnex-sur-Nyon</v>
      </c>
      <c r="C183" s="41">
        <f>'D) Ecrêtage'!M183</f>
        <v>13317.230492981491</v>
      </c>
      <c r="D183" s="41">
        <v>4785</v>
      </c>
      <c r="E183" s="14">
        <v>6532</v>
      </c>
      <c r="F183" s="52">
        <v>38355</v>
      </c>
      <c r="G183" s="52">
        <f t="shared" si="27"/>
        <v>49672</v>
      </c>
      <c r="H183" s="14">
        <f t="shared" si="23"/>
        <v>106537.84394385193</v>
      </c>
      <c r="I183" s="41">
        <f>IF(G183&gt;H183,G183-H183,0)</f>
        <v>0</v>
      </c>
      <c r="J183" s="4">
        <f t="shared" si="24"/>
        <v>0</v>
      </c>
      <c r="K183" s="19"/>
      <c r="L183" s="14">
        <f t="shared" si="25"/>
        <v>13317.230492981491</v>
      </c>
      <c r="M183" s="19">
        <f t="shared" si="29"/>
        <v>0</v>
      </c>
      <c r="N183" s="4">
        <f t="shared" si="26"/>
        <v>0</v>
      </c>
      <c r="O183" s="207">
        <f t="shared" si="30"/>
        <v>0</v>
      </c>
      <c r="P183" s="441">
        <f t="shared" si="31"/>
        <v>0</v>
      </c>
      <c r="Q183" s="200"/>
    </row>
    <row r="184" spans="1:17" x14ac:dyDescent="0.25">
      <c r="A184" s="198">
        <f>'A) Base RI'!A186</f>
        <v>5702</v>
      </c>
      <c r="B184" s="42" t="str">
        <f>'A) Base RI'!B186</f>
        <v>Arzier-Le Muids</v>
      </c>
      <c r="C184" s="41">
        <f>'D) Ecrêtage'!M184</f>
        <v>137336.67807291666</v>
      </c>
      <c r="D184" s="41">
        <v>805433</v>
      </c>
      <c r="E184" s="14">
        <v>197274</v>
      </c>
      <c r="F184" s="52">
        <v>107666</v>
      </c>
      <c r="G184" s="52">
        <f t="shared" si="27"/>
        <v>1110373</v>
      </c>
      <c r="H184" s="14">
        <f t="shared" si="23"/>
        <v>1098693.4245833333</v>
      </c>
      <c r="I184" s="41">
        <f t="shared" si="28"/>
        <v>11679.575416666688</v>
      </c>
      <c r="J184" s="4">
        <f t="shared" si="24"/>
        <v>-8261.5452283161976</v>
      </c>
      <c r="K184" s="19">
        <v>501231</v>
      </c>
      <c r="L184" s="14">
        <f t="shared" si="25"/>
        <v>137336.67807291666</v>
      </c>
      <c r="M184" s="19">
        <f t="shared" si="29"/>
        <v>363894.32192708331</v>
      </c>
      <c r="N184" s="4">
        <f t="shared" si="26"/>
        <v>-257400.57251037037</v>
      </c>
      <c r="O184" s="207">
        <f t="shared" si="30"/>
        <v>-265662.11773868656</v>
      </c>
      <c r="P184" s="441">
        <f t="shared" si="31"/>
        <v>-1.9343857843833794</v>
      </c>
      <c r="Q184" s="200"/>
    </row>
    <row r="185" spans="1:17" x14ac:dyDescent="0.25">
      <c r="A185" s="198">
        <f>'A) Base RI'!A187</f>
        <v>5703</v>
      </c>
      <c r="B185" s="42" t="str">
        <f>'A) Base RI'!B187</f>
        <v>Bassins</v>
      </c>
      <c r="C185" s="41">
        <f>'D) Ecrêtage'!M185</f>
        <v>51617.647746478862</v>
      </c>
      <c r="D185" s="41">
        <v>271519</v>
      </c>
      <c r="E185" s="14">
        <v>157203</v>
      </c>
      <c r="F185" s="52">
        <v>155084</v>
      </c>
      <c r="G185" s="52">
        <f t="shared" si="27"/>
        <v>583806</v>
      </c>
      <c r="H185" s="14">
        <f t="shared" si="23"/>
        <v>412941.1819718309</v>
      </c>
      <c r="I185" s="41">
        <f t="shared" si="28"/>
        <v>170864.8180281691</v>
      </c>
      <c r="J185" s="4">
        <f t="shared" si="24"/>
        <v>-120861.19329760736</v>
      </c>
      <c r="K185" s="19">
        <v>357121</v>
      </c>
      <c r="L185" s="14">
        <f t="shared" si="25"/>
        <v>51617.647746478862</v>
      </c>
      <c r="M185" s="19">
        <f t="shared" si="29"/>
        <v>305503.35225352115</v>
      </c>
      <c r="N185" s="4">
        <f t="shared" si="26"/>
        <v>-216097.73232364649</v>
      </c>
      <c r="O185" s="207">
        <f t="shared" si="30"/>
        <v>-336958.92562125385</v>
      </c>
      <c r="P185" s="441">
        <f t="shared" si="31"/>
        <v>-6.527979098858486</v>
      </c>
      <c r="Q185" s="200"/>
    </row>
    <row r="186" spans="1:17" x14ac:dyDescent="0.25">
      <c r="A186" s="198">
        <f>'A) Base RI'!A188</f>
        <v>5704</v>
      </c>
      <c r="B186" s="42" t="str">
        <f>'A) Base RI'!B188</f>
        <v>Begnins</v>
      </c>
      <c r="C186" s="41">
        <f>'D) Ecrêtage'!M186</f>
        <v>105563.75242101138</v>
      </c>
      <c r="D186" s="41">
        <v>566032</v>
      </c>
      <c r="E186" s="14">
        <v>58376</v>
      </c>
      <c r="F186" s="52">
        <v>184284</v>
      </c>
      <c r="G186" s="52">
        <f t="shared" si="27"/>
        <v>808692</v>
      </c>
      <c r="H186" s="14">
        <f t="shared" si="23"/>
        <v>844510.01936809102</v>
      </c>
      <c r="I186" s="41">
        <f t="shared" si="28"/>
        <v>0</v>
      </c>
      <c r="J186" s="4">
        <f t="shared" si="24"/>
        <v>0</v>
      </c>
      <c r="K186" s="19">
        <v>38230</v>
      </c>
      <c r="L186" s="14">
        <f t="shared" si="25"/>
        <v>105563.75242101138</v>
      </c>
      <c r="M186" s="19">
        <f t="shared" si="29"/>
        <v>0</v>
      </c>
      <c r="N186" s="4">
        <f t="shared" si="26"/>
        <v>0</v>
      </c>
      <c r="O186" s="207">
        <f t="shared" si="30"/>
        <v>0</v>
      </c>
      <c r="P186" s="441">
        <f t="shared" si="31"/>
        <v>0</v>
      </c>
      <c r="Q186" s="200"/>
    </row>
    <row r="187" spans="1:17" x14ac:dyDescent="0.25">
      <c r="A187" s="198">
        <f>'A) Base RI'!A189</f>
        <v>5705</v>
      </c>
      <c r="B187" s="42" t="str">
        <f>'A) Base RI'!B189</f>
        <v>Bogis-Bossey</v>
      </c>
      <c r="C187" s="41">
        <f>'D) Ecrêtage'!M187</f>
        <v>48046.495575813839</v>
      </c>
      <c r="D187" s="41">
        <v>194808</v>
      </c>
      <c r="E187" s="14">
        <v>37459</v>
      </c>
      <c r="F187" s="52">
        <v>58429</v>
      </c>
      <c r="G187" s="52">
        <f t="shared" si="27"/>
        <v>290696</v>
      </c>
      <c r="H187" s="14">
        <f t="shared" si="23"/>
        <v>384371.96460651071</v>
      </c>
      <c r="I187" s="41">
        <f t="shared" si="28"/>
        <v>0</v>
      </c>
      <c r="J187" s="4">
        <f t="shared" si="24"/>
        <v>0</v>
      </c>
      <c r="K187" s="19">
        <v>9824</v>
      </c>
      <c r="L187" s="14">
        <f t="shared" si="25"/>
        <v>48046.495575813839</v>
      </c>
      <c r="M187" s="19">
        <f t="shared" si="29"/>
        <v>0</v>
      </c>
      <c r="N187" s="4">
        <f t="shared" si="26"/>
        <v>0</v>
      </c>
      <c r="O187" s="207">
        <f t="shared" si="30"/>
        <v>0</v>
      </c>
      <c r="P187" s="441">
        <f t="shared" si="31"/>
        <v>0</v>
      </c>
      <c r="Q187" s="200"/>
    </row>
    <row r="188" spans="1:17" x14ac:dyDescent="0.25">
      <c r="A188" s="198">
        <f>'A) Base RI'!A190</f>
        <v>5706</v>
      </c>
      <c r="B188" s="42" t="str">
        <f>'A) Base RI'!B190</f>
        <v>Borex</v>
      </c>
      <c r="C188" s="41">
        <f>'D) Ecrêtage'!M188</f>
        <v>59852.295668986771</v>
      </c>
      <c r="D188" s="41">
        <v>172022</v>
      </c>
      <c r="E188" s="14">
        <v>32985</v>
      </c>
      <c r="F188" s="52">
        <v>150945</v>
      </c>
      <c r="G188" s="52">
        <f t="shared" si="27"/>
        <v>355952</v>
      </c>
      <c r="H188" s="14">
        <f t="shared" si="23"/>
        <v>478818.36535189417</v>
      </c>
      <c r="I188" s="41">
        <f t="shared" si="28"/>
        <v>0</v>
      </c>
      <c r="J188" s="4">
        <f t="shared" si="24"/>
        <v>0</v>
      </c>
      <c r="K188" s="19"/>
      <c r="L188" s="14">
        <f t="shared" si="25"/>
        <v>59852.295668986771</v>
      </c>
      <c r="M188" s="19">
        <f t="shared" si="29"/>
        <v>0</v>
      </c>
      <c r="N188" s="4">
        <f t="shared" si="26"/>
        <v>0</v>
      </c>
      <c r="O188" s="207">
        <f t="shared" si="30"/>
        <v>0</v>
      </c>
      <c r="P188" s="441">
        <f t="shared" si="31"/>
        <v>0</v>
      </c>
      <c r="Q188" s="200"/>
    </row>
    <row r="189" spans="1:17" x14ac:dyDescent="0.25">
      <c r="A189" s="198">
        <f>'A) Base RI'!A191</f>
        <v>5707</v>
      </c>
      <c r="B189" s="42" t="str">
        <f>'A) Base RI'!B191</f>
        <v>Chavannes-de-Bogis</v>
      </c>
      <c r="C189" s="41">
        <f>'D) Ecrêtage'!M189</f>
        <v>79463.976714477656</v>
      </c>
      <c r="D189" s="41">
        <v>78236</v>
      </c>
      <c r="E189" s="14">
        <v>41892</v>
      </c>
      <c r="F189" s="52">
        <v>75176</v>
      </c>
      <c r="G189" s="52">
        <f t="shared" si="27"/>
        <v>195304</v>
      </c>
      <c r="H189" s="14">
        <f t="shared" si="23"/>
        <v>635711.81371582125</v>
      </c>
      <c r="I189" s="41">
        <f t="shared" si="28"/>
        <v>0</v>
      </c>
      <c r="J189" s="4">
        <f t="shared" si="24"/>
        <v>0</v>
      </c>
      <c r="K189" s="19">
        <v>12060</v>
      </c>
      <c r="L189" s="14">
        <f t="shared" si="25"/>
        <v>79463.976714477656</v>
      </c>
      <c r="M189" s="19">
        <f t="shared" si="29"/>
        <v>0</v>
      </c>
      <c r="N189" s="4">
        <f t="shared" si="26"/>
        <v>0</v>
      </c>
      <c r="O189" s="207">
        <f t="shared" si="30"/>
        <v>0</v>
      </c>
      <c r="P189" s="441">
        <f t="shared" si="31"/>
        <v>0</v>
      </c>
      <c r="Q189" s="200"/>
    </row>
    <row r="190" spans="1:17" x14ac:dyDescent="0.25">
      <c r="A190" s="198">
        <f>'A) Base RI'!A192</f>
        <v>5708</v>
      </c>
      <c r="B190" s="42" t="str">
        <f>'A) Base RI'!B192</f>
        <v>Chavannes-des-Bois</v>
      </c>
      <c r="C190" s="41">
        <f>'D) Ecrêtage'!M190</f>
        <v>54983.749855411763</v>
      </c>
      <c r="D190" s="41">
        <v>94635</v>
      </c>
      <c r="E190" s="14">
        <v>18267</v>
      </c>
      <c r="F190" s="52">
        <v>77263</v>
      </c>
      <c r="G190" s="52">
        <f t="shared" si="27"/>
        <v>190165</v>
      </c>
      <c r="H190" s="14">
        <f t="shared" si="23"/>
        <v>439869.9988432941</v>
      </c>
      <c r="I190" s="41">
        <f t="shared" si="28"/>
        <v>0</v>
      </c>
      <c r="J190" s="4">
        <f t="shared" si="24"/>
        <v>0</v>
      </c>
      <c r="K190" s="19">
        <v>1275</v>
      </c>
      <c r="L190" s="14">
        <f t="shared" si="25"/>
        <v>54983.749855411763</v>
      </c>
      <c r="M190" s="19">
        <f t="shared" si="29"/>
        <v>0</v>
      </c>
      <c r="N190" s="4">
        <f t="shared" si="26"/>
        <v>0</v>
      </c>
      <c r="O190" s="207">
        <f t="shared" si="30"/>
        <v>0</v>
      </c>
      <c r="P190" s="441">
        <f t="shared" si="31"/>
        <v>0</v>
      </c>
      <c r="Q190" s="200"/>
    </row>
    <row r="191" spans="1:17" x14ac:dyDescent="0.25">
      <c r="A191" s="198">
        <f>'A) Base RI'!A193</f>
        <v>5709</v>
      </c>
      <c r="B191" s="42" t="str">
        <f>'A) Base RI'!B193</f>
        <v>Chéserex</v>
      </c>
      <c r="C191" s="41">
        <f>'D) Ecrêtage'!M191</f>
        <v>103336.10450421691</v>
      </c>
      <c r="D191" s="41">
        <v>335647</v>
      </c>
      <c r="E191" s="14">
        <v>42115</v>
      </c>
      <c r="F191" s="52">
        <v>182192</v>
      </c>
      <c r="G191" s="52">
        <f t="shared" si="27"/>
        <v>559954</v>
      </c>
      <c r="H191" s="14">
        <f t="shared" si="23"/>
        <v>826688.83603373531</v>
      </c>
      <c r="I191" s="41">
        <f t="shared" si="28"/>
        <v>0</v>
      </c>
      <c r="J191" s="4">
        <f t="shared" si="24"/>
        <v>0</v>
      </c>
      <c r="K191" s="19">
        <v>43491</v>
      </c>
      <c r="L191" s="14">
        <f t="shared" si="25"/>
        <v>103336.10450421691</v>
      </c>
      <c r="M191" s="19">
        <f t="shared" si="29"/>
        <v>0</v>
      </c>
      <c r="N191" s="4">
        <f t="shared" si="26"/>
        <v>0</v>
      </c>
      <c r="O191" s="207">
        <f t="shared" si="30"/>
        <v>0</v>
      </c>
      <c r="P191" s="441">
        <f t="shared" si="31"/>
        <v>0</v>
      </c>
      <c r="Q191" s="200"/>
    </row>
    <row r="192" spans="1:17" x14ac:dyDescent="0.25">
      <c r="A192" s="198">
        <f>'A) Base RI'!A194</f>
        <v>5710</v>
      </c>
      <c r="B192" s="42" t="str">
        <f>'A) Base RI'!B194</f>
        <v>Coinsins</v>
      </c>
      <c r="C192" s="41">
        <f>'D) Ecrêtage'!M192</f>
        <v>59904.094956134039</v>
      </c>
      <c r="D192" s="41">
        <v>135546</v>
      </c>
      <c r="E192" s="14">
        <v>14680</v>
      </c>
      <c r="F192" s="52">
        <v>45122</v>
      </c>
      <c r="G192" s="52">
        <f t="shared" si="27"/>
        <v>195348</v>
      </c>
      <c r="H192" s="14">
        <f t="shared" si="23"/>
        <v>479232.75964907231</v>
      </c>
      <c r="I192" s="41">
        <f t="shared" si="28"/>
        <v>0</v>
      </c>
      <c r="J192" s="4">
        <f t="shared" si="24"/>
        <v>0</v>
      </c>
      <c r="K192" s="19">
        <v>-1153</v>
      </c>
      <c r="L192" s="14">
        <f t="shared" si="25"/>
        <v>59904.094956134039</v>
      </c>
      <c r="M192" s="19">
        <f t="shared" si="29"/>
        <v>0</v>
      </c>
      <c r="N192" s="4">
        <f t="shared" si="26"/>
        <v>0</v>
      </c>
      <c r="O192" s="207">
        <f t="shared" si="30"/>
        <v>0</v>
      </c>
      <c r="P192" s="441">
        <f t="shared" si="31"/>
        <v>0</v>
      </c>
      <c r="Q192" s="200"/>
    </row>
    <row r="193" spans="1:17" x14ac:dyDescent="0.25">
      <c r="A193" s="198">
        <f>'A) Base RI'!A195</f>
        <v>5711</v>
      </c>
      <c r="B193" s="42" t="str">
        <f>'A) Base RI'!B195</f>
        <v>Commugny</v>
      </c>
      <c r="C193" s="41">
        <f>'D) Ecrêtage'!M193</f>
        <v>197049.87247310052</v>
      </c>
      <c r="D193" s="41">
        <v>709524</v>
      </c>
      <c r="E193" s="14">
        <v>117943</v>
      </c>
      <c r="F193" s="52">
        <v>179207</v>
      </c>
      <c r="G193" s="52">
        <f t="shared" si="27"/>
        <v>1006674</v>
      </c>
      <c r="H193" s="14">
        <f t="shared" si="23"/>
        <v>1576398.9797848042</v>
      </c>
      <c r="I193" s="41">
        <f t="shared" si="28"/>
        <v>0</v>
      </c>
      <c r="J193" s="4">
        <f t="shared" si="24"/>
        <v>0</v>
      </c>
      <c r="K193" s="19">
        <v>28702</v>
      </c>
      <c r="L193" s="14">
        <f t="shared" si="25"/>
        <v>197049.87247310052</v>
      </c>
      <c r="M193" s="19">
        <f t="shared" si="29"/>
        <v>0</v>
      </c>
      <c r="N193" s="4">
        <f t="shared" si="26"/>
        <v>0</v>
      </c>
      <c r="O193" s="207">
        <f t="shared" si="30"/>
        <v>0</v>
      </c>
      <c r="P193" s="441">
        <f t="shared" si="31"/>
        <v>0</v>
      </c>
      <c r="Q193" s="200"/>
    </row>
    <row r="194" spans="1:17" x14ac:dyDescent="0.25">
      <c r="A194" s="198">
        <f>'A) Base RI'!A196</f>
        <v>5712</v>
      </c>
      <c r="B194" s="42" t="str">
        <f>'A) Base RI'!B196</f>
        <v>Coppet</v>
      </c>
      <c r="C194" s="41">
        <f>'D) Ecrêtage'!M194</f>
        <v>241476.5096912689</v>
      </c>
      <c r="D194" s="41">
        <v>598571</v>
      </c>
      <c r="E194" s="14">
        <v>224303</v>
      </c>
      <c r="F194" s="52">
        <v>190868</v>
      </c>
      <c r="G194" s="52">
        <f t="shared" si="27"/>
        <v>1013742</v>
      </c>
      <c r="H194" s="14">
        <f t="shared" si="23"/>
        <v>1931812.0775301512</v>
      </c>
      <c r="I194" s="41">
        <f t="shared" si="28"/>
        <v>0</v>
      </c>
      <c r="J194" s="4">
        <f t="shared" si="24"/>
        <v>0</v>
      </c>
      <c r="K194" s="19"/>
      <c r="L194" s="14">
        <f t="shared" si="25"/>
        <v>241476.5096912689</v>
      </c>
      <c r="M194" s="19">
        <f t="shared" si="29"/>
        <v>0</v>
      </c>
      <c r="N194" s="4">
        <f t="shared" si="26"/>
        <v>0</v>
      </c>
      <c r="O194" s="207">
        <f t="shared" si="30"/>
        <v>0</v>
      </c>
      <c r="P194" s="441">
        <f t="shared" si="31"/>
        <v>0</v>
      </c>
      <c r="Q194" s="200"/>
    </row>
    <row r="195" spans="1:17" x14ac:dyDescent="0.25">
      <c r="A195" s="198">
        <f>'A) Base RI'!A197</f>
        <v>5713</v>
      </c>
      <c r="B195" s="42" t="str">
        <f>'A) Base RI'!B197</f>
        <v>Crans-près-Céligny</v>
      </c>
      <c r="C195" s="41">
        <f>'D) Ecrêtage'!M195</f>
        <v>187368.18263493144</v>
      </c>
      <c r="D195" s="41">
        <v>1144944</v>
      </c>
      <c r="E195" s="14">
        <v>138914</v>
      </c>
      <c r="F195" s="52">
        <v>152150</v>
      </c>
      <c r="G195" s="52">
        <f>D195+E195+F195</f>
        <v>1436008</v>
      </c>
      <c r="H195" s="14">
        <f t="shared" si="23"/>
        <v>1498945.4610794515</v>
      </c>
      <c r="I195" s="41">
        <f t="shared" si="28"/>
        <v>0</v>
      </c>
      <c r="J195" s="4">
        <f t="shared" si="24"/>
        <v>0</v>
      </c>
      <c r="K195" s="19">
        <v>16583</v>
      </c>
      <c r="L195" s="14">
        <f t="shared" si="25"/>
        <v>187368.18263493144</v>
      </c>
      <c r="M195" s="19">
        <f t="shared" si="29"/>
        <v>0</v>
      </c>
      <c r="N195" s="4">
        <f t="shared" si="26"/>
        <v>0</v>
      </c>
      <c r="O195" s="207">
        <f t="shared" si="30"/>
        <v>0</v>
      </c>
      <c r="P195" s="441">
        <f t="shared" si="31"/>
        <v>0</v>
      </c>
      <c r="Q195" s="200"/>
    </row>
    <row r="196" spans="1:17" x14ac:dyDescent="0.25">
      <c r="A196" s="198">
        <f>'A) Base RI'!A198</f>
        <v>5714</v>
      </c>
      <c r="B196" s="42" t="str">
        <f>'A) Base RI'!B198</f>
        <v>Crassier</v>
      </c>
      <c r="C196" s="41">
        <f>'D) Ecrêtage'!M196</f>
        <v>70586.345688197092</v>
      </c>
      <c r="D196" s="41">
        <v>198549</v>
      </c>
      <c r="E196" s="14">
        <v>39926</v>
      </c>
      <c r="F196" s="52">
        <v>202744</v>
      </c>
      <c r="G196" s="52">
        <f t="shared" si="27"/>
        <v>441219</v>
      </c>
      <c r="H196" s="14">
        <f t="shared" si="23"/>
        <v>564690.76550557674</v>
      </c>
      <c r="I196" s="41">
        <f t="shared" si="28"/>
        <v>0</v>
      </c>
      <c r="J196" s="4">
        <f t="shared" si="24"/>
        <v>0</v>
      </c>
      <c r="K196" s="19">
        <v>7112</v>
      </c>
      <c r="L196" s="14">
        <f t="shared" si="25"/>
        <v>70586.345688197092</v>
      </c>
      <c r="M196" s="19">
        <f t="shared" si="29"/>
        <v>0</v>
      </c>
      <c r="N196" s="4">
        <f t="shared" si="26"/>
        <v>0</v>
      </c>
      <c r="O196" s="207">
        <f t="shared" si="30"/>
        <v>0</v>
      </c>
      <c r="P196" s="441">
        <f t="shared" si="31"/>
        <v>0</v>
      </c>
      <c r="Q196" s="200"/>
    </row>
    <row r="197" spans="1:17" x14ac:dyDescent="0.25">
      <c r="A197" s="198">
        <f>'A) Base RI'!A199</f>
        <v>5715</v>
      </c>
      <c r="B197" s="42" t="str">
        <f>'A) Base RI'!B199</f>
        <v>Duillier</v>
      </c>
      <c r="C197" s="41">
        <f>'D) Ecrêtage'!M197</f>
        <v>57081.407026018729</v>
      </c>
      <c r="D197" s="41">
        <v>165886</v>
      </c>
      <c r="E197" s="14">
        <v>34860</v>
      </c>
      <c r="F197" s="52">
        <v>105040</v>
      </c>
      <c r="G197" s="52">
        <f t="shared" si="27"/>
        <v>305786</v>
      </c>
      <c r="H197" s="14">
        <f t="shared" si="23"/>
        <v>456651.25620814983</v>
      </c>
      <c r="I197" s="41">
        <f t="shared" si="28"/>
        <v>0</v>
      </c>
      <c r="J197" s="4">
        <f t="shared" si="24"/>
        <v>0</v>
      </c>
      <c r="K197" s="19">
        <v>-773</v>
      </c>
      <c r="L197" s="14">
        <f t="shared" si="25"/>
        <v>57081.407026018729</v>
      </c>
      <c r="M197" s="19">
        <f t="shared" si="29"/>
        <v>0</v>
      </c>
      <c r="N197" s="4">
        <f t="shared" si="26"/>
        <v>0</v>
      </c>
      <c r="O197" s="207">
        <f t="shared" si="30"/>
        <v>0</v>
      </c>
      <c r="P197" s="441">
        <f t="shared" si="31"/>
        <v>0</v>
      </c>
      <c r="Q197" s="200"/>
    </row>
    <row r="198" spans="1:17" x14ac:dyDescent="0.25">
      <c r="A198" s="198">
        <f>'A) Base RI'!A200</f>
        <v>5716</v>
      </c>
      <c r="B198" s="42" t="str">
        <f>'A) Base RI'!B200</f>
        <v>Eysins</v>
      </c>
      <c r="C198" s="41">
        <f>'D) Ecrêtage'!M198</f>
        <v>106341.27155420385</v>
      </c>
      <c r="D198" s="41">
        <v>245365</v>
      </c>
      <c r="E198" s="14">
        <v>105255</v>
      </c>
      <c r="F198" s="52">
        <v>253610</v>
      </c>
      <c r="G198" s="52">
        <f t="shared" si="27"/>
        <v>604230</v>
      </c>
      <c r="H198" s="14">
        <f t="shared" ref="H198:H261" si="32">C198*I$4</f>
        <v>850730.1724336308</v>
      </c>
      <c r="I198" s="41">
        <f t="shared" si="28"/>
        <v>0</v>
      </c>
      <c r="J198" s="4">
        <f t="shared" ref="J198:J261" si="33">-I198*J$4</f>
        <v>0</v>
      </c>
      <c r="K198" s="19">
        <v>-618</v>
      </c>
      <c r="L198" s="14">
        <f t="shared" ref="L198:L261" si="34">C198*M$4</f>
        <v>106341.27155420385</v>
      </c>
      <c r="M198" s="19">
        <f t="shared" si="29"/>
        <v>0</v>
      </c>
      <c r="N198" s="4">
        <f t="shared" ref="N198:N261" si="35">-M198*N$4</f>
        <v>0</v>
      </c>
      <c r="O198" s="207">
        <f t="shared" si="30"/>
        <v>0</v>
      </c>
      <c r="P198" s="441">
        <f t="shared" si="31"/>
        <v>0</v>
      </c>
      <c r="Q198" s="200"/>
    </row>
    <row r="199" spans="1:17" x14ac:dyDescent="0.25">
      <c r="A199" s="198">
        <f>'A) Base RI'!A201</f>
        <v>5717</v>
      </c>
      <c r="B199" s="42" t="str">
        <f>'A) Base RI'!B201</f>
        <v>Founex</v>
      </c>
      <c r="C199" s="41">
        <f>'D) Ecrêtage'!M199</f>
        <v>272923.34101542807</v>
      </c>
      <c r="D199" s="41">
        <v>940556</v>
      </c>
      <c r="E199" s="14">
        <v>112627</v>
      </c>
      <c r="F199" s="52">
        <v>234715</v>
      </c>
      <c r="G199" s="52">
        <f t="shared" si="27"/>
        <v>1287898</v>
      </c>
      <c r="H199" s="14">
        <f t="shared" si="32"/>
        <v>2183386.7281234246</v>
      </c>
      <c r="I199" s="41">
        <f t="shared" si="28"/>
        <v>0</v>
      </c>
      <c r="J199" s="4">
        <f t="shared" si="33"/>
        <v>0</v>
      </c>
      <c r="K199" s="19">
        <v>2490</v>
      </c>
      <c r="L199" s="14">
        <f t="shared" si="34"/>
        <v>272923.34101542807</v>
      </c>
      <c r="M199" s="19">
        <f t="shared" si="29"/>
        <v>0</v>
      </c>
      <c r="N199" s="4">
        <f t="shared" si="35"/>
        <v>0</v>
      </c>
      <c r="O199" s="207">
        <f t="shared" si="30"/>
        <v>0</v>
      </c>
      <c r="P199" s="441">
        <f t="shared" si="31"/>
        <v>0</v>
      </c>
      <c r="Q199" s="200"/>
    </row>
    <row r="200" spans="1:17" x14ac:dyDescent="0.25">
      <c r="A200" s="198">
        <f>'A) Base RI'!A202</f>
        <v>5718</v>
      </c>
      <c r="B200" s="42" t="str">
        <f>'A) Base RI'!B202</f>
        <v>Genolier</v>
      </c>
      <c r="C200" s="41">
        <f>'D) Ecrêtage'!M200</f>
        <v>130101.52774504664</v>
      </c>
      <c r="D200" s="41">
        <v>497405</v>
      </c>
      <c r="E200" s="14">
        <v>167785</v>
      </c>
      <c r="F200" s="52">
        <v>111584</v>
      </c>
      <c r="G200" s="52">
        <f t="shared" si="27"/>
        <v>776774</v>
      </c>
      <c r="H200" s="14">
        <f t="shared" si="32"/>
        <v>1040812.2219603731</v>
      </c>
      <c r="I200" s="41">
        <f t="shared" si="28"/>
        <v>0</v>
      </c>
      <c r="J200" s="4">
        <f t="shared" si="33"/>
        <v>0</v>
      </c>
      <c r="K200" s="19">
        <v>132725</v>
      </c>
      <c r="L200" s="14">
        <f t="shared" si="34"/>
        <v>130101.52774504664</v>
      </c>
      <c r="M200" s="19">
        <f t="shared" si="29"/>
        <v>2623.4722549533617</v>
      </c>
      <c r="N200" s="4">
        <f t="shared" si="35"/>
        <v>-1855.7125508690406</v>
      </c>
      <c r="O200" s="207">
        <f t="shared" si="30"/>
        <v>-1855.7125508690406</v>
      </c>
      <c r="P200" s="441">
        <f t="shared" si="31"/>
        <v>-1.4263572327187319E-2</v>
      </c>
      <c r="Q200" s="200"/>
    </row>
    <row r="201" spans="1:17" s="432" customFormat="1" x14ac:dyDescent="0.25">
      <c r="A201" s="426">
        <f>'A) Base RI'!A203</f>
        <v>5719</v>
      </c>
      <c r="B201" s="427" t="str">
        <f>'A) Base RI'!B203</f>
        <v>Gingins</v>
      </c>
      <c r="C201" s="428">
        <f>'D) Ecrêtage'!M201</f>
        <v>84235.486156849482</v>
      </c>
      <c r="D201" s="428">
        <v>244478</v>
      </c>
      <c r="E201" s="429">
        <v>41840</v>
      </c>
      <c r="F201" s="430">
        <v>196775</v>
      </c>
      <c r="G201" s="430">
        <f t="shared" si="27"/>
        <v>483093</v>
      </c>
      <c r="H201" s="429">
        <f t="shared" si="32"/>
        <v>673883.88925479585</v>
      </c>
      <c r="I201" s="428">
        <f t="shared" si="28"/>
        <v>0</v>
      </c>
      <c r="J201" s="429">
        <f t="shared" si="33"/>
        <v>0</v>
      </c>
      <c r="K201" s="1">
        <v>73588</v>
      </c>
      <c r="L201" s="429">
        <f t="shared" si="34"/>
        <v>84235.486156849482</v>
      </c>
      <c r="M201" s="1">
        <f t="shared" si="29"/>
        <v>0</v>
      </c>
      <c r="N201" s="4">
        <f t="shared" si="35"/>
        <v>0</v>
      </c>
      <c r="O201" s="207">
        <f t="shared" si="30"/>
        <v>0</v>
      </c>
      <c r="P201" s="442">
        <f t="shared" si="31"/>
        <v>0</v>
      </c>
      <c r="Q201" s="431"/>
    </row>
    <row r="202" spans="1:17" x14ac:dyDescent="0.25">
      <c r="A202" s="198">
        <f>'A) Base RI'!A204</f>
        <v>5720</v>
      </c>
      <c r="B202" s="42" t="str">
        <f>'A) Base RI'!B204</f>
        <v>Givrins</v>
      </c>
      <c r="C202" s="41">
        <f>'D) Ecrêtage'!M202</f>
        <v>69662.544967251597</v>
      </c>
      <c r="D202" s="41">
        <v>341609</v>
      </c>
      <c r="E202" s="14">
        <v>63034</v>
      </c>
      <c r="F202" s="52">
        <v>67453</v>
      </c>
      <c r="G202" s="52">
        <f t="shared" si="27"/>
        <v>472096</v>
      </c>
      <c r="H202" s="14">
        <f t="shared" si="32"/>
        <v>557300.35973801278</v>
      </c>
      <c r="I202" s="41">
        <f t="shared" si="28"/>
        <v>0</v>
      </c>
      <c r="J202" s="4">
        <f t="shared" si="33"/>
        <v>0</v>
      </c>
      <c r="K202" s="19">
        <v>112876</v>
      </c>
      <c r="L202" s="14">
        <f t="shared" si="34"/>
        <v>69662.544967251597</v>
      </c>
      <c r="M202" s="19">
        <f t="shared" si="29"/>
        <v>43213.455032748403</v>
      </c>
      <c r="N202" s="4">
        <f t="shared" si="35"/>
        <v>-30567.028379765241</v>
      </c>
      <c r="O202" s="207">
        <f t="shared" si="30"/>
        <v>-30567.028379765241</v>
      </c>
      <c r="P202" s="441">
        <f t="shared" si="31"/>
        <v>-0.43878713294403499</v>
      </c>
      <c r="Q202" s="200"/>
    </row>
    <row r="203" spans="1:17" x14ac:dyDescent="0.25">
      <c r="A203" s="198">
        <f>'A) Base RI'!A205</f>
        <v>5721</v>
      </c>
      <c r="B203" s="42" t="str">
        <f>'A) Base RI'!B205</f>
        <v>Gland</v>
      </c>
      <c r="C203" s="41">
        <f>'D) Ecrêtage'!M203</f>
        <v>556574.85335272714</v>
      </c>
      <c r="D203" s="41">
        <v>1816964</v>
      </c>
      <c r="E203" s="14">
        <v>1264706</v>
      </c>
      <c r="F203" s="52">
        <v>44642</v>
      </c>
      <c r="G203" s="52">
        <f t="shared" si="27"/>
        <v>3126312</v>
      </c>
      <c r="H203" s="14">
        <f t="shared" si="32"/>
        <v>4452598.8268218171</v>
      </c>
      <c r="I203" s="41">
        <f t="shared" si="28"/>
        <v>0</v>
      </c>
      <c r="J203" s="4">
        <f t="shared" si="33"/>
        <v>0</v>
      </c>
      <c r="K203" s="19">
        <v>3632</v>
      </c>
      <c r="L203" s="14">
        <f t="shared" si="34"/>
        <v>556574.85335272714</v>
      </c>
      <c r="M203" s="19">
        <f t="shared" si="29"/>
        <v>0</v>
      </c>
      <c r="N203" s="4">
        <f t="shared" si="35"/>
        <v>0</v>
      </c>
      <c r="O203" s="207">
        <f t="shared" si="30"/>
        <v>0</v>
      </c>
      <c r="P203" s="441">
        <f t="shared" si="31"/>
        <v>0</v>
      </c>
      <c r="Q203" s="200"/>
    </row>
    <row r="204" spans="1:17" x14ac:dyDescent="0.25">
      <c r="A204" s="198">
        <f>'A) Base RI'!A206</f>
        <v>5722</v>
      </c>
      <c r="B204" s="42" t="str">
        <f>'A) Base RI'!B206</f>
        <v>Grens</v>
      </c>
      <c r="C204" s="41">
        <f>'D) Ecrêtage'!M204</f>
        <v>23530.992191336456</v>
      </c>
      <c r="D204" s="41">
        <v>60558</v>
      </c>
      <c r="E204" s="14">
        <v>18497</v>
      </c>
      <c r="F204" s="52">
        <v>63398</v>
      </c>
      <c r="G204" s="52">
        <f t="shared" si="27"/>
        <v>142453</v>
      </c>
      <c r="H204" s="14">
        <f t="shared" si="32"/>
        <v>188247.93753069165</v>
      </c>
      <c r="I204" s="41">
        <f t="shared" si="28"/>
        <v>0</v>
      </c>
      <c r="J204" s="4">
        <f t="shared" si="33"/>
        <v>0</v>
      </c>
      <c r="K204" s="19">
        <v>-1884</v>
      </c>
      <c r="L204" s="14">
        <f t="shared" si="34"/>
        <v>23530.992191336456</v>
      </c>
      <c r="M204" s="19">
        <f t="shared" si="29"/>
        <v>0</v>
      </c>
      <c r="N204" s="4">
        <f t="shared" si="35"/>
        <v>0</v>
      </c>
      <c r="O204" s="207">
        <f t="shared" si="30"/>
        <v>0</v>
      </c>
      <c r="P204" s="441">
        <f t="shared" si="31"/>
        <v>0</v>
      </c>
      <c r="Q204" s="200"/>
    </row>
    <row r="205" spans="1:17" x14ac:dyDescent="0.25">
      <c r="A205" s="198">
        <f>'A) Base RI'!A207</f>
        <v>5723</v>
      </c>
      <c r="B205" s="42" t="str">
        <f>'A) Base RI'!B207</f>
        <v>Mies</v>
      </c>
      <c r="C205" s="41">
        <f>'D) Ecrêtage'!M205</f>
        <v>178561.43286500283</v>
      </c>
      <c r="D205" s="41">
        <v>203135</v>
      </c>
      <c r="E205" s="14">
        <v>106673</v>
      </c>
      <c r="F205" s="52">
        <v>119306</v>
      </c>
      <c r="G205" s="52">
        <f t="shared" si="27"/>
        <v>429114</v>
      </c>
      <c r="H205" s="14">
        <f t="shared" si="32"/>
        <v>1428491.4629200227</v>
      </c>
      <c r="I205" s="41">
        <f t="shared" si="28"/>
        <v>0</v>
      </c>
      <c r="J205" s="4">
        <f t="shared" si="33"/>
        <v>0</v>
      </c>
      <c r="K205" s="19"/>
      <c r="L205" s="14">
        <f t="shared" si="34"/>
        <v>178561.43286500283</v>
      </c>
      <c r="M205" s="19">
        <f t="shared" si="29"/>
        <v>0</v>
      </c>
      <c r="N205" s="4">
        <f t="shared" si="35"/>
        <v>0</v>
      </c>
      <c r="O205" s="207">
        <f t="shared" si="30"/>
        <v>0</v>
      </c>
      <c r="P205" s="441">
        <f t="shared" si="31"/>
        <v>0</v>
      </c>
      <c r="Q205" s="200"/>
    </row>
    <row r="206" spans="1:17" x14ac:dyDescent="0.25">
      <c r="A206" s="198">
        <f>'A) Base RI'!A208</f>
        <v>5724</v>
      </c>
      <c r="B206" s="42" t="str">
        <f>'A) Base RI'!B208</f>
        <v>Nyon</v>
      </c>
      <c r="C206" s="41">
        <f>'D) Ecrêtage'!M206</f>
        <v>1271467.4997079377</v>
      </c>
      <c r="D206" s="41">
        <v>6851465</v>
      </c>
      <c r="E206" s="14">
        <v>3615399</v>
      </c>
      <c r="F206" s="52">
        <v>152693</v>
      </c>
      <c r="G206" s="52">
        <f t="shared" si="27"/>
        <v>10619557</v>
      </c>
      <c r="H206" s="14">
        <f t="shared" si="32"/>
        <v>10171739.997663502</v>
      </c>
      <c r="I206" s="41">
        <f t="shared" si="28"/>
        <v>447817.00233649835</v>
      </c>
      <c r="J206" s="4">
        <f t="shared" si="33"/>
        <v>-316763.26294640527</v>
      </c>
      <c r="K206" s="19">
        <v>317858</v>
      </c>
      <c r="L206" s="14">
        <f t="shared" si="34"/>
        <v>1271467.4997079377</v>
      </c>
      <c r="M206" s="19">
        <f t="shared" si="29"/>
        <v>0</v>
      </c>
      <c r="N206" s="4">
        <f t="shared" si="35"/>
        <v>0</v>
      </c>
      <c r="O206" s="207">
        <f t="shared" si="30"/>
        <v>-316763.26294640527</v>
      </c>
      <c r="P206" s="441">
        <f t="shared" si="31"/>
        <v>-0.24913201715275249</v>
      </c>
      <c r="Q206" s="200"/>
    </row>
    <row r="207" spans="1:17" x14ac:dyDescent="0.25">
      <c r="A207" s="198">
        <f>'A) Base RI'!A209</f>
        <v>5725</v>
      </c>
      <c r="B207" s="42" t="str">
        <f>'A) Base RI'!B209</f>
        <v>Prangins</v>
      </c>
      <c r="C207" s="41">
        <f>'D) Ecrêtage'!M207</f>
        <v>256761.00669706723</v>
      </c>
      <c r="D207" s="41">
        <v>552202</v>
      </c>
      <c r="E207" s="14">
        <v>1013178</v>
      </c>
      <c r="F207" s="52">
        <v>67707</v>
      </c>
      <c r="G207" s="52">
        <f t="shared" si="27"/>
        <v>1633087</v>
      </c>
      <c r="H207" s="14">
        <f t="shared" si="32"/>
        <v>2054088.0535765379</v>
      </c>
      <c r="I207" s="41">
        <f t="shared" si="28"/>
        <v>0</v>
      </c>
      <c r="J207" s="4">
        <f t="shared" si="33"/>
        <v>0</v>
      </c>
      <c r="K207" s="19">
        <v>18788</v>
      </c>
      <c r="L207" s="14">
        <f t="shared" si="34"/>
        <v>256761.00669706723</v>
      </c>
      <c r="M207" s="19">
        <f t="shared" si="29"/>
        <v>0</v>
      </c>
      <c r="N207" s="4">
        <f t="shared" si="35"/>
        <v>0</v>
      </c>
      <c r="O207" s="207">
        <f t="shared" si="30"/>
        <v>0</v>
      </c>
      <c r="P207" s="441">
        <f t="shared" si="31"/>
        <v>0</v>
      </c>
      <c r="Q207" s="200"/>
    </row>
    <row r="208" spans="1:17" x14ac:dyDescent="0.25">
      <c r="A208" s="198">
        <f>'A) Base RI'!A210</f>
        <v>5726</v>
      </c>
      <c r="B208" s="42" t="str">
        <f>'A) Base RI'!B210</f>
        <v>La Rippe</v>
      </c>
      <c r="C208" s="41">
        <f>'D) Ecrêtage'!M208</f>
        <v>60430.074769230778</v>
      </c>
      <c r="D208" s="41">
        <v>237085</v>
      </c>
      <c r="E208" s="14">
        <v>36836</v>
      </c>
      <c r="F208" s="52">
        <v>176190</v>
      </c>
      <c r="G208" s="52">
        <f t="shared" si="27"/>
        <v>450111</v>
      </c>
      <c r="H208" s="14">
        <f t="shared" si="32"/>
        <v>483440.59815384622</v>
      </c>
      <c r="I208" s="41">
        <f t="shared" si="28"/>
        <v>0</v>
      </c>
      <c r="J208" s="4">
        <f t="shared" si="33"/>
        <v>0</v>
      </c>
      <c r="K208" s="19">
        <v>61189</v>
      </c>
      <c r="L208" s="14">
        <f t="shared" si="34"/>
        <v>60430.074769230778</v>
      </c>
      <c r="M208" s="19">
        <f t="shared" si="29"/>
        <v>758.92523076922225</v>
      </c>
      <c r="N208" s="4">
        <f t="shared" si="35"/>
        <v>-536.82560326320868</v>
      </c>
      <c r="O208" s="207">
        <f t="shared" si="30"/>
        <v>-536.82560326320868</v>
      </c>
      <c r="P208" s="441">
        <f t="shared" si="31"/>
        <v>-8.8834178232151482E-3</v>
      </c>
      <c r="Q208" s="200"/>
    </row>
    <row r="209" spans="1:17" x14ac:dyDescent="0.25">
      <c r="A209" s="198">
        <f>'A) Base RI'!A211</f>
        <v>5727</v>
      </c>
      <c r="B209" s="42" t="str">
        <f>'A) Base RI'!B211</f>
        <v>Saint-Cergue</v>
      </c>
      <c r="C209" s="41">
        <f>'D) Ecrêtage'!M209</f>
        <v>92384.571565656559</v>
      </c>
      <c r="D209" s="41">
        <v>712980</v>
      </c>
      <c r="E209" s="14">
        <v>194840</v>
      </c>
      <c r="F209" s="52">
        <v>71167</v>
      </c>
      <c r="G209" s="52">
        <f t="shared" si="27"/>
        <v>978987</v>
      </c>
      <c r="H209" s="14">
        <f t="shared" si="32"/>
        <v>739076.57252525247</v>
      </c>
      <c r="I209" s="41">
        <f t="shared" si="28"/>
        <v>239910.42747474753</v>
      </c>
      <c r="J209" s="4">
        <f t="shared" si="33"/>
        <v>-169700.59069946606</v>
      </c>
      <c r="K209" s="19">
        <v>42539</v>
      </c>
      <c r="L209" s="14">
        <f t="shared" si="34"/>
        <v>92384.571565656559</v>
      </c>
      <c r="M209" s="19">
        <f t="shared" si="29"/>
        <v>0</v>
      </c>
      <c r="N209" s="4">
        <f t="shared" si="35"/>
        <v>0</v>
      </c>
      <c r="O209" s="207">
        <f t="shared" si="30"/>
        <v>-169700.59069946606</v>
      </c>
      <c r="P209" s="441">
        <f t="shared" si="31"/>
        <v>-1.8368931935660056</v>
      </c>
      <c r="Q209" s="200"/>
    </row>
    <row r="210" spans="1:17" x14ac:dyDescent="0.25">
      <c r="A210" s="198">
        <f>'A) Base RI'!A212</f>
        <v>5728</v>
      </c>
      <c r="B210" s="42" t="str">
        <f>'A) Base RI'!B212</f>
        <v>Signy-Avenex</v>
      </c>
      <c r="C210" s="41">
        <f>'D) Ecrêtage'!M210</f>
        <v>29482.647095725504</v>
      </c>
      <c r="D210" s="41">
        <v>90706</v>
      </c>
      <c r="E210" s="14">
        <v>57478</v>
      </c>
      <c r="F210" s="52">
        <v>68825</v>
      </c>
      <c r="G210" s="52">
        <f t="shared" si="27"/>
        <v>217009</v>
      </c>
      <c r="H210" s="14">
        <f t="shared" si="32"/>
        <v>235861.17676580403</v>
      </c>
      <c r="I210" s="41">
        <f t="shared" si="28"/>
        <v>0</v>
      </c>
      <c r="J210" s="4">
        <f t="shared" si="33"/>
        <v>0</v>
      </c>
      <c r="K210" s="19"/>
      <c r="L210" s="14">
        <f t="shared" si="34"/>
        <v>29482.647095725504</v>
      </c>
      <c r="M210" s="19">
        <f t="shared" si="29"/>
        <v>0</v>
      </c>
      <c r="N210" s="4">
        <f t="shared" si="35"/>
        <v>0</v>
      </c>
      <c r="O210" s="207">
        <f t="shared" si="30"/>
        <v>0</v>
      </c>
      <c r="P210" s="441">
        <f t="shared" si="31"/>
        <v>0</v>
      </c>
      <c r="Q210" s="200"/>
    </row>
    <row r="211" spans="1:17" x14ac:dyDescent="0.25">
      <c r="A211" s="198">
        <f>'A) Base RI'!A213</f>
        <v>5729</v>
      </c>
      <c r="B211" s="42" t="str">
        <f>'A) Base RI'!B213</f>
        <v>Tannay</v>
      </c>
      <c r="C211" s="41">
        <f>'D) Ecrêtage'!M211</f>
        <v>112812.83266494203</v>
      </c>
      <c r="D211" s="41">
        <v>218144</v>
      </c>
      <c r="E211" s="14">
        <v>135655</v>
      </c>
      <c r="F211" s="52">
        <v>96510</v>
      </c>
      <c r="G211" s="52">
        <f t="shared" si="27"/>
        <v>450309</v>
      </c>
      <c r="H211" s="14">
        <f t="shared" si="32"/>
        <v>902502.66131953627</v>
      </c>
      <c r="I211" s="41">
        <f t="shared" si="28"/>
        <v>0</v>
      </c>
      <c r="J211" s="4">
        <f t="shared" si="33"/>
        <v>0</v>
      </c>
      <c r="K211" s="19"/>
      <c r="L211" s="14">
        <f t="shared" si="34"/>
        <v>112812.83266494203</v>
      </c>
      <c r="M211" s="19">
        <f t="shared" si="29"/>
        <v>0</v>
      </c>
      <c r="N211" s="4">
        <f t="shared" si="35"/>
        <v>0</v>
      </c>
      <c r="O211" s="207">
        <f t="shared" si="30"/>
        <v>0</v>
      </c>
      <c r="P211" s="441">
        <f t="shared" si="31"/>
        <v>0</v>
      </c>
      <c r="Q211" s="200"/>
    </row>
    <row r="212" spans="1:17" x14ac:dyDescent="0.25">
      <c r="A212" s="198">
        <f>'A) Base RI'!A214</f>
        <v>5730</v>
      </c>
      <c r="B212" s="42" t="str">
        <f>'A) Base RI'!B214</f>
        <v>Trélex</v>
      </c>
      <c r="C212" s="41">
        <f>'D) Ecrêtage'!M212</f>
        <v>115534.33928652294</v>
      </c>
      <c r="D212" s="41">
        <v>224213</v>
      </c>
      <c r="E212" s="14">
        <v>80047</v>
      </c>
      <c r="F212" s="52">
        <v>64703</v>
      </c>
      <c r="G212" s="52">
        <f t="shared" si="27"/>
        <v>368963</v>
      </c>
      <c r="H212" s="14">
        <f t="shared" si="32"/>
        <v>924274.71429218352</v>
      </c>
      <c r="I212" s="41">
        <f t="shared" si="28"/>
        <v>0</v>
      </c>
      <c r="J212" s="4">
        <f t="shared" si="33"/>
        <v>0</v>
      </c>
      <c r="K212" s="19">
        <v>63162</v>
      </c>
      <c r="L212" s="14">
        <f t="shared" si="34"/>
        <v>115534.33928652294</v>
      </c>
      <c r="M212" s="19">
        <f t="shared" si="29"/>
        <v>0</v>
      </c>
      <c r="N212" s="4">
        <f t="shared" si="35"/>
        <v>0</v>
      </c>
      <c r="O212" s="207">
        <f t="shared" si="30"/>
        <v>0</v>
      </c>
      <c r="P212" s="441">
        <f t="shared" si="31"/>
        <v>0</v>
      </c>
      <c r="Q212" s="200"/>
    </row>
    <row r="213" spans="1:17" x14ac:dyDescent="0.25">
      <c r="A213" s="198">
        <f>'A) Base RI'!A215</f>
        <v>5731</v>
      </c>
      <c r="B213" s="42" t="str">
        <f>'A) Base RI'!B215</f>
        <v>Le Vaud</v>
      </c>
      <c r="C213" s="41">
        <f>'D) Ecrêtage'!M213</f>
        <v>46449.882799999999</v>
      </c>
      <c r="D213" s="41">
        <v>401379</v>
      </c>
      <c r="E213" s="14">
        <v>42562</v>
      </c>
      <c r="F213" s="52">
        <v>153754</v>
      </c>
      <c r="G213" s="52">
        <f t="shared" si="27"/>
        <v>597695</v>
      </c>
      <c r="H213" s="14">
        <f t="shared" si="32"/>
        <v>371599.0624</v>
      </c>
      <c r="I213" s="41">
        <f t="shared" si="28"/>
        <v>226095.9376</v>
      </c>
      <c r="J213" s="4">
        <f t="shared" si="33"/>
        <v>-159928.91417572176</v>
      </c>
      <c r="K213" s="19">
        <v>-101279</v>
      </c>
      <c r="L213" s="14">
        <f t="shared" si="34"/>
        <v>46449.882799999999</v>
      </c>
      <c r="M213" s="19">
        <f t="shared" si="29"/>
        <v>0</v>
      </c>
      <c r="N213" s="4">
        <f t="shared" si="35"/>
        <v>0</v>
      </c>
      <c r="O213" s="207">
        <f t="shared" si="30"/>
        <v>-159928.91417572176</v>
      </c>
      <c r="P213" s="441">
        <f t="shared" si="31"/>
        <v>-3.4430423616853938</v>
      </c>
      <c r="Q213" s="200"/>
    </row>
    <row r="214" spans="1:17" x14ac:dyDescent="0.25">
      <c r="A214" s="198">
        <f>'A) Base RI'!A216</f>
        <v>5732</v>
      </c>
      <c r="B214" s="42" t="str">
        <f>'A) Base RI'!B216</f>
        <v>Vich</v>
      </c>
      <c r="C214" s="41">
        <f>'D) Ecrêtage'!M214</f>
        <v>54131.506219458031</v>
      </c>
      <c r="D214" s="41">
        <v>200304</v>
      </c>
      <c r="E214" s="14">
        <v>28464</v>
      </c>
      <c r="F214" s="52">
        <v>84736</v>
      </c>
      <c r="G214" s="52">
        <f t="shared" si="27"/>
        <v>313504</v>
      </c>
      <c r="H214" s="14">
        <f t="shared" si="32"/>
        <v>433052.04975566425</v>
      </c>
      <c r="I214" s="41">
        <f t="shared" si="28"/>
        <v>0</v>
      </c>
      <c r="J214" s="4">
        <f t="shared" si="33"/>
        <v>0</v>
      </c>
      <c r="K214" s="19">
        <v>14203</v>
      </c>
      <c r="L214" s="14">
        <f t="shared" si="34"/>
        <v>54131.506219458031</v>
      </c>
      <c r="M214" s="19">
        <f t="shared" si="29"/>
        <v>0</v>
      </c>
      <c r="N214" s="4">
        <f t="shared" si="35"/>
        <v>0</v>
      </c>
      <c r="O214" s="207">
        <f t="shared" si="30"/>
        <v>0</v>
      </c>
      <c r="P214" s="441">
        <f t="shared" si="31"/>
        <v>0</v>
      </c>
      <c r="Q214" s="200"/>
    </row>
    <row r="215" spans="1:17" x14ac:dyDescent="0.25">
      <c r="A215" s="198">
        <f>'A) Base RI'!A217</f>
        <v>5741</v>
      </c>
      <c r="B215" s="42" t="str">
        <f>'A) Base RI'!B217</f>
        <v>L'Abergement</v>
      </c>
      <c r="C215" s="41">
        <f>'D) Ecrêtage'!M215</f>
        <v>6994.8889917695487</v>
      </c>
      <c r="D215" s="41">
        <v>109881</v>
      </c>
      <c r="E215" s="14">
        <v>7535</v>
      </c>
      <c r="F215" s="52">
        <v>33664</v>
      </c>
      <c r="G215" s="52">
        <f t="shared" si="27"/>
        <v>151080</v>
      </c>
      <c r="H215" s="14">
        <f t="shared" si="32"/>
        <v>55959.11193415639</v>
      </c>
      <c r="I215" s="41">
        <f t="shared" si="28"/>
        <v>95120.88806584361</v>
      </c>
      <c r="J215" s="4">
        <f t="shared" si="33"/>
        <v>-67283.740279819773</v>
      </c>
      <c r="K215" s="19">
        <v>28108</v>
      </c>
      <c r="L215" s="14">
        <f t="shared" si="34"/>
        <v>6994.8889917695487</v>
      </c>
      <c r="M215" s="19">
        <f t="shared" si="29"/>
        <v>21113.111008230451</v>
      </c>
      <c r="N215" s="4">
        <f t="shared" si="35"/>
        <v>-14934.35465608195</v>
      </c>
      <c r="O215" s="207">
        <f t="shared" si="30"/>
        <v>-82218.094935901725</v>
      </c>
      <c r="P215" s="441">
        <f t="shared" si="31"/>
        <v>-11.7540242643797</v>
      </c>
      <c r="Q215" s="200"/>
    </row>
    <row r="216" spans="1:17" x14ac:dyDescent="0.25">
      <c r="A216" s="198">
        <f>'A) Base RI'!A218</f>
        <v>5742</v>
      </c>
      <c r="B216" s="42" t="str">
        <f>'A) Base RI'!B218</f>
        <v>Agiez</v>
      </c>
      <c r="C216" s="41">
        <f>'D) Ecrêtage'!M216</f>
        <v>9274.0430263157905</v>
      </c>
      <c r="D216" s="41">
        <v>46849</v>
      </c>
      <c r="E216" s="14">
        <v>8952</v>
      </c>
      <c r="F216" s="52">
        <v>37044</v>
      </c>
      <c r="G216" s="52">
        <f t="shared" si="27"/>
        <v>92845</v>
      </c>
      <c r="H216" s="14">
        <f t="shared" si="32"/>
        <v>74192.344210526324</v>
      </c>
      <c r="I216" s="41">
        <f t="shared" si="28"/>
        <v>18652.655789473676</v>
      </c>
      <c r="J216" s="4">
        <f t="shared" si="33"/>
        <v>-13193.952171673231</v>
      </c>
      <c r="K216" s="19">
        <v>30696</v>
      </c>
      <c r="L216" s="14">
        <f t="shared" si="34"/>
        <v>9274.0430263157905</v>
      </c>
      <c r="M216" s="19">
        <f t="shared" si="29"/>
        <v>21421.95697368421</v>
      </c>
      <c r="N216" s="4">
        <f t="shared" si="35"/>
        <v>-15152.816785153713</v>
      </c>
      <c r="O216" s="207">
        <f t="shared" si="30"/>
        <v>-28346.768956826942</v>
      </c>
      <c r="P216" s="441">
        <f t="shared" si="31"/>
        <v>-3.0565707832485645</v>
      </c>
      <c r="Q216" s="200"/>
    </row>
    <row r="217" spans="1:17" x14ac:dyDescent="0.25">
      <c r="A217" s="198">
        <f>'A) Base RI'!A219</f>
        <v>5743</v>
      </c>
      <c r="B217" s="42" t="str">
        <f>'A) Base RI'!B219</f>
        <v>Arnex-sur-Orbe</v>
      </c>
      <c r="C217" s="41">
        <f>'D) Ecrêtage'!M217</f>
        <v>17348.834349315071</v>
      </c>
      <c r="D217" s="41">
        <v>106447</v>
      </c>
      <c r="E217" s="14">
        <v>37072</v>
      </c>
      <c r="F217" s="52">
        <v>69137</v>
      </c>
      <c r="G217" s="52">
        <f t="shared" si="27"/>
        <v>212656</v>
      </c>
      <c r="H217" s="14">
        <f t="shared" si="32"/>
        <v>138790.67479452057</v>
      </c>
      <c r="I217" s="41">
        <f t="shared" si="28"/>
        <v>73865.325205479428</v>
      </c>
      <c r="J217" s="4">
        <f t="shared" si="33"/>
        <v>-52248.62233592337</v>
      </c>
      <c r="K217" s="19">
        <v>2837</v>
      </c>
      <c r="L217" s="14">
        <f t="shared" si="34"/>
        <v>17348.834349315071</v>
      </c>
      <c r="M217" s="19">
        <f t="shared" si="29"/>
        <v>0</v>
      </c>
      <c r="N217" s="4">
        <f t="shared" si="35"/>
        <v>0</v>
      </c>
      <c r="O217" s="207">
        <f t="shared" si="30"/>
        <v>-52248.62233592337</v>
      </c>
      <c r="P217" s="441">
        <f t="shared" si="31"/>
        <v>-3.0116503094045703</v>
      </c>
      <c r="Q217" s="200"/>
    </row>
    <row r="218" spans="1:17" x14ac:dyDescent="0.25">
      <c r="A218" s="198">
        <f>'A) Base RI'!A220</f>
        <v>5744</v>
      </c>
      <c r="B218" s="42" t="str">
        <f>'A) Base RI'!B220</f>
        <v>Ballaigues</v>
      </c>
      <c r="C218" s="41">
        <f>'D) Ecrêtage'!M218</f>
        <v>53212.458333333336</v>
      </c>
      <c r="D218" s="41">
        <v>804111</v>
      </c>
      <c r="E218" s="14">
        <v>31255</v>
      </c>
      <c r="F218" s="52">
        <v>113276</v>
      </c>
      <c r="G218" s="52">
        <f t="shared" si="27"/>
        <v>948642</v>
      </c>
      <c r="H218" s="14">
        <f t="shared" si="32"/>
        <v>425699.66666666669</v>
      </c>
      <c r="I218" s="41">
        <f t="shared" si="28"/>
        <v>522942.33333333331</v>
      </c>
      <c r="J218" s="4">
        <f t="shared" si="33"/>
        <v>-369903.15011532675</v>
      </c>
      <c r="K218" s="19">
        <v>105262</v>
      </c>
      <c r="L218" s="14">
        <f t="shared" si="34"/>
        <v>53212.458333333336</v>
      </c>
      <c r="M218" s="19">
        <f t="shared" si="29"/>
        <v>52049.541666666664</v>
      </c>
      <c r="N218" s="4">
        <f t="shared" si="35"/>
        <v>-36817.232412290752</v>
      </c>
      <c r="O218" s="207">
        <f t="shared" si="30"/>
        <v>-406720.3825276175</v>
      </c>
      <c r="P218" s="441">
        <f t="shared" si="31"/>
        <v>-7.6433300634193744</v>
      </c>
      <c r="Q218" s="200"/>
    </row>
    <row r="219" spans="1:17" x14ac:dyDescent="0.25">
      <c r="A219" s="198">
        <f>'A) Base RI'!A221</f>
        <v>5745</v>
      </c>
      <c r="B219" s="42" t="str">
        <f>'A) Base RI'!B221</f>
        <v>Baulmes</v>
      </c>
      <c r="C219" s="41">
        <f>'D) Ecrêtage'!M219</f>
        <v>27522.151666666668</v>
      </c>
      <c r="D219" s="41">
        <v>254821</v>
      </c>
      <c r="E219" s="14">
        <v>76782</v>
      </c>
      <c r="F219" s="52">
        <v>51871</v>
      </c>
      <c r="G219" s="52">
        <f t="shared" si="27"/>
        <v>383474</v>
      </c>
      <c r="H219" s="14">
        <f t="shared" si="32"/>
        <v>220177.21333333335</v>
      </c>
      <c r="I219" s="41">
        <f t="shared" si="28"/>
        <v>163296.78666666665</v>
      </c>
      <c r="J219" s="4">
        <f t="shared" si="33"/>
        <v>-115507.94789682447</v>
      </c>
      <c r="K219" s="19">
        <v>290660</v>
      </c>
      <c r="L219" s="14">
        <f t="shared" si="34"/>
        <v>27522.151666666668</v>
      </c>
      <c r="M219" s="19">
        <f t="shared" si="29"/>
        <v>263137.84833333333</v>
      </c>
      <c r="N219" s="4">
        <f t="shared" si="35"/>
        <v>-186130.50198601073</v>
      </c>
      <c r="O219" s="207">
        <f t="shared" si="30"/>
        <v>-301638.44988283521</v>
      </c>
      <c r="P219" s="441">
        <f t="shared" si="31"/>
        <v>-10.959842585569474</v>
      </c>
      <c r="Q219" s="200"/>
    </row>
    <row r="220" spans="1:17" x14ac:dyDescent="0.25">
      <c r="A220" s="198">
        <f>'A) Base RI'!A222</f>
        <v>5746</v>
      </c>
      <c r="B220" s="42" t="str">
        <f>'A) Base RI'!B222</f>
        <v>Bavois</v>
      </c>
      <c r="C220" s="41">
        <f>'D) Ecrêtage'!M220</f>
        <v>23930.083584474884</v>
      </c>
      <c r="D220" s="41">
        <v>201925</v>
      </c>
      <c r="E220" s="14">
        <v>69247</v>
      </c>
      <c r="F220" s="52">
        <v>116979</v>
      </c>
      <c r="G220" s="52">
        <f t="shared" si="27"/>
        <v>388151</v>
      </c>
      <c r="H220" s="14">
        <f t="shared" si="32"/>
        <v>191440.66867579907</v>
      </c>
      <c r="I220" s="41">
        <f t="shared" si="28"/>
        <v>196710.33132420093</v>
      </c>
      <c r="J220" s="4">
        <f t="shared" si="33"/>
        <v>-139143.01172223239</v>
      </c>
      <c r="K220" s="19">
        <v>78200</v>
      </c>
      <c r="L220" s="14">
        <f t="shared" si="34"/>
        <v>23930.083584474884</v>
      </c>
      <c r="M220" s="19">
        <f t="shared" si="29"/>
        <v>54269.91641552512</v>
      </c>
      <c r="N220" s="4">
        <f t="shared" si="35"/>
        <v>-38387.814026527252</v>
      </c>
      <c r="O220" s="207">
        <f t="shared" si="30"/>
        <v>-177530.82574875964</v>
      </c>
      <c r="P220" s="441">
        <f t="shared" si="31"/>
        <v>-7.4187298645265196</v>
      </c>
      <c r="Q220" s="200"/>
    </row>
    <row r="221" spans="1:17" x14ac:dyDescent="0.25">
      <c r="A221" s="198">
        <f>'A) Base RI'!A223</f>
        <v>5747</v>
      </c>
      <c r="B221" s="42" t="str">
        <f>'A) Base RI'!B223</f>
        <v>Bofflens</v>
      </c>
      <c r="C221" s="41">
        <f>'D) Ecrêtage'!M221</f>
        <v>5183.441884057971</v>
      </c>
      <c r="D221" s="41">
        <v>27511</v>
      </c>
      <c r="E221" s="14">
        <v>5696</v>
      </c>
      <c r="F221" s="52">
        <v>19637</v>
      </c>
      <c r="G221" s="52">
        <f t="shared" si="27"/>
        <v>52844</v>
      </c>
      <c r="H221" s="14">
        <f t="shared" si="32"/>
        <v>41467.535072463768</v>
      </c>
      <c r="I221" s="41">
        <f t="shared" si="28"/>
        <v>11376.464927536232</v>
      </c>
      <c r="J221" s="4">
        <f t="shared" si="33"/>
        <v>-8047.1400872222075</v>
      </c>
      <c r="K221" s="19">
        <v>2210</v>
      </c>
      <c r="L221" s="14">
        <f t="shared" si="34"/>
        <v>5183.441884057971</v>
      </c>
      <c r="M221" s="19">
        <f t="shared" si="29"/>
        <v>0</v>
      </c>
      <c r="N221" s="4">
        <f t="shared" si="35"/>
        <v>0</v>
      </c>
      <c r="O221" s="207">
        <f t="shared" si="30"/>
        <v>-8047.1400872222075</v>
      </c>
      <c r="P221" s="441">
        <f t="shared" si="31"/>
        <v>-1.5524703984762973</v>
      </c>
      <c r="Q221" s="200"/>
    </row>
    <row r="222" spans="1:17" x14ac:dyDescent="0.25">
      <c r="A222" s="198">
        <f>'A) Base RI'!A224</f>
        <v>5748</v>
      </c>
      <c r="B222" s="42" t="str">
        <f>'A) Base RI'!B224</f>
        <v>Bretonnières</v>
      </c>
      <c r="C222" s="41">
        <f>'D) Ecrêtage'!M222</f>
        <v>6140.8540277777784</v>
      </c>
      <c r="D222" s="41">
        <v>54672</v>
      </c>
      <c r="E222" s="14">
        <v>14226</v>
      </c>
      <c r="F222" s="52">
        <v>26025</v>
      </c>
      <c r="G222" s="52">
        <f t="shared" si="27"/>
        <v>94923</v>
      </c>
      <c r="H222" s="14">
        <f t="shared" si="32"/>
        <v>49126.832222222227</v>
      </c>
      <c r="I222" s="41">
        <f t="shared" si="28"/>
        <v>45796.167777777773</v>
      </c>
      <c r="J222" s="4">
        <f t="shared" si="33"/>
        <v>-32393.909699813979</v>
      </c>
      <c r="K222" s="19">
        <v>25504</v>
      </c>
      <c r="L222" s="14">
        <f t="shared" si="34"/>
        <v>6140.8540277777784</v>
      </c>
      <c r="M222" s="19">
        <f t="shared" si="29"/>
        <v>19363.145972222221</v>
      </c>
      <c r="N222" s="4">
        <f t="shared" si="35"/>
        <v>-13696.517253848704</v>
      </c>
      <c r="O222" s="207">
        <f t="shared" si="30"/>
        <v>-46090.426953662682</v>
      </c>
      <c r="P222" s="441">
        <f t="shared" si="31"/>
        <v>-7.5055402302636489</v>
      </c>
      <c r="Q222" s="200"/>
    </row>
    <row r="223" spans="1:17" x14ac:dyDescent="0.25">
      <c r="A223" s="198">
        <f>'A) Base RI'!A225</f>
        <v>5749</v>
      </c>
      <c r="B223" s="42" t="str">
        <f>'A) Base RI'!B225</f>
        <v>Chavornay</v>
      </c>
      <c r="C223" s="41">
        <f>'D) Ecrêtage'!M223</f>
        <v>110381.46250000001</v>
      </c>
      <c r="D223" s="41">
        <v>582089</v>
      </c>
      <c r="E223" s="14">
        <v>305168</v>
      </c>
      <c r="F223" s="52">
        <v>577539</v>
      </c>
      <c r="G223" s="52">
        <f t="shared" si="27"/>
        <v>1464796</v>
      </c>
      <c r="H223" s="14">
        <f t="shared" si="32"/>
        <v>883051.70000000007</v>
      </c>
      <c r="I223" s="41">
        <f t="shared" si="28"/>
        <v>581744.29999999993</v>
      </c>
      <c r="J223" s="4">
        <f t="shared" si="33"/>
        <v>-411496.70893916726</v>
      </c>
      <c r="K223" s="19">
        <v>89256</v>
      </c>
      <c r="L223" s="14">
        <f t="shared" si="34"/>
        <v>110381.46250000001</v>
      </c>
      <c r="M223" s="19">
        <f t="shared" si="29"/>
        <v>0</v>
      </c>
      <c r="N223" s="4">
        <f t="shared" si="35"/>
        <v>0</v>
      </c>
      <c r="O223" s="207">
        <f t="shared" si="30"/>
        <v>-411496.70893916726</v>
      </c>
      <c r="P223" s="441">
        <f t="shared" si="31"/>
        <v>-3.7279512303904041</v>
      </c>
      <c r="Q223" s="200"/>
    </row>
    <row r="224" spans="1:17" x14ac:dyDescent="0.25">
      <c r="A224" s="198">
        <f>'A) Base RI'!A226</f>
        <v>5750</v>
      </c>
      <c r="B224" s="42" t="str">
        <f>'A) Base RI'!B226</f>
        <v>Les Clées</v>
      </c>
      <c r="C224" s="41">
        <f>'D) Ecrêtage'!M224</f>
        <v>4366.1146666666664</v>
      </c>
      <c r="D224" s="41">
        <v>28973</v>
      </c>
      <c r="E224" s="14"/>
      <c r="F224" s="52">
        <v>20347</v>
      </c>
      <c r="G224" s="52">
        <f t="shared" si="27"/>
        <v>49320</v>
      </c>
      <c r="H224" s="14">
        <f t="shared" si="32"/>
        <v>34928.917333333331</v>
      </c>
      <c r="I224" s="41">
        <f t="shared" si="28"/>
        <v>14391.082666666669</v>
      </c>
      <c r="J224" s="4">
        <f t="shared" si="33"/>
        <v>-10179.52931451985</v>
      </c>
      <c r="K224" s="19">
        <v>31694</v>
      </c>
      <c r="L224" s="14">
        <f t="shared" si="34"/>
        <v>4366.1146666666664</v>
      </c>
      <c r="M224" s="19">
        <f t="shared" si="29"/>
        <v>27327.885333333332</v>
      </c>
      <c r="N224" s="4">
        <f t="shared" si="35"/>
        <v>-19330.373975187391</v>
      </c>
      <c r="O224" s="207">
        <f t="shared" si="30"/>
        <v>-29509.903289707239</v>
      </c>
      <c r="P224" s="441">
        <f t="shared" si="31"/>
        <v>-6.7588475206577048</v>
      </c>
      <c r="Q224" s="200"/>
    </row>
    <row r="225" spans="1:17" x14ac:dyDescent="0.25">
      <c r="A225" s="198">
        <f>'A) Base RI'!A227</f>
        <v>5751</v>
      </c>
      <c r="B225" s="42" t="str">
        <f>'A) Base RI'!B227</f>
        <v>Corcelles-sur-Chavornay</v>
      </c>
      <c r="C225" s="41">
        <f>'D) Ecrêtage'!M225</f>
        <v>8804.0960526315775</v>
      </c>
      <c r="D225" s="41">
        <v>60372</v>
      </c>
      <c r="E225" s="14">
        <v>9946</v>
      </c>
      <c r="F225" s="52">
        <v>45404</v>
      </c>
      <c r="G225" s="52">
        <f t="shared" si="27"/>
        <v>115722</v>
      </c>
      <c r="H225" s="14">
        <f t="shared" si="32"/>
        <v>70432.76842105262</v>
      </c>
      <c r="I225" s="41">
        <f t="shared" si="28"/>
        <v>45289.23157894738</v>
      </c>
      <c r="J225" s="4">
        <f t="shared" si="33"/>
        <v>-32035.328485591788</v>
      </c>
      <c r="K225" s="19">
        <v>53804</v>
      </c>
      <c r="L225" s="14">
        <f t="shared" si="34"/>
        <v>8804.0960526315775</v>
      </c>
      <c r="M225" s="19">
        <f t="shared" si="29"/>
        <v>44999.903947368424</v>
      </c>
      <c r="N225" s="4">
        <f t="shared" si="35"/>
        <v>-31830.672645904309</v>
      </c>
      <c r="O225" s="207">
        <f t="shared" si="30"/>
        <v>-63866.001131496101</v>
      </c>
      <c r="P225" s="441">
        <f t="shared" si="31"/>
        <v>-7.2541236203808017</v>
      </c>
      <c r="Q225" s="200"/>
    </row>
    <row r="226" spans="1:17" x14ac:dyDescent="0.25">
      <c r="A226" s="198">
        <f>'A) Base RI'!A228</f>
        <v>5752</v>
      </c>
      <c r="B226" s="42" t="str">
        <f>'A) Base RI'!B228</f>
        <v>Croy</v>
      </c>
      <c r="C226" s="41">
        <f>'D) Ecrêtage'!M226</f>
        <v>14303.968204633204</v>
      </c>
      <c r="D226" s="41">
        <v>466898</v>
      </c>
      <c r="E226" s="14">
        <v>24187</v>
      </c>
      <c r="F226" s="52">
        <v>29360</v>
      </c>
      <c r="G226" s="52">
        <f t="shared" ref="G226:G272" si="36">D226+E226+F226</f>
        <v>520445</v>
      </c>
      <c r="H226" s="14">
        <f t="shared" si="32"/>
        <v>114431.74563706563</v>
      </c>
      <c r="I226" s="41">
        <f t="shared" ref="I226:I272" si="37">IF(G226&gt;H226,G226-H226,0)</f>
        <v>406013.25436293439</v>
      </c>
      <c r="J226" s="4">
        <f t="shared" si="33"/>
        <v>-287193.39056012844</v>
      </c>
      <c r="K226" s="19">
        <v>693</v>
      </c>
      <c r="L226" s="14">
        <f t="shared" si="34"/>
        <v>14303.968204633204</v>
      </c>
      <c r="M226" s="19">
        <f t="shared" ref="M226:M272" si="38">IF(K226&gt;L226,K226-L226,0)</f>
        <v>0</v>
      </c>
      <c r="N226" s="4">
        <f t="shared" si="35"/>
        <v>0</v>
      </c>
      <c r="O226" s="207">
        <f t="shared" ref="O226:O272" si="39">N226+J226</f>
        <v>-287193.39056012844</v>
      </c>
      <c r="P226" s="441">
        <f t="shared" ref="P226:P272" si="40">O226/C226</f>
        <v>-20.077882336672388</v>
      </c>
      <c r="Q226" s="200"/>
    </row>
    <row r="227" spans="1:17" x14ac:dyDescent="0.25">
      <c r="A227" s="198">
        <f>'A) Base RI'!A229</f>
        <v>5754</v>
      </c>
      <c r="B227" s="42" t="str">
        <f>'A) Base RI'!B229</f>
        <v>Juriens</v>
      </c>
      <c r="C227" s="41">
        <f>'D) Ecrêtage'!M227</f>
        <v>6475.8115189873415</v>
      </c>
      <c r="D227" s="41">
        <v>63179</v>
      </c>
      <c r="E227" s="14">
        <v>9253</v>
      </c>
      <c r="F227" s="52">
        <v>25921</v>
      </c>
      <c r="G227" s="52">
        <f t="shared" si="36"/>
        <v>98353</v>
      </c>
      <c r="H227" s="14">
        <f t="shared" si="32"/>
        <v>51806.492151898732</v>
      </c>
      <c r="I227" s="41">
        <f t="shared" si="37"/>
        <v>46546.507848101268</v>
      </c>
      <c r="J227" s="4">
        <f t="shared" si="33"/>
        <v>-32924.662591631401</v>
      </c>
      <c r="K227" s="19">
        <v>867</v>
      </c>
      <c r="L227" s="14">
        <f t="shared" si="34"/>
        <v>6475.8115189873415</v>
      </c>
      <c r="M227" s="19">
        <f t="shared" si="38"/>
        <v>0</v>
      </c>
      <c r="N227" s="4">
        <f t="shared" si="35"/>
        <v>0</v>
      </c>
      <c r="O227" s="207">
        <f t="shared" si="39"/>
        <v>-32924.662591631401</v>
      </c>
      <c r="P227" s="441">
        <f t="shared" si="40"/>
        <v>-5.0842527604602079</v>
      </c>
      <c r="Q227" s="200"/>
    </row>
    <row r="228" spans="1:17" x14ac:dyDescent="0.25">
      <c r="A228" s="198">
        <f>'A) Base RI'!A230</f>
        <v>5755</v>
      </c>
      <c r="B228" s="42" t="str">
        <f>'A) Base RI'!B230</f>
        <v>Lignerolle</v>
      </c>
      <c r="C228" s="41">
        <f>'D) Ecrêtage'!M228</f>
        <v>8871.4906525573169</v>
      </c>
      <c r="D228" s="41">
        <v>330196</v>
      </c>
      <c r="E228" s="14">
        <v>11785</v>
      </c>
      <c r="F228" s="52">
        <v>40604</v>
      </c>
      <c r="G228" s="52">
        <f t="shared" si="36"/>
        <v>382585</v>
      </c>
      <c r="H228" s="14">
        <f t="shared" si="32"/>
        <v>70971.925220458535</v>
      </c>
      <c r="I228" s="41">
        <f t="shared" si="37"/>
        <v>311613.07477954146</v>
      </c>
      <c r="J228" s="4">
        <f t="shared" si="33"/>
        <v>-220419.44327464138</v>
      </c>
      <c r="K228" s="19">
        <v>102557</v>
      </c>
      <c r="L228" s="14">
        <f t="shared" si="34"/>
        <v>8871.4906525573169</v>
      </c>
      <c r="M228" s="19">
        <f t="shared" si="38"/>
        <v>93685.509347442683</v>
      </c>
      <c r="N228" s="4">
        <f t="shared" si="35"/>
        <v>-66268.425443553569</v>
      </c>
      <c r="O228" s="207">
        <f t="shared" si="39"/>
        <v>-286687.86871819495</v>
      </c>
      <c r="P228" s="441">
        <f t="shared" si="40"/>
        <v>-32.315636677760985</v>
      </c>
      <c r="Q228" s="200"/>
    </row>
    <row r="229" spans="1:17" x14ac:dyDescent="0.25">
      <c r="A229" s="198">
        <f>'A) Base RI'!A231</f>
        <v>5756</v>
      </c>
      <c r="B229" s="42" t="str">
        <f>'A) Base RI'!B231</f>
        <v>Montcherand</v>
      </c>
      <c r="C229" s="41">
        <f>'D) Ecrêtage'!M229</f>
        <v>14808.245169082125</v>
      </c>
      <c r="D229" s="41">
        <v>122536</v>
      </c>
      <c r="E229" s="14">
        <v>21294</v>
      </c>
      <c r="F229" s="52">
        <v>57087</v>
      </c>
      <c r="G229" s="52">
        <f t="shared" si="36"/>
        <v>200917</v>
      </c>
      <c r="H229" s="14">
        <f t="shared" si="32"/>
        <v>118465.961352657</v>
      </c>
      <c r="I229" s="41">
        <f t="shared" si="37"/>
        <v>82451.038647342997</v>
      </c>
      <c r="J229" s="4">
        <f t="shared" si="33"/>
        <v>-58321.724943411973</v>
      </c>
      <c r="K229" s="19">
        <v>9734</v>
      </c>
      <c r="L229" s="14">
        <f t="shared" si="34"/>
        <v>14808.245169082125</v>
      </c>
      <c r="M229" s="19">
        <f t="shared" si="38"/>
        <v>0</v>
      </c>
      <c r="N229" s="4">
        <f t="shared" si="35"/>
        <v>0</v>
      </c>
      <c r="O229" s="207">
        <f t="shared" si="39"/>
        <v>-58321.724943411973</v>
      </c>
      <c r="P229" s="441">
        <f t="shared" si="40"/>
        <v>-3.9384629493561381</v>
      </c>
      <c r="Q229" s="200"/>
    </row>
    <row r="230" spans="1:17" x14ac:dyDescent="0.25">
      <c r="A230" s="198">
        <f>'A) Base RI'!A232</f>
        <v>5757</v>
      </c>
      <c r="B230" s="42" t="str">
        <f>'A) Base RI'!B232</f>
        <v>Orbe</v>
      </c>
      <c r="C230" s="41">
        <f>'D) Ecrêtage'!M230</f>
        <v>210430.38166666671</v>
      </c>
      <c r="D230" s="41">
        <v>2411559</v>
      </c>
      <c r="E230" s="14">
        <v>867005</v>
      </c>
      <c r="F230" s="52">
        <v>802837</v>
      </c>
      <c r="G230" s="52">
        <f t="shared" si="36"/>
        <v>4081401</v>
      </c>
      <c r="H230" s="14">
        <f t="shared" si="32"/>
        <v>1683443.0533333337</v>
      </c>
      <c r="I230" s="41">
        <f t="shared" si="37"/>
        <v>2397957.9466666663</v>
      </c>
      <c r="J230" s="4">
        <f t="shared" si="33"/>
        <v>-1696195.052066443</v>
      </c>
      <c r="K230" s="19"/>
      <c r="L230" s="14">
        <f t="shared" si="34"/>
        <v>210430.38166666671</v>
      </c>
      <c r="M230" s="19">
        <f t="shared" si="38"/>
        <v>0</v>
      </c>
      <c r="N230" s="4">
        <f t="shared" si="35"/>
        <v>0</v>
      </c>
      <c r="O230" s="207">
        <f t="shared" si="39"/>
        <v>-1696195.052066443</v>
      </c>
      <c r="P230" s="441">
        <f t="shared" si="40"/>
        <v>-8.0605996084410911</v>
      </c>
      <c r="Q230" s="200"/>
    </row>
    <row r="231" spans="1:17" x14ac:dyDescent="0.25">
      <c r="A231" s="198">
        <f>'A) Base RI'!A233</f>
        <v>5758</v>
      </c>
      <c r="B231" s="42" t="str">
        <f>'A) Base RI'!B233</f>
        <v>La Praz</v>
      </c>
      <c r="C231" s="41">
        <f>'D) Ecrêtage'!M231</f>
        <v>3864.2083668005353</v>
      </c>
      <c r="D231" s="41">
        <v>58734</v>
      </c>
      <c r="E231" s="14">
        <v>4702</v>
      </c>
      <c r="F231" s="52">
        <v>14299</v>
      </c>
      <c r="G231" s="52">
        <f t="shared" si="36"/>
        <v>77735</v>
      </c>
      <c r="H231" s="14">
        <f t="shared" si="32"/>
        <v>30913.666934404282</v>
      </c>
      <c r="I231" s="41">
        <f t="shared" si="37"/>
        <v>46821.333065595718</v>
      </c>
      <c r="J231" s="4">
        <f t="shared" si="33"/>
        <v>-33119.060151749232</v>
      </c>
      <c r="K231" s="19">
        <v>607</v>
      </c>
      <c r="L231" s="14">
        <f t="shared" si="34"/>
        <v>3864.2083668005353</v>
      </c>
      <c r="M231" s="19">
        <f t="shared" si="38"/>
        <v>0</v>
      </c>
      <c r="N231" s="4">
        <f t="shared" si="35"/>
        <v>0</v>
      </c>
      <c r="O231" s="207">
        <f t="shared" si="39"/>
        <v>-33119.060151749232</v>
      </c>
      <c r="P231" s="441">
        <f t="shared" si="40"/>
        <v>-8.5707231619010642</v>
      </c>
      <c r="Q231" s="200"/>
    </row>
    <row r="232" spans="1:17" x14ac:dyDescent="0.25">
      <c r="A232" s="198">
        <f>'A) Base RI'!A234</f>
        <v>5759</v>
      </c>
      <c r="B232" s="42" t="str">
        <f>'A) Base RI'!B234</f>
        <v>Premier</v>
      </c>
      <c r="C232" s="41">
        <f>'D) Ecrêtage'!M232</f>
        <v>4558.7250617283944</v>
      </c>
      <c r="D232" s="41">
        <v>37629</v>
      </c>
      <c r="E232" s="14">
        <v>5485</v>
      </c>
      <c r="F232" s="52">
        <v>15569</v>
      </c>
      <c r="G232" s="52">
        <f t="shared" si="36"/>
        <v>58683</v>
      </c>
      <c r="H232" s="14">
        <f t="shared" si="32"/>
        <v>36469.800493827155</v>
      </c>
      <c r="I232" s="41">
        <f t="shared" si="37"/>
        <v>22213.199506172845</v>
      </c>
      <c r="J232" s="4">
        <f t="shared" si="33"/>
        <v>-15712.502025029316</v>
      </c>
      <c r="K232" s="19">
        <v>43174</v>
      </c>
      <c r="L232" s="14">
        <f t="shared" si="34"/>
        <v>4558.7250617283944</v>
      </c>
      <c r="M232" s="19">
        <f t="shared" si="38"/>
        <v>38615.274938271607</v>
      </c>
      <c r="N232" s="4">
        <f t="shared" si="35"/>
        <v>-27314.50665159912</v>
      </c>
      <c r="O232" s="207">
        <f t="shared" si="39"/>
        <v>-43027.008676628437</v>
      </c>
      <c r="P232" s="441">
        <f t="shared" si="40"/>
        <v>-9.4383864115541076</v>
      </c>
      <c r="Q232" s="200"/>
    </row>
    <row r="233" spans="1:17" x14ac:dyDescent="0.25">
      <c r="A233" s="198">
        <f>'A) Base RI'!A235</f>
        <v>5760</v>
      </c>
      <c r="B233" s="42" t="str">
        <f>'A) Base RI'!B235</f>
        <v>Rances</v>
      </c>
      <c r="C233" s="41">
        <f>'D) Ecrêtage'!M233</f>
        <v>11470.274871794873</v>
      </c>
      <c r="D233" s="41">
        <v>212419</v>
      </c>
      <c r="E233" s="14">
        <v>19712</v>
      </c>
      <c r="F233" s="52">
        <v>53980</v>
      </c>
      <c r="G233" s="52">
        <f t="shared" si="36"/>
        <v>286111</v>
      </c>
      <c r="H233" s="14">
        <f t="shared" si="32"/>
        <v>91762.19897435898</v>
      </c>
      <c r="I233" s="41">
        <f t="shared" si="37"/>
        <v>194348.80102564103</v>
      </c>
      <c r="J233" s="4">
        <f t="shared" si="33"/>
        <v>-137472.5837594358</v>
      </c>
      <c r="K233" s="19">
        <v>41416</v>
      </c>
      <c r="L233" s="14">
        <f t="shared" si="34"/>
        <v>11470.274871794873</v>
      </c>
      <c r="M233" s="19">
        <f t="shared" si="38"/>
        <v>29945.725128205129</v>
      </c>
      <c r="N233" s="4">
        <f t="shared" si="35"/>
        <v>-21182.102406595706</v>
      </c>
      <c r="O233" s="207">
        <f t="shared" si="39"/>
        <v>-158654.68616603152</v>
      </c>
      <c r="P233" s="441">
        <f t="shared" si="40"/>
        <v>-13.831812048040762</v>
      </c>
      <c r="Q233" s="200"/>
    </row>
    <row r="234" spans="1:17" x14ac:dyDescent="0.25">
      <c r="A234" s="198">
        <f>'A) Base RI'!A236</f>
        <v>5761</v>
      </c>
      <c r="B234" s="42" t="str">
        <f>'A) Base RI'!B236</f>
        <v>Romainmôtier-Envy</v>
      </c>
      <c r="C234" s="41">
        <f>'D) Ecrêtage'!M234</f>
        <v>11347.35572368421</v>
      </c>
      <c r="D234" s="41">
        <v>109787</v>
      </c>
      <c r="E234" s="14">
        <v>31768</v>
      </c>
      <c r="F234" s="52">
        <v>49492</v>
      </c>
      <c r="G234" s="52">
        <f t="shared" si="36"/>
        <v>191047</v>
      </c>
      <c r="H234" s="14">
        <f t="shared" si="32"/>
        <v>90778.845789473678</v>
      </c>
      <c r="I234" s="41">
        <f t="shared" si="37"/>
        <v>100268.15421052632</v>
      </c>
      <c r="J234" s="4">
        <f t="shared" si="33"/>
        <v>-70924.657910763359</v>
      </c>
      <c r="K234" s="19">
        <v>9375</v>
      </c>
      <c r="L234" s="14">
        <f t="shared" si="34"/>
        <v>11347.35572368421</v>
      </c>
      <c r="M234" s="19">
        <f t="shared" si="38"/>
        <v>0</v>
      </c>
      <c r="N234" s="4">
        <f t="shared" si="35"/>
        <v>0</v>
      </c>
      <c r="O234" s="207">
        <f t="shared" si="39"/>
        <v>-70924.657910763359</v>
      </c>
      <c r="P234" s="441">
        <f t="shared" si="40"/>
        <v>-6.250324713336461</v>
      </c>
      <c r="Q234" s="200"/>
    </row>
    <row r="235" spans="1:17" x14ac:dyDescent="0.25">
      <c r="A235" s="198">
        <f>'A) Base RI'!A237</f>
        <v>5762</v>
      </c>
      <c r="B235" s="42" t="str">
        <f>'A) Base RI'!B237</f>
        <v>Sergey</v>
      </c>
      <c r="C235" s="41">
        <f>'D) Ecrêtage'!M235</f>
        <v>3104.8092592592593</v>
      </c>
      <c r="D235" s="41">
        <v>10929</v>
      </c>
      <c r="E235" s="14">
        <v>4370</v>
      </c>
      <c r="F235" s="52">
        <v>18440</v>
      </c>
      <c r="G235" s="52">
        <f t="shared" si="36"/>
        <v>33739</v>
      </c>
      <c r="H235" s="14">
        <f t="shared" si="32"/>
        <v>24838.474074074074</v>
      </c>
      <c r="I235" s="41">
        <f t="shared" si="37"/>
        <v>8900.5259259259255</v>
      </c>
      <c r="J235" s="4">
        <f t="shared" si="33"/>
        <v>-6295.7851522503152</v>
      </c>
      <c r="K235" s="19">
        <v>4365</v>
      </c>
      <c r="L235" s="14">
        <f t="shared" si="34"/>
        <v>3104.8092592592593</v>
      </c>
      <c r="M235" s="19">
        <f t="shared" si="38"/>
        <v>1260.1907407407407</v>
      </c>
      <c r="N235" s="4">
        <f t="shared" si="35"/>
        <v>-891.39565690704012</v>
      </c>
      <c r="O235" s="207">
        <f t="shared" si="39"/>
        <v>-7187.1808091573548</v>
      </c>
      <c r="P235" s="441">
        <f t="shared" si="40"/>
        <v>-2.3148542177666855</v>
      </c>
      <c r="Q235" s="200"/>
    </row>
    <row r="236" spans="1:17" x14ac:dyDescent="0.25">
      <c r="A236" s="198">
        <f>'A) Base RI'!A238</f>
        <v>5763</v>
      </c>
      <c r="B236" s="42" t="str">
        <f>'A) Base RI'!B238</f>
        <v>Valeyres-sous-Rances</v>
      </c>
      <c r="C236" s="41">
        <f>'D) Ecrêtage'!M236</f>
        <v>16129.151764705883</v>
      </c>
      <c r="D236" s="41">
        <v>156316</v>
      </c>
      <c r="E236" s="14">
        <v>26403</v>
      </c>
      <c r="F236" s="52">
        <v>68264</v>
      </c>
      <c r="G236" s="52">
        <f t="shared" si="36"/>
        <v>250983</v>
      </c>
      <c r="H236" s="14">
        <f t="shared" si="32"/>
        <v>129033.21411764706</v>
      </c>
      <c r="I236" s="41">
        <f t="shared" si="37"/>
        <v>121949.78588235294</v>
      </c>
      <c r="J236" s="4">
        <f t="shared" si="33"/>
        <v>-86261.155539339816</v>
      </c>
      <c r="K236" s="19">
        <v>57090</v>
      </c>
      <c r="L236" s="14">
        <f t="shared" si="34"/>
        <v>16129.151764705883</v>
      </c>
      <c r="M236" s="19">
        <f t="shared" si="38"/>
        <v>40960.848235294121</v>
      </c>
      <c r="N236" s="4">
        <f t="shared" si="35"/>
        <v>-28973.647432695481</v>
      </c>
      <c r="O236" s="207">
        <f t="shared" si="39"/>
        <v>-115234.80297203529</v>
      </c>
      <c r="P236" s="441">
        <f t="shared" si="40"/>
        <v>-7.1445048476879167</v>
      </c>
      <c r="Q236" s="200"/>
    </row>
    <row r="237" spans="1:17" x14ac:dyDescent="0.25">
      <c r="A237" s="198">
        <f>'A) Base RI'!A239</f>
        <v>5764</v>
      </c>
      <c r="B237" s="42" t="str">
        <f>'A) Base RI'!B239</f>
        <v>Vallorbe</v>
      </c>
      <c r="C237" s="41">
        <f>'D) Ecrêtage'!M237</f>
        <v>84393.993513513502</v>
      </c>
      <c r="D237" s="41">
        <v>1525676</v>
      </c>
      <c r="E237" s="14">
        <v>268925</v>
      </c>
      <c r="F237" s="52">
        <v>376712</v>
      </c>
      <c r="G237" s="52">
        <f t="shared" si="36"/>
        <v>2171313</v>
      </c>
      <c r="H237" s="14">
        <f t="shared" si="32"/>
        <v>675151.94810810802</v>
      </c>
      <c r="I237" s="41">
        <f t="shared" si="37"/>
        <v>1496161.051891892</v>
      </c>
      <c r="J237" s="4">
        <f t="shared" si="33"/>
        <v>-1058309.2071490451</v>
      </c>
      <c r="K237" s="19">
        <v>708803</v>
      </c>
      <c r="L237" s="14">
        <f t="shared" si="34"/>
        <v>84393.993513513502</v>
      </c>
      <c r="M237" s="19">
        <f t="shared" si="38"/>
        <v>624409.00648648653</v>
      </c>
      <c r="N237" s="4">
        <f t="shared" si="35"/>
        <v>-441675.58014949935</v>
      </c>
      <c r="O237" s="207">
        <f t="shared" si="39"/>
        <v>-1499984.7872985443</v>
      </c>
      <c r="P237" s="441">
        <f t="shared" si="40"/>
        <v>-17.773596494854349</v>
      </c>
      <c r="Q237" s="200"/>
    </row>
    <row r="238" spans="1:17" x14ac:dyDescent="0.25">
      <c r="A238" s="198">
        <f>'A) Base RI'!A240</f>
        <v>5765</v>
      </c>
      <c r="B238" s="42" t="str">
        <f>'A) Base RI'!B240</f>
        <v>Vaulion</v>
      </c>
      <c r="C238" s="41">
        <f>'D) Ecrêtage'!M238</f>
        <v>9305.5603703703709</v>
      </c>
      <c r="D238" s="41">
        <v>164648</v>
      </c>
      <c r="E238" s="14">
        <v>14558</v>
      </c>
      <c r="F238" s="52">
        <v>50066</v>
      </c>
      <c r="G238" s="52">
        <f t="shared" si="36"/>
        <v>229272</v>
      </c>
      <c r="H238" s="14">
        <f t="shared" si="32"/>
        <v>74444.482962962968</v>
      </c>
      <c r="I238" s="41">
        <f t="shared" si="37"/>
        <v>154827.51703703703</v>
      </c>
      <c r="J238" s="4">
        <f t="shared" si="33"/>
        <v>-109517.21179556653</v>
      </c>
      <c r="K238" s="19">
        <v>87888</v>
      </c>
      <c r="L238" s="14">
        <f t="shared" si="34"/>
        <v>9305.5603703703709</v>
      </c>
      <c r="M238" s="19">
        <f t="shared" si="38"/>
        <v>78582.439629629633</v>
      </c>
      <c r="N238" s="4">
        <f t="shared" si="35"/>
        <v>-55585.272237310091</v>
      </c>
      <c r="O238" s="207">
        <f t="shared" si="39"/>
        <v>-165102.48403287661</v>
      </c>
      <c r="P238" s="441">
        <f t="shared" si="40"/>
        <v>-17.742347312965244</v>
      </c>
      <c r="Q238" s="200"/>
    </row>
    <row r="239" spans="1:17" x14ac:dyDescent="0.25">
      <c r="A239" s="198">
        <f>'A) Base RI'!A241</f>
        <v>5766</v>
      </c>
      <c r="B239" s="42" t="str">
        <f>'A) Base RI'!B241</f>
        <v>Vuiteboeuf</v>
      </c>
      <c r="C239" s="41">
        <f>'D) Ecrêtage'!M239</f>
        <v>11614.965899814471</v>
      </c>
      <c r="D239" s="41">
        <v>156048</v>
      </c>
      <c r="E239" s="14">
        <v>38881</v>
      </c>
      <c r="F239" s="52">
        <v>24704</v>
      </c>
      <c r="G239" s="52">
        <f t="shared" si="36"/>
        <v>219633</v>
      </c>
      <c r="H239" s="14">
        <f t="shared" si="32"/>
        <v>92919.727198515771</v>
      </c>
      <c r="I239" s="41">
        <f t="shared" si="37"/>
        <v>126713.27280148423</v>
      </c>
      <c r="J239" s="4">
        <f t="shared" si="33"/>
        <v>-89630.607015353075</v>
      </c>
      <c r="K239" s="19">
        <v>-21704</v>
      </c>
      <c r="L239" s="14">
        <f t="shared" si="34"/>
        <v>11614.965899814471</v>
      </c>
      <c r="M239" s="19">
        <f t="shared" si="38"/>
        <v>0</v>
      </c>
      <c r="N239" s="4">
        <f t="shared" si="35"/>
        <v>0</v>
      </c>
      <c r="O239" s="207">
        <f t="shared" si="39"/>
        <v>-89630.607015353075</v>
      </c>
      <c r="P239" s="441">
        <f t="shared" si="40"/>
        <v>-7.7168205045513538</v>
      </c>
      <c r="Q239" s="200"/>
    </row>
    <row r="240" spans="1:17" x14ac:dyDescent="0.25">
      <c r="A240" s="198">
        <f>'A) Base RI'!A242</f>
        <v>5782</v>
      </c>
      <c r="B240" s="42" t="str">
        <f>'A) Base RI'!B242</f>
        <v>Carrouge</v>
      </c>
      <c r="C240" s="41">
        <f>'D) Ecrêtage'!M240</f>
        <v>30069.638421052627</v>
      </c>
      <c r="D240" s="41">
        <v>551964</v>
      </c>
      <c r="E240" s="14">
        <v>49903</v>
      </c>
      <c r="F240" s="52">
        <v>172964</v>
      </c>
      <c r="G240" s="52">
        <f t="shared" si="36"/>
        <v>774831</v>
      </c>
      <c r="H240" s="14">
        <f t="shared" si="32"/>
        <v>240557.10736842101</v>
      </c>
      <c r="I240" s="41">
        <f>IF(G240&gt;H240,G240-H240,0)</f>
        <v>534273.89263157896</v>
      </c>
      <c r="J240" s="4">
        <f t="shared" si="33"/>
        <v>-377918.52621506178</v>
      </c>
      <c r="K240" s="19">
        <v>14991</v>
      </c>
      <c r="L240" s="14">
        <f t="shared" si="34"/>
        <v>30069.638421052627</v>
      </c>
      <c r="M240" s="19">
        <f t="shared" si="38"/>
        <v>0</v>
      </c>
      <c r="N240" s="4">
        <f t="shared" si="35"/>
        <v>0</v>
      </c>
      <c r="O240" s="207">
        <f t="shared" si="39"/>
        <v>-377918.52621506178</v>
      </c>
      <c r="P240" s="441">
        <f t="shared" si="40"/>
        <v>-12.568110095745949</v>
      </c>
      <c r="Q240" s="200"/>
    </row>
    <row r="241" spans="1:17" x14ac:dyDescent="0.25">
      <c r="A241" s="198">
        <f>'A) Base RI'!A243</f>
        <v>5785</v>
      </c>
      <c r="B241" s="42" t="str">
        <f>'A) Base RI'!B243</f>
        <v>Corcelles-le-Jorat</v>
      </c>
      <c r="C241" s="41">
        <f>'D) Ecrêtage'!M241</f>
        <v>12293.058354430379</v>
      </c>
      <c r="D241" s="41">
        <v>145879</v>
      </c>
      <c r="E241" s="14">
        <v>13362</v>
      </c>
      <c r="F241" s="52">
        <v>49280</v>
      </c>
      <c r="G241" s="52">
        <f t="shared" si="36"/>
        <v>208521</v>
      </c>
      <c r="H241" s="14">
        <f t="shared" si="32"/>
        <v>98344.466835443032</v>
      </c>
      <c r="I241" s="41">
        <f t="shared" si="37"/>
        <v>110176.53316455697</v>
      </c>
      <c r="J241" s="4">
        <f t="shared" si="33"/>
        <v>-77933.34769166146</v>
      </c>
      <c r="K241" s="19">
        <v>47190</v>
      </c>
      <c r="L241" s="14">
        <f t="shared" si="34"/>
        <v>12293.058354430379</v>
      </c>
      <c r="M241" s="19">
        <f t="shared" si="38"/>
        <v>34896.941645569619</v>
      </c>
      <c r="N241" s="4">
        <f t="shared" si="35"/>
        <v>-24684.344374657507</v>
      </c>
      <c r="O241" s="207">
        <f t="shared" si="39"/>
        <v>-102617.69206631897</v>
      </c>
      <c r="P241" s="441">
        <f t="shared" si="40"/>
        <v>-8.3476128647299461</v>
      </c>
      <c r="Q241" s="200"/>
    </row>
    <row r="242" spans="1:17" x14ac:dyDescent="0.25">
      <c r="A242" s="198">
        <f>'A) Base RI'!A244</f>
        <v>5788</v>
      </c>
      <c r="B242" s="42" t="str">
        <f>'A) Base RI'!B244</f>
        <v>Essertes</v>
      </c>
      <c r="C242" s="41">
        <f>'D) Ecrêtage'!M242</f>
        <v>10412.319857142857</v>
      </c>
      <c r="D242" s="41">
        <v>89586</v>
      </c>
      <c r="E242" s="14">
        <v>14930</v>
      </c>
      <c r="F242" s="52">
        <v>38177</v>
      </c>
      <c r="G242" s="52">
        <f t="shared" si="36"/>
        <v>142693</v>
      </c>
      <c r="H242" s="14">
        <f t="shared" si="32"/>
        <v>83298.558857142853</v>
      </c>
      <c r="I242" s="41">
        <f t="shared" si="37"/>
        <v>59394.441142857147</v>
      </c>
      <c r="J242" s="4">
        <f t="shared" si="33"/>
        <v>-42012.645520663958</v>
      </c>
      <c r="K242" s="19">
        <v>639</v>
      </c>
      <c r="L242" s="14">
        <f t="shared" si="34"/>
        <v>10412.319857142857</v>
      </c>
      <c r="M242" s="19">
        <f t="shared" si="38"/>
        <v>0</v>
      </c>
      <c r="N242" s="4">
        <f t="shared" si="35"/>
        <v>0</v>
      </c>
      <c r="O242" s="207">
        <f t="shared" si="39"/>
        <v>-42012.645520663958</v>
      </c>
      <c r="P242" s="441">
        <f t="shared" si="40"/>
        <v>-4.0348977074348387</v>
      </c>
      <c r="Q242" s="200"/>
    </row>
    <row r="243" spans="1:17" x14ac:dyDescent="0.25">
      <c r="A243" s="198">
        <f>'A) Base RI'!A245</f>
        <v>5789</v>
      </c>
      <c r="B243" s="42" t="str">
        <f>'A) Base RI'!B245</f>
        <v>Ferlens</v>
      </c>
      <c r="C243" s="41">
        <f>'D) Ecrêtage'!M243</f>
        <v>10073.464805194806</v>
      </c>
      <c r="D243" s="41">
        <v>39838</v>
      </c>
      <c r="E243" s="14">
        <v>9954</v>
      </c>
      <c r="F243" s="52">
        <v>41495</v>
      </c>
      <c r="G243" s="52">
        <f t="shared" si="36"/>
        <v>91287</v>
      </c>
      <c r="H243" s="14">
        <f t="shared" si="32"/>
        <v>80587.718441558449</v>
      </c>
      <c r="I243" s="41">
        <f t="shared" si="37"/>
        <v>10699.281558441551</v>
      </c>
      <c r="J243" s="4">
        <f t="shared" si="33"/>
        <v>-7568.1345727190164</v>
      </c>
      <c r="K243" s="19">
        <v>-6543</v>
      </c>
      <c r="L243" s="14">
        <f t="shared" si="34"/>
        <v>10073.464805194806</v>
      </c>
      <c r="M243" s="19">
        <f t="shared" si="38"/>
        <v>0</v>
      </c>
      <c r="N243" s="4">
        <f t="shared" si="35"/>
        <v>0</v>
      </c>
      <c r="O243" s="207">
        <f t="shared" si="39"/>
        <v>-7568.1345727190164</v>
      </c>
      <c r="P243" s="441">
        <f t="shared" si="40"/>
        <v>-0.75129408987622504</v>
      </c>
      <c r="Q243" s="200"/>
    </row>
    <row r="244" spans="1:17" x14ac:dyDescent="0.25">
      <c r="A244" s="198">
        <f>'A) Base RI'!A246</f>
        <v>5790</v>
      </c>
      <c r="B244" s="42" t="str">
        <f>'A) Base RI'!B246</f>
        <v>Maracon</v>
      </c>
      <c r="C244" s="41">
        <f>'D) Ecrêtage'!M244</f>
        <v>12107.709078947366</v>
      </c>
      <c r="D244" s="41">
        <v>190573</v>
      </c>
      <c r="E244" s="14">
        <v>13392</v>
      </c>
      <c r="F244" s="52">
        <v>46846</v>
      </c>
      <c r="G244" s="52">
        <f t="shared" si="36"/>
        <v>250811</v>
      </c>
      <c r="H244" s="14">
        <f t="shared" si="32"/>
        <v>96861.672631578927</v>
      </c>
      <c r="I244" s="41">
        <f t="shared" si="37"/>
        <v>153949.32736842107</v>
      </c>
      <c r="J244" s="4">
        <f t="shared" si="33"/>
        <v>-108896.02451713536</v>
      </c>
      <c r="K244" s="19">
        <v>-3213</v>
      </c>
      <c r="L244" s="14">
        <f t="shared" si="34"/>
        <v>12107.709078947366</v>
      </c>
      <c r="M244" s="19">
        <f t="shared" si="38"/>
        <v>0</v>
      </c>
      <c r="N244" s="4">
        <f t="shared" si="35"/>
        <v>0</v>
      </c>
      <c r="O244" s="207">
        <f t="shared" si="39"/>
        <v>-108896.02451713536</v>
      </c>
      <c r="P244" s="441">
        <f t="shared" si="40"/>
        <v>-8.9939412821275599</v>
      </c>
      <c r="Q244" s="200"/>
    </row>
    <row r="245" spans="1:17" x14ac:dyDescent="0.25">
      <c r="A245" s="198">
        <f>'A) Base RI'!A247</f>
        <v>5791</v>
      </c>
      <c r="B245" s="42" t="str">
        <f>'A) Base RI'!B247</f>
        <v>Mézières</v>
      </c>
      <c r="C245" s="41">
        <f>'D) Ecrêtage'!M245</f>
        <v>42914.858070175447</v>
      </c>
      <c r="D245" s="41">
        <v>548455</v>
      </c>
      <c r="E245" s="14">
        <v>53930</v>
      </c>
      <c r="F245" s="52">
        <v>151433</v>
      </c>
      <c r="G245" s="52">
        <f t="shared" si="36"/>
        <v>753818</v>
      </c>
      <c r="H245" s="14">
        <f t="shared" si="32"/>
        <v>343318.86456140358</v>
      </c>
      <c r="I245" s="41">
        <f t="shared" si="37"/>
        <v>410499.13543859642</v>
      </c>
      <c r="J245" s="4">
        <f t="shared" si="33"/>
        <v>-290366.47760082211</v>
      </c>
      <c r="K245" s="19">
        <v>9980</v>
      </c>
      <c r="L245" s="14">
        <f t="shared" si="34"/>
        <v>42914.858070175447</v>
      </c>
      <c r="M245" s="19">
        <f t="shared" si="38"/>
        <v>0</v>
      </c>
      <c r="N245" s="4">
        <f t="shared" si="35"/>
        <v>0</v>
      </c>
      <c r="O245" s="207">
        <f t="shared" si="39"/>
        <v>-290366.47760082211</v>
      </c>
      <c r="P245" s="441">
        <f t="shared" si="40"/>
        <v>-6.7661059749051855</v>
      </c>
      <c r="Q245" s="200"/>
    </row>
    <row r="246" spans="1:17" x14ac:dyDescent="0.25">
      <c r="A246" s="198">
        <f>'A) Base RI'!A248</f>
        <v>5792</v>
      </c>
      <c r="B246" s="42" t="str">
        <f>'A) Base RI'!B248</f>
        <v>Montpreveyres</v>
      </c>
      <c r="C246" s="41">
        <f>'D) Ecrêtage'!M246</f>
        <v>19088.494155844161</v>
      </c>
      <c r="D246" s="41">
        <v>190643</v>
      </c>
      <c r="E246" s="14">
        <v>27010</v>
      </c>
      <c r="F246" s="52">
        <v>88344</v>
      </c>
      <c r="G246" s="52">
        <f t="shared" si="36"/>
        <v>305997</v>
      </c>
      <c r="H246" s="14">
        <f t="shared" si="32"/>
        <v>152707.95324675328</v>
      </c>
      <c r="I246" s="41">
        <f t="shared" si="37"/>
        <v>153289.04675324672</v>
      </c>
      <c r="J246" s="4">
        <f t="shared" si="33"/>
        <v>-108428.97516208267</v>
      </c>
      <c r="K246" s="19">
        <v>-12311</v>
      </c>
      <c r="L246" s="14">
        <f t="shared" si="34"/>
        <v>19088.494155844161</v>
      </c>
      <c r="M246" s="19">
        <f t="shared" si="38"/>
        <v>0</v>
      </c>
      <c r="N246" s="4">
        <f t="shared" si="35"/>
        <v>0</v>
      </c>
      <c r="O246" s="207">
        <f t="shared" si="39"/>
        <v>-108428.97516208267</v>
      </c>
      <c r="P246" s="441">
        <f t="shared" si="40"/>
        <v>-5.6803315272978674</v>
      </c>
      <c r="Q246" s="200"/>
    </row>
    <row r="247" spans="1:17" x14ac:dyDescent="0.25">
      <c r="A247" s="198">
        <f>'A) Base RI'!A249</f>
        <v>5798</v>
      </c>
      <c r="B247" s="42" t="str">
        <f>'A) Base RI'!B249</f>
        <v>Ropraz</v>
      </c>
      <c r="C247" s="41">
        <f>'D) Ecrêtage'!M247</f>
        <v>9558.3067096774193</v>
      </c>
      <c r="D247" s="41">
        <v>136876</v>
      </c>
      <c r="E247" s="14">
        <v>12336</v>
      </c>
      <c r="F247" s="52">
        <v>44756</v>
      </c>
      <c r="G247" s="52">
        <f t="shared" si="36"/>
        <v>193968</v>
      </c>
      <c r="H247" s="14">
        <f t="shared" si="32"/>
        <v>76466.453677419355</v>
      </c>
      <c r="I247" s="41">
        <f t="shared" si="37"/>
        <v>117501.54632258065</v>
      </c>
      <c r="J247" s="4">
        <f t="shared" si="33"/>
        <v>-83114.694217038399</v>
      </c>
      <c r="K247" s="19">
        <v>13891</v>
      </c>
      <c r="L247" s="14">
        <f t="shared" si="34"/>
        <v>9558.3067096774193</v>
      </c>
      <c r="M247" s="19">
        <f t="shared" si="38"/>
        <v>4332.6932903225807</v>
      </c>
      <c r="N247" s="4">
        <f t="shared" si="35"/>
        <v>-3064.7296927714706</v>
      </c>
      <c r="O247" s="207">
        <f t="shared" si="39"/>
        <v>-86179.423909809877</v>
      </c>
      <c r="P247" s="441">
        <f t="shared" si="40"/>
        <v>-9.0161810587806848</v>
      </c>
      <c r="Q247" s="200"/>
    </row>
    <row r="248" spans="1:17" x14ac:dyDescent="0.25">
      <c r="A248" s="198">
        <f>'A) Base RI'!A250</f>
        <v>5799</v>
      </c>
      <c r="B248" s="42" t="str">
        <f>'A) Base RI'!B250</f>
        <v>Servion</v>
      </c>
      <c r="C248" s="41">
        <f>'D) Ecrêtage'!M248</f>
        <v>51366.477681159435</v>
      </c>
      <c r="D248" s="41">
        <v>407679</v>
      </c>
      <c r="E248" s="14">
        <v>85645</v>
      </c>
      <c r="F248" s="52">
        <v>236732</v>
      </c>
      <c r="G248" s="52">
        <f t="shared" si="36"/>
        <v>730056</v>
      </c>
      <c r="H248" s="14">
        <f t="shared" si="32"/>
        <v>410931.82144927548</v>
      </c>
      <c r="I248" s="41">
        <f t="shared" si="37"/>
        <v>319124.17855072452</v>
      </c>
      <c r="J248" s="4">
        <f t="shared" si="33"/>
        <v>-225732.42095631766</v>
      </c>
      <c r="K248" s="19">
        <v>51163</v>
      </c>
      <c r="L248" s="14">
        <f t="shared" si="34"/>
        <v>51366.477681159435</v>
      </c>
      <c r="M248" s="19">
        <f t="shared" si="38"/>
        <v>0</v>
      </c>
      <c r="N248" s="4">
        <f t="shared" si="35"/>
        <v>0</v>
      </c>
      <c r="O248" s="207">
        <f t="shared" si="39"/>
        <v>-225732.42095631766</v>
      </c>
      <c r="P248" s="441">
        <f t="shared" si="40"/>
        <v>-4.3945474003002039</v>
      </c>
      <c r="Q248" s="200"/>
    </row>
    <row r="249" spans="1:17" x14ac:dyDescent="0.25">
      <c r="A249" s="198">
        <f>'A) Base RI'!A251</f>
        <v>5803</v>
      </c>
      <c r="B249" s="42" t="str">
        <f>'A) Base RI'!B251</f>
        <v>Vulliens</v>
      </c>
      <c r="C249" s="41">
        <f>'D) Ecrêtage'!M249</f>
        <v>12589.149382716048</v>
      </c>
      <c r="D249" s="41">
        <v>122214</v>
      </c>
      <c r="E249" s="14">
        <v>13332</v>
      </c>
      <c r="F249" s="52">
        <v>54856</v>
      </c>
      <c r="G249" s="52">
        <f t="shared" si="36"/>
        <v>190402</v>
      </c>
      <c r="H249" s="14">
        <f t="shared" si="32"/>
        <v>100713.19506172839</v>
      </c>
      <c r="I249" s="41">
        <f t="shared" si="37"/>
        <v>89688.804938271613</v>
      </c>
      <c r="J249" s="4">
        <f t="shared" si="33"/>
        <v>-63441.357415596001</v>
      </c>
      <c r="K249" s="19">
        <v>24481</v>
      </c>
      <c r="L249" s="14">
        <f t="shared" si="34"/>
        <v>12589.149382716048</v>
      </c>
      <c r="M249" s="19">
        <f t="shared" si="38"/>
        <v>11891.850617283952</v>
      </c>
      <c r="N249" s="4">
        <f t="shared" si="35"/>
        <v>-8411.6980470776452</v>
      </c>
      <c r="O249" s="207">
        <f t="shared" si="39"/>
        <v>-71853.055462673641</v>
      </c>
      <c r="P249" s="441">
        <f t="shared" si="40"/>
        <v>-5.707538553901224</v>
      </c>
      <c r="Q249" s="200"/>
    </row>
    <row r="250" spans="1:17" x14ac:dyDescent="0.25">
      <c r="A250" s="198">
        <f>'A) Base RI'!A252</f>
        <v>5804</v>
      </c>
      <c r="B250" s="42" t="str">
        <f>'A) Base RI'!B252</f>
        <v>Jorat-Menthue</v>
      </c>
      <c r="C250" s="41">
        <f>'D) Ecrêtage'!M250</f>
        <v>41163.666944444441</v>
      </c>
      <c r="D250" s="41">
        <v>608652</v>
      </c>
      <c r="E250" s="14">
        <v>44308</v>
      </c>
      <c r="F250" s="52">
        <v>148149</v>
      </c>
      <c r="G250" s="52">
        <f t="shared" si="36"/>
        <v>801109</v>
      </c>
      <c r="H250" s="14">
        <f t="shared" si="32"/>
        <v>329309.33555555553</v>
      </c>
      <c r="I250" s="41">
        <f t="shared" si="37"/>
        <v>471799.66444444447</v>
      </c>
      <c r="J250" s="4">
        <f t="shared" si="33"/>
        <v>-333727.39397273399</v>
      </c>
      <c r="K250" s="19">
        <v>148532</v>
      </c>
      <c r="L250" s="14">
        <f t="shared" si="34"/>
        <v>41163.666944444441</v>
      </c>
      <c r="M250" s="19">
        <f t="shared" si="38"/>
        <v>107368.33305555556</v>
      </c>
      <c r="N250" s="4">
        <f t="shared" si="35"/>
        <v>-75946.967931865467</v>
      </c>
      <c r="O250" s="207">
        <f t="shared" si="39"/>
        <v>-409674.36190459947</v>
      </c>
      <c r="P250" s="441">
        <f t="shared" si="40"/>
        <v>-9.9523291366997668</v>
      </c>
      <c r="Q250" s="200"/>
    </row>
    <row r="251" spans="1:17" x14ac:dyDescent="0.25">
      <c r="A251" s="198">
        <f>'A) Base RI'!A253</f>
        <v>5805</v>
      </c>
      <c r="B251" s="42" t="str">
        <f>'A) Base RI'!B253</f>
        <v>Oron</v>
      </c>
      <c r="C251" s="41">
        <f>'D) Ecrêtage'!M251</f>
        <v>146504.50986824767</v>
      </c>
      <c r="D251" s="41">
        <v>1551840</v>
      </c>
      <c r="E251" s="14">
        <v>390598</v>
      </c>
      <c r="F251" s="52">
        <v>569252</v>
      </c>
      <c r="G251" s="52">
        <f>D251+E251+F251</f>
        <v>2511690</v>
      </c>
      <c r="H251" s="14">
        <f t="shared" si="32"/>
        <v>1172036.0789459813</v>
      </c>
      <c r="I251" s="41">
        <f>IF(G251&gt;H251,G251-H251,0)</f>
        <v>1339653.9210540187</v>
      </c>
      <c r="J251" s="4">
        <f t="shared" si="33"/>
        <v>-947603.92088273098</v>
      </c>
      <c r="K251" s="19">
        <v>19565</v>
      </c>
      <c r="L251" s="14">
        <f t="shared" si="34"/>
        <v>146504.50986824767</v>
      </c>
      <c r="M251" s="19">
        <f>IF(K251&gt;L251,K251-L251,0)</f>
        <v>0</v>
      </c>
      <c r="N251" s="4">
        <f t="shared" si="35"/>
        <v>0</v>
      </c>
      <c r="O251" s="207">
        <f>N251+J251</f>
        <v>-947603.92088273098</v>
      </c>
      <c r="P251" s="441">
        <f>O251/C251</f>
        <v>-6.468087035238141</v>
      </c>
      <c r="Q251" s="200"/>
    </row>
    <row r="252" spans="1:17" x14ac:dyDescent="0.25">
      <c r="A252" s="198">
        <f>'A) Base RI'!A254</f>
        <v>5812</v>
      </c>
      <c r="B252" s="42" t="str">
        <f>'A) Base RI'!B254</f>
        <v>Champtauroz</v>
      </c>
      <c r="C252" s="41">
        <f>'D) Ecrêtage'!M252</f>
        <v>2420.1879870129869</v>
      </c>
      <c r="D252" s="41">
        <v>33468</v>
      </c>
      <c r="E252" s="14">
        <v>3132</v>
      </c>
      <c r="F252" s="52">
        <v>29355</v>
      </c>
      <c r="G252" s="52">
        <f>D252+E252+F252</f>
        <v>65955</v>
      </c>
      <c r="H252" s="14">
        <f t="shared" si="32"/>
        <v>19361.503896103895</v>
      </c>
      <c r="I252" s="41">
        <f>IF(G252&gt;H252,G252-H252,0)</f>
        <v>46593.496103896105</v>
      </c>
      <c r="J252" s="4">
        <f t="shared" si="33"/>
        <v>-32957.899724540766</v>
      </c>
      <c r="K252" s="19">
        <v>5334</v>
      </c>
      <c r="L252" s="14">
        <f t="shared" si="34"/>
        <v>2420.1879870129869</v>
      </c>
      <c r="M252" s="19">
        <f>IF(K252&gt;L252,K252-L252,0)</f>
        <v>2913.8120129870131</v>
      </c>
      <c r="N252" s="4">
        <f t="shared" si="35"/>
        <v>-2061.0843179925719</v>
      </c>
      <c r="O252" s="207">
        <f>N252+J252</f>
        <v>-35018.984042533339</v>
      </c>
      <c r="P252" s="441">
        <f>O252/C252</f>
        <v>-14.469530561447838</v>
      </c>
      <c r="Q252" s="200"/>
    </row>
    <row r="253" spans="1:17" x14ac:dyDescent="0.25">
      <c r="A253" s="198">
        <f>'A) Base RI'!A255</f>
        <v>5813</v>
      </c>
      <c r="B253" s="42" t="str">
        <f>'A) Base RI'!B255</f>
        <v>Chevroux</v>
      </c>
      <c r="C253" s="41">
        <f>'D) Ecrêtage'!M253</f>
        <v>11590.298571428571</v>
      </c>
      <c r="D253" s="41">
        <v>60754</v>
      </c>
      <c r="E253" s="14">
        <v>14334</v>
      </c>
      <c r="F253" s="52">
        <v>30142</v>
      </c>
      <c r="G253" s="52">
        <f t="shared" si="36"/>
        <v>105230</v>
      </c>
      <c r="H253" s="14">
        <f t="shared" si="32"/>
        <v>92722.388571428572</v>
      </c>
      <c r="I253" s="41">
        <f t="shared" si="37"/>
        <v>12507.611428571428</v>
      </c>
      <c r="J253" s="4">
        <f t="shared" si="33"/>
        <v>-8847.2563281618059</v>
      </c>
      <c r="K253" s="19">
        <v>8064</v>
      </c>
      <c r="L253" s="14">
        <f t="shared" si="34"/>
        <v>11590.298571428571</v>
      </c>
      <c r="M253" s="19">
        <f t="shared" si="38"/>
        <v>0</v>
      </c>
      <c r="N253" s="4">
        <f t="shared" si="35"/>
        <v>0</v>
      </c>
      <c r="O253" s="207">
        <f t="shared" si="39"/>
        <v>-8847.2563281618059</v>
      </c>
      <c r="P253" s="441">
        <f t="shared" si="40"/>
        <v>-0.76333290929806741</v>
      </c>
      <c r="Q253" s="200"/>
    </row>
    <row r="254" spans="1:17" x14ac:dyDescent="0.25">
      <c r="A254" s="198">
        <f>'A) Base RI'!A256</f>
        <v>5816</v>
      </c>
      <c r="B254" s="42" t="str">
        <f>'A) Base RI'!B256</f>
        <v>Corcelles-près-Payerne</v>
      </c>
      <c r="C254" s="41">
        <f>'D) Ecrêtage'!M254</f>
        <v>52953.608154761903</v>
      </c>
      <c r="D254" s="41">
        <v>461412</v>
      </c>
      <c r="E254" s="14">
        <v>119505</v>
      </c>
      <c r="F254" s="52">
        <v>194350</v>
      </c>
      <c r="G254" s="52">
        <f t="shared" si="36"/>
        <v>775267</v>
      </c>
      <c r="H254" s="14">
        <f t="shared" si="32"/>
        <v>423628.86523809523</v>
      </c>
      <c r="I254" s="41">
        <f t="shared" si="37"/>
        <v>351638.13476190477</v>
      </c>
      <c r="J254" s="4">
        <f t="shared" si="33"/>
        <v>-248731.16108233674</v>
      </c>
      <c r="K254" s="19">
        <v>34517</v>
      </c>
      <c r="L254" s="14">
        <f t="shared" si="34"/>
        <v>52953.608154761903</v>
      </c>
      <c r="M254" s="19">
        <f t="shared" si="38"/>
        <v>0</v>
      </c>
      <c r="N254" s="4">
        <f t="shared" si="35"/>
        <v>0</v>
      </c>
      <c r="O254" s="207">
        <f t="shared" si="39"/>
        <v>-248731.16108233674</v>
      </c>
      <c r="P254" s="441">
        <f t="shared" si="40"/>
        <v>-4.6971522762980857</v>
      </c>
      <c r="Q254" s="200"/>
    </row>
    <row r="255" spans="1:17" x14ac:dyDescent="0.25">
      <c r="A255" s="198">
        <f>'A) Base RI'!A257</f>
        <v>5817</v>
      </c>
      <c r="B255" s="42" t="str">
        <f>'A) Base RI'!B257</f>
        <v>Grandcour</v>
      </c>
      <c r="C255" s="41">
        <f>'D) Ecrêtage'!M255</f>
        <v>20895.78968553459</v>
      </c>
      <c r="D255" s="41">
        <v>183605</v>
      </c>
      <c r="E255" s="14">
        <v>19729</v>
      </c>
      <c r="F255" s="52">
        <v>63309</v>
      </c>
      <c r="G255" s="52">
        <f t="shared" si="36"/>
        <v>266643</v>
      </c>
      <c r="H255" s="14">
        <f t="shared" si="32"/>
        <v>167166.31748427672</v>
      </c>
      <c r="I255" s="41">
        <f t="shared" si="37"/>
        <v>99476.682515723282</v>
      </c>
      <c r="J255" s="4">
        <f t="shared" si="33"/>
        <v>-70364.810572972594</v>
      </c>
      <c r="K255" s="19">
        <v>65811</v>
      </c>
      <c r="L255" s="14">
        <f t="shared" si="34"/>
        <v>20895.78968553459</v>
      </c>
      <c r="M255" s="19">
        <f t="shared" si="38"/>
        <v>44915.21031446541</v>
      </c>
      <c r="N255" s="4">
        <f t="shared" si="35"/>
        <v>-31770.764622383165</v>
      </c>
      <c r="O255" s="207">
        <f t="shared" si="39"/>
        <v>-102135.57519535576</v>
      </c>
      <c r="P255" s="441">
        <f t="shared" si="40"/>
        <v>-4.8878542870318311</v>
      </c>
      <c r="Q255" s="200"/>
    </row>
    <row r="256" spans="1:17" x14ac:dyDescent="0.25">
      <c r="A256" s="198">
        <f>'A) Base RI'!A258</f>
        <v>5819</v>
      </c>
      <c r="B256" s="42" t="str">
        <f>'A) Base RI'!B258</f>
        <v>Henniez</v>
      </c>
      <c r="C256" s="41">
        <f>'D) Ecrêtage'!M256</f>
        <v>13106.979402985076</v>
      </c>
      <c r="D256" s="41">
        <v>142866</v>
      </c>
      <c r="E256" s="14">
        <v>13122</v>
      </c>
      <c r="F256" s="52">
        <v>48786</v>
      </c>
      <c r="G256" s="52">
        <f t="shared" si="36"/>
        <v>204774</v>
      </c>
      <c r="H256" s="14">
        <f t="shared" si="32"/>
        <v>104855.83522388061</v>
      </c>
      <c r="I256" s="41">
        <f t="shared" si="37"/>
        <v>99918.164776119389</v>
      </c>
      <c r="J256" s="4">
        <f t="shared" si="33"/>
        <v>-70677.09295753231</v>
      </c>
      <c r="K256" s="19">
        <v>1323</v>
      </c>
      <c r="L256" s="14">
        <f t="shared" si="34"/>
        <v>13106.979402985076</v>
      </c>
      <c r="M256" s="19">
        <f t="shared" si="38"/>
        <v>0</v>
      </c>
      <c r="N256" s="4">
        <f t="shared" si="35"/>
        <v>0</v>
      </c>
      <c r="O256" s="207">
        <f t="shared" si="39"/>
        <v>-70677.09295753231</v>
      </c>
      <c r="P256" s="441">
        <f t="shared" si="40"/>
        <v>-5.3923250189464556</v>
      </c>
      <c r="Q256" s="200"/>
    </row>
    <row r="257" spans="1:17" x14ac:dyDescent="0.25">
      <c r="A257" s="198">
        <f>'A) Base RI'!A259</f>
        <v>5821</v>
      </c>
      <c r="B257" s="42" t="str">
        <f>'A) Base RI'!B259</f>
        <v>Missy</v>
      </c>
      <c r="C257" s="41">
        <f>'D) Ecrêtage'!M257</f>
        <v>7313.8070833333331</v>
      </c>
      <c r="D257" s="41">
        <v>128927</v>
      </c>
      <c r="E257" s="14">
        <v>7658</v>
      </c>
      <c r="F257" s="52">
        <v>22201</v>
      </c>
      <c r="G257" s="52">
        <f t="shared" si="36"/>
        <v>158786</v>
      </c>
      <c r="H257" s="14">
        <f t="shared" si="32"/>
        <v>58510.456666666665</v>
      </c>
      <c r="I257" s="41">
        <f t="shared" si="37"/>
        <v>100275.54333333333</v>
      </c>
      <c r="J257" s="4">
        <f t="shared" si="33"/>
        <v>-70929.884605235537</v>
      </c>
      <c r="K257" s="19">
        <v>786</v>
      </c>
      <c r="L257" s="14">
        <f t="shared" si="34"/>
        <v>7313.8070833333331</v>
      </c>
      <c r="M257" s="19">
        <f t="shared" si="38"/>
        <v>0</v>
      </c>
      <c r="N257" s="4">
        <f t="shared" si="35"/>
        <v>0</v>
      </c>
      <c r="O257" s="207">
        <f t="shared" si="39"/>
        <v>-70929.884605235537</v>
      </c>
      <c r="P257" s="441">
        <f t="shared" si="40"/>
        <v>-9.6980797821247169</v>
      </c>
      <c r="Q257" s="200"/>
    </row>
    <row r="258" spans="1:17" x14ac:dyDescent="0.25">
      <c r="A258" s="198">
        <f>'A) Base RI'!A260</f>
        <v>5822</v>
      </c>
      <c r="B258" s="42" t="str">
        <f>'A) Base RI'!B260</f>
        <v>Payerne</v>
      </c>
      <c r="C258" s="41">
        <f>'D) Ecrêtage'!M258</f>
        <v>224445.50853333328</v>
      </c>
      <c r="D258" s="41">
        <v>2150530</v>
      </c>
      <c r="E258" s="14">
        <v>526198</v>
      </c>
      <c r="F258" s="52">
        <v>710738</v>
      </c>
      <c r="G258" s="52">
        <f t="shared" si="36"/>
        <v>3387466</v>
      </c>
      <c r="H258" s="14">
        <f t="shared" si="32"/>
        <v>1795564.0682666663</v>
      </c>
      <c r="I258" s="41">
        <f t="shared" si="37"/>
        <v>1591901.9317333337</v>
      </c>
      <c r="J258" s="4">
        <f t="shared" si="33"/>
        <v>-1126031.4984816695</v>
      </c>
      <c r="K258" s="19">
        <v>164149</v>
      </c>
      <c r="L258" s="14">
        <f t="shared" si="34"/>
        <v>224445.50853333328</v>
      </c>
      <c r="M258" s="19">
        <f t="shared" si="38"/>
        <v>0</v>
      </c>
      <c r="N258" s="4">
        <f t="shared" si="35"/>
        <v>0</v>
      </c>
      <c r="O258" s="207">
        <f t="shared" si="39"/>
        <v>-1126031.4984816695</v>
      </c>
      <c r="P258" s="441">
        <f t="shared" si="40"/>
        <v>-5.0169482376362105</v>
      </c>
      <c r="Q258" s="200"/>
    </row>
    <row r="259" spans="1:17" x14ac:dyDescent="0.25">
      <c r="A259" s="198">
        <f>'A) Base RI'!A261</f>
        <v>5827</v>
      </c>
      <c r="B259" s="42" t="str">
        <f>'A) Base RI'!B261</f>
        <v>Trey</v>
      </c>
      <c r="C259" s="41">
        <f>'D) Ecrêtage'!M259</f>
        <v>6544.3336250000011</v>
      </c>
      <c r="D259" s="41">
        <v>77397</v>
      </c>
      <c r="E259" s="14">
        <v>6104</v>
      </c>
      <c r="F259" s="52">
        <v>25071</v>
      </c>
      <c r="G259" s="52">
        <f t="shared" si="36"/>
        <v>108572</v>
      </c>
      <c r="H259" s="14">
        <f t="shared" si="32"/>
        <v>52354.669000000009</v>
      </c>
      <c r="I259" s="41">
        <f t="shared" si="37"/>
        <v>56217.330999999991</v>
      </c>
      <c r="J259" s="4">
        <f t="shared" si="33"/>
        <v>-39765.317325573837</v>
      </c>
      <c r="K259" s="19">
        <v>14217</v>
      </c>
      <c r="L259" s="14">
        <f t="shared" si="34"/>
        <v>6544.3336250000011</v>
      </c>
      <c r="M259" s="19">
        <f t="shared" si="38"/>
        <v>7672.6663749999989</v>
      </c>
      <c r="N259" s="4">
        <f t="shared" si="35"/>
        <v>-5427.2589556970488</v>
      </c>
      <c r="O259" s="207">
        <f t="shared" si="39"/>
        <v>-45192.576281270885</v>
      </c>
      <c r="P259" s="441">
        <f t="shared" si="40"/>
        <v>-6.9056039729745402</v>
      </c>
      <c r="Q259" s="200"/>
    </row>
    <row r="260" spans="1:17" x14ac:dyDescent="0.25">
      <c r="A260" s="198">
        <f>'A) Base RI'!A262</f>
        <v>5828</v>
      </c>
      <c r="B260" s="42" t="str">
        <f>'A) Base RI'!B262</f>
        <v>Treytorrens (Payerne)</v>
      </c>
      <c r="C260" s="41">
        <f>'D) Ecrêtage'!M260</f>
        <v>2136.5168650793653</v>
      </c>
      <c r="D260" s="41">
        <v>65230</v>
      </c>
      <c r="E260" s="14">
        <v>2743</v>
      </c>
      <c r="F260" s="52">
        <v>21581</v>
      </c>
      <c r="G260" s="52">
        <f t="shared" si="36"/>
        <v>89554</v>
      </c>
      <c r="H260" s="14">
        <f t="shared" si="32"/>
        <v>17092.134920634922</v>
      </c>
      <c r="I260" s="41">
        <f t="shared" si="37"/>
        <v>72461.865079365074</v>
      </c>
      <c r="J260" s="4">
        <f t="shared" si="33"/>
        <v>-51255.885109235627</v>
      </c>
      <c r="K260" s="19">
        <v>4957</v>
      </c>
      <c r="L260" s="14">
        <f t="shared" si="34"/>
        <v>2136.5168650793653</v>
      </c>
      <c r="M260" s="19">
        <f t="shared" si="38"/>
        <v>2820.4831349206347</v>
      </c>
      <c r="N260" s="4">
        <f t="shared" si="35"/>
        <v>-1995.0681556110933</v>
      </c>
      <c r="O260" s="207">
        <f t="shared" si="39"/>
        <v>-53250.953264846721</v>
      </c>
      <c r="P260" s="441">
        <f t="shared" si="40"/>
        <v>-24.92419045934777</v>
      </c>
      <c r="Q260" s="200"/>
    </row>
    <row r="261" spans="1:17" x14ac:dyDescent="0.25">
      <c r="A261" s="198">
        <f>'A) Base RI'!A263</f>
        <v>5830</v>
      </c>
      <c r="B261" s="42" t="str">
        <f>'A) Base RI'!B263</f>
        <v>Villarzel</v>
      </c>
      <c r="C261" s="41">
        <f>'D) Ecrêtage'!M261</f>
        <v>10236.981518987341</v>
      </c>
      <c r="D261" s="41">
        <v>155642</v>
      </c>
      <c r="E261" s="14">
        <v>9442</v>
      </c>
      <c r="F261" s="52">
        <v>64451</v>
      </c>
      <c r="G261" s="52">
        <f t="shared" si="36"/>
        <v>229535</v>
      </c>
      <c r="H261" s="14">
        <f t="shared" si="32"/>
        <v>81895.852151898725</v>
      </c>
      <c r="I261" s="41">
        <f t="shared" si="37"/>
        <v>147639.14784810127</v>
      </c>
      <c r="J261" s="4">
        <f t="shared" si="33"/>
        <v>-104432.52035314625</v>
      </c>
      <c r="K261" s="19">
        <v>3969</v>
      </c>
      <c r="L261" s="14">
        <f t="shared" si="34"/>
        <v>10236.981518987341</v>
      </c>
      <c r="M261" s="19">
        <f t="shared" si="38"/>
        <v>0</v>
      </c>
      <c r="N261" s="4">
        <f t="shared" si="35"/>
        <v>0</v>
      </c>
      <c r="O261" s="207">
        <f t="shared" si="39"/>
        <v>-104432.52035314625</v>
      </c>
      <c r="P261" s="441">
        <f t="shared" si="40"/>
        <v>-10.201495446626232</v>
      </c>
      <c r="Q261" s="200"/>
    </row>
    <row r="262" spans="1:17" x14ac:dyDescent="0.25">
      <c r="A262" s="198">
        <f>'A) Base RI'!A264</f>
        <v>5831</v>
      </c>
      <c r="B262" s="42" t="str">
        <f>'A) Base RI'!B264</f>
        <v>Valbroye</v>
      </c>
      <c r="C262" s="41">
        <f>'D) Ecrêtage'!M262</f>
        <v>78037.716438356161</v>
      </c>
      <c r="D262" s="41">
        <v>882931</v>
      </c>
      <c r="E262" s="14">
        <v>133873</v>
      </c>
      <c r="F262" s="52">
        <v>469688</v>
      </c>
      <c r="G262" s="52">
        <f t="shared" si="36"/>
        <v>1486492</v>
      </c>
      <c r="H262" s="14">
        <f t="shared" ref="H262:H322" si="41">C262*I$4</f>
        <v>624301.73150684929</v>
      </c>
      <c r="I262" s="41">
        <f>IF(G262&gt;H262,G262-H262,0)</f>
        <v>862190.26849315071</v>
      </c>
      <c r="J262" s="4">
        <f t="shared" ref="J262:J322" si="42">-I262*J$4</f>
        <v>-609870.10610040964</v>
      </c>
      <c r="K262" s="19">
        <v>76415</v>
      </c>
      <c r="L262" s="14">
        <f t="shared" ref="L262:L322" si="43">C262*M$4</f>
        <v>78037.716438356161</v>
      </c>
      <c r="M262" s="19">
        <f>IF(K262&gt;L262,K262-L262,0)</f>
        <v>0</v>
      </c>
      <c r="N262" s="4">
        <f t="shared" ref="N262:N322" si="44">-M262*N$4</f>
        <v>0</v>
      </c>
      <c r="O262" s="207">
        <f>N262+J262</f>
        <v>-609870.10610040964</v>
      </c>
      <c r="P262" s="441">
        <f>O262/C262</f>
        <v>-7.8150685839476157</v>
      </c>
      <c r="Q262" s="200"/>
    </row>
    <row r="263" spans="1:17" x14ac:dyDescent="0.25">
      <c r="A263" s="198">
        <f>'A) Base RI'!A265</f>
        <v>5841</v>
      </c>
      <c r="B263" s="42" t="str">
        <f>'A) Base RI'!B265</f>
        <v>Château-d'Oex</v>
      </c>
      <c r="C263" s="41">
        <f>'D) Ecrêtage'!M263</f>
        <v>107525.73574297188</v>
      </c>
      <c r="D263" s="41">
        <v>2697740</v>
      </c>
      <c r="E263" s="14">
        <v>225522</v>
      </c>
      <c r="F263" s="52">
        <v>395398</v>
      </c>
      <c r="G263" s="52">
        <f t="shared" si="36"/>
        <v>3318660</v>
      </c>
      <c r="H263" s="14">
        <f t="shared" si="41"/>
        <v>860205.88594377507</v>
      </c>
      <c r="I263" s="41">
        <f>IF(G263&gt;H263,G263-H263,0)</f>
        <v>2458454.1140562249</v>
      </c>
      <c r="J263" s="4">
        <f t="shared" si="42"/>
        <v>-1738987.0034172966</v>
      </c>
      <c r="K263" s="19">
        <v>23613</v>
      </c>
      <c r="L263" s="14">
        <f t="shared" si="43"/>
        <v>107525.73574297188</v>
      </c>
      <c r="M263" s="19">
        <f>IF(K263&gt;L263,K263-L263,0)</f>
        <v>0</v>
      </c>
      <c r="N263" s="4">
        <f t="shared" si="44"/>
        <v>0</v>
      </c>
      <c r="O263" s="207">
        <f>N263+J263</f>
        <v>-1738987.0034172966</v>
      </c>
      <c r="P263" s="441">
        <f>O263/C263</f>
        <v>-16.172751494341302</v>
      </c>
      <c r="Q263" s="200"/>
    </row>
    <row r="264" spans="1:17" x14ac:dyDescent="0.25">
      <c r="A264" s="198">
        <f>'A) Base RI'!A266</f>
        <v>5842</v>
      </c>
      <c r="B264" s="42" t="str">
        <f>'A) Base RI'!B266</f>
        <v>Rossinière</v>
      </c>
      <c r="C264" s="41">
        <f>'D) Ecrêtage'!M264</f>
        <v>16554.125349794238</v>
      </c>
      <c r="D264" s="41">
        <v>405957</v>
      </c>
      <c r="E264" s="14">
        <v>36188</v>
      </c>
      <c r="F264" s="52">
        <v>70000</v>
      </c>
      <c r="G264" s="52">
        <f t="shared" si="36"/>
        <v>512145</v>
      </c>
      <c r="H264" s="14">
        <f t="shared" si="41"/>
        <v>132433.0027983539</v>
      </c>
      <c r="I264" s="41">
        <f t="shared" si="37"/>
        <v>379711.9972016461</v>
      </c>
      <c r="J264" s="4">
        <f t="shared" si="42"/>
        <v>-268589.20180772839</v>
      </c>
      <c r="K264" s="19">
        <v>832</v>
      </c>
      <c r="L264" s="14">
        <f t="shared" si="43"/>
        <v>16554.125349794238</v>
      </c>
      <c r="M264" s="19">
        <f t="shared" si="38"/>
        <v>0</v>
      </c>
      <c r="N264" s="4">
        <f t="shared" si="44"/>
        <v>0</v>
      </c>
      <c r="O264" s="207">
        <f t="shared" si="39"/>
        <v>-268589.20180772839</v>
      </c>
      <c r="P264" s="441">
        <f t="shared" si="40"/>
        <v>-16.224910475929605</v>
      </c>
      <c r="Q264" s="200"/>
    </row>
    <row r="265" spans="1:17" x14ac:dyDescent="0.25">
      <c r="A265" s="198">
        <f>'A) Base RI'!A267</f>
        <v>5843</v>
      </c>
      <c r="B265" s="42" t="str">
        <f>'A) Base RI'!B267</f>
        <v>Rougemont</v>
      </c>
      <c r="C265" s="41">
        <f>'D) Ecrêtage'!M265</f>
        <v>72188.208025341344</v>
      </c>
      <c r="D265" s="41">
        <v>1844493</v>
      </c>
      <c r="E265" s="14">
        <v>57822</v>
      </c>
      <c r="F265" s="52">
        <v>94258</v>
      </c>
      <c r="G265" s="52">
        <f t="shared" si="36"/>
        <v>1996573</v>
      </c>
      <c r="H265" s="14">
        <f t="shared" si="41"/>
        <v>577505.66420273075</v>
      </c>
      <c r="I265" s="41">
        <f t="shared" si="37"/>
        <v>1419067.3357972694</v>
      </c>
      <c r="J265" s="4">
        <f t="shared" si="42"/>
        <v>-1003776.9831928711</v>
      </c>
      <c r="K265" s="19"/>
      <c r="L265" s="14">
        <f t="shared" si="43"/>
        <v>72188.208025341344</v>
      </c>
      <c r="M265" s="19">
        <f t="shared" si="38"/>
        <v>0</v>
      </c>
      <c r="N265" s="4">
        <f t="shared" si="44"/>
        <v>0</v>
      </c>
      <c r="O265" s="207">
        <f t="shared" si="39"/>
        <v>-1003776.9831928711</v>
      </c>
      <c r="P265" s="441">
        <f t="shared" si="40"/>
        <v>-13.904999315684631</v>
      </c>
      <c r="Q265" s="200"/>
    </row>
    <row r="266" spans="1:17" x14ac:dyDescent="0.25">
      <c r="A266" s="198">
        <f>'A) Base RI'!A268</f>
        <v>5851</v>
      </c>
      <c r="B266" s="42" t="str">
        <f>'A) Base RI'!B268</f>
        <v>Allaman</v>
      </c>
      <c r="C266" s="41">
        <f>'D) Ecrêtage'!M266</f>
        <v>24621.2150634602</v>
      </c>
      <c r="D266" s="41">
        <v>131197</v>
      </c>
      <c r="E266" s="14">
        <v>22977</v>
      </c>
      <c r="F266" s="52">
        <v>43772</v>
      </c>
      <c r="G266" s="52">
        <f t="shared" si="36"/>
        <v>197946</v>
      </c>
      <c r="H266" s="14">
        <f t="shared" si="41"/>
        <v>196969.7205076816</v>
      </c>
      <c r="I266" s="41">
        <f t="shared" si="37"/>
        <v>976.27949231839739</v>
      </c>
      <c r="J266" s="4">
        <f t="shared" si="42"/>
        <v>-690.57109471261106</v>
      </c>
      <c r="K266" s="19"/>
      <c r="L266" s="14">
        <f t="shared" si="43"/>
        <v>24621.2150634602</v>
      </c>
      <c r="M266" s="19">
        <f t="shared" si="38"/>
        <v>0</v>
      </c>
      <c r="N266" s="4">
        <f t="shared" si="44"/>
        <v>0</v>
      </c>
      <c r="O266" s="207">
        <f t="shared" si="39"/>
        <v>-690.57109471261106</v>
      </c>
      <c r="P266" s="441">
        <f t="shared" si="40"/>
        <v>-2.8047807264291857E-2</v>
      </c>
      <c r="Q266" s="200"/>
    </row>
    <row r="267" spans="1:17" x14ac:dyDescent="0.25">
      <c r="A267" s="198">
        <f>'A) Base RI'!A269</f>
        <v>5852</v>
      </c>
      <c r="B267" s="42" t="str">
        <f>'A) Base RI'!B269</f>
        <v>Bursinel</v>
      </c>
      <c r="C267" s="41">
        <f>'D) Ecrêtage'!M267</f>
        <v>29689.674798254688</v>
      </c>
      <c r="D267" s="41">
        <v>219667</v>
      </c>
      <c r="E267" s="14">
        <v>10795</v>
      </c>
      <c r="F267" s="52">
        <v>36870</v>
      </c>
      <c r="G267" s="52">
        <f t="shared" si="36"/>
        <v>267332</v>
      </c>
      <c r="H267" s="14">
        <f t="shared" si="41"/>
        <v>237517.3983860375</v>
      </c>
      <c r="I267" s="41">
        <f t="shared" si="37"/>
        <v>29814.601613962499</v>
      </c>
      <c r="J267" s="4">
        <f t="shared" si="42"/>
        <v>-21089.352216219315</v>
      </c>
      <c r="K267" s="19">
        <v>257</v>
      </c>
      <c r="L267" s="14">
        <f t="shared" si="43"/>
        <v>29689.674798254688</v>
      </c>
      <c r="M267" s="19">
        <f t="shared" si="38"/>
        <v>0</v>
      </c>
      <c r="N267" s="4">
        <f t="shared" si="44"/>
        <v>0</v>
      </c>
      <c r="O267" s="207">
        <f t="shared" si="39"/>
        <v>-21089.352216219315</v>
      </c>
      <c r="P267" s="441">
        <f t="shared" si="40"/>
        <v>-0.7103261440054256</v>
      </c>
      <c r="Q267" s="200"/>
    </row>
    <row r="268" spans="1:17" x14ac:dyDescent="0.25">
      <c r="A268" s="198">
        <f>'A) Base RI'!A270</f>
        <v>5853</v>
      </c>
      <c r="B268" s="42" t="str">
        <f>'A) Base RI'!B270</f>
        <v>Bursins</v>
      </c>
      <c r="C268" s="41">
        <f>'D) Ecrêtage'!M268</f>
        <v>37118.734366197183</v>
      </c>
      <c r="D268" s="41">
        <v>188736</v>
      </c>
      <c r="E268" s="14">
        <v>37166</v>
      </c>
      <c r="F268" s="52">
        <v>60487</v>
      </c>
      <c r="G268" s="52">
        <f t="shared" si="36"/>
        <v>286389</v>
      </c>
      <c r="H268" s="14">
        <f t="shared" si="41"/>
        <v>296949.87492957746</v>
      </c>
      <c r="I268" s="41">
        <f t="shared" si="37"/>
        <v>0</v>
      </c>
      <c r="J268" s="4">
        <f t="shared" si="42"/>
        <v>0</v>
      </c>
      <c r="K268" s="19">
        <v>39379</v>
      </c>
      <c r="L268" s="14">
        <f t="shared" si="43"/>
        <v>37118.734366197183</v>
      </c>
      <c r="M268" s="19">
        <f t="shared" si="38"/>
        <v>2260.2656338028173</v>
      </c>
      <c r="N268" s="4">
        <f t="shared" si="44"/>
        <v>-1598.7984233591296</v>
      </c>
      <c r="O268" s="207">
        <f t="shared" si="39"/>
        <v>-1598.7984233591296</v>
      </c>
      <c r="P268" s="441">
        <f t="shared" si="40"/>
        <v>-4.3072546805774256E-2</v>
      </c>
      <c r="Q268" s="200"/>
    </row>
    <row r="269" spans="1:17" x14ac:dyDescent="0.25">
      <c r="A269" s="198">
        <f>'A) Base RI'!A271</f>
        <v>5854</v>
      </c>
      <c r="B269" s="42" t="str">
        <f>'A) Base RI'!B271</f>
        <v>Burtigny</v>
      </c>
      <c r="C269" s="41">
        <f>'D) Ecrêtage'!M269</f>
        <v>10244.164041666669</v>
      </c>
      <c r="D269" s="41">
        <v>62911</v>
      </c>
      <c r="E269" s="14">
        <v>13051</v>
      </c>
      <c r="F269" s="52">
        <v>40178</v>
      </c>
      <c r="G269" s="52">
        <f t="shared" si="36"/>
        <v>116140</v>
      </c>
      <c r="H269" s="14">
        <f t="shared" si="41"/>
        <v>81953.31233333335</v>
      </c>
      <c r="I269" s="41">
        <f t="shared" si="37"/>
        <v>34186.68766666665</v>
      </c>
      <c r="J269" s="4">
        <f t="shared" si="42"/>
        <v>-24181.946371222799</v>
      </c>
      <c r="K269" s="19">
        <v>-117235</v>
      </c>
      <c r="L269" s="14">
        <f t="shared" si="43"/>
        <v>10244.164041666669</v>
      </c>
      <c r="M269" s="19">
        <f t="shared" si="38"/>
        <v>0</v>
      </c>
      <c r="N269" s="4">
        <f t="shared" si="44"/>
        <v>0</v>
      </c>
      <c r="O269" s="207">
        <f t="shared" si="39"/>
        <v>-24181.946371222799</v>
      </c>
      <c r="P269" s="441">
        <f t="shared" si="40"/>
        <v>-2.3605582918104591</v>
      </c>
      <c r="Q269" s="200"/>
    </row>
    <row r="270" spans="1:17" x14ac:dyDescent="0.25">
      <c r="A270" s="198">
        <f>'A) Base RI'!A272</f>
        <v>5855</v>
      </c>
      <c r="B270" s="42" t="str">
        <f>'A) Base RI'!B272</f>
        <v>Dully</v>
      </c>
      <c r="C270" s="41">
        <f>'D) Ecrêtage'!M270</f>
        <v>51551.289556577765</v>
      </c>
      <c r="D270" s="41">
        <v>127085</v>
      </c>
      <c r="E270" s="14">
        <v>14027</v>
      </c>
      <c r="F270" s="52">
        <v>42914</v>
      </c>
      <c r="G270" s="52">
        <f t="shared" si="36"/>
        <v>184026</v>
      </c>
      <c r="H270" s="14">
        <f t="shared" si="41"/>
        <v>412410.31645262212</v>
      </c>
      <c r="I270" s="41">
        <f t="shared" si="37"/>
        <v>0</v>
      </c>
      <c r="J270" s="4">
        <f t="shared" si="42"/>
        <v>0</v>
      </c>
      <c r="K270" s="19">
        <v>825</v>
      </c>
      <c r="L270" s="14">
        <f t="shared" si="43"/>
        <v>51551.289556577765</v>
      </c>
      <c r="M270" s="19">
        <f t="shared" si="38"/>
        <v>0</v>
      </c>
      <c r="N270" s="4">
        <f t="shared" si="44"/>
        <v>0</v>
      </c>
      <c r="O270" s="207">
        <f t="shared" si="39"/>
        <v>0</v>
      </c>
      <c r="P270" s="441">
        <f t="shared" si="40"/>
        <v>0</v>
      </c>
      <c r="Q270" s="200"/>
    </row>
    <row r="271" spans="1:17" x14ac:dyDescent="0.25">
      <c r="A271" s="198">
        <f>'A) Base RI'!A273</f>
        <v>5856</v>
      </c>
      <c r="B271" s="42" t="str">
        <f>'A) Base RI'!B273</f>
        <v>Essertines-sur-Rolle</v>
      </c>
      <c r="C271" s="41">
        <f>'D) Ecrêtage'!M271</f>
        <v>28766.256402714938</v>
      </c>
      <c r="D271" s="41">
        <v>233887</v>
      </c>
      <c r="E271" s="14">
        <v>15997</v>
      </c>
      <c r="F271" s="52">
        <v>60247</v>
      </c>
      <c r="G271" s="52">
        <f t="shared" si="36"/>
        <v>310131</v>
      </c>
      <c r="H271" s="14">
        <f t="shared" si="41"/>
        <v>230130.05122171951</v>
      </c>
      <c r="I271" s="41">
        <f t="shared" si="37"/>
        <v>80000.948778280494</v>
      </c>
      <c r="J271" s="4">
        <f t="shared" si="42"/>
        <v>-56588.654386941686</v>
      </c>
      <c r="K271" s="19">
        <v>-4579</v>
      </c>
      <c r="L271" s="14">
        <f t="shared" si="43"/>
        <v>28766.256402714938</v>
      </c>
      <c r="M271" s="19">
        <f t="shared" si="38"/>
        <v>0</v>
      </c>
      <c r="N271" s="4">
        <f t="shared" si="44"/>
        <v>0</v>
      </c>
      <c r="O271" s="207">
        <f t="shared" si="39"/>
        <v>-56588.654386941686</v>
      </c>
      <c r="P271" s="441">
        <f t="shared" si="40"/>
        <v>-1.9671886947931427</v>
      </c>
      <c r="Q271" s="200"/>
    </row>
    <row r="272" spans="1:17" x14ac:dyDescent="0.25">
      <c r="A272" s="198">
        <f>'A) Base RI'!A274</f>
        <v>5857</v>
      </c>
      <c r="B272" s="42" t="str">
        <f>'A) Base RI'!B274</f>
        <v>Gilly</v>
      </c>
      <c r="C272" s="41">
        <f>'D) Ecrêtage'!M272</f>
        <v>55694.918787878785</v>
      </c>
      <c r="D272" s="41">
        <v>178357</v>
      </c>
      <c r="E272" s="14">
        <v>126879</v>
      </c>
      <c r="F272" s="52">
        <v>77527</v>
      </c>
      <c r="G272" s="52">
        <f t="shared" si="36"/>
        <v>382763</v>
      </c>
      <c r="H272" s="14">
        <f t="shared" si="41"/>
        <v>445559.35030303028</v>
      </c>
      <c r="I272" s="41">
        <f t="shared" si="37"/>
        <v>0</v>
      </c>
      <c r="J272" s="4">
        <f t="shared" si="42"/>
        <v>0</v>
      </c>
      <c r="K272" s="19">
        <v>-29521</v>
      </c>
      <c r="L272" s="14">
        <f t="shared" si="43"/>
        <v>55694.918787878785</v>
      </c>
      <c r="M272" s="19">
        <f t="shared" si="38"/>
        <v>0</v>
      </c>
      <c r="N272" s="4">
        <f t="shared" si="44"/>
        <v>0</v>
      </c>
      <c r="O272" s="207">
        <f t="shared" si="39"/>
        <v>0</v>
      </c>
      <c r="P272" s="441">
        <f t="shared" si="40"/>
        <v>0</v>
      </c>
      <c r="Q272" s="200"/>
    </row>
    <row r="273" spans="1:17" x14ac:dyDescent="0.25">
      <c r="A273" s="198">
        <f>'A) Base RI'!A275</f>
        <v>5858</v>
      </c>
      <c r="B273" s="42" t="str">
        <f>'A) Base RI'!B275</f>
        <v>Luins</v>
      </c>
      <c r="C273" s="41">
        <f>'D) Ecrêtage'!M273</f>
        <v>33594.571611111111</v>
      </c>
      <c r="D273" s="41">
        <v>69017</v>
      </c>
      <c r="E273" s="14">
        <v>20084</v>
      </c>
      <c r="F273" s="52">
        <v>49640</v>
      </c>
      <c r="G273" s="52">
        <f t="shared" ref="G273:G322" si="45">D273+E273+F273</f>
        <v>138741</v>
      </c>
      <c r="H273" s="14">
        <f t="shared" si="41"/>
        <v>268756.57288888888</v>
      </c>
      <c r="I273" s="41">
        <f t="shared" ref="I273:I322" si="46">IF(G273&gt;H273,G273-H273,0)</f>
        <v>0</v>
      </c>
      <c r="J273" s="4">
        <f t="shared" si="42"/>
        <v>0</v>
      </c>
      <c r="K273" s="19">
        <v>990</v>
      </c>
      <c r="L273" s="14">
        <f t="shared" si="43"/>
        <v>33594.571611111111</v>
      </c>
      <c r="M273" s="19">
        <f t="shared" ref="M273:M322" si="47">IF(K273&gt;L273,K273-L273,0)</f>
        <v>0</v>
      </c>
      <c r="N273" s="4">
        <f t="shared" si="44"/>
        <v>0</v>
      </c>
      <c r="O273" s="207">
        <f t="shared" ref="O273:O322" si="48">N273+J273</f>
        <v>0</v>
      </c>
      <c r="P273" s="441">
        <f t="shared" ref="P273:P322" si="49">O273/C273</f>
        <v>0</v>
      </c>
      <c r="Q273" s="200"/>
    </row>
    <row r="274" spans="1:17" x14ac:dyDescent="0.25">
      <c r="A274" s="198">
        <f>'A) Base RI'!A276</f>
        <v>5859</v>
      </c>
      <c r="B274" s="42" t="str">
        <f>'A) Base RI'!B276</f>
        <v>Mont-sur-Rolle</v>
      </c>
      <c r="C274" s="41">
        <f>'D) Ecrêtage'!M274</f>
        <v>145844.19140296514</v>
      </c>
      <c r="D274" s="41">
        <v>431655</v>
      </c>
      <c r="E274" s="14">
        <v>119273</v>
      </c>
      <c r="F274" s="52">
        <v>214264</v>
      </c>
      <c r="G274" s="52">
        <f t="shared" si="45"/>
        <v>765192</v>
      </c>
      <c r="H274" s="14">
        <f t="shared" si="41"/>
        <v>1166753.5312237211</v>
      </c>
      <c r="I274" s="41">
        <f t="shared" si="46"/>
        <v>0</v>
      </c>
      <c r="J274" s="4">
        <f t="shared" si="42"/>
        <v>0</v>
      </c>
      <c r="K274" s="19">
        <v>4447</v>
      </c>
      <c r="L274" s="14">
        <f t="shared" si="43"/>
        <v>145844.19140296514</v>
      </c>
      <c r="M274" s="19">
        <f t="shared" si="47"/>
        <v>0</v>
      </c>
      <c r="N274" s="4">
        <f t="shared" si="44"/>
        <v>0</v>
      </c>
      <c r="O274" s="207">
        <f t="shared" si="48"/>
        <v>0</v>
      </c>
      <c r="P274" s="441">
        <f t="shared" si="49"/>
        <v>0</v>
      </c>
      <c r="Q274" s="200"/>
    </row>
    <row r="275" spans="1:17" x14ac:dyDescent="0.25">
      <c r="A275" s="198">
        <f>'A) Base RI'!A277</f>
        <v>5860</v>
      </c>
      <c r="B275" s="42" t="str">
        <f>'A) Base RI'!B277</f>
        <v>Perroy</v>
      </c>
      <c r="C275" s="41">
        <f>'D) Ecrêtage'!M275</f>
        <v>85462.661062115134</v>
      </c>
      <c r="D275" s="41">
        <v>106915</v>
      </c>
      <c r="E275" s="14">
        <v>33372</v>
      </c>
      <c r="F275" s="52">
        <v>108905</v>
      </c>
      <c r="G275" s="52">
        <f t="shared" si="45"/>
        <v>249192</v>
      </c>
      <c r="H275" s="14">
        <f t="shared" si="41"/>
        <v>683701.28849692107</v>
      </c>
      <c r="I275" s="41">
        <f t="shared" si="46"/>
        <v>0</v>
      </c>
      <c r="J275" s="4">
        <f t="shared" si="42"/>
        <v>0</v>
      </c>
      <c r="K275" s="19">
        <v>4978</v>
      </c>
      <c r="L275" s="14">
        <f t="shared" si="43"/>
        <v>85462.661062115134</v>
      </c>
      <c r="M275" s="19">
        <f t="shared" si="47"/>
        <v>0</v>
      </c>
      <c r="N275" s="4">
        <f t="shared" si="44"/>
        <v>0</v>
      </c>
      <c r="O275" s="207">
        <f t="shared" si="48"/>
        <v>0</v>
      </c>
      <c r="P275" s="441">
        <f t="shared" si="49"/>
        <v>0</v>
      </c>
      <c r="Q275" s="200"/>
    </row>
    <row r="276" spans="1:17" x14ac:dyDescent="0.25">
      <c r="A276" s="198">
        <f>'A) Base RI'!A278</f>
        <v>5861</v>
      </c>
      <c r="B276" s="42" t="str">
        <f>'A) Base RI'!B278</f>
        <v>Rolle</v>
      </c>
      <c r="C276" s="41">
        <f>'D) Ecrêtage'!M276</f>
        <v>498836.36659534537</v>
      </c>
      <c r="D276" s="41">
        <v>2621183</v>
      </c>
      <c r="E276" s="14">
        <v>959532</v>
      </c>
      <c r="F276" s="52">
        <v>454073</v>
      </c>
      <c r="G276" s="52">
        <f t="shared" si="45"/>
        <v>4034788</v>
      </c>
      <c r="H276" s="14">
        <f t="shared" si="41"/>
        <v>3990690.932762763</v>
      </c>
      <c r="I276" s="41">
        <f t="shared" si="46"/>
        <v>44097.067237237003</v>
      </c>
      <c r="J276" s="4">
        <f t="shared" si="42"/>
        <v>-31192.051287811853</v>
      </c>
      <c r="K276" s="19"/>
      <c r="L276" s="14">
        <f t="shared" si="43"/>
        <v>498836.36659534537</v>
      </c>
      <c r="M276" s="19">
        <f t="shared" si="47"/>
        <v>0</v>
      </c>
      <c r="N276" s="4">
        <f t="shared" si="44"/>
        <v>0</v>
      </c>
      <c r="O276" s="207">
        <f t="shared" si="48"/>
        <v>-31192.051287811853</v>
      </c>
      <c r="P276" s="441">
        <f t="shared" si="49"/>
        <v>-6.2529625698109451E-2</v>
      </c>
      <c r="Q276" s="200"/>
    </row>
    <row r="277" spans="1:17" x14ac:dyDescent="0.25">
      <c r="A277" s="198">
        <f>'A) Base RI'!A279</f>
        <v>5862</v>
      </c>
      <c r="B277" s="42" t="str">
        <f>'A) Base RI'!B279</f>
        <v>Tartegnin</v>
      </c>
      <c r="C277" s="41">
        <f>'D) Ecrêtage'!M277</f>
        <v>9990.8663492063497</v>
      </c>
      <c r="D277" s="41">
        <v>32636</v>
      </c>
      <c r="E277" s="14">
        <v>7553</v>
      </c>
      <c r="F277" s="52">
        <v>20504</v>
      </c>
      <c r="G277" s="52">
        <f t="shared" si="45"/>
        <v>60693</v>
      </c>
      <c r="H277" s="14">
        <f t="shared" si="41"/>
        <v>79926.930793650798</v>
      </c>
      <c r="I277" s="41">
        <f t="shared" si="46"/>
        <v>0</v>
      </c>
      <c r="J277" s="4">
        <f t="shared" si="42"/>
        <v>0</v>
      </c>
      <c r="K277" s="19">
        <v>3109</v>
      </c>
      <c r="L277" s="14">
        <f t="shared" si="43"/>
        <v>9990.8663492063497</v>
      </c>
      <c r="M277" s="19">
        <f t="shared" si="47"/>
        <v>0</v>
      </c>
      <c r="N277" s="4">
        <f t="shared" si="44"/>
        <v>0</v>
      </c>
      <c r="O277" s="207">
        <f t="shared" si="48"/>
        <v>0</v>
      </c>
      <c r="P277" s="441">
        <f t="shared" si="49"/>
        <v>0</v>
      </c>
      <c r="Q277" s="200"/>
    </row>
    <row r="278" spans="1:17" x14ac:dyDescent="0.25">
      <c r="A278" s="198">
        <f>'A) Base RI'!A280</f>
        <v>5863</v>
      </c>
      <c r="B278" s="42" t="str">
        <f>'A) Base RI'!B280</f>
        <v>Vinzel</v>
      </c>
      <c r="C278" s="41">
        <f>'D) Ecrêtage'!M278</f>
        <v>23166.645443928526</v>
      </c>
      <c r="D278" s="41">
        <v>46394</v>
      </c>
      <c r="E278" s="14">
        <v>14105</v>
      </c>
      <c r="F278" s="52">
        <v>28284</v>
      </c>
      <c r="G278" s="52">
        <f t="shared" si="45"/>
        <v>88783</v>
      </c>
      <c r="H278" s="14">
        <f t="shared" si="41"/>
        <v>185333.16355142821</v>
      </c>
      <c r="I278" s="41">
        <f t="shared" si="46"/>
        <v>0</v>
      </c>
      <c r="J278" s="4">
        <f t="shared" si="42"/>
        <v>0</v>
      </c>
      <c r="K278" s="19">
        <v>8664</v>
      </c>
      <c r="L278" s="14">
        <f t="shared" si="43"/>
        <v>23166.645443928526</v>
      </c>
      <c r="M278" s="19">
        <f t="shared" si="47"/>
        <v>0</v>
      </c>
      <c r="N278" s="4">
        <f t="shared" si="44"/>
        <v>0</v>
      </c>
      <c r="O278" s="207">
        <f t="shared" si="48"/>
        <v>0</v>
      </c>
      <c r="P278" s="441">
        <f t="shared" si="49"/>
        <v>0</v>
      </c>
      <c r="Q278" s="200"/>
    </row>
    <row r="279" spans="1:17" x14ac:dyDescent="0.25">
      <c r="A279" s="198">
        <f>'A) Base RI'!A281</f>
        <v>5871</v>
      </c>
      <c r="B279" s="42" t="str">
        <f>'A) Base RI'!B281</f>
        <v>L'Abbaye</v>
      </c>
      <c r="C279" s="41">
        <f>'D) Ecrêtage'!M279</f>
        <v>49270.614706263776</v>
      </c>
      <c r="D279" s="41">
        <v>552876</v>
      </c>
      <c r="E279" s="14">
        <v>86381</v>
      </c>
      <c r="F279" s="52">
        <v>184844</v>
      </c>
      <c r="G279" s="52">
        <f t="shared" si="45"/>
        <v>824101</v>
      </c>
      <c r="H279" s="14">
        <f t="shared" si="41"/>
        <v>394164.9176501102</v>
      </c>
      <c r="I279" s="41">
        <f t="shared" si="46"/>
        <v>429936.0823498898</v>
      </c>
      <c r="J279" s="4">
        <f t="shared" si="42"/>
        <v>-304115.19793348806</v>
      </c>
      <c r="K279" s="19">
        <v>28233</v>
      </c>
      <c r="L279" s="14">
        <f t="shared" si="43"/>
        <v>49270.614706263776</v>
      </c>
      <c r="M279" s="19">
        <f t="shared" si="47"/>
        <v>0</v>
      </c>
      <c r="N279" s="4">
        <f t="shared" si="44"/>
        <v>0</v>
      </c>
      <c r="O279" s="207">
        <f t="shared" si="48"/>
        <v>-304115.19793348806</v>
      </c>
      <c r="P279" s="441">
        <f t="shared" si="49"/>
        <v>-6.1723443019034603</v>
      </c>
      <c r="Q279" s="200"/>
    </row>
    <row r="280" spans="1:17" x14ac:dyDescent="0.25">
      <c r="A280" s="198">
        <f>'A) Base RI'!A282</f>
        <v>5872</v>
      </c>
      <c r="B280" s="42" t="str">
        <f>'A) Base RI'!B282</f>
        <v>Le Chenit</v>
      </c>
      <c r="C280" s="41">
        <f>'D) Ecrêtage'!M280</f>
        <v>291401.48019129108</v>
      </c>
      <c r="D280" s="41">
        <v>3115883</v>
      </c>
      <c r="E280" s="14">
        <v>271019</v>
      </c>
      <c r="F280" s="52">
        <v>632709</v>
      </c>
      <c r="G280" s="52">
        <f t="shared" si="45"/>
        <v>4019611</v>
      </c>
      <c r="H280" s="14">
        <f t="shared" si="41"/>
        <v>2331211.8415303286</v>
      </c>
      <c r="I280" s="41">
        <f t="shared" si="46"/>
        <v>1688399.1584696714</v>
      </c>
      <c r="J280" s="4">
        <f t="shared" si="42"/>
        <v>-1194288.791632216</v>
      </c>
      <c r="K280" s="19">
        <v>446247</v>
      </c>
      <c r="L280" s="14">
        <f t="shared" si="43"/>
        <v>291401.48019129108</v>
      </c>
      <c r="M280" s="19">
        <f t="shared" si="47"/>
        <v>154845.51980870892</v>
      </c>
      <c r="N280" s="4">
        <f t="shared" si="44"/>
        <v>-109529.94605234356</v>
      </c>
      <c r="O280" s="207">
        <f t="shared" si="48"/>
        <v>-1303818.7376845595</v>
      </c>
      <c r="P280" s="441">
        <f t="shared" si="49"/>
        <v>-4.4743037572378324</v>
      </c>
      <c r="Q280" s="200"/>
    </row>
    <row r="281" spans="1:17" x14ac:dyDescent="0.25">
      <c r="A281" s="198">
        <f>'A) Base RI'!A283</f>
        <v>5873</v>
      </c>
      <c r="B281" s="42" t="str">
        <f>'A) Base RI'!B283</f>
        <v>Le Lieu</v>
      </c>
      <c r="C281" s="41">
        <f>'D) Ecrêtage'!M281</f>
        <v>35906.558461538458</v>
      </c>
      <c r="D281" s="41">
        <v>922223</v>
      </c>
      <c r="E281" s="14">
        <v>51600</v>
      </c>
      <c r="F281" s="52">
        <v>126614</v>
      </c>
      <c r="G281" s="52">
        <f t="shared" si="45"/>
        <v>1100437</v>
      </c>
      <c r="H281" s="14">
        <f t="shared" si="41"/>
        <v>287252.46769230766</v>
      </c>
      <c r="I281" s="41">
        <f t="shared" si="46"/>
        <v>813184.53230769234</v>
      </c>
      <c r="J281" s="4">
        <f t="shared" si="42"/>
        <v>-575205.90885867097</v>
      </c>
      <c r="K281" s="19">
        <v>268680</v>
      </c>
      <c r="L281" s="14">
        <f t="shared" si="43"/>
        <v>35906.558461538458</v>
      </c>
      <c r="M281" s="19">
        <f t="shared" si="47"/>
        <v>232773.44153846154</v>
      </c>
      <c r="N281" s="4">
        <f t="shared" si="44"/>
        <v>-164652.24519006131</v>
      </c>
      <c r="O281" s="207">
        <f t="shared" si="48"/>
        <v>-739858.15404873225</v>
      </c>
      <c r="P281" s="441">
        <f t="shared" si="49"/>
        <v>-20.605097947252062</v>
      </c>
      <c r="Q281" s="200"/>
    </row>
    <row r="282" spans="1:17" x14ac:dyDescent="0.25">
      <c r="A282" s="198">
        <f>'A) Base RI'!A284</f>
        <v>5881</v>
      </c>
      <c r="B282" s="42" t="str">
        <f>'A) Base RI'!B284</f>
        <v>Blonay</v>
      </c>
      <c r="C282" s="41">
        <f>'D) Ecrêtage'!M282</f>
        <v>345610.45704485953</v>
      </c>
      <c r="D282" s="41">
        <v>2544588</v>
      </c>
      <c r="E282" s="14">
        <v>721160</v>
      </c>
      <c r="F282" s="52">
        <v>401285</v>
      </c>
      <c r="G282" s="52">
        <f t="shared" si="45"/>
        <v>3667033</v>
      </c>
      <c r="H282" s="14">
        <f t="shared" si="41"/>
        <v>2764883.6563588763</v>
      </c>
      <c r="I282" s="41">
        <f t="shared" si="46"/>
        <v>902149.34364112373</v>
      </c>
      <c r="J282" s="4">
        <f t="shared" si="42"/>
        <v>-638135.14954929915</v>
      </c>
      <c r="K282" s="19">
        <v>553664</v>
      </c>
      <c r="L282" s="14">
        <f t="shared" si="43"/>
        <v>345610.45704485953</v>
      </c>
      <c r="M282" s="19">
        <f t="shared" si="47"/>
        <v>208053.54295514047</v>
      </c>
      <c r="N282" s="4">
        <f t="shared" si="44"/>
        <v>-147166.63009706151</v>
      </c>
      <c r="O282" s="207">
        <f t="shared" si="48"/>
        <v>-785301.77964636066</v>
      </c>
      <c r="P282" s="441">
        <f t="shared" si="49"/>
        <v>-2.2722164900943089</v>
      </c>
      <c r="Q282" s="200"/>
    </row>
    <row r="283" spans="1:17" x14ac:dyDescent="0.25">
      <c r="A283" s="198">
        <f>'A) Base RI'!A285</f>
        <v>5882</v>
      </c>
      <c r="B283" s="42" t="str">
        <f>'A) Base RI'!B285</f>
        <v>Chardonne</v>
      </c>
      <c r="C283" s="41">
        <f>'D) Ecrêtage'!M283</f>
        <v>161443.20422773872</v>
      </c>
      <c r="D283" s="41">
        <v>1316262</v>
      </c>
      <c r="E283" s="14">
        <v>232323</v>
      </c>
      <c r="F283" s="52">
        <v>156675</v>
      </c>
      <c r="G283" s="52">
        <f t="shared" si="45"/>
        <v>1705260</v>
      </c>
      <c r="H283" s="14">
        <f t="shared" si="41"/>
        <v>1291545.6338219098</v>
      </c>
      <c r="I283" s="41">
        <f t="shared" si="46"/>
        <v>413714.36617809022</v>
      </c>
      <c r="J283" s="4">
        <f t="shared" si="42"/>
        <v>-292640.77039197064</v>
      </c>
      <c r="K283" s="19">
        <v>5171</v>
      </c>
      <c r="L283" s="14">
        <f t="shared" si="43"/>
        <v>161443.20422773872</v>
      </c>
      <c r="M283" s="19">
        <f t="shared" si="47"/>
        <v>0</v>
      </c>
      <c r="N283" s="4">
        <f t="shared" si="44"/>
        <v>0</v>
      </c>
      <c r="O283" s="207">
        <f t="shared" si="48"/>
        <v>-292640.77039197064</v>
      </c>
      <c r="P283" s="441">
        <f t="shared" si="49"/>
        <v>-1.8126546223596938</v>
      </c>
      <c r="Q283" s="200"/>
    </row>
    <row r="284" spans="1:17" x14ac:dyDescent="0.25">
      <c r="A284" s="198">
        <f>'A) Base RI'!A286</f>
        <v>5883</v>
      </c>
      <c r="B284" s="42" t="str">
        <f>'A) Base RI'!B286</f>
        <v>Corseaux</v>
      </c>
      <c r="C284" s="41">
        <f>'D) Ecrêtage'!M284</f>
        <v>135434.27141574418</v>
      </c>
      <c r="D284" s="41">
        <v>385486</v>
      </c>
      <c r="E284" s="14">
        <v>447516</v>
      </c>
      <c r="F284" s="52">
        <v>117930</v>
      </c>
      <c r="G284" s="52">
        <f t="shared" si="45"/>
        <v>950932</v>
      </c>
      <c r="H284" s="14">
        <f t="shared" si="41"/>
        <v>1083474.1713259534</v>
      </c>
      <c r="I284" s="41">
        <f t="shared" si="46"/>
        <v>0</v>
      </c>
      <c r="J284" s="4">
        <f t="shared" si="42"/>
        <v>0</v>
      </c>
      <c r="K284" s="19">
        <v>1313</v>
      </c>
      <c r="L284" s="14">
        <f t="shared" si="43"/>
        <v>135434.27141574418</v>
      </c>
      <c r="M284" s="19">
        <f t="shared" si="47"/>
        <v>0</v>
      </c>
      <c r="N284" s="4">
        <f t="shared" si="44"/>
        <v>0</v>
      </c>
      <c r="O284" s="207">
        <f t="shared" si="48"/>
        <v>0</v>
      </c>
      <c r="P284" s="441">
        <f t="shared" si="49"/>
        <v>0</v>
      </c>
      <c r="Q284" s="200"/>
    </row>
    <row r="285" spans="1:17" x14ac:dyDescent="0.25">
      <c r="A285" s="198">
        <f>'A) Base RI'!A287</f>
        <v>5884</v>
      </c>
      <c r="B285" s="42" t="str">
        <f>'A) Base RI'!B287</f>
        <v>Corsier-sur-Vevey</v>
      </c>
      <c r="C285" s="41">
        <f>'D) Ecrêtage'!M285</f>
        <v>132379.93277777778</v>
      </c>
      <c r="D285" s="41">
        <v>998674</v>
      </c>
      <c r="E285" s="14">
        <v>803488</v>
      </c>
      <c r="F285" s="52">
        <v>208882</v>
      </c>
      <c r="G285" s="52">
        <f t="shared" si="45"/>
        <v>2011044</v>
      </c>
      <c r="H285" s="14">
        <f t="shared" si="41"/>
        <v>1059039.4622222222</v>
      </c>
      <c r="I285" s="41">
        <f t="shared" si="46"/>
        <v>952004.53777777776</v>
      </c>
      <c r="J285" s="4">
        <f t="shared" si="42"/>
        <v>-673400.21069516067</v>
      </c>
      <c r="K285" s="19">
        <v>7354</v>
      </c>
      <c r="L285" s="14">
        <f t="shared" si="43"/>
        <v>132379.93277777778</v>
      </c>
      <c r="M285" s="19">
        <f t="shared" si="47"/>
        <v>0</v>
      </c>
      <c r="N285" s="4">
        <f t="shared" si="44"/>
        <v>0</v>
      </c>
      <c r="O285" s="207">
        <f t="shared" si="48"/>
        <v>-673400.21069516067</v>
      </c>
      <c r="P285" s="441">
        <f t="shared" si="49"/>
        <v>-5.0868753032650149</v>
      </c>
      <c r="Q285" s="200"/>
    </row>
    <row r="286" spans="1:17" x14ac:dyDescent="0.25">
      <c r="A286" s="198">
        <f>'A) Base RI'!A288</f>
        <v>5885</v>
      </c>
      <c r="B286" s="42" t="str">
        <f>'A) Base RI'!B288</f>
        <v>Jongny</v>
      </c>
      <c r="C286" s="41">
        <f>'D) Ecrêtage'!M286</f>
        <v>140402.47310602231</v>
      </c>
      <c r="D286" s="41">
        <v>392878</v>
      </c>
      <c r="E286" s="14">
        <v>98267</v>
      </c>
      <c r="F286" s="52">
        <v>93832</v>
      </c>
      <c r="G286" s="52">
        <f t="shared" si="45"/>
        <v>584977</v>
      </c>
      <c r="H286" s="14">
        <f t="shared" si="41"/>
        <v>1123219.7848481785</v>
      </c>
      <c r="I286" s="41">
        <f t="shared" si="46"/>
        <v>0</v>
      </c>
      <c r="J286" s="4">
        <f t="shared" si="42"/>
        <v>0</v>
      </c>
      <c r="K286" s="19">
        <v>10755</v>
      </c>
      <c r="L286" s="14">
        <f t="shared" si="43"/>
        <v>140402.47310602231</v>
      </c>
      <c r="M286" s="19">
        <f t="shared" si="47"/>
        <v>0</v>
      </c>
      <c r="N286" s="4">
        <f t="shared" si="44"/>
        <v>0</v>
      </c>
      <c r="O286" s="207">
        <f t="shared" si="48"/>
        <v>0</v>
      </c>
      <c r="P286" s="441">
        <f t="shared" si="49"/>
        <v>0</v>
      </c>
      <c r="Q286" s="200"/>
    </row>
    <row r="287" spans="1:17" x14ac:dyDescent="0.25">
      <c r="A287" s="198">
        <f>'A) Base RI'!A289</f>
        <v>5886</v>
      </c>
      <c r="B287" s="42" t="str">
        <f>'A) Base RI'!B289</f>
        <v>Montreux</v>
      </c>
      <c r="C287" s="41">
        <f>'D) Ecrêtage'!M287</f>
        <v>1113145.3400000003</v>
      </c>
      <c r="D287" s="41">
        <v>9944421</v>
      </c>
      <c r="E287" s="14">
        <v>4573692</v>
      </c>
      <c r="F287" s="52">
        <v>294425</v>
      </c>
      <c r="G287" s="52">
        <f t="shared" si="45"/>
        <v>14812538</v>
      </c>
      <c r="H287" s="14">
        <f t="shared" si="41"/>
        <v>8905162.7200000025</v>
      </c>
      <c r="I287" s="41">
        <f t="shared" si="46"/>
        <v>5907375.2799999975</v>
      </c>
      <c r="J287" s="4">
        <f t="shared" si="42"/>
        <v>-4178580.6688412605</v>
      </c>
      <c r="K287" s="19">
        <v>1555554</v>
      </c>
      <c r="L287" s="14">
        <f t="shared" si="43"/>
        <v>1113145.3400000003</v>
      </c>
      <c r="M287" s="19">
        <f t="shared" si="47"/>
        <v>442408.65999999968</v>
      </c>
      <c r="N287" s="4">
        <f t="shared" si="44"/>
        <v>-312937.67312578205</v>
      </c>
      <c r="O287" s="207">
        <f t="shared" si="48"/>
        <v>-4491518.3419670425</v>
      </c>
      <c r="P287" s="441">
        <f t="shared" si="49"/>
        <v>-4.0349792435613496</v>
      </c>
      <c r="Q287" s="200"/>
    </row>
    <row r="288" spans="1:17" x14ac:dyDescent="0.25">
      <c r="A288" s="198">
        <f>'A) Base RI'!A290</f>
        <v>5888</v>
      </c>
      <c r="B288" s="42" t="str">
        <f>'A) Base RI'!B290</f>
        <v>Saint-Légier-La Chiésaz</v>
      </c>
      <c r="C288" s="41">
        <f>'D) Ecrêtage'!M288</f>
        <v>300951.67037929955</v>
      </c>
      <c r="D288" s="41">
        <v>3388413</v>
      </c>
      <c r="E288" s="14">
        <v>779730</v>
      </c>
      <c r="F288" s="52">
        <v>320191</v>
      </c>
      <c r="G288" s="52">
        <f t="shared" si="45"/>
        <v>4488334</v>
      </c>
      <c r="H288" s="14">
        <f t="shared" si="41"/>
        <v>2407613.3630343964</v>
      </c>
      <c r="I288" s="41">
        <f t="shared" si="46"/>
        <v>2080720.6369656036</v>
      </c>
      <c r="J288" s="4">
        <f t="shared" si="42"/>
        <v>-1471797.3073963146</v>
      </c>
      <c r="K288" s="19">
        <v>672571</v>
      </c>
      <c r="L288" s="14">
        <f t="shared" si="43"/>
        <v>300951.67037929955</v>
      </c>
      <c r="M288" s="19">
        <f t="shared" si="47"/>
        <v>371619.32962070045</v>
      </c>
      <c r="N288" s="4">
        <f t="shared" si="44"/>
        <v>-262864.85508684459</v>
      </c>
      <c r="O288" s="207">
        <f t="shared" si="48"/>
        <v>-1734662.1624831592</v>
      </c>
      <c r="P288" s="441">
        <f t="shared" si="49"/>
        <v>-5.7639226932912715</v>
      </c>
      <c r="Q288" s="200"/>
    </row>
    <row r="289" spans="1:17" x14ac:dyDescent="0.25">
      <c r="A289" s="198">
        <f>'A) Base RI'!A291</f>
        <v>5889</v>
      </c>
      <c r="B289" s="42" t="str">
        <f>'A) Base RI'!B291</f>
        <v>La Tour-de-Peilz</v>
      </c>
      <c r="C289" s="41">
        <f>'D) Ecrêtage'!M289</f>
        <v>590141.45856770838</v>
      </c>
      <c r="D289" s="41">
        <v>2203547</v>
      </c>
      <c r="E289" s="14">
        <v>1641270</v>
      </c>
      <c r="F289" s="52">
        <v>4601</v>
      </c>
      <c r="G289" s="52">
        <f t="shared" si="45"/>
        <v>3849418</v>
      </c>
      <c r="H289" s="14">
        <f t="shared" si="41"/>
        <v>4721131.6685416671</v>
      </c>
      <c r="I289" s="41">
        <f t="shared" si="46"/>
        <v>0</v>
      </c>
      <c r="J289" s="4">
        <f t="shared" si="42"/>
        <v>0</v>
      </c>
      <c r="K289" s="19">
        <v>25211</v>
      </c>
      <c r="L289" s="14">
        <f t="shared" si="43"/>
        <v>590141.45856770838</v>
      </c>
      <c r="M289" s="19">
        <f t="shared" si="47"/>
        <v>0</v>
      </c>
      <c r="N289" s="4">
        <f t="shared" si="44"/>
        <v>0</v>
      </c>
      <c r="O289" s="207">
        <f t="shared" si="48"/>
        <v>0</v>
      </c>
      <c r="P289" s="441">
        <f t="shared" si="49"/>
        <v>0</v>
      </c>
      <c r="Q289" s="200"/>
    </row>
    <row r="290" spans="1:17" x14ac:dyDescent="0.25">
      <c r="A290" s="198">
        <f>'A) Base RI'!A292</f>
        <v>5890</v>
      </c>
      <c r="B290" s="42" t="str">
        <f>'A) Base RI'!B292</f>
        <v>Vevey</v>
      </c>
      <c r="C290" s="41">
        <f>'D) Ecrêtage'!M290</f>
        <v>922155.6933561645</v>
      </c>
      <c r="D290" s="41">
        <v>5332471</v>
      </c>
      <c r="E290" s="14">
        <v>3217106</v>
      </c>
      <c r="F290" s="52">
        <v>151545</v>
      </c>
      <c r="G290" s="52">
        <f t="shared" si="45"/>
        <v>8701122</v>
      </c>
      <c r="H290" s="14">
        <f t="shared" si="41"/>
        <v>7377245.546849316</v>
      </c>
      <c r="I290" s="41">
        <f t="shared" si="46"/>
        <v>1323876.453150684</v>
      </c>
      <c r="J290" s="4">
        <f t="shared" si="42"/>
        <v>-936443.7322610023</v>
      </c>
      <c r="K290" s="19">
        <v>100000</v>
      </c>
      <c r="L290" s="14">
        <f t="shared" si="43"/>
        <v>922155.6933561645</v>
      </c>
      <c r="M290" s="19">
        <f t="shared" si="47"/>
        <v>0</v>
      </c>
      <c r="N290" s="4">
        <f t="shared" si="44"/>
        <v>0</v>
      </c>
      <c r="O290" s="207">
        <f t="shared" si="48"/>
        <v>-936443.7322610023</v>
      </c>
      <c r="P290" s="441">
        <f t="shared" si="49"/>
        <v>-1.0154941719796109</v>
      </c>
      <c r="Q290" s="200"/>
    </row>
    <row r="291" spans="1:17" x14ac:dyDescent="0.25">
      <c r="A291" s="198">
        <f>'A) Base RI'!A293</f>
        <v>5891</v>
      </c>
      <c r="B291" s="42" t="str">
        <f>'A) Base RI'!B293</f>
        <v>Veytaux</v>
      </c>
      <c r="C291" s="41">
        <f>'D) Ecrêtage'!M291</f>
        <v>37259.444879227056</v>
      </c>
      <c r="D291" s="41">
        <v>323250</v>
      </c>
      <c r="E291" s="14">
        <v>73067</v>
      </c>
      <c r="F291" s="52">
        <v>30000</v>
      </c>
      <c r="G291" s="52">
        <f t="shared" si="45"/>
        <v>426317</v>
      </c>
      <c r="H291" s="14">
        <f t="shared" si="41"/>
        <v>298075.55903381645</v>
      </c>
      <c r="I291" s="41">
        <f t="shared" si="46"/>
        <v>128241.44096618355</v>
      </c>
      <c r="J291" s="4">
        <f t="shared" si="42"/>
        <v>-90711.556447052499</v>
      </c>
      <c r="K291" s="19">
        <v>369589</v>
      </c>
      <c r="L291" s="14">
        <f t="shared" si="43"/>
        <v>37259.444879227056</v>
      </c>
      <c r="M291" s="19">
        <f t="shared" si="47"/>
        <v>332329.55512077291</v>
      </c>
      <c r="N291" s="4">
        <f t="shared" si="44"/>
        <v>-235073.24131137281</v>
      </c>
      <c r="O291" s="207">
        <f t="shared" si="48"/>
        <v>-325784.79775842529</v>
      </c>
      <c r="P291" s="441">
        <f t="shared" si="49"/>
        <v>-8.7436836167158614</v>
      </c>
      <c r="Q291" s="200"/>
    </row>
    <row r="292" spans="1:17" x14ac:dyDescent="0.25">
      <c r="A292" s="198">
        <f>'A) Base RI'!A294</f>
        <v>5902</v>
      </c>
      <c r="B292" s="42" t="str">
        <f>'A) Base RI'!B294</f>
        <v>Belmont-sur-Yverdon</v>
      </c>
      <c r="C292" s="41">
        <f>'D) Ecrêtage'!M292</f>
        <v>8642.2247368421067</v>
      </c>
      <c r="D292" s="41">
        <v>220132</v>
      </c>
      <c r="E292" s="14">
        <v>10760</v>
      </c>
      <c r="F292" s="52">
        <v>44808</v>
      </c>
      <c r="G292" s="52">
        <f t="shared" si="45"/>
        <v>275700</v>
      </c>
      <c r="H292" s="14">
        <f t="shared" si="41"/>
        <v>69137.797894736854</v>
      </c>
      <c r="I292" s="41">
        <f t="shared" si="46"/>
        <v>206562.20210526313</v>
      </c>
      <c r="J292" s="4">
        <f t="shared" si="42"/>
        <v>-146111.73045879937</v>
      </c>
      <c r="K292" s="19">
        <v>19525</v>
      </c>
      <c r="L292" s="14">
        <f t="shared" si="43"/>
        <v>8642.2247368421067</v>
      </c>
      <c r="M292" s="19">
        <f t="shared" si="47"/>
        <v>10882.775263157893</v>
      </c>
      <c r="N292" s="4">
        <f t="shared" si="44"/>
        <v>-7697.9288063743015</v>
      </c>
      <c r="O292" s="207">
        <f t="shared" si="48"/>
        <v>-153809.65926517369</v>
      </c>
      <c r="P292" s="441">
        <f t="shared" si="49"/>
        <v>-17.797461180276617</v>
      </c>
      <c r="Q292" s="200"/>
    </row>
    <row r="293" spans="1:17" x14ac:dyDescent="0.25">
      <c r="A293" s="198">
        <f>'A) Base RI'!A295</f>
        <v>5903</v>
      </c>
      <c r="B293" s="42" t="str">
        <f>'A) Base RI'!B295</f>
        <v>Bioley-Magnoux</v>
      </c>
      <c r="C293" s="41">
        <f>'D) Ecrêtage'!M293</f>
        <v>6046.5271621621623</v>
      </c>
      <c r="D293" s="41">
        <v>237260</v>
      </c>
      <c r="E293" s="14">
        <v>5907</v>
      </c>
      <c r="F293" s="52">
        <v>20271</v>
      </c>
      <c r="G293" s="52">
        <f t="shared" si="45"/>
        <v>263438</v>
      </c>
      <c r="H293" s="14">
        <f t="shared" si="41"/>
        <v>48372.217297297299</v>
      </c>
      <c r="I293" s="41">
        <f t="shared" si="46"/>
        <v>215065.78270270271</v>
      </c>
      <c r="J293" s="4">
        <f t="shared" si="42"/>
        <v>-152126.7364159619</v>
      </c>
      <c r="K293" s="19">
        <v>19625</v>
      </c>
      <c r="L293" s="14">
        <f t="shared" si="43"/>
        <v>6046.5271621621623</v>
      </c>
      <c r="M293" s="19">
        <f t="shared" si="47"/>
        <v>13578.472837837839</v>
      </c>
      <c r="N293" s="4">
        <f t="shared" si="44"/>
        <v>-9604.7299220467594</v>
      </c>
      <c r="O293" s="207">
        <f t="shared" si="48"/>
        <v>-161731.46633800867</v>
      </c>
      <c r="P293" s="441">
        <f t="shared" si="49"/>
        <v>-26.747827637340098</v>
      </c>
      <c r="Q293" s="200"/>
    </row>
    <row r="294" spans="1:17" x14ac:dyDescent="0.25">
      <c r="A294" s="198">
        <f>'A) Base RI'!A296</f>
        <v>5904</v>
      </c>
      <c r="B294" s="42" t="str">
        <f>'A) Base RI'!B296</f>
        <v>Chamblon</v>
      </c>
      <c r="C294" s="41">
        <f>'D) Ecrêtage'!M294</f>
        <v>20170.434545454544</v>
      </c>
      <c r="D294" s="41">
        <v>82890</v>
      </c>
      <c r="E294" s="14">
        <v>17862</v>
      </c>
      <c r="F294" s="52">
        <v>23762</v>
      </c>
      <c r="G294" s="52">
        <f t="shared" si="45"/>
        <v>124514</v>
      </c>
      <c r="H294" s="14">
        <f t="shared" si="41"/>
        <v>161363.47636363635</v>
      </c>
      <c r="I294" s="41">
        <f t="shared" si="46"/>
        <v>0</v>
      </c>
      <c r="J294" s="4">
        <f t="shared" si="42"/>
        <v>0</v>
      </c>
      <c r="K294" s="19">
        <v>651</v>
      </c>
      <c r="L294" s="14">
        <f t="shared" si="43"/>
        <v>20170.434545454544</v>
      </c>
      <c r="M294" s="19">
        <f t="shared" si="47"/>
        <v>0</v>
      </c>
      <c r="N294" s="4">
        <f t="shared" si="44"/>
        <v>0</v>
      </c>
      <c r="O294" s="207">
        <f t="shared" si="48"/>
        <v>0</v>
      </c>
      <c r="P294" s="441">
        <f t="shared" si="49"/>
        <v>0</v>
      </c>
      <c r="Q294" s="200"/>
    </row>
    <row r="295" spans="1:17" x14ac:dyDescent="0.25">
      <c r="A295" s="198">
        <f>'A) Base RI'!A297</f>
        <v>5905</v>
      </c>
      <c r="B295" s="42" t="str">
        <f>'A) Base RI'!B297</f>
        <v>Champvent</v>
      </c>
      <c r="C295" s="41">
        <f>'D) Ecrêtage'!M295</f>
        <v>18220.765633802814</v>
      </c>
      <c r="D295" s="41">
        <v>56855</v>
      </c>
      <c r="E295" s="14">
        <v>45210</v>
      </c>
      <c r="F295" s="52">
        <v>115668</v>
      </c>
      <c r="G295" s="52">
        <f t="shared" si="45"/>
        <v>217733</v>
      </c>
      <c r="H295" s="14">
        <f t="shared" si="41"/>
        <v>145766.12507042251</v>
      </c>
      <c r="I295" s="41">
        <f t="shared" si="46"/>
        <v>71966.874929577491</v>
      </c>
      <c r="J295" s="4">
        <f t="shared" si="42"/>
        <v>-50905.753930305473</v>
      </c>
      <c r="K295" s="19">
        <v>72674</v>
      </c>
      <c r="L295" s="14">
        <f t="shared" si="43"/>
        <v>18220.765633802814</v>
      </c>
      <c r="M295" s="19">
        <f t="shared" si="47"/>
        <v>54453.234366197183</v>
      </c>
      <c r="N295" s="4">
        <f t="shared" si="44"/>
        <v>-38517.483940596074</v>
      </c>
      <c r="O295" s="207">
        <f t="shared" si="48"/>
        <v>-89423.237870901547</v>
      </c>
      <c r="P295" s="441">
        <f t="shared" si="49"/>
        <v>-4.9077651108691764</v>
      </c>
      <c r="Q295" s="200"/>
    </row>
    <row r="296" spans="1:17" x14ac:dyDescent="0.25">
      <c r="A296" s="198">
        <f>'A) Base RI'!A298</f>
        <v>5907</v>
      </c>
      <c r="B296" s="42" t="str">
        <f>'A) Base RI'!B298</f>
        <v>Chavannes-le-Chêne</v>
      </c>
      <c r="C296" s="41">
        <f>'D) Ecrêtage'!M296</f>
        <v>6951.74782051282</v>
      </c>
      <c r="D296" s="41">
        <v>141256</v>
      </c>
      <c r="E296" s="14">
        <v>8258</v>
      </c>
      <c r="F296" s="52">
        <v>24528</v>
      </c>
      <c r="G296" s="52">
        <f t="shared" si="45"/>
        <v>174042</v>
      </c>
      <c r="H296" s="14">
        <f t="shared" si="41"/>
        <v>55613.98256410256</v>
      </c>
      <c r="I296" s="41">
        <f t="shared" si="46"/>
        <v>118428.01743589743</v>
      </c>
      <c r="J296" s="4">
        <f t="shared" si="42"/>
        <v>-83770.033365281139</v>
      </c>
      <c r="K296" s="19">
        <v>12206</v>
      </c>
      <c r="L296" s="14">
        <f t="shared" si="43"/>
        <v>6951.74782051282</v>
      </c>
      <c r="M296" s="19">
        <f t="shared" si="47"/>
        <v>5254.25217948718</v>
      </c>
      <c r="N296" s="4">
        <f t="shared" si="44"/>
        <v>-3716.5941802874931</v>
      </c>
      <c r="O296" s="207">
        <f t="shared" si="48"/>
        <v>-87486.627545568626</v>
      </c>
      <c r="P296" s="441">
        <f t="shared" si="49"/>
        <v>-12.584839065568243</v>
      </c>
      <c r="Q296" s="200"/>
    </row>
    <row r="297" spans="1:17" x14ac:dyDescent="0.25">
      <c r="A297" s="198">
        <f>'A) Base RI'!A299</f>
        <v>5908</v>
      </c>
      <c r="B297" s="42" t="str">
        <f>'A) Base RI'!B299</f>
        <v>Chêne-Pâquier</v>
      </c>
      <c r="C297" s="41">
        <f>'D) Ecrêtage'!M297</f>
        <v>2899.0017721518989</v>
      </c>
      <c r="D297" s="41">
        <v>12432</v>
      </c>
      <c r="E297" s="14">
        <v>3979</v>
      </c>
      <c r="F297" s="52">
        <v>11605</v>
      </c>
      <c r="G297" s="52">
        <f t="shared" si="45"/>
        <v>28016</v>
      </c>
      <c r="H297" s="14">
        <f t="shared" si="41"/>
        <v>23192.014177215191</v>
      </c>
      <c r="I297" s="41">
        <f t="shared" si="46"/>
        <v>4823.985822784809</v>
      </c>
      <c r="J297" s="4">
        <f t="shared" si="42"/>
        <v>-3412.245362859851</v>
      </c>
      <c r="K297" s="19">
        <v>40203</v>
      </c>
      <c r="L297" s="14">
        <f t="shared" si="43"/>
        <v>2899.0017721518989</v>
      </c>
      <c r="M297" s="19">
        <f t="shared" si="47"/>
        <v>37303.998227848104</v>
      </c>
      <c r="N297" s="4">
        <f t="shared" si="44"/>
        <v>-26386.975344721082</v>
      </c>
      <c r="O297" s="207">
        <f t="shared" si="48"/>
        <v>-29799.220707580935</v>
      </c>
      <c r="P297" s="441">
        <f t="shared" si="49"/>
        <v>-10.279131594135343</v>
      </c>
      <c r="Q297" s="200"/>
    </row>
    <row r="298" spans="1:17" x14ac:dyDescent="0.25">
      <c r="A298" s="198">
        <f>'A) Base RI'!A300</f>
        <v>5909</v>
      </c>
      <c r="B298" s="42" t="str">
        <f>'A) Base RI'!B300</f>
        <v>Cheseaux-Noréaz</v>
      </c>
      <c r="C298" s="41">
        <f>'D) Ecrêtage'!M298</f>
        <v>22661.846714285719</v>
      </c>
      <c r="D298" s="41">
        <v>220816</v>
      </c>
      <c r="E298" s="14">
        <v>102486</v>
      </c>
      <c r="F298" s="52">
        <v>38916</v>
      </c>
      <c r="G298" s="52">
        <f t="shared" si="45"/>
        <v>362218</v>
      </c>
      <c r="H298" s="14">
        <f t="shared" si="41"/>
        <v>181294.77371428575</v>
      </c>
      <c r="I298" s="41">
        <f t="shared" si="46"/>
        <v>180923.22628571425</v>
      </c>
      <c r="J298" s="4">
        <f t="shared" si="42"/>
        <v>-127976.00627496936</v>
      </c>
      <c r="K298" s="19">
        <v>6716</v>
      </c>
      <c r="L298" s="14">
        <f t="shared" si="43"/>
        <v>22661.846714285719</v>
      </c>
      <c r="M298" s="19">
        <f t="shared" si="47"/>
        <v>0</v>
      </c>
      <c r="N298" s="4">
        <f t="shared" si="44"/>
        <v>0</v>
      </c>
      <c r="O298" s="207">
        <f t="shared" si="48"/>
        <v>-127976.00627496936</v>
      </c>
      <c r="P298" s="441">
        <f t="shared" si="49"/>
        <v>-5.6472011256829759</v>
      </c>
      <c r="Q298" s="200"/>
    </row>
    <row r="299" spans="1:17" x14ac:dyDescent="0.25">
      <c r="A299" s="198">
        <f>'A) Base RI'!A301</f>
        <v>5910</v>
      </c>
      <c r="B299" s="42" t="str">
        <f>'A) Base RI'!B301</f>
        <v>Cronay</v>
      </c>
      <c r="C299" s="41">
        <f>'D) Ecrêtage'!M299</f>
        <v>10409.753209876544</v>
      </c>
      <c r="D299" s="41">
        <v>25949</v>
      </c>
      <c r="E299" s="14">
        <v>15914</v>
      </c>
      <c r="F299" s="52">
        <v>28345</v>
      </c>
      <c r="G299" s="52">
        <f t="shared" si="45"/>
        <v>70208</v>
      </c>
      <c r="H299" s="14">
        <f t="shared" si="41"/>
        <v>83278.025679012353</v>
      </c>
      <c r="I299" s="41">
        <f t="shared" si="46"/>
        <v>0</v>
      </c>
      <c r="J299" s="4">
        <f t="shared" si="42"/>
        <v>0</v>
      </c>
      <c r="K299" s="19">
        <v>147410</v>
      </c>
      <c r="L299" s="14">
        <f t="shared" si="43"/>
        <v>10409.753209876544</v>
      </c>
      <c r="M299" s="19">
        <f t="shared" si="47"/>
        <v>137000.24679012346</v>
      </c>
      <c r="N299" s="4">
        <f t="shared" si="44"/>
        <v>-96907.09591480231</v>
      </c>
      <c r="O299" s="207">
        <f t="shared" si="48"/>
        <v>-96907.09591480231</v>
      </c>
      <c r="P299" s="441">
        <f t="shared" si="49"/>
        <v>-9.3092596876224682</v>
      </c>
      <c r="Q299" s="200"/>
    </row>
    <row r="300" spans="1:17" x14ac:dyDescent="0.25">
      <c r="A300" s="198">
        <f>'A) Base RI'!A302</f>
        <v>5911</v>
      </c>
      <c r="B300" s="42" t="str">
        <f>'A) Base RI'!B302</f>
        <v>Cuarny</v>
      </c>
      <c r="C300" s="41">
        <f>'D) Ecrêtage'!M300</f>
        <v>6783.6280246913584</v>
      </c>
      <c r="D300" s="41">
        <v>17141</v>
      </c>
      <c r="E300" s="14">
        <v>6148</v>
      </c>
      <c r="F300" s="52">
        <v>16235</v>
      </c>
      <c r="G300" s="52">
        <f t="shared" si="45"/>
        <v>39524</v>
      </c>
      <c r="H300" s="14">
        <f t="shared" si="41"/>
        <v>54269.024197530867</v>
      </c>
      <c r="I300" s="41">
        <f t="shared" si="46"/>
        <v>0</v>
      </c>
      <c r="J300" s="4">
        <f t="shared" si="42"/>
        <v>0</v>
      </c>
      <c r="K300" s="19">
        <v>15375</v>
      </c>
      <c r="L300" s="14">
        <f t="shared" si="43"/>
        <v>6783.6280246913584</v>
      </c>
      <c r="M300" s="19">
        <f t="shared" si="47"/>
        <v>8591.3719753086407</v>
      </c>
      <c r="N300" s="4">
        <f t="shared" si="44"/>
        <v>-6077.1051699375457</v>
      </c>
      <c r="O300" s="207">
        <f t="shared" si="48"/>
        <v>-6077.1051699375457</v>
      </c>
      <c r="P300" s="441">
        <f t="shared" si="49"/>
        <v>-0.89584882128233168</v>
      </c>
      <c r="Q300" s="200"/>
    </row>
    <row r="301" spans="1:17" x14ac:dyDescent="0.25">
      <c r="A301" s="198">
        <f>'A) Base RI'!A303</f>
        <v>5912</v>
      </c>
      <c r="B301" s="42" t="str">
        <f>'A) Base RI'!B303</f>
        <v>Démoret</v>
      </c>
      <c r="C301" s="41">
        <f>'D) Ecrêtage'!M301</f>
        <v>3146.6025925925924</v>
      </c>
      <c r="D301" s="41">
        <v>23813</v>
      </c>
      <c r="E301" s="14">
        <v>3797</v>
      </c>
      <c r="F301" s="52">
        <v>7602</v>
      </c>
      <c r="G301" s="52">
        <f t="shared" si="45"/>
        <v>35212</v>
      </c>
      <c r="H301" s="14">
        <f t="shared" si="41"/>
        <v>25172.820740740739</v>
      </c>
      <c r="I301" s="41">
        <f t="shared" si="46"/>
        <v>10039.179259259261</v>
      </c>
      <c r="J301" s="4">
        <f t="shared" si="42"/>
        <v>-7101.2113494460255</v>
      </c>
      <c r="K301" s="19">
        <v>31125</v>
      </c>
      <c r="L301" s="14">
        <f t="shared" si="43"/>
        <v>3146.6025925925924</v>
      </c>
      <c r="M301" s="19">
        <f t="shared" si="47"/>
        <v>27978.397407407407</v>
      </c>
      <c r="N301" s="4">
        <f t="shared" si="44"/>
        <v>-19790.513554735782</v>
      </c>
      <c r="O301" s="207">
        <f t="shared" si="48"/>
        <v>-26891.724904181807</v>
      </c>
      <c r="P301" s="441">
        <f t="shared" si="49"/>
        <v>-8.5462730398454312</v>
      </c>
      <c r="Q301" s="200"/>
    </row>
    <row r="302" spans="1:17" x14ac:dyDescent="0.25">
      <c r="A302" s="198">
        <f>'A) Base RI'!A304</f>
        <v>5913</v>
      </c>
      <c r="B302" s="42" t="str">
        <f>'A) Base RI'!B304</f>
        <v>Donneloye</v>
      </c>
      <c r="C302" s="41">
        <f>'D) Ecrêtage'!M302</f>
        <v>23116.238767123283</v>
      </c>
      <c r="D302" s="41">
        <v>106204</v>
      </c>
      <c r="E302" s="14">
        <v>21942</v>
      </c>
      <c r="F302" s="52">
        <v>73419</v>
      </c>
      <c r="G302" s="52">
        <f t="shared" si="45"/>
        <v>201565</v>
      </c>
      <c r="H302" s="14">
        <f t="shared" si="41"/>
        <v>184929.91013698626</v>
      </c>
      <c r="I302" s="41">
        <f t="shared" si="46"/>
        <v>16635.089863013738</v>
      </c>
      <c r="J302" s="4">
        <f t="shared" si="42"/>
        <v>-11766.827335544942</v>
      </c>
      <c r="K302" s="19">
        <v>44323</v>
      </c>
      <c r="L302" s="14">
        <f t="shared" si="43"/>
        <v>23116.238767123283</v>
      </c>
      <c r="M302" s="19">
        <f t="shared" si="47"/>
        <v>21206.761232876717</v>
      </c>
      <c r="N302" s="4">
        <f t="shared" si="44"/>
        <v>-15000.598122899506</v>
      </c>
      <c r="O302" s="207">
        <f t="shared" si="48"/>
        <v>-26767.42545844445</v>
      </c>
      <c r="P302" s="441">
        <f t="shared" si="49"/>
        <v>-1.1579489954271458</v>
      </c>
      <c r="Q302" s="200"/>
    </row>
    <row r="303" spans="1:17" x14ac:dyDescent="0.25">
      <c r="A303" s="198">
        <f>'A) Base RI'!A305</f>
        <v>5914</v>
      </c>
      <c r="B303" s="42" t="str">
        <f>'A) Base RI'!B305</f>
        <v>Ependes</v>
      </c>
      <c r="C303" s="41">
        <f>'D) Ecrêtage'!M303</f>
        <v>8750.2923999999985</v>
      </c>
      <c r="D303" s="41">
        <v>33368</v>
      </c>
      <c r="E303" s="14">
        <v>25920</v>
      </c>
      <c r="F303" s="52">
        <v>44664</v>
      </c>
      <c r="G303" s="52">
        <f t="shared" si="45"/>
        <v>103952</v>
      </c>
      <c r="H303" s="14">
        <f t="shared" si="41"/>
        <v>70002.339199999988</v>
      </c>
      <c r="I303" s="41">
        <f t="shared" si="46"/>
        <v>33949.660800000012</v>
      </c>
      <c r="J303" s="4">
        <f t="shared" si="42"/>
        <v>-24014.285466657882</v>
      </c>
      <c r="K303" s="19">
        <v>16310</v>
      </c>
      <c r="L303" s="14">
        <f t="shared" si="43"/>
        <v>8750.2923999999985</v>
      </c>
      <c r="M303" s="19">
        <f t="shared" si="47"/>
        <v>7559.7076000000015</v>
      </c>
      <c r="N303" s="4">
        <f t="shared" si="44"/>
        <v>-5347.3575898249655</v>
      </c>
      <c r="O303" s="207">
        <f t="shared" si="48"/>
        <v>-29361.643056482848</v>
      </c>
      <c r="P303" s="441">
        <f t="shared" si="49"/>
        <v>-3.3555042179485173</v>
      </c>
      <c r="Q303" s="200"/>
    </row>
    <row r="304" spans="1:17" x14ac:dyDescent="0.25">
      <c r="A304" s="198">
        <f>'A) Base RI'!A306</f>
        <v>5915</v>
      </c>
      <c r="B304" s="42" t="str">
        <f>'A) Base RI'!B306</f>
        <v>Essert-Pittet</v>
      </c>
      <c r="C304" s="41">
        <f>'D) Ecrêtage'!M304</f>
        <v>5181.7059529411763</v>
      </c>
      <c r="D304" s="41">
        <v>30459</v>
      </c>
      <c r="E304" s="14">
        <v>11378</v>
      </c>
      <c r="F304" s="52">
        <v>23948</v>
      </c>
      <c r="G304" s="52">
        <f t="shared" si="45"/>
        <v>65785</v>
      </c>
      <c r="H304" s="14">
        <f t="shared" si="41"/>
        <v>41453.64762352941</v>
      </c>
      <c r="I304" s="41">
        <f t="shared" si="46"/>
        <v>24331.35237647059</v>
      </c>
      <c r="J304" s="4">
        <f t="shared" si="42"/>
        <v>-17210.777014844556</v>
      </c>
      <c r="K304" s="19">
        <v>4666</v>
      </c>
      <c r="L304" s="14">
        <f t="shared" si="43"/>
        <v>5181.7059529411763</v>
      </c>
      <c r="M304" s="19">
        <f t="shared" si="47"/>
        <v>0</v>
      </c>
      <c r="N304" s="4">
        <f t="shared" si="44"/>
        <v>0</v>
      </c>
      <c r="O304" s="207">
        <f t="shared" si="48"/>
        <v>-17210.777014844556</v>
      </c>
      <c r="P304" s="441">
        <f t="shared" si="49"/>
        <v>-3.3214499570504548</v>
      </c>
      <c r="Q304" s="200"/>
    </row>
    <row r="305" spans="1:17" x14ac:dyDescent="0.25">
      <c r="A305" s="198">
        <f>'A) Base RI'!A307</f>
        <v>5919</v>
      </c>
      <c r="B305" s="42" t="str">
        <f>'A) Base RI'!B307</f>
        <v>Mathod</v>
      </c>
      <c r="C305" s="41">
        <f>'D) Ecrêtage'!M305</f>
        <v>16260.723851351351</v>
      </c>
      <c r="D305" s="41">
        <v>176588</v>
      </c>
      <c r="E305" s="14">
        <v>24956</v>
      </c>
      <c r="F305" s="52">
        <v>31468</v>
      </c>
      <c r="G305" s="52">
        <f t="shared" si="45"/>
        <v>233012</v>
      </c>
      <c r="H305" s="14">
        <f t="shared" si="41"/>
        <v>130085.79081081081</v>
      </c>
      <c r="I305" s="41">
        <f t="shared" si="46"/>
        <v>102926.20918918919</v>
      </c>
      <c r="J305" s="4">
        <f t="shared" si="42"/>
        <v>-72804.832544015706</v>
      </c>
      <c r="K305" s="19">
        <v>19557</v>
      </c>
      <c r="L305" s="14">
        <f t="shared" si="43"/>
        <v>16260.723851351351</v>
      </c>
      <c r="M305" s="19">
        <f t="shared" si="47"/>
        <v>3296.2761486486488</v>
      </c>
      <c r="N305" s="4">
        <f t="shared" si="44"/>
        <v>-2331.6202443643924</v>
      </c>
      <c r="O305" s="207">
        <f t="shared" si="48"/>
        <v>-75136.452788380091</v>
      </c>
      <c r="P305" s="441">
        <f t="shared" si="49"/>
        <v>-4.6207323533223805</v>
      </c>
      <c r="Q305" s="200"/>
    </row>
    <row r="306" spans="1:17" x14ac:dyDescent="0.25">
      <c r="A306" s="198">
        <f>'A) Base RI'!A308</f>
        <v>5921</v>
      </c>
      <c r="B306" s="42" t="str">
        <f>'A) Base RI'!B308</f>
        <v>Molondin</v>
      </c>
      <c r="C306" s="41">
        <f>'D) Ecrêtage'!M306</f>
        <v>4932.1140740740739</v>
      </c>
      <c r="D306" s="41">
        <v>46260</v>
      </c>
      <c r="E306" s="14">
        <v>6872</v>
      </c>
      <c r="F306" s="52">
        <v>16148</v>
      </c>
      <c r="G306" s="52">
        <f t="shared" si="45"/>
        <v>69280</v>
      </c>
      <c r="H306" s="14">
        <f t="shared" si="41"/>
        <v>39456.912592592591</v>
      </c>
      <c r="I306" s="41">
        <f t="shared" si="46"/>
        <v>29823.087407407409</v>
      </c>
      <c r="J306" s="4">
        <f t="shared" si="42"/>
        <v>-21095.354640437858</v>
      </c>
      <c r="K306" s="19">
        <v>52038</v>
      </c>
      <c r="L306" s="14">
        <f t="shared" si="43"/>
        <v>4932.1140740740739</v>
      </c>
      <c r="M306" s="19">
        <f t="shared" si="47"/>
        <v>47105.885925925926</v>
      </c>
      <c r="N306" s="4">
        <f t="shared" si="44"/>
        <v>-33320.338557992502</v>
      </c>
      <c r="O306" s="207">
        <f t="shared" si="48"/>
        <v>-54415.693198430359</v>
      </c>
      <c r="P306" s="441">
        <f t="shared" si="49"/>
        <v>-11.032934839133063</v>
      </c>
      <c r="Q306" s="200"/>
    </row>
    <row r="307" spans="1:17" x14ac:dyDescent="0.25">
      <c r="A307" s="198">
        <f>'A) Base RI'!A309</f>
        <v>5922</v>
      </c>
      <c r="B307" s="42" t="str">
        <f>'A) Base RI'!B309</f>
        <v>Montagny-près-Yverdon</v>
      </c>
      <c r="C307" s="41">
        <f>'D) Ecrêtage'!M307</f>
        <v>48327.826356462392</v>
      </c>
      <c r="D307" s="41">
        <v>110484</v>
      </c>
      <c r="E307" s="14">
        <v>273561</v>
      </c>
      <c r="F307" s="52">
        <v>103851</v>
      </c>
      <c r="G307" s="52">
        <f t="shared" si="45"/>
        <v>487896</v>
      </c>
      <c r="H307" s="14">
        <f t="shared" si="41"/>
        <v>386622.61085169914</v>
      </c>
      <c r="I307" s="41">
        <f t="shared" si="46"/>
        <v>101273.38914830086</v>
      </c>
      <c r="J307" s="4">
        <f t="shared" si="42"/>
        <v>-71635.710633763636</v>
      </c>
      <c r="K307" s="19">
        <v>4256</v>
      </c>
      <c r="L307" s="14">
        <f t="shared" si="43"/>
        <v>48327.826356462392</v>
      </c>
      <c r="M307" s="19">
        <f t="shared" si="47"/>
        <v>0</v>
      </c>
      <c r="N307" s="4">
        <f t="shared" si="44"/>
        <v>0</v>
      </c>
      <c r="O307" s="207">
        <f t="shared" si="48"/>
        <v>-71635.710633763636</v>
      </c>
      <c r="P307" s="441">
        <f t="shared" si="49"/>
        <v>-1.4822870390524923</v>
      </c>
      <c r="Q307" s="200"/>
    </row>
    <row r="308" spans="1:17" x14ac:dyDescent="0.25">
      <c r="A308" s="198">
        <f>'A) Base RI'!A310</f>
        <v>5923</v>
      </c>
      <c r="B308" s="42" t="str">
        <f>'A) Base RI'!B310</f>
        <v>Oppens</v>
      </c>
      <c r="C308" s="41">
        <f>'D) Ecrêtage'!M308</f>
        <v>4902.1274074074072</v>
      </c>
      <c r="D308" s="41">
        <v>40474</v>
      </c>
      <c r="E308" s="14">
        <v>7957</v>
      </c>
      <c r="F308" s="52">
        <v>17750</v>
      </c>
      <c r="G308" s="52">
        <f t="shared" si="45"/>
        <v>66181</v>
      </c>
      <c r="H308" s="14">
        <f t="shared" si="41"/>
        <v>39217.019259259258</v>
      </c>
      <c r="I308" s="41">
        <f t="shared" si="46"/>
        <v>26963.980740740742</v>
      </c>
      <c r="J308" s="4">
        <f t="shared" si="42"/>
        <v>-19072.966137723921</v>
      </c>
      <c r="K308" s="19">
        <v>25440</v>
      </c>
      <c r="L308" s="14">
        <f t="shared" si="43"/>
        <v>4902.1274074074072</v>
      </c>
      <c r="M308" s="19">
        <f t="shared" si="47"/>
        <v>20537.872592592594</v>
      </c>
      <c r="N308" s="4">
        <f t="shared" si="44"/>
        <v>-14527.459883085707</v>
      </c>
      <c r="O308" s="207">
        <f t="shared" si="48"/>
        <v>-33600.426020809624</v>
      </c>
      <c r="P308" s="441">
        <f t="shared" si="49"/>
        <v>-6.8542539245384306</v>
      </c>
      <c r="Q308" s="200"/>
    </row>
    <row r="309" spans="1:17" x14ac:dyDescent="0.25">
      <c r="A309" s="198">
        <f>'A) Base RI'!A311</f>
        <v>5924</v>
      </c>
      <c r="B309" s="42" t="str">
        <f>'A) Base RI'!B311</f>
        <v>Orges</v>
      </c>
      <c r="C309" s="41">
        <f>'D) Ecrêtage'!M309</f>
        <v>9002.8555405405405</v>
      </c>
      <c r="D309" s="41">
        <v>30441</v>
      </c>
      <c r="E309" s="14">
        <v>8258</v>
      </c>
      <c r="F309" s="52">
        <v>27741</v>
      </c>
      <c r="G309" s="52">
        <f t="shared" si="45"/>
        <v>66440</v>
      </c>
      <c r="H309" s="14">
        <f t="shared" si="41"/>
        <v>72022.844324324324</v>
      </c>
      <c r="I309" s="41">
        <f t="shared" si="46"/>
        <v>0</v>
      </c>
      <c r="J309" s="4">
        <f t="shared" si="42"/>
        <v>0</v>
      </c>
      <c r="K309" s="19">
        <v>5908</v>
      </c>
      <c r="L309" s="14">
        <f t="shared" si="43"/>
        <v>9002.8555405405405</v>
      </c>
      <c r="M309" s="19">
        <f t="shared" si="47"/>
        <v>0</v>
      </c>
      <c r="N309" s="4">
        <f t="shared" si="44"/>
        <v>0</v>
      </c>
      <c r="O309" s="207">
        <f t="shared" si="48"/>
        <v>0</v>
      </c>
      <c r="P309" s="441">
        <f t="shared" si="49"/>
        <v>0</v>
      </c>
      <c r="Q309" s="200"/>
    </row>
    <row r="310" spans="1:17" x14ac:dyDescent="0.25">
      <c r="A310" s="198">
        <f>'A) Base RI'!A312</f>
        <v>5925</v>
      </c>
      <c r="B310" s="42" t="str">
        <f>'A) Base RI'!B312</f>
        <v>Orzens</v>
      </c>
      <c r="C310" s="41">
        <f>'D) Ecrêtage'!M310</f>
        <v>5053.7527848101263</v>
      </c>
      <c r="D310" s="41">
        <v>16723</v>
      </c>
      <c r="E310" s="14">
        <v>8906</v>
      </c>
      <c r="F310" s="52">
        <v>19867</v>
      </c>
      <c r="G310" s="52">
        <f t="shared" si="45"/>
        <v>45496</v>
      </c>
      <c r="H310" s="14">
        <f t="shared" si="41"/>
        <v>40430.02227848101</v>
      </c>
      <c r="I310" s="41">
        <f t="shared" si="46"/>
        <v>5065.9777215189897</v>
      </c>
      <c r="J310" s="4">
        <f t="shared" si="42"/>
        <v>-3583.418281819359</v>
      </c>
      <c r="K310" s="19">
        <v>14843</v>
      </c>
      <c r="L310" s="14">
        <f t="shared" si="43"/>
        <v>5053.7527848101263</v>
      </c>
      <c r="M310" s="19">
        <f t="shared" si="47"/>
        <v>9789.2472151898728</v>
      </c>
      <c r="N310" s="4">
        <f t="shared" si="44"/>
        <v>-6924.4219703442586</v>
      </c>
      <c r="O310" s="207">
        <f t="shared" si="48"/>
        <v>-10507.840252163618</v>
      </c>
      <c r="P310" s="441">
        <f t="shared" si="49"/>
        <v>-2.0792153276168626</v>
      </c>
      <c r="Q310" s="200"/>
    </row>
    <row r="311" spans="1:17" x14ac:dyDescent="0.25">
      <c r="A311" s="198">
        <f>'A) Base RI'!A313</f>
        <v>5926</v>
      </c>
      <c r="B311" s="42" t="str">
        <f>'A) Base RI'!B313</f>
        <v>Pomy</v>
      </c>
      <c r="C311" s="41">
        <f>'D) Ecrêtage'!M311</f>
        <v>21029.126197183101</v>
      </c>
      <c r="D311" s="41">
        <v>408851</v>
      </c>
      <c r="E311" s="14">
        <v>33229</v>
      </c>
      <c r="F311" s="52">
        <v>76575</v>
      </c>
      <c r="G311" s="52">
        <f t="shared" si="45"/>
        <v>518655</v>
      </c>
      <c r="H311" s="14">
        <f t="shared" si="41"/>
        <v>168233.00957746481</v>
      </c>
      <c r="I311" s="41">
        <f t="shared" si="46"/>
        <v>350421.99042253522</v>
      </c>
      <c r="J311" s="4">
        <f t="shared" si="42"/>
        <v>-247870.92163822774</v>
      </c>
      <c r="K311" s="19">
        <v>58277</v>
      </c>
      <c r="L311" s="14">
        <f t="shared" si="43"/>
        <v>21029.126197183101</v>
      </c>
      <c r="M311" s="19">
        <f t="shared" si="47"/>
        <v>37247.873802816903</v>
      </c>
      <c r="N311" s="4">
        <f t="shared" si="44"/>
        <v>-26347.275744413106</v>
      </c>
      <c r="O311" s="207">
        <f t="shared" si="48"/>
        <v>-274218.19738264085</v>
      </c>
      <c r="P311" s="441">
        <f t="shared" si="49"/>
        <v>-13.039923523754068</v>
      </c>
      <c r="Q311" s="200"/>
    </row>
    <row r="312" spans="1:17" x14ac:dyDescent="0.25">
      <c r="A312" s="198">
        <f>'A) Base RI'!A314</f>
        <v>5928</v>
      </c>
      <c r="B312" s="42" t="str">
        <f>'A) Base RI'!B314</f>
        <v>Rovray</v>
      </c>
      <c r="C312" s="41">
        <f>'D) Ecrêtage'!M312</f>
        <v>4897.1457333333328</v>
      </c>
      <c r="D312" s="41">
        <v>28600</v>
      </c>
      <c r="E312" s="14">
        <v>4973</v>
      </c>
      <c r="F312" s="52">
        <v>14682</v>
      </c>
      <c r="G312" s="52">
        <f t="shared" si="45"/>
        <v>48255</v>
      </c>
      <c r="H312" s="14">
        <f t="shared" si="41"/>
        <v>39177.165866666663</v>
      </c>
      <c r="I312" s="41">
        <f t="shared" si="46"/>
        <v>9077.8341333333374</v>
      </c>
      <c r="J312" s="4">
        <f t="shared" si="42"/>
        <v>-6421.2040756777615</v>
      </c>
      <c r="K312" s="19">
        <v>2946</v>
      </c>
      <c r="L312" s="14">
        <f t="shared" si="43"/>
        <v>4897.1457333333328</v>
      </c>
      <c r="M312" s="19">
        <f t="shared" si="47"/>
        <v>0</v>
      </c>
      <c r="N312" s="4">
        <f t="shared" si="44"/>
        <v>0</v>
      </c>
      <c r="O312" s="207">
        <f t="shared" si="48"/>
        <v>-6421.2040756777615</v>
      </c>
      <c r="P312" s="441">
        <f t="shared" si="49"/>
        <v>-1.3112135977434043</v>
      </c>
      <c r="Q312" s="200"/>
    </row>
    <row r="313" spans="1:17" x14ac:dyDescent="0.25">
      <c r="A313" s="198">
        <f>'A) Base RI'!A315</f>
        <v>5929</v>
      </c>
      <c r="B313" s="42" t="str">
        <f>'A) Base RI'!B315</f>
        <v>Suchy</v>
      </c>
      <c r="C313" s="41">
        <f>'D) Ecrêtage'!M313</f>
        <v>16083.913284313729</v>
      </c>
      <c r="D313" s="41">
        <v>33797</v>
      </c>
      <c r="E313" s="14">
        <v>15824</v>
      </c>
      <c r="F313" s="52">
        <v>75421</v>
      </c>
      <c r="G313" s="52">
        <f t="shared" si="45"/>
        <v>125042</v>
      </c>
      <c r="H313" s="14">
        <f t="shared" si="41"/>
        <v>128671.30627450983</v>
      </c>
      <c r="I313" s="41">
        <f t="shared" si="46"/>
        <v>0</v>
      </c>
      <c r="J313" s="4">
        <f t="shared" si="42"/>
        <v>0</v>
      </c>
      <c r="K313" s="19">
        <v>37860</v>
      </c>
      <c r="L313" s="14">
        <f t="shared" si="43"/>
        <v>16083.913284313729</v>
      </c>
      <c r="M313" s="19">
        <f t="shared" si="47"/>
        <v>21776.086715686273</v>
      </c>
      <c r="N313" s="4">
        <f t="shared" si="44"/>
        <v>-15403.310384096281</v>
      </c>
      <c r="O313" s="207">
        <f t="shared" si="48"/>
        <v>-15403.310384096281</v>
      </c>
      <c r="P313" s="441">
        <f t="shared" si="49"/>
        <v>-0.95768424709916689</v>
      </c>
      <c r="Q313" s="200"/>
    </row>
    <row r="314" spans="1:17" x14ac:dyDescent="0.25">
      <c r="A314" s="198">
        <f>'A) Base RI'!A316</f>
        <v>5930</v>
      </c>
      <c r="B314" s="42" t="str">
        <f>'A) Base RI'!B316</f>
        <v>Suscévaz</v>
      </c>
      <c r="C314" s="41">
        <f>'D) Ecrêtage'!M314</f>
        <v>5208.083787878787</v>
      </c>
      <c r="D314" s="41">
        <v>8212</v>
      </c>
      <c r="E314" s="14">
        <v>8997</v>
      </c>
      <c r="F314" s="52">
        <v>8911</v>
      </c>
      <c r="G314" s="52">
        <f t="shared" si="45"/>
        <v>26120</v>
      </c>
      <c r="H314" s="14">
        <f t="shared" si="41"/>
        <v>41664.670303030296</v>
      </c>
      <c r="I314" s="41">
        <f t="shared" si="46"/>
        <v>0</v>
      </c>
      <c r="J314" s="4">
        <f t="shared" si="42"/>
        <v>0</v>
      </c>
      <c r="K314" s="19">
        <v>-764</v>
      </c>
      <c r="L314" s="14">
        <f t="shared" si="43"/>
        <v>5208.083787878787</v>
      </c>
      <c r="M314" s="19">
        <f t="shared" si="47"/>
        <v>0</v>
      </c>
      <c r="N314" s="4">
        <f t="shared" si="44"/>
        <v>0</v>
      </c>
      <c r="O314" s="207">
        <f t="shared" si="48"/>
        <v>0</v>
      </c>
      <c r="P314" s="441">
        <f t="shared" si="49"/>
        <v>0</v>
      </c>
      <c r="Q314" s="200"/>
    </row>
    <row r="315" spans="1:17" x14ac:dyDescent="0.25">
      <c r="A315" s="198">
        <f>'A) Base RI'!A317</f>
        <v>5931</v>
      </c>
      <c r="B315" s="42" t="str">
        <f>'A) Base RI'!B317</f>
        <v>Treycovagnes</v>
      </c>
      <c r="C315" s="41">
        <f>'D) Ecrêtage'!M315</f>
        <v>13922.074155844155</v>
      </c>
      <c r="D315" s="41">
        <v>69140</v>
      </c>
      <c r="E315" s="14">
        <v>21294</v>
      </c>
      <c r="F315" s="52">
        <v>20053</v>
      </c>
      <c r="G315" s="52">
        <f t="shared" si="45"/>
        <v>110487</v>
      </c>
      <c r="H315" s="14">
        <f t="shared" si="41"/>
        <v>111376.59324675324</v>
      </c>
      <c r="I315" s="41">
        <f t="shared" si="46"/>
        <v>0</v>
      </c>
      <c r="J315" s="4">
        <f t="shared" si="42"/>
        <v>0</v>
      </c>
      <c r="K315" s="19">
        <v>1451</v>
      </c>
      <c r="L315" s="14">
        <f t="shared" si="43"/>
        <v>13922.074155844155</v>
      </c>
      <c r="M315" s="19">
        <f t="shared" si="47"/>
        <v>0</v>
      </c>
      <c r="N315" s="4">
        <f t="shared" si="44"/>
        <v>0</v>
      </c>
      <c r="O315" s="207">
        <f t="shared" si="48"/>
        <v>0</v>
      </c>
      <c r="P315" s="441">
        <f t="shared" si="49"/>
        <v>0</v>
      </c>
      <c r="Q315" s="200"/>
    </row>
    <row r="316" spans="1:17" x14ac:dyDescent="0.25">
      <c r="A316" s="198">
        <f>'A) Base RI'!A318</f>
        <v>5932</v>
      </c>
      <c r="B316" s="42" t="str">
        <f>'A) Base RI'!B318</f>
        <v>Ursins</v>
      </c>
      <c r="C316" s="41">
        <f>'D) Ecrêtage'!M316</f>
        <v>5429.3069230769233</v>
      </c>
      <c r="D316" s="41">
        <v>41595</v>
      </c>
      <c r="E316" s="14">
        <v>6269</v>
      </c>
      <c r="F316" s="52">
        <v>8991</v>
      </c>
      <c r="G316" s="52">
        <f t="shared" si="45"/>
        <v>56855</v>
      </c>
      <c r="H316" s="14">
        <f t="shared" si="41"/>
        <v>43434.455384615387</v>
      </c>
      <c r="I316" s="41">
        <f t="shared" si="46"/>
        <v>13420.544615384613</v>
      </c>
      <c r="J316" s="4">
        <f t="shared" si="42"/>
        <v>-9493.0194269235326</v>
      </c>
      <c r="K316" s="19">
        <v>15868</v>
      </c>
      <c r="L316" s="14">
        <f t="shared" si="43"/>
        <v>5429.3069230769233</v>
      </c>
      <c r="M316" s="19">
        <f t="shared" si="47"/>
        <v>10438.693076923077</v>
      </c>
      <c r="N316" s="4">
        <f t="shared" si="44"/>
        <v>-7383.8073648163227</v>
      </c>
      <c r="O316" s="207">
        <f t="shared" si="48"/>
        <v>-16876.826791739855</v>
      </c>
      <c r="P316" s="441">
        <f t="shared" si="49"/>
        <v>-3.1084679924809513</v>
      </c>
      <c r="Q316" s="200"/>
    </row>
    <row r="317" spans="1:17" x14ac:dyDescent="0.25">
      <c r="A317" s="198">
        <f>'A) Base RI'!A319</f>
        <v>5933</v>
      </c>
      <c r="B317" s="42" t="str">
        <f>'A) Base RI'!B319</f>
        <v>Valeyres-sous-Montagny</v>
      </c>
      <c r="C317" s="41">
        <f>'D) Ecrêtage'!M317</f>
        <v>17165.971111111114</v>
      </c>
      <c r="D317" s="41">
        <v>228519</v>
      </c>
      <c r="E317" s="14">
        <v>48375</v>
      </c>
      <c r="F317" s="52">
        <v>88914</v>
      </c>
      <c r="G317" s="52">
        <f t="shared" si="45"/>
        <v>365808</v>
      </c>
      <c r="H317" s="14">
        <f t="shared" si="41"/>
        <v>137327.76888888891</v>
      </c>
      <c r="I317" s="41">
        <f t="shared" si="46"/>
        <v>228480.23111111109</v>
      </c>
      <c r="J317" s="4">
        <f t="shared" si="42"/>
        <v>-161615.44369215574</v>
      </c>
      <c r="K317" s="19">
        <v>11508</v>
      </c>
      <c r="L317" s="14">
        <f t="shared" si="43"/>
        <v>17165.971111111114</v>
      </c>
      <c r="M317" s="19">
        <f t="shared" si="47"/>
        <v>0</v>
      </c>
      <c r="N317" s="4">
        <f t="shared" si="44"/>
        <v>0</v>
      </c>
      <c r="O317" s="207">
        <f t="shared" si="48"/>
        <v>-161615.44369215574</v>
      </c>
      <c r="P317" s="441">
        <f t="shared" si="49"/>
        <v>-9.4148733355112082</v>
      </c>
      <c r="Q317" s="200"/>
    </row>
    <row r="318" spans="1:17" x14ac:dyDescent="0.25">
      <c r="A318" s="198">
        <f>'A) Base RI'!A320</f>
        <v>5934</v>
      </c>
      <c r="B318" s="42" t="str">
        <f>'A) Base RI'!B320</f>
        <v>Valeyres-sous-Ursins</v>
      </c>
      <c r="C318" s="41">
        <f>'D) Ecrêtage'!M318</f>
        <v>6602.430506329114</v>
      </c>
      <c r="D318" s="41">
        <v>31334</v>
      </c>
      <c r="E318" s="14">
        <v>7264</v>
      </c>
      <c r="F318" s="52">
        <v>11455</v>
      </c>
      <c r="G318" s="52">
        <f t="shared" si="45"/>
        <v>50053</v>
      </c>
      <c r="H318" s="14">
        <f t="shared" si="41"/>
        <v>52819.444050632912</v>
      </c>
      <c r="I318" s="41">
        <f t="shared" si="46"/>
        <v>0</v>
      </c>
      <c r="J318" s="4">
        <f t="shared" si="42"/>
        <v>0</v>
      </c>
      <c r="K318" s="19">
        <v>15976</v>
      </c>
      <c r="L318" s="14">
        <f t="shared" si="43"/>
        <v>6602.430506329114</v>
      </c>
      <c r="M318" s="19">
        <f t="shared" si="47"/>
        <v>9373.569493670886</v>
      </c>
      <c r="N318" s="4">
        <f t="shared" si="44"/>
        <v>-6630.3924209625202</v>
      </c>
      <c r="O318" s="207">
        <f t="shared" si="48"/>
        <v>-6630.3924209625202</v>
      </c>
      <c r="P318" s="441">
        <f t="shared" si="49"/>
        <v>-1.0042350941227782</v>
      </c>
      <c r="Q318" s="200"/>
    </row>
    <row r="319" spans="1:17" x14ac:dyDescent="0.25">
      <c r="A319" s="198">
        <f>'A) Base RI'!A321</f>
        <v>5935</v>
      </c>
      <c r="B319" s="42" t="str">
        <f>'A) Base RI'!B321</f>
        <v>Villars-Epeney</v>
      </c>
      <c r="C319" s="41">
        <f>'D) Ecrêtage'!M319</f>
        <v>6457.7949952619629</v>
      </c>
      <c r="D319" s="41">
        <v>98995</v>
      </c>
      <c r="E319" s="14">
        <v>2682</v>
      </c>
      <c r="F319" s="52">
        <v>6949</v>
      </c>
      <c r="G319" s="52">
        <f t="shared" si="45"/>
        <v>108626</v>
      </c>
      <c r="H319" s="14">
        <f t="shared" si="41"/>
        <v>51662.359962095703</v>
      </c>
      <c r="I319" s="41">
        <f t="shared" si="46"/>
        <v>56963.640037904297</v>
      </c>
      <c r="J319" s="4">
        <f t="shared" si="42"/>
        <v>-40293.218867452597</v>
      </c>
      <c r="K319" s="19">
        <v>7701</v>
      </c>
      <c r="L319" s="14">
        <f t="shared" si="43"/>
        <v>6457.7949952619629</v>
      </c>
      <c r="M319" s="19">
        <f t="shared" si="47"/>
        <v>1243.2050047380371</v>
      </c>
      <c r="N319" s="4">
        <f t="shared" si="44"/>
        <v>-879.38080009791963</v>
      </c>
      <c r="O319" s="207">
        <f t="shared" si="48"/>
        <v>-41172.599667550516</v>
      </c>
      <c r="P319" s="441">
        <f t="shared" si="49"/>
        <v>-6.3756436520141246</v>
      </c>
      <c r="Q319" s="200"/>
    </row>
    <row r="320" spans="1:17" x14ac:dyDescent="0.25">
      <c r="A320" s="198">
        <f>'A) Base RI'!A322</f>
        <v>5937</v>
      </c>
      <c r="B320" s="42" t="str">
        <f>'A) Base RI'!B322</f>
        <v>Vugelles-La Mothe</v>
      </c>
      <c r="C320" s="41">
        <f>'D) Ecrêtage'!M320</f>
        <v>2128.9780612244899</v>
      </c>
      <c r="D320" s="41">
        <v>43146</v>
      </c>
      <c r="E320" s="14">
        <v>4193</v>
      </c>
      <c r="F320" s="52">
        <v>22051</v>
      </c>
      <c r="G320" s="52">
        <f t="shared" si="45"/>
        <v>69390</v>
      </c>
      <c r="H320" s="14">
        <f t="shared" si="41"/>
        <v>17031.824489795919</v>
      </c>
      <c r="I320" s="41">
        <f t="shared" si="46"/>
        <v>52358.175510204077</v>
      </c>
      <c r="J320" s="4">
        <f t="shared" si="42"/>
        <v>-37035.544496969349</v>
      </c>
      <c r="K320" s="19">
        <v>9001</v>
      </c>
      <c r="L320" s="14">
        <f t="shared" si="43"/>
        <v>2128.9780612244899</v>
      </c>
      <c r="M320" s="19">
        <f t="shared" si="47"/>
        <v>6872.0219387755096</v>
      </c>
      <c r="N320" s="4">
        <f t="shared" si="44"/>
        <v>-4860.9232811801994</v>
      </c>
      <c r="O320" s="207">
        <f t="shared" si="48"/>
        <v>-41896.467778149548</v>
      </c>
      <c r="P320" s="441">
        <f t="shared" si="49"/>
        <v>-19.6791449105176</v>
      </c>
      <c r="Q320" s="200"/>
    </row>
    <row r="321" spans="1:17" x14ac:dyDescent="0.25">
      <c r="A321" s="198">
        <f>'A) Base RI'!A323</f>
        <v>5938</v>
      </c>
      <c r="B321" s="42" t="str">
        <f>'A) Base RI'!B323</f>
        <v>Yverdon-les-Bains</v>
      </c>
      <c r="C321" s="41">
        <f>'D) Ecrêtage'!M321</f>
        <v>771340.02758169943</v>
      </c>
      <c r="D321" s="41">
        <v>8875121</v>
      </c>
      <c r="E321" s="14">
        <v>6070841</v>
      </c>
      <c r="F321" s="52">
        <v>836506</v>
      </c>
      <c r="G321" s="52">
        <f t="shared" si="45"/>
        <v>15782468</v>
      </c>
      <c r="H321" s="14">
        <f t="shared" si="41"/>
        <v>6170720.2206535954</v>
      </c>
      <c r="I321" s="41">
        <f t="shared" si="46"/>
        <v>9611747.7793464046</v>
      </c>
      <c r="J321" s="4">
        <f t="shared" si="42"/>
        <v>-6798867.7815225609</v>
      </c>
      <c r="K321" s="19">
        <v>238355</v>
      </c>
      <c r="L321" s="14">
        <f t="shared" si="43"/>
        <v>771340.02758169943</v>
      </c>
      <c r="M321" s="19">
        <f t="shared" si="47"/>
        <v>0</v>
      </c>
      <c r="N321" s="4">
        <f t="shared" si="44"/>
        <v>0</v>
      </c>
      <c r="O321" s="207">
        <f t="shared" si="48"/>
        <v>-6798867.7815225609</v>
      </c>
      <c r="P321" s="441">
        <f t="shared" si="49"/>
        <v>-8.8143588280233942</v>
      </c>
      <c r="Q321" s="200"/>
    </row>
    <row r="322" spans="1:17" x14ac:dyDescent="0.25">
      <c r="A322" s="198">
        <f>'A) Base RI'!A324</f>
        <v>5939</v>
      </c>
      <c r="B322" s="64" t="str">
        <f>'A) Base RI'!B324</f>
        <v>Yvonand</v>
      </c>
      <c r="C322" s="41">
        <f>'D) Ecrêtage'!M322</f>
        <v>88221.551917808203</v>
      </c>
      <c r="D322" s="162">
        <v>461229</v>
      </c>
      <c r="E322" s="25">
        <v>233209</v>
      </c>
      <c r="F322" s="103">
        <v>288103</v>
      </c>
      <c r="G322" s="103">
        <f t="shared" si="45"/>
        <v>982541</v>
      </c>
      <c r="H322" s="25">
        <f t="shared" si="41"/>
        <v>705772.41534246563</v>
      </c>
      <c r="I322" s="162">
        <f t="shared" si="46"/>
        <v>276768.58465753437</v>
      </c>
      <c r="J322" s="4">
        <f t="shared" si="42"/>
        <v>-195772.20047420613</v>
      </c>
      <c r="K322" s="104">
        <v>130622</v>
      </c>
      <c r="L322" s="25">
        <f t="shared" si="43"/>
        <v>88221.551917808203</v>
      </c>
      <c r="M322" s="104">
        <f t="shared" si="47"/>
        <v>42400.448082191797</v>
      </c>
      <c r="N322" s="208">
        <f t="shared" si="44"/>
        <v>-29991.948083321062</v>
      </c>
      <c r="O322" s="209">
        <f t="shared" si="48"/>
        <v>-225764.14855752719</v>
      </c>
      <c r="P322" s="443">
        <f t="shared" si="49"/>
        <v>-2.5590589107734223</v>
      </c>
      <c r="Q322" s="200"/>
    </row>
    <row r="323" spans="1:17" x14ac:dyDescent="0.25">
      <c r="A323" s="114"/>
      <c r="B323" s="190">
        <f>COUNTA(B5:B322)</f>
        <v>318</v>
      </c>
      <c r="C323" s="15">
        <f t="shared" ref="C323:O323" si="50">SUM(C5:C322)</f>
        <v>33479424.883787204</v>
      </c>
      <c r="D323" s="15">
        <f t="shared" si="50"/>
        <v>247218690</v>
      </c>
      <c r="E323" s="15">
        <f t="shared" si="50"/>
        <v>142454205</v>
      </c>
      <c r="F323" s="105">
        <f t="shared" si="50"/>
        <v>42667560.200000003</v>
      </c>
      <c r="G323" s="15">
        <f t="shared" si="50"/>
        <v>432340455.19999999</v>
      </c>
      <c r="H323" s="162">
        <f t="shared" si="50"/>
        <v>267835399.07029763</v>
      </c>
      <c r="I323" s="15">
        <f t="shared" si="50"/>
        <v>181971866.67031607</v>
      </c>
      <c r="J323" s="49">
        <f t="shared" si="50"/>
        <v>-128717761.83170523</v>
      </c>
      <c r="K323" s="191">
        <f t="shared" si="50"/>
        <v>21503550</v>
      </c>
      <c r="L323" s="25">
        <f t="shared" si="50"/>
        <v>33479424.883787204</v>
      </c>
      <c r="M323" s="15">
        <f t="shared" si="50"/>
        <v>7351296.0216181371</v>
      </c>
      <c r="N323" s="208">
        <f t="shared" si="50"/>
        <v>-5199937.7034436911</v>
      </c>
      <c r="O323" s="210">
        <f t="shared" si="50"/>
        <v>-133917699.53514889</v>
      </c>
      <c r="P323" s="173">
        <f>O323/C323</f>
        <v>-4.0000000000000027</v>
      </c>
    </row>
    <row r="327" spans="1:17" x14ac:dyDescent="0.25">
      <c r="C327" s="17"/>
      <c r="D327" s="17"/>
      <c r="E327" s="17"/>
      <c r="F327" s="17"/>
      <c r="G327" s="17"/>
      <c r="H327" s="17"/>
      <c r="I327" s="17"/>
      <c r="J327" s="17"/>
      <c r="K327" s="17"/>
    </row>
    <row r="328" spans="1:17" x14ac:dyDescent="0.25">
      <c r="J328" s="38"/>
    </row>
  </sheetData>
  <sheetProtection sheet="1" objects="1" scenarios="1"/>
  <mergeCells count="10">
    <mergeCell ref="D3:D4"/>
    <mergeCell ref="C3:C4"/>
    <mergeCell ref="B3:B4"/>
    <mergeCell ref="A3:A4"/>
    <mergeCell ref="L3:L4"/>
    <mergeCell ref="K3:K4"/>
    <mergeCell ref="H3:H4"/>
    <mergeCell ref="G3:G4"/>
    <mergeCell ref="F3:F4"/>
    <mergeCell ref="E3:E4"/>
  </mergeCells>
  <phoneticPr fontId="0" type="noConversion"/>
  <printOptions horizontalCentered="1"/>
  <pageMargins left="0" right="0" top="0" bottom="0" header="0.51181102362204722" footer="0.51181102362204722"/>
  <pageSetup paperSize="9" scale="64" orientation="landscape"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323"/>
  <sheetViews>
    <sheetView workbookViewId="0"/>
  </sheetViews>
  <sheetFormatPr baseColWidth="10" defaultColWidth="10.75" defaultRowHeight="15" x14ac:dyDescent="0.25"/>
  <cols>
    <col min="1" max="1" width="7.25" style="18" customWidth="1"/>
    <col min="2" max="2" width="19.875" style="18" customWidth="1"/>
    <col min="3" max="7" width="10" style="18" customWidth="1"/>
    <col min="8" max="8" width="10" style="223" customWidth="1"/>
    <col min="9" max="9" width="10" style="18" customWidth="1"/>
    <col min="10" max="10" width="10" style="20" customWidth="1"/>
    <col min="11" max="11" width="12.125" style="20" customWidth="1"/>
    <col min="12" max="14" width="12.125" style="18" customWidth="1"/>
    <col min="15" max="17" width="8.125" style="18" customWidth="1"/>
    <col min="18" max="16384" width="10.75" style="18"/>
  </cols>
  <sheetData>
    <row r="1" spans="1:25" s="54" customFormat="1" ht="21" x14ac:dyDescent="0.25">
      <c r="A1" s="65" t="s">
        <v>247</v>
      </c>
      <c r="B1" s="53"/>
      <c r="C1" s="100"/>
      <c r="D1" s="100"/>
      <c r="E1" s="100"/>
      <c r="F1" s="100"/>
      <c r="G1" s="100"/>
      <c r="H1" s="222"/>
      <c r="I1" s="100"/>
      <c r="J1" s="211"/>
      <c r="K1" s="212"/>
      <c r="L1" s="78"/>
      <c r="N1" s="18"/>
      <c r="O1" s="18"/>
      <c r="P1" s="18"/>
      <c r="Q1" s="18"/>
      <c r="R1" s="18"/>
      <c r="Y1" s="18"/>
    </row>
    <row r="3" spans="1:25" ht="30" x14ac:dyDescent="0.25">
      <c r="A3" s="497" t="s">
        <v>51</v>
      </c>
      <c r="B3" s="497" t="s">
        <v>121</v>
      </c>
      <c r="C3" s="497" t="s">
        <v>416</v>
      </c>
      <c r="D3" s="497" t="s">
        <v>118</v>
      </c>
      <c r="E3" s="497" t="s">
        <v>372</v>
      </c>
      <c r="F3" s="497" t="s">
        <v>414</v>
      </c>
      <c r="G3" s="516" t="s">
        <v>403</v>
      </c>
      <c r="H3" s="224" t="s">
        <v>180</v>
      </c>
      <c r="I3" s="514" t="s">
        <v>417</v>
      </c>
      <c r="J3" s="521" t="s">
        <v>385</v>
      </c>
    </row>
    <row r="4" spans="1:25" x14ac:dyDescent="0.25">
      <c r="A4" s="499"/>
      <c r="B4" s="499"/>
      <c r="C4" s="499"/>
      <c r="D4" s="499"/>
      <c r="E4" s="498"/>
      <c r="F4" s="498"/>
      <c r="G4" s="517"/>
      <c r="H4" s="434">
        <f>Paramètres!B43</f>
        <v>55.298294413247966</v>
      </c>
      <c r="I4" s="515"/>
      <c r="J4" s="526"/>
    </row>
    <row r="5" spans="1:25" x14ac:dyDescent="0.25">
      <c r="A5" s="57">
        <f>'A) Base RI'!A7</f>
        <v>5401</v>
      </c>
      <c r="B5" s="123" t="str">
        <f>'A) Base RI'!B7</f>
        <v>Aigle</v>
      </c>
      <c r="C5" s="134">
        <f>'B) D RI'!U7</f>
        <v>260845.44622222218</v>
      </c>
      <c r="D5" s="216">
        <f>'E) Fact soc'!G11/C5</f>
        <v>17.640090331104268</v>
      </c>
      <c r="E5" s="216">
        <f>'H) Péréquation directe'!I16/'H) Péréquation directe'!C16</f>
        <v>-11.341059928041412</v>
      </c>
      <c r="F5" s="213">
        <f>'I) Dépenses thématiques'!P5</f>
        <v>-8.1596859554425283</v>
      </c>
      <c r="G5" s="163">
        <f>SUM(D5:F5)</f>
        <v>-1.8606555523796722</v>
      </c>
      <c r="H5" s="138">
        <f t="shared" ref="H5:H59" si="0">IF(G5&gt;H$4,H$4-G5,0)</f>
        <v>0</v>
      </c>
      <c r="I5" s="182">
        <f>H5*C5</f>
        <v>0</v>
      </c>
      <c r="J5" s="127">
        <f>G5+H5</f>
        <v>-1.8606555523796722</v>
      </c>
    </row>
    <row r="6" spans="1:25" x14ac:dyDescent="0.25">
      <c r="A6" s="61">
        <f>'A) Base RI'!A8</f>
        <v>5402</v>
      </c>
      <c r="B6" s="124" t="str">
        <f>'A) Base RI'!B8</f>
        <v>Bex</v>
      </c>
      <c r="C6" s="135">
        <f>'B) D RI'!U8</f>
        <v>175890.90239436619</v>
      </c>
      <c r="D6" s="219">
        <f>'E) Fact soc'!G12/C6</f>
        <v>19.595288080936147</v>
      </c>
      <c r="E6" s="219">
        <f>'H) Péréquation directe'!I17/'H) Péréquation directe'!C17</f>
        <v>-15.125645576897453</v>
      </c>
      <c r="F6" s="214">
        <f>'I) Dépenses thématiques'!P6</f>
        <v>-10.266218778206509</v>
      </c>
      <c r="G6" s="167">
        <f t="shared" ref="G6:G61" si="1">SUM(D6:F6)</f>
        <v>-5.7965762741678155</v>
      </c>
      <c r="H6" s="138">
        <f t="shared" si="0"/>
        <v>0</v>
      </c>
      <c r="I6" s="183">
        <f t="shared" ref="I6:I60" si="2">H6*C6</f>
        <v>0</v>
      </c>
      <c r="J6" s="43">
        <f t="shared" ref="J6:J59" si="3">G6+H6</f>
        <v>-5.7965762741678155</v>
      </c>
    </row>
    <row r="7" spans="1:25" x14ac:dyDescent="0.25">
      <c r="A7" s="61">
        <f>'A) Base RI'!A9</f>
        <v>5403</v>
      </c>
      <c r="B7" s="124" t="str">
        <f>'A) Base RI'!B9</f>
        <v>Chessel</v>
      </c>
      <c r="C7" s="135">
        <f>'B) D RI'!U9</f>
        <v>8284.5784210526326</v>
      </c>
      <c r="D7" s="219">
        <f>'E) Fact soc'!G13/C7</f>
        <v>16.208435373869172</v>
      </c>
      <c r="E7" s="219">
        <f>'H) Péréquation directe'!I18/'H) Péréquation directe'!C18</f>
        <v>-11.175882198519917</v>
      </c>
      <c r="F7" s="214">
        <f>'I) Dépenses thématiques'!P7</f>
        <v>-5.2021068909042718</v>
      </c>
      <c r="G7" s="167">
        <f t="shared" si="1"/>
        <v>-0.16955371555501664</v>
      </c>
      <c r="H7" s="138">
        <f t="shared" si="0"/>
        <v>0</v>
      </c>
      <c r="I7" s="183">
        <f t="shared" si="2"/>
        <v>0</v>
      </c>
      <c r="J7" s="43">
        <f t="shared" si="3"/>
        <v>-0.16955371555501664</v>
      </c>
    </row>
    <row r="8" spans="1:25" x14ac:dyDescent="0.25">
      <c r="A8" s="61">
        <f>'A) Base RI'!A10</f>
        <v>5404</v>
      </c>
      <c r="B8" s="124" t="str">
        <f>'A) Base RI'!B10</f>
        <v>Corbeyrier</v>
      </c>
      <c r="C8" s="135">
        <f>'B) D RI'!U10</f>
        <v>9966.1885714285709</v>
      </c>
      <c r="D8" s="219">
        <f>'E) Fact soc'!G14/C8</f>
        <v>19.144452760531561</v>
      </c>
      <c r="E8" s="219">
        <f>'H) Péréquation directe'!I19/'H) Péréquation directe'!C19</f>
        <v>-3.2619643903676576</v>
      </c>
      <c r="F8" s="214">
        <f>'I) Dépenses thématiques'!P8</f>
        <v>-20.887596038866345</v>
      </c>
      <c r="G8" s="167">
        <f t="shared" si="1"/>
        <v>-5.0051076687024416</v>
      </c>
      <c r="H8" s="138">
        <f t="shared" si="0"/>
        <v>0</v>
      </c>
      <c r="I8" s="183">
        <f t="shared" si="2"/>
        <v>0</v>
      </c>
      <c r="J8" s="43">
        <f t="shared" si="3"/>
        <v>-5.0051076687024416</v>
      </c>
    </row>
    <row r="9" spans="1:25" x14ac:dyDescent="0.25">
      <c r="A9" s="61">
        <f>'A) Base RI'!A11</f>
        <v>5405</v>
      </c>
      <c r="B9" s="124" t="str">
        <f>'A) Base RI'!B11</f>
        <v>Gryon</v>
      </c>
      <c r="C9" s="135">
        <f>'B) D RI'!U11</f>
        <v>72189.140533333324</v>
      </c>
      <c r="D9" s="219">
        <f>'E) Fact soc'!G15/C9</f>
        <v>19.902465834379583</v>
      </c>
      <c r="E9" s="219">
        <f>'H) Péréquation directe'!I20/'H) Péréquation directe'!C20</f>
        <v>15.812399491341154</v>
      </c>
      <c r="F9" s="214">
        <f>'I) Dépenses thématiques'!P9</f>
        <v>-7.1562011960341367</v>
      </c>
      <c r="G9" s="167">
        <f t="shared" si="1"/>
        <v>28.558664129686601</v>
      </c>
      <c r="H9" s="138">
        <f t="shared" si="0"/>
        <v>0</v>
      </c>
      <c r="I9" s="183">
        <f t="shared" si="2"/>
        <v>0</v>
      </c>
      <c r="J9" s="43">
        <f t="shared" si="3"/>
        <v>28.558664129686601</v>
      </c>
    </row>
    <row r="10" spans="1:25" x14ac:dyDescent="0.25">
      <c r="A10" s="61">
        <f>'A) Base RI'!A12</f>
        <v>5406</v>
      </c>
      <c r="B10" s="124" t="str">
        <f>'A) Base RI'!B12</f>
        <v>Lavey-Morcles</v>
      </c>
      <c r="C10" s="135">
        <f>'B) D RI'!U12</f>
        <v>19831.448851570964</v>
      </c>
      <c r="D10" s="219">
        <f>'E) Fact soc'!G16/C10</f>
        <v>16.49162367019758</v>
      </c>
      <c r="E10" s="219">
        <f>'H) Péréquation directe'!I21/'H) Péréquation directe'!C21</f>
        <v>-5.9927684385693825</v>
      </c>
      <c r="F10" s="214">
        <f>'I) Dépenses thématiques'!P10</f>
        <v>-4.1289520418547578</v>
      </c>
      <c r="G10" s="167">
        <f t="shared" si="1"/>
        <v>6.3699031897734404</v>
      </c>
      <c r="H10" s="138">
        <f t="shared" si="0"/>
        <v>0</v>
      </c>
      <c r="I10" s="183">
        <f t="shared" si="2"/>
        <v>0</v>
      </c>
      <c r="J10" s="43">
        <f t="shared" si="3"/>
        <v>6.3699031897734404</v>
      </c>
    </row>
    <row r="11" spans="1:25" x14ac:dyDescent="0.25">
      <c r="A11" s="61">
        <f>'A) Base RI'!A13</f>
        <v>5407</v>
      </c>
      <c r="B11" s="124" t="str">
        <f>'A) Base RI'!B13</f>
        <v>Leysin</v>
      </c>
      <c r="C11" s="135">
        <f>'B) D RI'!U13</f>
        <v>102799.09089743589</v>
      </c>
      <c r="D11" s="219">
        <f>'E) Fact soc'!G17/C11</f>
        <v>18.19053900858815</v>
      </c>
      <c r="E11" s="219">
        <f>'H) Péréquation directe'!I22/'H) Péréquation directe'!C22</f>
        <v>-13.14001459114894</v>
      </c>
      <c r="F11" s="214">
        <f>'I) Dépenses thématiques'!P11</f>
        <v>-12.910969320615513</v>
      </c>
      <c r="G11" s="167">
        <f t="shared" si="1"/>
        <v>-7.8604449031763028</v>
      </c>
      <c r="H11" s="138">
        <f t="shared" si="0"/>
        <v>0</v>
      </c>
      <c r="I11" s="183">
        <f t="shared" si="2"/>
        <v>0</v>
      </c>
      <c r="J11" s="43">
        <f t="shared" si="3"/>
        <v>-7.8604449031763028</v>
      </c>
    </row>
    <row r="12" spans="1:25" x14ac:dyDescent="0.25">
      <c r="A12" s="61">
        <f>'A) Base RI'!A14</f>
        <v>5408</v>
      </c>
      <c r="B12" s="124" t="str">
        <f>'A) Base RI'!B14</f>
        <v>Noville</v>
      </c>
      <c r="C12" s="135">
        <f>'B) D RI'!U14</f>
        <v>34745.229256900217</v>
      </c>
      <c r="D12" s="219">
        <f>'E) Fact soc'!G18/C12</f>
        <v>18.482721897600243</v>
      </c>
      <c r="E12" s="219">
        <f>'H) Péréquation directe'!I23/'H) Péréquation directe'!C23</f>
        <v>8.1965484528690773</v>
      </c>
      <c r="F12" s="214">
        <f>'I) Dépenses thématiques'!P12</f>
        <v>-2.5997795996899336</v>
      </c>
      <c r="G12" s="167">
        <f t="shared" si="1"/>
        <v>24.079490750779385</v>
      </c>
      <c r="H12" s="138">
        <f t="shared" si="0"/>
        <v>0</v>
      </c>
      <c r="I12" s="183">
        <f t="shared" si="2"/>
        <v>0</v>
      </c>
      <c r="J12" s="43">
        <f t="shared" si="3"/>
        <v>24.079490750779385</v>
      </c>
    </row>
    <row r="13" spans="1:25" x14ac:dyDescent="0.25">
      <c r="A13" s="61">
        <f>'A) Base RI'!A15</f>
        <v>5409</v>
      </c>
      <c r="B13" s="124" t="str">
        <f>'A) Base RI'!B15</f>
        <v>Ollon</v>
      </c>
      <c r="C13" s="135">
        <f>'B) D RI'!U15</f>
        <v>592476.91795248864</v>
      </c>
      <c r="D13" s="219">
        <f>'E) Fact soc'!G19/C13</f>
        <v>37.229030414699693</v>
      </c>
      <c r="E13" s="219">
        <f>'H) Péréquation directe'!I24/'H) Péréquation directe'!C24</f>
        <v>12.274942951826102</v>
      </c>
      <c r="F13" s="214">
        <f>'I) Dépenses thématiques'!P13</f>
        <v>-1.5916133515927808</v>
      </c>
      <c r="G13" s="167">
        <f t="shared" si="1"/>
        <v>47.912360014933014</v>
      </c>
      <c r="H13" s="138">
        <f t="shared" si="0"/>
        <v>0</v>
      </c>
      <c r="I13" s="183">
        <f t="shared" si="2"/>
        <v>0</v>
      </c>
      <c r="J13" s="43">
        <f t="shared" si="3"/>
        <v>47.912360014933014</v>
      </c>
    </row>
    <row r="14" spans="1:25" x14ac:dyDescent="0.25">
      <c r="A14" s="61">
        <f>'A) Base RI'!A16</f>
        <v>5410</v>
      </c>
      <c r="B14" s="124" t="str">
        <f>'A) Base RI'!B16</f>
        <v>Ormont-Dessous</v>
      </c>
      <c r="C14" s="135">
        <f>'B) D RI'!U16</f>
        <v>35234.198174097655</v>
      </c>
      <c r="D14" s="219">
        <f>'E) Fact soc'!G20/C14</f>
        <v>19.017778719615784</v>
      </c>
      <c r="E14" s="219">
        <f>'H) Péréquation directe'!I25/'H) Péréquation directe'!C25</f>
        <v>5.062961119996281</v>
      </c>
      <c r="F14" s="214">
        <f>'I) Dépenses thématiques'!P14</f>
        <v>-22.176080521604892</v>
      </c>
      <c r="G14" s="167">
        <f t="shared" si="1"/>
        <v>1.9046593180071731</v>
      </c>
      <c r="H14" s="138">
        <f t="shared" si="0"/>
        <v>0</v>
      </c>
      <c r="I14" s="183">
        <f t="shared" si="2"/>
        <v>0</v>
      </c>
      <c r="J14" s="43">
        <f t="shared" si="3"/>
        <v>1.9046593180071731</v>
      </c>
    </row>
    <row r="15" spans="1:25" x14ac:dyDescent="0.25">
      <c r="A15" s="61">
        <f>'A) Base RI'!A17</f>
        <v>5411</v>
      </c>
      <c r="B15" s="124" t="str">
        <f>'A) Base RI'!B17</f>
        <v>Ormont-Dessus</v>
      </c>
      <c r="C15" s="135">
        <f>'B) D RI'!U17</f>
        <v>71790.213859649128</v>
      </c>
      <c r="D15" s="219">
        <f>'E) Fact soc'!G21/C15</f>
        <v>17.959909874948131</v>
      </c>
      <c r="E15" s="219">
        <f>'H) Péréquation directe'!I26/'H) Péréquation directe'!C26</f>
        <v>14.790126293216101</v>
      </c>
      <c r="F15" s="214">
        <f>'I) Dépenses thématiques'!P15</f>
        <v>-11.221457408192645</v>
      </c>
      <c r="G15" s="167">
        <f t="shared" si="1"/>
        <v>21.528578759971584</v>
      </c>
      <c r="H15" s="138">
        <f t="shared" si="0"/>
        <v>0</v>
      </c>
      <c r="I15" s="183">
        <f t="shared" si="2"/>
        <v>0</v>
      </c>
      <c r="J15" s="43">
        <f t="shared" si="3"/>
        <v>21.528578759971584</v>
      </c>
    </row>
    <row r="16" spans="1:25" x14ac:dyDescent="0.25">
      <c r="A16" s="61">
        <f>'A) Base RI'!A18</f>
        <v>5412</v>
      </c>
      <c r="B16" s="124" t="str">
        <f>'A) Base RI'!B18</f>
        <v>Rennaz</v>
      </c>
      <c r="C16" s="135">
        <f>'B) D RI'!U18</f>
        <v>26501.739703703701</v>
      </c>
      <c r="D16" s="219">
        <f>'E) Fact soc'!G22/C16</f>
        <v>17.84292049630573</v>
      </c>
      <c r="E16" s="219">
        <f>'H) Péréquation directe'!I27/'H) Péréquation directe'!C27</f>
        <v>8.3163126417188948</v>
      </c>
      <c r="F16" s="214">
        <f>'I) Dépenses thématiques'!P16</f>
        <v>0</v>
      </c>
      <c r="G16" s="167">
        <f t="shared" si="1"/>
        <v>26.159233138024625</v>
      </c>
      <c r="H16" s="138">
        <f t="shared" si="0"/>
        <v>0</v>
      </c>
      <c r="I16" s="183">
        <f t="shared" si="2"/>
        <v>0</v>
      </c>
      <c r="J16" s="43">
        <f t="shared" si="3"/>
        <v>26.159233138024625</v>
      </c>
    </row>
    <row r="17" spans="1:10" x14ac:dyDescent="0.25">
      <c r="A17" s="61">
        <f>'A) Base RI'!A19</f>
        <v>5413</v>
      </c>
      <c r="B17" s="124" t="str">
        <f>'A) Base RI'!B19</f>
        <v>Roche</v>
      </c>
      <c r="C17" s="135">
        <f>'B) D RI'!U19</f>
        <v>34861.221617647054</v>
      </c>
      <c r="D17" s="219">
        <f>'E) Fact soc'!G23/C17</f>
        <v>19.265911748409444</v>
      </c>
      <c r="E17" s="219">
        <f>'H) Péréquation directe'!I28/'H) Péréquation directe'!C28</f>
        <v>-5.6814158196071585</v>
      </c>
      <c r="F17" s="214">
        <f>'I) Dépenses thématiques'!P17</f>
        <v>-0.58879281587782561</v>
      </c>
      <c r="G17" s="167">
        <f t="shared" si="1"/>
        <v>12.99570311292446</v>
      </c>
      <c r="H17" s="138">
        <f t="shared" si="0"/>
        <v>0</v>
      </c>
      <c r="I17" s="183">
        <f t="shared" si="2"/>
        <v>0</v>
      </c>
      <c r="J17" s="43">
        <f t="shared" si="3"/>
        <v>12.99570311292446</v>
      </c>
    </row>
    <row r="18" spans="1:10" x14ac:dyDescent="0.25">
      <c r="A18" s="61">
        <f>'A) Base RI'!A20</f>
        <v>5414</v>
      </c>
      <c r="B18" s="124" t="str">
        <f>'A) Base RI'!B20</f>
        <v>Villeneuve</v>
      </c>
      <c r="C18" s="135">
        <f>'B) D RI'!U20</f>
        <v>168009.32057971013</v>
      </c>
      <c r="D18" s="219">
        <f>'E) Fact soc'!G24/C18</f>
        <v>19.869294905758128</v>
      </c>
      <c r="E18" s="219">
        <f>'H) Péréquation directe'!I29/'H) Péréquation directe'!C29</f>
        <v>-1.3813634885212209</v>
      </c>
      <c r="F18" s="214">
        <f>'I) Dépenses thématiques'!P18</f>
        <v>-6.1478890473615806</v>
      </c>
      <c r="G18" s="167">
        <f t="shared" si="1"/>
        <v>12.340042369875327</v>
      </c>
      <c r="H18" s="138">
        <f t="shared" si="0"/>
        <v>0</v>
      </c>
      <c r="I18" s="183">
        <f t="shared" si="2"/>
        <v>0</v>
      </c>
      <c r="J18" s="43">
        <f t="shared" si="3"/>
        <v>12.340042369875327</v>
      </c>
    </row>
    <row r="19" spans="1:10" x14ac:dyDescent="0.25">
      <c r="A19" s="61">
        <f>'A) Base RI'!A21</f>
        <v>5415</v>
      </c>
      <c r="B19" s="124" t="str">
        <f>'A) Base RI'!B21</f>
        <v>Yvorne</v>
      </c>
      <c r="C19" s="135">
        <f>'B) D RI'!U21</f>
        <v>43055.973722627736</v>
      </c>
      <c r="D19" s="219">
        <f>'E) Fact soc'!G25/C19</f>
        <v>16.13657011795982</v>
      </c>
      <c r="E19" s="219">
        <f>'H) Péréquation directe'!I30/'H) Péréquation directe'!C30</f>
        <v>15.083340423026547</v>
      </c>
      <c r="F19" s="214">
        <f>'I) Dépenses thématiques'!P19</f>
        <v>-4.1564257302920238</v>
      </c>
      <c r="G19" s="167">
        <f t="shared" si="1"/>
        <v>27.063484810694344</v>
      </c>
      <c r="H19" s="138">
        <f t="shared" si="0"/>
        <v>0</v>
      </c>
      <c r="I19" s="183">
        <f t="shared" si="2"/>
        <v>0</v>
      </c>
      <c r="J19" s="43">
        <f t="shared" si="3"/>
        <v>27.063484810694344</v>
      </c>
    </row>
    <row r="20" spans="1:10" x14ac:dyDescent="0.25">
      <c r="A20" s="61">
        <f>'A) Base RI'!A22</f>
        <v>5421</v>
      </c>
      <c r="B20" s="124" t="str">
        <f>'A) Base RI'!B22</f>
        <v>Apples</v>
      </c>
      <c r="C20" s="135">
        <f>'B) D RI'!U22</f>
        <v>57391.691408450701</v>
      </c>
      <c r="D20" s="219">
        <f>'E) Fact soc'!G26/C20</f>
        <v>19.647121425882233</v>
      </c>
      <c r="E20" s="219">
        <f>'H) Péréquation directe'!I31/'H) Péréquation directe'!C31</f>
        <v>13.85270012562372</v>
      </c>
      <c r="F20" s="214">
        <f>'I) Dépenses thématiques'!P20</f>
        <v>-3.1639477805133502</v>
      </c>
      <c r="G20" s="167">
        <f t="shared" si="1"/>
        <v>30.335873770992603</v>
      </c>
      <c r="H20" s="138">
        <f t="shared" si="0"/>
        <v>0</v>
      </c>
      <c r="I20" s="183">
        <f t="shared" si="2"/>
        <v>0</v>
      </c>
      <c r="J20" s="43">
        <f t="shared" si="3"/>
        <v>30.335873770992603</v>
      </c>
    </row>
    <row r="21" spans="1:10" x14ac:dyDescent="0.25">
      <c r="A21" s="61">
        <f>'A) Base RI'!A23</f>
        <v>5422</v>
      </c>
      <c r="B21" s="124" t="str">
        <f>'A) Base RI'!B23</f>
        <v>Aubonne</v>
      </c>
      <c r="C21" s="135">
        <f>'B) D RI'!U23</f>
        <v>231550.9032352941</v>
      </c>
      <c r="D21" s="219">
        <f>'E) Fact soc'!G27/C21</f>
        <v>22.206375441373897</v>
      </c>
      <c r="E21" s="219">
        <f>'H) Péréquation directe'!I32/'H) Péréquation directe'!C32</f>
        <v>14.207101855760477</v>
      </c>
      <c r="F21" s="214">
        <f>'I) Dépenses thématiques'!P21</f>
        <v>-0.23326404494512956</v>
      </c>
      <c r="G21" s="167">
        <f t="shared" si="1"/>
        <v>36.180213252189247</v>
      </c>
      <c r="H21" s="138">
        <f t="shared" si="0"/>
        <v>0</v>
      </c>
      <c r="I21" s="183">
        <f t="shared" si="2"/>
        <v>0</v>
      </c>
      <c r="J21" s="43">
        <f t="shared" si="3"/>
        <v>36.180213252189247</v>
      </c>
    </row>
    <row r="22" spans="1:10" x14ac:dyDescent="0.25">
      <c r="A22" s="61">
        <f>'A) Base RI'!A24</f>
        <v>5423</v>
      </c>
      <c r="B22" s="124" t="str">
        <f>'A) Base RI'!B24</f>
        <v>Ballens</v>
      </c>
      <c r="C22" s="135">
        <f>'B) D RI'!U24</f>
        <v>19761.871884057968</v>
      </c>
      <c r="D22" s="219">
        <f>'E) Fact soc'!G28/C22</f>
        <v>17.177054921642956</v>
      </c>
      <c r="E22" s="219">
        <f>'H) Péréquation directe'!I33/'H) Péréquation directe'!C33</f>
        <v>13.600623872742654</v>
      </c>
      <c r="F22" s="214">
        <f>'I) Dépenses thématiques'!P22</f>
        <v>-2.8300672703252001</v>
      </c>
      <c r="G22" s="167">
        <f t="shared" si="1"/>
        <v>27.947611524060406</v>
      </c>
      <c r="H22" s="138">
        <f t="shared" si="0"/>
        <v>0</v>
      </c>
      <c r="I22" s="183">
        <f t="shared" si="2"/>
        <v>0</v>
      </c>
      <c r="J22" s="43">
        <f t="shared" si="3"/>
        <v>27.947611524060406</v>
      </c>
    </row>
    <row r="23" spans="1:10" x14ac:dyDescent="0.25">
      <c r="A23" s="61">
        <f>'A) Base RI'!A25</f>
        <v>5424</v>
      </c>
      <c r="B23" s="124" t="str">
        <f>'A) Base RI'!B25</f>
        <v>Berolle</v>
      </c>
      <c r="C23" s="135">
        <f>'B) D RI'!U25</f>
        <v>9360.1262337662338</v>
      </c>
      <c r="D23" s="219">
        <f>'E) Fact soc'!G29/C23</f>
        <v>17.147003765825417</v>
      </c>
      <c r="E23" s="219">
        <f>'H) Péréquation directe'!I34/'H) Péréquation directe'!C34</f>
        <v>6.8911768190958327</v>
      </c>
      <c r="F23" s="214">
        <f>'I) Dépenses thématiques'!P23</f>
        <v>-4.5812269703991211</v>
      </c>
      <c r="G23" s="167">
        <f t="shared" si="1"/>
        <v>19.456953614522128</v>
      </c>
      <c r="H23" s="138">
        <f t="shared" si="0"/>
        <v>0</v>
      </c>
      <c r="I23" s="183">
        <f t="shared" si="2"/>
        <v>0</v>
      </c>
      <c r="J23" s="43">
        <f t="shared" si="3"/>
        <v>19.456953614522128</v>
      </c>
    </row>
    <row r="24" spans="1:10" x14ac:dyDescent="0.25">
      <c r="A24" s="61">
        <f>'A) Base RI'!A26</f>
        <v>5425</v>
      </c>
      <c r="B24" s="124" t="str">
        <f>'A) Base RI'!B26</f>
        <v>Bière</v>
      </c>
      <c r="C24" s="135">
        <f>'B) D RI'!U26</f>
        <v>40787.403970588231</v>
      </c>
      <c r="D24" s="219">
        <f>'E) Fact soc'!G30/C24</f>
        <v>17.178870468657475</v>
      </c>
      <c r="E24" s="219">
        <f>'H) Péréquation directe'!I35/'H) Péréquation directe'!C35</f>
        <v>-0.70781052795307353</v>
      </c>
      <c r="F24" s="214">
        <f>'I) Dépenses thématiques'!P24</f>
        <v>-9.8150182881795658</v>
      </c>
      <c r="G24" s="167">
        <f t="shared" si="1"/>
        <v>6.6560416525248343</v>
      </c>
      <c r="H24" s="138">
        <f t="shared" si="0"/>
        <v>0</v>
      </c>
      <c r="I24" s="183">
        <f t="shared" si="2"/>
        <v>0</v>
      </c>
      <c r="J24" s="43">
        <f t="shared" si="3"/>
        <v>6.6560416525248343</v>
      </c>
    </row>
    <row r="25" spans="1:10" x14ac:dyDescent="0.25">
      <c r="A25" s="61">
        <f>'A) Base RI'!A27</f>
        <v>5426</v>
      </c>
      <c r="B25" s="124" t="str">
        <f>'A) Base RI'!B27</f>
        <v>Bougy-Villars</v>
      </c>
      <c r="C25" s="135">
        <f>'B) D RI'!U27</f>
        <v>42113.452258064506</v>
      </c>
      <c r="D25" s="219">
        <f>'E) Fact soc'!G31/C25</f>
        <v>24.710209006881275</v>
      </c>
      <c r="E25" s="219">
        <f>'H) Péréquation directe'!I36/'H) Péréquation directe'!C36</f>
        <v>17.151922200776767</v>
      </c>
      <c r="F25" s="214">
        <f>'I) Dépenses thématiques'!P25</f>
        <v>0</v>
      </c>
      <c r="G25" s="167">
        <f t="shared" si="1"/>
        <v>41.862131207658038</v>
      </c>
      <c r="H25" s="138">
        <f t="shared" si="0"/>
        <v>0</v>
      </c>
      <c r="I25" s="183">
        <f t="shared" si="2"/>
        <v>0</v>
      </c>
      <c r="J25" s="43">
        <f t="shared" si="3"/>
        <v>41.862131207658038</v>
      </c>
    </row>
    <row r="26" spans="1:10" x14ac:dyDescent="0.25">
      <c r="A26" s="61">
        <f>'A) Base RI'!A28</f>
        <v>5427</v>
      </c>
      <c r="B26" s="124" t="str">
        <f>'A) Base RI'!B28</f>
        <v>Féchy</v>
      </c>
      <c r="C26" s="135">
        <f>'B) D RI'!U28</f>
        <v>64357.078870192301</v>
      </c>
      <c r="D26" s="219">
        <f>'E) Fact soc'!G32/C26</f>
        <v>21.411113814117332</v>
      </c>
      <c r="E26" s="219">
        <f>'H) Péréquation directe'!I37/'H) Péréquation directe'!C37</f>
        <v>17.01486674714883</v>
      </c>
      <c r="F26" s="214">
        <f>'I) Dépenses thématiques'!P26</f>
        <v>0</v>
      </c>
      <c r="G26" s="167">
        <f t="shared" si="1"/>
        <v>38.425980561266158</v>
      </c>
      <c r="H26" s="138">
        <f t="shared" si="0"/>
        <v>0</v>
      </c>
      <c r="I26" s="183">
        <f t="shared" si="2"/>
        <v>0</v>
      </c>
      <c r="J26" s="43">
        <f t="shared" si="3"/>
        <v>38.425980561266158</v>
      </c>
    </row>
    <row r="27" spans="1:10" x14ac:dyDescent="0.25">
      <c r="A27" s="61">
        <f>'A) Base RI'!A29</f>
        <v>5428</v>
      </c>
      <c r="B27" s="124" t="str">
        <f>'A) Base RI'!B29</f>
        <v>Gimel</v>
      </c>
      <c r="C27" s="135">
        <f>'B) D RI'!U29</f>
        <v>57546.053752913758</v>
      </c>
      <c r="D27" s="219">
        <f>'E) Fact soc'!G33/C27</f>
        <v>19.065157051371546</v>
      </c>
      <c r="E27" s="219">
        <f>'H) Péréquation directe'!I38/'H) Péréquation directe'!C38</f>
        <v>2.2472581100693323</v>
      </c>
      <c r="F27" s="214">
        <f>'I) Dépenses thématiques'!P27</f>
        <v>-5.5073516644471354</v>
      </c>
      <c r="G27" s="167">
        <f t="shared" si="1"/>
        <v>15.805063496993743</v>
      </c>
      <c r="H27" s="138">
        <f t="shared" si="0"/>
        <v>0</v>
      </c>
      <c r="I27" s="183">
        <f t="shared" si="2"/>
        <v>0</v>
      </c>
      <c r="J27" s="43">
        <f t="shared" si="3"/>
        <v>15.805063496993743</v>
      </c>
    </row>
    <row r="28" spans="1:10" x14ac:dyDescent="0.25">
      <c r="A28" s="61">
        <f>'A) Base RI'!A30</f>
        <v>5429</v>
      </c>
      <c r="B28" s="124" t="str">
        <f>'A) Base RI'!B30</f>
        <v>Longirod</v>
      </c>
      <c r="C28" s="135">
        <f>'B) D RI'!U30</f>
        <v>13645.142716049384</v>
      </c>
      <c r="D28" s="219">
        <f>'E) Fact soc'!G34/C28</f>
        <v>16.899914399217359</v>
      </c>
      <c r="E28" s="219">
        <f>'H) Péréquation directe'!I39/'H) Péréquation directe'!C39</f>
        <v>2.5986795177459774</v>
      </c>
      <c r="F28" s="214">
        <f>'I) Dépenses thématiques'!P28</f>
        <v>-10.277315122570645</v>
      </c>
      <c r="G28" s="167">
        <f t="shared" si="1"/>
        <v>9.2212787943926919</v>
      </c>
      <c r="H28" s="138">
        <f t="shared" si="0"/>
        <v>0</v>
      </c>
      <c r="I28" s="183">
        <f t="shared" si="2"/>
        <v>0</v>
      </c>
      <c r="J28" s="43">
        <f t="shared" si="3"/>
        <v>9.2212787943926919</v>
      </c>
    </row>
    <row r="29" spans="1:10" x14ac:dyDescent="0.25">
      <c r="A29" s="61">
        <f>'A) Base RI'!A31</f>
        <v>5430</v>
      </c>
      <c r="B29" s="124" t="str">
        <f>'A) Base RI'!B31</f>
        <v>Marchissy</v>
      </c>
      <c r="C29" s="135">
        <f>'B) D RI'!U31</f>
        <v>12901.686543209877</v>
      </c>
      <c r="D29" s="219">
        <f>'E) Fact soc'!G35/C29</f>
        <v>21.964087729111572</v>
      </c>
      <c r="E29" s="219">
        <f>'H) Péréquation directe'!I40/'H) Péréquation directe'!C40</f>
        <v>1.6176853876166728</v>
      </c>
      <c r="F29" s="214">
        <f>'I) Dépenses thématiques'!P29</f>
        <v>-17.346106568703366</v>
      </c>
      <c r="G29" s="167">
        <f t="shared" si="1"/>
        <v>6.2356665480248772</v>
      </c>
      <c r="H29" s="138">
        <f t="shared" si="0"/>
        <v>0</v>
      </c>
      <c r="I29" s="183">
        <f t="shared" si="2"/>
        <v>0</v>
      </c>
      <c r="J29" s="43">
        <f t="shared" si="3"/>
        <v>6.2356665480248772</v>
      </c>
    </row>
    <row r="30" spans="1:10" x14ac:dyDescent="0.25">
      <c r="A30" s="61">
        <f>'A) Base RI'!A32</f>
        <v>5431</v>
      </c>
      <c r="B30" s="124" t="str">
        <f>'A) Base RI'!B32</f>
        <v>Mollens</v>
      </c>
      <c r="C30" s="135">
        <f>'B) D RI'!U32</f>
        <v>8965.3154054054066</v>
      </c>
      <c r="D30" s="219">
        <f>'E) Fact soc'!G36/C30</f>
        <v>16.456629340975528</v>
      </c>
      <c r="E30" s="219">
        <f>'H) Péréquation directe'!I41/'H) Péréquation directe'!C41</f>
        <v>5.8658259505212182</v>
      </c>
      <c r="F30" s="214">
        <f>'I) Dépenses thématiques'!P30</f>
        <v>-4.9314835519472835</v>
      </c>
      <c r="G30" s="167">
        <f t="shared" si="1"/>
        <v>17.39097173954946</v>
      </c>
      <c r="H30" s="138">
        <f t="shared" si="0"/>
        <v>0</v>
      </c>
      <c r="I30" s="183">
        <f t="shared" si="2"/>
        <v>0</v>
      </c>
      <c r="J30" s="43">
        <f t="shared" si="3"/>
        <v>17.39097173954946</v>
      </c>
    </row>
    <row r="31" spans="1:10" x14ac:dyDescent="0.25">
      <c r="A31" s="61">
        <f>'A) Base RI'!A33</f>
        <v>5432</v>
      </c>
      <c r="B31" s="124" t="str">
        <f>'A) Base RI'!B33</f>
        <v>Montherod</v>
      </c>
      <c r="C31" s="135">
        <f>'B) D RI'!U33</f>
        <v>18938.674054054052</v>
      </c>
      <c r="D31" s="219">
        <f>'E) Fact soc'!G37/C31</f>
        <v>18.887532360525469</v>
      </c>
      <c r="E31" s="219">
        <f>'H) Péréquation directe'!I42/'H) Péréquation directe'!C42</f>
        <v>11.57577510591293</v>
      </c>
      <c r="F31" s="214">
        <f>'I) Dépenses thématiques'!P31</f>
        <v>0</v>
      </c>
      <c r="G31" s="167">
        <f t="shared" si="1"/>
        <v>30.463307466438401</v>
      </c>
      <c r="H31" s="138">
        <f t="shared" si="0"/>
        <v>0</v>
      </c>
      <c r="I31" s="183">
        <f t="shared" si="2"/>
        <v>0</v>
      </c>
      <c r="J31" s="43">
        <f t="shared" si="3"/>
        <v>30.463307466438401</v>
      </c>
    </row>
    <row r="32" spans="1:10" x14ac:dyDescent="0.25">
      <c r="A32" s="61">
        <f>'A) Base RI'!A34</f>
        <v>5434</v>
      </c>
      <c r="B32" s="124" t="str">
        <f>'A) Base RI'!B34</f>
        <v>Saint-George</v>
      </c>
      <c r="C32" s="135">
        <f>'B) D RI'!U34</f>
        <v>33015.772116788328</v>
      </c>
      <c r="D32" s="219">
        <f>'E) Fact soc'!G38/C32</f>
        <v>18.479056340079079</v>
      </c>
      <c r="E32" s="219">
        <f>'H) Péréquation directe'!I43/'H) Péréquation directe'!C43</f>
        <v>10.906237249111348</v>
      </c>
      <c r="F32" s="214">
        <f>'I) Dépenses thématiques'!P32</f>
        <v>-4.1297646029006172</v>
      </c>
      <c r="G32" s="167">
        <f t="shared" si="1"/>
        <v>25.255528986289807</v>
      </c>
      <c r="H32" s="138">
        <f t="shared" si="0"/>
        <v>0</v>
      </c>
      <c r="I32" s="183">
        <f t="shared" si="2"/>
        <v>0</v>
      </c>
      <c r="J32" s="43">
        <f t="shared" si="3"/>
        <v>25.255528986289807</v>
      </c>
    </row>
    <row r="33" spans="1:10" x14ac:dyDescent="0.25">
      <c r="A33" s="61">
        <f>'A) Base RI'!A35</f>
        <v>5435</v>
      </c>
      <c r="B33" s="124" t="str">
        <f>'A) Base RI'!B35</f>
        <v>Saint-Livres</v>
      </c>
      <c r="C33" s="135">
        <f>'B) D RI'!U35</f>
        <v>24335.25550724638</v>
      </c>
      <c r="D33" s="219">
        <f>'E) Fact soc'!G39/C33</f>
        <v>14.981091586717652</v>
      </c>
      <c r="E33" s="219">
        <f>'H) Péréquation directe'!I44/'H) Péréquation directe'!C44</f>
        <v>10.32310123810435</v>
      </c>
      <c r="F33" s="214">
        <f>'I) Dépenses thématiques'!P33</f>
        <v>-1.058992117766858</v>
      </c>
      <c r="G33" s="167">
        <f t="shared" si="1"/>
        <v>24.245200707055144</v>
      </c>
      <c r="H33" s="138">
        <f t="shared" si="0"/>
        <v>0</v>
      </c>
      <c r="I33" s="183">
        <f t="shared" si="2"/>
        <v>0</v>
      </c>
      <c r="J33" s="43">
        <f t="shared" si="3"/>
        <v>24.245200707055144</v>
      </c>
    </row>
    <row r="34" spans="1:10" x14ac:dyDescent="0.25">
      <c r="A34" s="61">
        <f>'A) Base RI'!A36</f>
        <v>5436</v>
      </c>
      <c r="B34" s="124" t="str">
        <f>'A) Base RI'!B36</f>
        <v>Saint-Oyens</v>
      </c>
      <c r="C34" s="135">
        <f>'B) D RI'!U36</f>
        <v>9937.7678395061721</v>
      </c>
      <c r="D34" s="219">
        <f>'E) Fact soc'!G40/C34</f>
        <v>18.251719460129866</v>
      </c>
      <c r="E34" s="219">
        <f>'H) Péréquation directe'!I45/'H) Péréquation directe'!C45</f>
        <v>1.6277061573701901</v>
      </c>
      <c r="F34" s="214">
        <f>'I) Dépenses thématiques'!P34</f>
        <v>-6.367014985901319</v>
      </c>
      <c r="G34" s="167">
        <f t="shared" si="1"/>
        <v>13.512410631598739</v>
      </c>
      <c r="H34" s="138">
        <f t="shared" si="0"/>
        <v>0</v>
      </c>
      <c r="I34" s="183">
        <f t="shared" si="2"/>
        <v>0</v>
      </c>
      <c r="J34" s="43">
        <f t="shared" si="3"/>
        <v>13.512410631598739</v>
      </c>
    </row>
    <row r="35" spans="1:10" x14ac:dyDescent="0.25">
      <c r="A35" s="61">
        <f>'A) Base RI'!A37</f>
        <v>5437</v>
      </c>
      <c r="B35" s="124" t="str">
        <f>'A) Base RI'!B37</f>
        <v>Saubraz</v>
      </c>
      <c r="C35" s="135">
        <f>'B) D RI'!U37</f>
        <v>9144.65614457831</v>
      </c>
      <c r="D35" s="219">
        <f>'E) Fact soc'!G41/C35</f>
        <v>27.952642476819978</v>
      </c>
      <c r="E35" s="219">
        <f>'H) Péréquation directe'!I46/'H) Péréquation directe'!C46</f>
        <v>-9.4530188548110523</v>
      </c>
      <c r="F35" s="214">
        <f>'I) Dépenses thématiques'!P35</f>
        <v>-5.6524435839979246</v>
      </c>
      <c r="G35" s="167">
        <f t="shared" si="1"/>
        <v>12.847180038011</v>
      </c>
      <c r="H35" s="138">
        <f t="shared" si="0"/>
        <v>0</v>
      </c>
      <c r="I35" s="183">
        <f t="shared" si="2"/>
        <v>0</v>
      </c>
      <c r="J35" s="43">
        <f t="shared" si="3"/>
        <v>12.847180038011</v>
      </c>
    </row>
    <row r="36" spans="1:10" x14ac:dyDescent="0.25">
      <c r="A36" s="61">
        <f>'A) Base RI'!A38</f>
        <v>5451</v>
      </c>
      <c r="B36" s="124" t="str">
        <f>'A) Base RI'!B38</f>
        <v>Avenches</v>
      </c>
      <c r="C36" s="135">
        <f>'B) D RI'!U38</f>
        <v>102028.81651960785</v>
      </c>
      <c r="D36" s="219">
        <f>'E) Fact soc'!G42/C36</f>
        <v>18.700405701652546</v>
      </c>
      <c r="E36" s="219">
        <f>'H) Péréquation directe'!I47/'H) Péréquation directe'!C47</f>
        <v>-8.3315132800861438</v>
      </c>
      <c r="F36" s="214">
        <f>'I) Dépenses thématiques'!P36</f>
        <v>-15.338802324976042</v>
      </c>
      <c r="G36" s="167">
        <f t="shared" si="1"/>
        <v>-4.9699099034096399</v>
      </c>
      <c r="H36" s="138">
        <f t="shared" si="0"/>
        <v>0</v>
      </c>
      <c r="I36" s="183">
        <f t="shared" si="2"/>
        <v>0</v>
      </c>
      <c r="J36" s="43">
        <f t="shared" si="3"/>
        <v>-4.9699099034096399</v>
      </c>
    </row>
    <row r="37" spans="1:10" x14ac:dyDescent="0.25">
      <c r="A37" s="61">
        <f>'A) Base RI'!A39</f>
        <v>5456</v>
      </c>
      <c r="B37" s="124" t="str">
        <f>'A) Base RI'!B39</f>
        <v>Cudrefin</v>
      </c>
      <c r="C37" s="135">
        <f>'B) D RI'!U39</f>
        <v>45272.368813559326</v>
      </c>
      <c r="D37" s="219">
        <f>'E) Fact soc'!G43/C37</f>
        <v>22.854685251606135</v>
      </c>
      <c r="E37" s="219">
        <f>'H) Péréquation directe'!I48/'H) Péréquation directe'!C48</f>
        <v>5.9744068064565381</v>
      </c>
      <c r="F37" s="214">
        <f>'I) Dépenses thématiques'!P37</f>
        <v>-5.8278705955339207</v>
      </c>
      <c r="G37" s="167">
        <f t="shared" si="1"/>
        <v>23.001221462528754</v>
      </c>
      <c r="H37" s="138">
        <f t="shared" si="0"/>
        <v>0</v>
      </c>
      <c r="I37" s="183">
        <f t="shared" si="2"/>
        <v>0</v>
      </c>
      <c r="J37" s="43">
        <f t="shared" si="3"/>
        <v>23.001221462528754</v>
      </c>
    </row>
    <row r="38" spans="1:10" x14ac:dyDescent="0.25">
      <c r="A38" s="61">
        <f>'A) Base RI'!A40</f>
        <v>5458</v>
      </c>
      <c r="B38" s="124" t="str">
        <f>'A) Base RI'!B40</f>
        <v>Faoug</v>
      </c>
      <c r="C38" s="135">
        <f>'B) D RI'!U40</f>
        <v>28143.986721311474</v>
      </c>
      <c r="D38" s="219">
        <f>'E) Fact soc'!G44/C38</f>
        <v>17.5753073669073</v>
      </c>
      <c r="E38" s="219">
        <f>'H) Péréquation directe'!I49/'H) Péréquation directe'!C49</f>
        <v>10.721898689610169</v>
      </c>
      <c r="F38" s="214">
        <f>'I) Dépenses thématiques'!P38</f>
        <v>-4.0287114842803122</v>
      </c>
      <c r="G38" s="167">
        <f t="shared" si="1"/>
        <v>24.268494572237156</v>
      </c>
      <c r="H38" s="138">
        <f t="shared" si="0"/>
        <v>0</v>
      </c>
      <c r="I38" s="183">
        <f t="shared" si="2"/>
        <v>0</v>
      </c>
      <c r="J38" s="43">
        <f t="shared" si="3"/>
        <v>24.268494572237156</v>
      </c>
    </row>
    <row r="39" spans="1:10" x14ac:dyDescent="0.25">
      <c r="A39" s="61">
        <f>'A) Base RI'!A41</f>
        <v>5464</v>
      </c>
      <c r="B39" s="124" t="str">
        <f>'A) Base RI'!B41</f>
        <v>Vully-les-Lacs</v>
      </c>
      <c r="C39" s="135">
        <f>'B) D RI'!U41</f>
        <v>96865.968557213928</v>
      </c>
      <c r="D39" s="219">
        <f>'E) Fact soc'!G45/C39</f>
        <v>18.214455965183657</v>
      </c>
      <c r="E39" s="219">
        <f>'H) Péréquation directe'!I50/'H) Péréquation directe'!C50</f>
        <v>6.0798505488086754</v>
      </c>
      <c r="F39" s="214">
        <f>'I) Dépenses thématiques'!P39</f>
        <v>-4.5629812433398111</v>
      </c>
      <c r="G39" s="167">
        <f t="shared" si="1"/>
        <v>19.731325270652519</v>
      </c>
      <c r="H39" s="138">
        <f t="shared" si="0"/>
        <v>0</v>
      </c>
      <c r="I39" s="183">
        <f t="shared" si="2"/>
        <v>0</v>
      </c>
      <c r="J39" s="43">
        <f t="shared" si="3"/>
        <v>19.731325270652519</v>
      </c>
    </row>
    <row r="40" spans="1:10" x14ac:dyDescent="0.25">
      <c r="A40" s="61">
        <f>'A) Base RI'!A42</f>
        <v>5471</v>
      </c>
      <c r="B40" s="124" t="str">
        <f>'A) Base RI'!B42</f>
        <v>Bettens</v>
      </c>
      <c r="C40" s="135">
        <f>'B) D RI'!U42</f>
        <v>18168.257063492067</v>
      </c>
      <c r="D40" s="219">
        <f>'E) Fact soc'!G46/C40</f>
        <v>17.872496944361071</v>
      </c>
      <c r="E40" s="219">
        <f>'H) Péréquation directe'!I51/'H) Péréquation directe'!C51</f>
        <v>8.8793384280942451</v>
      </c>
      <c r="F40" s="214">
        <f>'I) Dépenses thématiques'!P40</f>
        <v>0</v>
      </c>
      <c r="G40" s="167">
        <f t="shared" si="1"/>
        <v>26.751835372455318</v>
      </c>
      <c r="H40" s="138">
        <f t="shared" si="0"/>
        <v>0</v>
      </c>
      <c r="I40" s="183">
        <f t="shared" si="2"/>
        <v>0</v>
      </c>
      <c r="J40" s="43">
        <f t="shared" si="3"/>
        <v>26.751835372455318</v>
      </c>
    </row>
    <row r="41" spans="1:10" x14ac:dyDescent="0.25">
      <c r="A41" s="61">
        <f>'A) Base RI'!A43</f>
        <v>5472</v>
      </c>
      <c r="B41" s="124" t="str">
        <f>'A) Base RI'!B43</f>
        <v>Bournens</v>
      </c>
      <c r="C41" s="135">
        <f>'B) D RI'!U43</f>
        <v>13213.617875</v>
      </c>
      <c r="D41" s="219">
        <f>'E) Fact soc'!G47/C41</f>
        <v>18.226097307529656</v>
      </c>
      <c r="E41" s="219">
        <f>'H) Péréquation directe'!I52/'H) Péréquation directe'!C52</f>
        <v>9.8049912536564499</v>
      </c>
      <c r="F41" s="214">
        <f>'I) Dépenses thématiques'!P41</f>
        <v>-2.0106808756711909</v>
      </c>
      <c r="G41" s="167">
        <f t="shared" si="1"/>
        <v>26.020407685514915</v>
      </c>
      <c r="H41" s="138">
        <f t="shared" si="0"/>
        <v>0</v>
      </c>
      <c r="I41" s="183">
        <f t="shared" si="2"/>
        <v>0</v>
      </c>
      <c r="J41" s="43">
        <f t="shared" si="3"/>
        <v>26.020407685514915</v>
      </c>
    </row>
    <row r="42" spans="1:10" x14ac:dyDescent="0.25">
      <c r="A42" s="61">
        <f>'A) Base RI'!A44</f>
        <v>5473</v>
      </c>
      <c r="B42" s="124" t="str">
        <f>'A) Base RI'!B44</f>
        <v>Boussens</v>
      </c>
      <c r="C42" s="135">
        <f>'B) D RI'!U44</f>
        <v>33007.750579710155</v>
      </c>
      <c r="D42" s="219">
        <f>'E) Fact soc'!G48/C42</f>
        <v>14.969500452416584</v>
      </c>
      <c r="E42" s="219">
        <f>'H) Péréquation directe'!I53/'H) Péréquation directe'!C53</f>
        <v>10.578066032429858</v>
      </c>
      <c r="F42" s="214">
        <f>'I) Dépenses thématiques'!P42</f>
        <v>0</v>
      </c>
      <c r="G42" s="167">
        <f t="shared" si="1"/>
        <v>25.547566484846442</v>
      </c>
      <c r="H42" s="138">
        <f t="shared" si="0"/>
        <v>0</v>
      </c>
      <c r="I42" s="183">
        <f t="shared" si="2"/>
        <v>0</v>
      </c>
      <c r="J42" s="43">
        <f t="shared" si="3"/>
        <v>25.547566484846442</v>
      </c>
    </row>
    <row r="43" spans="1:10" x14ac:dyDescent="0.25">
      <c r="A43" s="61">
        <f>'A) Base RI'!A45</f>
        <v>5474</v>
      </c>
      <c r="B43" s="124" t="str">
        <f>'A) Base RI'!B45</f>
        <v>La Chaux (Cossonay)</v>
      </c>
      <c r="C43" s="135">
        <f>'B) D RI'!U45</f>
        <v>12690.44829004329</v>
      </c>
      <c r="D43" s="219">
        <f>'E) Fact soc'!G49/C43</f>
        <v>13.78852009638887</v>
      </c>
      <c r="E43" s="219">
        <f>'H) Péréquation directe'!I54/'H) Péréquation directe'!C54</f>
        <v>4.6596880738323039</v>
      </c>
      <c r="F43" s="214">
        <f>'I) Dépenses thématiques'!P43</f>
        <v>-8.6578989190540714</v>
      </c>
      <c r="G43" s="167">
        <f t="shared" si="1"/>
        <v>9.7903092511671037</v>
      </c>
      <c r="H43" s="138">
        <f t="shared" si="0"/>
        <v>0</v>
      </c>
      <c r="I43" s="183">
        <f t="shared" si="2"/>
        <v>0</v>
      </c>
      <c r="J43" s="43">
        <f t="shared" si="3"/>
        <v>9.7903092511671037</v>
      </c>
    </row>
    <row r="44" spans="1:10" x14ac:dyDescent="0.25">
      <c r="A44" s="61">
        <f>'A) Base RI'!A46</f>
        <v>5475</v>
      </c>
      <c r="B44" s="124" t="str">
        <f>'A) Base RI'!B46</f>
        <v>Chavannes-le-Veyron</v>
      </c>
      <c r="C44" s="135">
        <f>'B) D RI'!U46</f>
        <v>2750.1545454545449</v>
      </c>
      <c r="D44" s="219">
        <f>'E) Fact soc'!G50/C44</f>
        <v>15.033628930174567</v>
      </c>
      <c r="E44" s="219">
        <f>'H) Péréquation directe'!I55/'H) Péréquation directe'!C55</f>
        <v>-7.1377102821245924</v>
      </c>
      <c r="F44" s="214">
        <f>'I) Dépenses thématiques'!P44</f>
        <v>-23.565155196845765</v>
      </c>
      <c r="G44" s="167">
        <f t="shared" si="1"/>
        <v>-15.669236548795791</v>
      </c>
      <c r="H44" s="138">
        <f t="shared" si="0"/>
        <v>0</v>
      </c>
      <c r="I44" s="183">
        <f t="shared" si="2"/>
        <v>0</v>
      </c>
      <c r="J44" s="43">
        <f t="shared" si="3"/>
        <v>-15.669236548795791</v>
      </c>
    </row>
    <row r="45" spans="1:10" x14ac:dyDescent="0.25">
      <c r="A45" s="61">
        <f>'A) Base RI'!A47</f>
        <v>5476</v>
      </c>
      <c r="B45" s="124" t="str">
        <f>'A) Base RI'!B47</f>
        <v>Chevilly</v>
      </c>
      <c r="C45" s="135">
        <f>'B) D RI'!U47</f>
        <v>7887.6179729729729</v>
      </c>
      <c r="D45" s="219">
        <f>'E) Fact soc'!G51/C45</f>
        <v>19.257058574323359</v>
      </c>
      <c r="E45" s="219">
        <f>'H) Péréquation directe'!I56/'H) Péréquation directe'!C56</f>
        <v>2.2285742634110761</v>
      </c>
      <c r="F45" s="214">
        <f>'I) Dépenses thématiques'!P45</f>
        <v>-4.6030233657628861</v>
      </c>
      <c r="G45" s="167">
        <f t="shared" si="1"/>
        <v>16.882609471971548</v>
      </c>
      <c r="H45" s="138">
        <f t="shared" si="0"/>
        <v>0</v>
      </c>
      <c r="I45" s="183">
        <f t="shared" si="2"/>
        <v>0</v>
      </c>
      <c r="J45" s="43">
        <f t="shared" si="3"/>
        <v>16.882609471971548</v>
      </c>
    </row>
    <row r="46" spans="1:10" x14ac:dyDescent="0.25">
      <c r="A46" s="61">
        <f>'A) Base RI'!A48</f>
        <v>5477</v>
      </c>
      <c r="B46" s="124" t="str">
        <f>'A) Base RI'!B48</f>
        <v>Cossonay</v>
      </c>
      <c r="C46" s="135">
        <f>'B) D RI'!U48</f>
        <v>120589.74256854257</v>
      </c>
      <c r="D46" s="219">
        <f>'E) Fact soc'!G52/C46</f>
        <v>17.581820596484114</v>
      </c>
      <c r="E46" s="219">
        <f>'H) Péréquation directe'!I57/'H) Péréquation directe'!C57</f>
        <v>3.2229794680990596</v>
      </c>
      <c r="F46" s="214">
        <f>'I) Dépenses thématiques'!P46</f>
        <v>-5.3791315948364522</v>
      </c>
      <c r="G46" s="167">
        <f t="shared" si="1"/>
        <v>15.425668469746721</v>
      </c>
      <c r="H46" s="138">
        <f t="shared" si="0"/>
        <v>0</v>
      </c>
      <c r="I46" s="183">
        <f t="shared" si="2"/>
        <v>0</v>
      </c>
      <c r="J46" s="43">
        <f t="shared" si="3"/>
        <v>15.425668469746721</v>
      </c>
    </row>
    <row r="47" spans="1:10" x14ac:dyDescent="0.25">
      <c r="A47" s="61">
        <f>'A) Base RI'!A49</f>
        <v>5478</v>
      </c>
      <c r="B47" s="124" t="str">
        <f>'A) Base RI'!B49</f>
        <v>Cottens</v>
      </c>
      <c r="C47" s="135">
        <f>'B) D RI'!U49</f>
        <v>15464.23347222222</v>
      </c>
      <c r="D47" s="219">
        <f>'E) Fact soc'!G53/C47</f>
        <v>15.258436883910187</v>
      </c>
      <c r="E47" s="219">
        <f>'H) Péréquation directe'!I58/'H) Péréquation directe'!C58</f>
        <v>8.5692477140807028</v>
      </c>
      <c r="F47" s="214">
        <f>'I) Dépenses thématiques'!P47</f>
        <v>-0.61339310738139519</v>
      </c>
      <c r="G47" s="167">
        <f t="shared" si="1"/>
        <v>23.214291490609494</v>
      </c>
      <c r="H47" s="138">
        <f t="shared" si="0"/>
        <v>0</v>
      </c>
      <c r="I47" s="183">
        <f t="shared" si="2"/>
        <v>0</v>
      </c>
      <c r="J47" s="43">
        <f t="shared" si="3"/>
        <v>23.214291490609494</v>
      </c>
    </row>
    <row r="48" spans="1:10" x14ac:dyDescent="0.25">
      <c r="A48" s="61">
        <f>'A) Base RI'!A50</f>
        <v>5479</v>
      </c>
      <c r="B48" s="124" t="str">
        <f>'A) Base RI'!B50</f>
        <v>Cuarnens</v>
      </c>
      <c r="C48" s="135">
        <f>'B) D RI'!U50</f>
        <v>11805.525064935064</v>
      </c>
      <c r="D48" s="219">
        <f>'E) Fact soc'!G54/C48</f>
        <v>15.050713243943292</v>
      </c>
      <c r="E48" s="219">
        <f>'H) Péréquation directe'!I59/'H) Péréquation directe'!C59</f>
        <v>0.1350937185497553</v>
      </c>
      <c r="F48" s="214">
        <f>'I) Dépenses thématiques'!P48</f>
        <v>-15.553110692645777</v>
      </c>
      <c r="G48" s="167">
        <f t="shared" si="1"/>
        <v>-0.3673037301527291</v>
      </c>
      <c r="H48" s="138">
        <f t="shared" si="0"/>
        <v>0</v>
      </c>
      <c r="I48" s="183">
        <f t="shared" si="2"/>
        <v>0</v>
      </c>
      <c r="J48" s="43">
        <f t="shared" si="3"/>
        <v>-0.3673037301527291</v>
      </c>
    </row>
    <row r="49" spans="1:10" x14ac:dyDescent="0.25">
      <c r="A49" s="61">
        <f>'A) Base RI'!A51</f>
        <v>5480</v>
      </c>
      <c r="B49" s="124" t="str">
        <f>'A) Base RI'!B51</f>
        <v>Daillens</v>
      </c>
      <c r="C49" s="135">
        <f>'B) D RI'!U51</f>
        <v>42113.849718309852</v>
      </c>
      <c r="D49" s="219">
        <f>'E) Fact soc'!G55/C49</f>
        <v>18.539286141179684</v>
      </c>
      <c r="E49" s="219">
        <f>'H) Péréquation directe'!I60/'H) Péréquation directe'!C60</f>
        <v>16.280905932942893</v>
      </c>
      <c r="F49" s="214">
        <f>'I) Dépenses thématiques'!P49</f>
        <v>-4.2534895289600509</v>
      </c>
      <c r="G49" s="167">
        <f t="shared" si="1"/>
        <v>30.566702545162521</v>
      </c>
      <c r="H49" s="138">
        <f t="shared" si="0"/>
        <v>0</v>
      </c>
      <c r="I49" s="183">
        <f t="shared" si="2"/>
        <v>0</v>
      </c>
      <c r="J49" s="43">
        <f t="shared" si="3"/>
        <v>30.566702545162521</v>
      </c>
    </row>
    <row r="50" spans="1:10" x14ac:dyDescent="0.25">
      <c r="A50" s="61">
        <f>'A) Base RI'!A52</f>
        <v>5481</v>
      </c>
      <c r="B50" s="124" t="str">
        <f>'A) Base RI'!B52</f>
        <v>Dizy</v>
      </c>
      <c r="C50" s="135">
        <f>'B) D RI'!U52</f>
        <v>8240.9954054054051</v>
      </c>
      <c r="D50" s="219">
        <f>'E) Fact soc'!G56/C50</f>
        <v>15.808912315725571</v>
      </c>
      <c r="E50" s="219">
        <f>'H) Péréquation directe'!I61/'H) Péréquation directe'!C61</f>
        <v>12.136413511007239</v>
      </c>
      <c r="F50" s="214">
        <f>'I) Dépenses thématiques'!P50</f>
        <v>-1.4734133332761712</v>
      </c>
      <c r="G50" s="167">
        <f t="shared" si="1"/>
        <v>26.471912493456642</v>
      </c>
      <c r="H50" s="138">
        <f t="shared" si="0"/>
        <v>0</v>
      </c>
      <c r="I50" s="183">
        <f t="shared" si="2"/>
        <v>0</v>
      </c>
      <c r="J50" s="43">
        <f t="shared" si="3"/>
        <v>26.471912493456642</v>
      </c>
    </row>
    <row r="51" spans="1:10" x14ac:dyDescent="0.25">
      <c r="A51" s="61">
        <f>'A) Base RI'!A53</f>
        <v>5482</v>
      </c>
      <c r="B51" s="124" t="str">
        <f>'A) Base RI'!B53</f>
        <v>Eclépens</v>
      </c>
      <c r="C51" s="135">
        <f>'B) D RI'!U53</f>
        <v>64551.928043478263</v>
      </c>
      <c r="D51" s="219">
        <f>'E) Fact soc'!G57/C51</f>
        <v>17.717361777854311</v>
      </c>
      <c r="E51" s="219">
        <f>'H) Péréquation directe'!I62/'H) Péréquation directe'!C62</f>
        <v>16.672528701734006</v>
      </c>
      <c r="F51" s="214">
        <f>'I) Dépenses thématiques'!P51</f>
        <v>-0.16785972384664616</v>
      </c>
      <c r="G51" s="167">
        <f t="shared" si="1"/>
        <v>34.22203075574167</v>
      </c>
      <c r="H51" s="138">
        <f t="shared" si="0"/>
        <v>0</v>
      </c>
      <c r="I51" s="183">
        <f t="shared" si="2"/>
        <v>0</v>
      </c>
      <c r="J51" s="43">
        <f t="shared" si="3"/>
        <v>34.22203075574167</v>
      </c>
    </row>
    <row r="52" spans="1:10" x14ac:dyDescent="0.25">
      <c r="A52" s="61">
        <f>'A) Base RI'!A54</f>
        <v>5483</v>
      </c>
      <c r="B52" s="124" t="str">
        <f>'A) Base RI'!B54</f>
        <v>Ferreyres</v>
      </c>
      <c r="C52" s="135">
        <f>'B) D RI'!U54</f>
        <v>9097.5578947368413</v>
      </c>
      <c r="D52" s="219">
        <f>'E) Fact soc'!G58/C52</f>
        <v>15.834898306885679</v>
      </c>
      <c r="E52" s="219">
        <f>'H) Péréquation directe'!I63/'H) Péréquation directe'!C63</f>
        <v>3.5768489520050464</v>
      </c>
      <c r="F52" s="214">
        <f>'I) Dépenses thématiques'!P52</f>
        <v>-1.8765768940520591</v>
      </c>
      <c r="G52" s="167">
        <f t="shared" si="1"/>
        <v>17.535170364838663</v>
      </c>
      <c r="H52" s="138">
        <f t="shared" si="0"/>
        <v>0</v>
      </c>
      <c r="I52" s="183">
        <f t="shared" si="2"/>
        <v>0</v>
      </c>
      <c r="J52" s="43">
        <f t="shared" si="3"/>
        <v>17.535170364838663</v>
      </c>
    </row>
    <row r="53" spans="1:10" x14ac:dyDescent="0.25">
      <c r="A53" s="61">
        <f>'A) Base RI'!A55</f>
        <v>5484</v>
      </c>
      <c r="B53" s="124" t="str">
        <f>'A) Base RI'!B55</f>
        <v>Gollion</v>
      </c>
      <c r="C53" s="135">
        <f>'B) D RI'!U55</f>
        <v>23163.007162162161</v>
      </c>
      <c r="D53" s="219">
        <f>'E) Fact soc'!G59/C53</f>
        <v>19.671580196186454</v>
      </c>
      <c r="E53" s="219">
        <f>'H) Péréquation directe'!I64/'H) Péréquation directe'!C64</f>
        <v>1.4528300141115091</v>
      </c>
      <c r="F53" s="214">
        <f>'I) Dépenses thématiques'!P53</f>
        <v>-6.5072903934280841</v>
      </c>
      <c r="G53" s="167">
        <f t="shared" si="1"/>
        <v>14.617119816869879</v>
      </c>
      <c r="H53" s="138">
        <f t="shared" si="0"/>
        <v>0</v>
      </c>
      <c r="I53" s="183">
        <f t="shared" si="2"/>
        <v>0</v>
      </c>
      <c r="J53" s="43">
        <f t="shared" si="3"/>
        <v>14.617119816869879</v>
      </c>
    </row>
    <row r="54" spans="1:10" x14ac:dyDescent="0.25">
      <c r="A54" s="61">
        <f>'A) Base RI'!A56</f>
        <v>5485</v>
      </c>
      <c r="B54" s="124" t="str">
        <f>'A) Base RI'!B56</f>
        <v>Grancy</v>
      </c>
      <c r="C54" s="135">
        <f>'B) D RI'!U56</f>
        <v>17298.355857142858</v>
      </c>
      <c r="D54" s="219">
        <f>'E) Fact soc'!G60/C54</f>
        <v>16.222859342397562</v>
      </c>
      <c r="E54" s="219">
        <f>'H) Péréquation directe'!I65/'H) Péréquation directe'!C65</f>
        <v>16.224291199792017</v>
      </c>
      <c r="F54" s="214">
        <f>'I) Dépenses thématiques'!P54</f>
        <v>-2.9638174228390133</v>
      </c>
      <c r="G54" s="167">
        <f t="shared" si="1"/>
        <v>29.483333119350561</v>
      </c>
      <c r="H54" s="138">
        <f t="shared" si="0"/>
        <v>0</v>
      </c>
      <c r="I54" s="183">
        <f t="shared" si="2"/>
        <v>0</v>
      </c>
      <c r="J54" s="43">
        <f t="shared" si="3"/>
        <v>29.483333119350561</v>
      </c>
    </row>
    <row r="55" spans="1:10" x14ac:dyDescent="0.25">
      <c r="A55" s="61">
        <f>'A) Base RI'!A57</f>
        <v>5486</v>
      </c>
      <c r="B55" s="124" t="str">
        <f>'A) Base RI'!B57</f>
        <v>L'Isle</v>
      </c>
      <c r="C55" s="135">
        <f>'B) D RI'!U57</f>
        <v>27212.445657894736</v>
      </c>
      <c r="D55" s="219">
        <f>'E) Fact soc'!G61/C55</f>
        <v>24.205620123969915</v>
      </c>
      <c r="E55" s="219">
        <f>'H) Péréquation directe'!I66/'H) Péréquation directe'!C66</f>
        <v>-0.5899038084522229</v>
      </c>
      <c r="F55" s="214">
        <f>'I) Dépenses thématiques'!P55</f>
        <v>-12.618157427613021</v>
      </c>
      <c r="G55" s="167">
        <f t="shared" si="1"/>
        <v>10.99755888790467</v>
      </c>
      <c r="H55" s="138">
        <f t="shared" si="0"/>
        <v>0</v>
      </c>
      <c r="I55" s="183">
        <f t="shared" si="2"/>
        <v>0</v>
      </c>
      <c r="J55" s="43">
        <f t="shared" si="3"/>
        <v>10.99755888790467</v>
      </c>
    </row>
    <row r="56" spans="1:10" x14ac:dyDescent="0.25">
      <c r="A56" s="61">
        <f>'A) Base RI'!A58</f>
        <v>5487</v>
      </c>
      <c r="B56" s="124" t="str">
        <f>'A) Base RI'!B58</f>
        <v>Lussery-Villars</v>
      </c>
      <c r="C56" s="135">
        <f>'B) D RI'!U58</f>
        <v>11872.69955882353</v>
      </c>
      <c r="D56" s="219">
        <f>'E) Fact soc'!G62/C56</f>
        <v>16.350326657165908</v>
      </c>
      <c r="E56" s="219">
        <f>'H) Péréquation directe'!I67/'H) Péréquation directe'!C67</f>
        <v>4.7694436144872752</v>
      </c>
      <c r="F56" s="214">
        <f>'I) Dépenses thématiques'!P56</f>
        <v>-3.857391271360763</v>
      </c>
      <c r="G56" s="167">
        <f t="shared" si="1"/>
        <v>17.26237900029242</v>
      </c>
      <c r="H56" s="138">
        <f t="shared" si="0"/>
        <v>0</v>
      </c>
      <c r="I56" s="183">
        <f t="shared" si="2"/>
        <v>0</v>
      </c>
      <c r="J56" s="43">
        <f t="shared" si="3"/>
        <v>17.26237900029242</v>
      </c>
    </row>
    <row r="57" spans="1:10" x14ac:dyDescent="0.25">
      <c r="A57" s="61">
        <f>'A) Base RI'!A59</f>
        <v>5488</v>
      </c>
      <c r="B57" s="124" t="str">
        <f>'A) Base RI'!B59</f>
        <v>Mauraz</v>
      </c>
      <c r="C57" s="135">
        <f>'B) D RI'!U59</f>
        <v>1417.5255405405405</v>
      </c>
      <c r="D57" s="219">
        <f>'E) Fact soc'!G63/C57</f>
        <v>14.370166215682488</v>
      </c>
      <c r="E57" s="219">
        <f>'H) Péréquation directe'!I68/'H) Péréquation directe'!C68</f>
        <v>4.0041004745765427</v>
      </c>
      <c r="F57" s="214">
        <f>'I) Dépenses thématiques'!P57</f>
        <v>-3.2943172147084288</v>
      </c>
      <c r="G57" s="167">
        <f t="shared" si="1"/>
        <v>15.079949475550603</v>
      </c>
      <c r="H57" s="138">
        <f t="shared" si="0"/>
        <v>0</v>
      </c>
      <c r="I57" s="183">
        <f t="shared" si="2"/>
        <v>0</v>
      </c>
      <c r="J57" s="43">
        <f t="shared" si="3"/>
        <v>15.079949475550603</v>
      </c>
    </row>
    <row r="58" spans="1:10" x14ac:dyDescent="0.25">
      <c r="A58" s="61">
        <f>'A) Base RI'!A60</f>
        <v>5489</v>
      </c>
      <c r="B58" s="124" t="str">
        <f>'A) Base RI'!B60</f>
        <v>Mex</v>
      </c>
      <c r="C58" s="135">
        <f>'B) D RI'!U60</f>
        <v>37121.285573770496</v>
      </c>
      <c r="D58" s="219">
        <f>'E) Fact soc'!G64/C58</f>
        <v>16.252257822158704</v>
      </c>
      <c r="E58" s="219">
        <f>'H) Péréquation directe'!I69/'H) Péréquation directe'!C69</f>
        <v>16.682424907289835</v>
      </c>
      <c r="F58" s="214">
        <f>'I) Dépenses thématiques'!P58</f>
        <v>-0.17766432501595397</v>
      </c>
      <c r="G58" s="167">
        <f t="shared" si="1"/>
        <v>32.757018404432586</v>
      </c>
      <c r="H58" s="138">
        <f t="shared" si="0"/>
        <v>0</v>
      </c>
      <c r="I58" s="183">
        <f t="shared" si="2"/>
        <v>0</v>
      </c>
      <c r="J58" s="43">
        <f t="shared" si="3"/>
        <v>32.757018404432586</v>
      </c>
    </row>
    <row r="59" spans="1:10" x14ac:dyDescent="0.25">
      <c r="A59" s="61">
        <f>'A) Base RI'!A61</f>
        <v>5490</v>
      </c>
      <c r="B59" s="124" t="str">
        <f>'A) Base RI'!B61</f>
        <v>Moiry</v>
      </c>
      <c r="C59" s="135">
        <f>'B) D RI'!U61</f>
        <v>7321.727037037037</v>
      </c>
      <c r="D59" s="219">
        <f>'E) Fact soc'!G65/C59</f>
        <v>17.891678267357403</v>
      </c>
      <c r="E59" s="219">
        <f>'H) Péréquation directe'!I70/'H) Péréquation directe'!C70</f>
        <v>-4.4267854473132138</v>
      </c>
      <c r="F59" s="214">
        <f>'I) Dépenses thématiques'!P59</f>
        <v>-2.410526162099845</v>
      </c>
      <c r="G59" s="167">
        <f t="shared" si="1"/>
        <v>11.054366657944342</v>
      </c>
      <c r="H59" s="138">
        <f t="shared" si="0"/>
        <v>0</v>
      </c>
      <c r="I59" s="183">
        <f t="shared" si="2"/>
        <v>0</v>
      </c>
      <c r="J59" s="43">
        <f t="shared" si="3"/>
        <v>11.054366657944342</v>
      </c>
    </row>
    <row r="60" spans="1:10" x14ac:dyDescent="0.25">
      <c r="A60" s="61">
        <f>'A) Base RI'!A62</f>
        <v>5491</v>
      </c>
      <c r="B60" s="124" t="str">
        <f>'A) Base RI'!B62</f>
        <v>Mont-la-Ville</v>
      </c>
      <c r="C60" s="135">
        <f>'B) D RI'!U62</f>
        <v>8599.6809210526335</v>
      </c>
      <c r="D60" s="219">
        <f>'E) Fact soc'!G66/C60</f>
        <v>18.8607368955157</v>
      </c>
      <c r="E60" s="219">
        <f>'H) Péréquation directe'!I71/'H) Péréquation directe'!C71</f>
        <v>-7.4538885675509432</v>
      </c>
      <c r="F60" s="214">
        <f>'I) Dépenses thématiques'!P60</f>
        <v>-12.828994139173622</v>
      </c>
      <c r="G60" s="167">
        <f t="shared" si="1"/>
        <v>-1.4221458112088659</v>
      </c>
      <c r="H60" s="138">
        <f t="shared" ref="H60:H113" si="4">IF(G60&gt;H$4,H$4-G60,0)</f>
        <v>0</v>
      </c>
      <c r="I60" s="183">
        <f t="shared" si="2"/>
        <v>0</v>
      </c>
      <c r="J60" s="43">
        <f t="shared" ref="J60:J113" si="5">G60+H60</f>
        <v>-1.4221458112088659</v>
      </c>
    </row>
    <row r="61" spans="1:10" x14ac:dyDescent="0.25">
      <c r="A61" s="61">
        <f>'A) Base RI'!A63</f>
        <v>5492</v>
      </c>
      <c r="B61" s="124" t="str">
        <f>'A) Base RI'!B63</f>
        <v>Montricher</v>
      </c>
      <c r="C61" s="135">
        <f>'B) D RI'!U63</f>
        <v>187025.79406249998</v>
      </c>
      <c r="D61" s="219">
        <f>'E) Fact soc'!G67/C61</f>
        <v>34.815277870551938</v>
      </c>
      <c r="E61" s="219">
        <f>'H) Péréquation directe'!I72/'H) Péréquation directe'!C72</f>
        <v>17.635347236838292</v>
      </c>
      <c r="F61" s="214">
        <f>'I) Dépenses thématiques'!P61</f>
        <v>-2.2564112374604135</v>
      </c>
      <c r="G61" s="167">
        <f t="shared" si="1"/>
        <v>50.194213869929818</v>
      </c>
      <c r="H61" s="138">
        <f t="shared" si="4"/>
        <v>0</v>
      </c>
      <c r="I61" s="183">
        <f t="shared" ref="I61:I115" si="6">H61*C61</f>
        <v>0</v>
      </c>
      <c r="J61" s="43">
        <f t="shared" si="5"/>
        <v>50.194213869929818</v>
      </c>
    </row>
    <row r="62" spans="1:10" x14ac:dyDescent="0.25">
      <c r="A62" s="61">
        <f>'A) Base RI'!A64</f>
        <v>5493</v>
      </c>
      <c r="B62" s="124" t="str">
        <f>'A) Base RI'!B64</f>
        <v>Orny</v>
      </c>
      <c r="C62" s="135">
        <f>'B) D RI'!U64</f>
        <v>10614.324773445733</v>
      </c>
      <c r="D62" s="219">
        <f>'E) Fact soc'!G68/C62</f>
        <v>16.905799953528152</v>
      </c>
      <c r="E62" s="219">
        <f>'H) Péréquation directe'!I73/'H) Péréquation directe'!C73</f>
        <v>3.5206376469754326</v>
      </c>
      <c r="F62" s="214">
        <f>'I) Dépenses thématiques'!P62</f>
        <v>-4.9483249630809967</v>
      </c>
      <c r="G62" s="167">
        <f t="shared" ref="G62:G116" si="7">SUM(D62:F62)</f>
        <v>15.478112637422591</v>
      </c>
      <c r="H62" s="138">
        <f t="shared" si="4"/>
        <v>0</v>
      </c>
      <c r="I62" s="183">
        <f t="shared" si="6"/>
        <v>0</v>
      </c>
      <c r="J62" s="43">
        <f t="shared" si="5"/>
        <v>15.478112637422591</v>
      </c>
    </row>
    <row r="63" spans="1:10" x14ac:dyDescent="0.25">
      <c r="A63" s="61">
        <f>'A) Base RI'!A65</f>
        <v>5494</v>
      </c>
      <c r="B63" s="124" t="str">
        <f>'A) Base RI'!B65</f>
        <v>Pampigny</v>
      </c>
      <c r="C63" s="135">
        <f>'B) D RI'!U65</f>
        <v>33982.091568253971</v>
      </c>
      <c r="D63" s="219">
        <f>'E) Fact soc'!G69/C63</f>
        <v>16.872314732033178</v>
      </c>
      <c r="E63" s="219">
        <f>'H) Péréquation directe'!I74/'H) Péréquation directe'!C74</f>
        <v>4.4030887075083021</v>
      </c>
      <c r="F63" s="214">
        <f>'I) Dépenses thématiques'!P63</f>
        <v>-9.0787935720525912</v>
      </c>
      <c r="G63" s="167">
        <f t="shared" si="7"/>
        <v>12.19660986748889</v>
      </c>
      <c r="H63" s="138">
        <f t="shared" si="4"/>
        <v>0</v>
      </c>
      <c r="I63" s="183">
        <f t="shared" si="6"/>
        <v>0</v>
      </c>
      <c r="J63" s="43">
        <f t="shared" si="5"/>
        <v>12.19660986748889</v>
      </c>
    </row>
    <row r="64" spans="1:10" x14ac:dyDescent="0.25">
      <c r="A64" s="61">
        <f>'A) Base RI'!A66</f>
        <v>5495</v>
      </c>
      <c r="B64" s="124" t="str">
        <f>'A) Base RI'!B66</f>
        <v>Penthalaz</v>
      </c>
      <c r="C64" s="135">
        <f>'B) D RI'!U66</f>
        <v>96162.321351351362</v>
      </c>
      <c r="D64" s="219">
        <f>'E) Fact soc'!G70/C64</f>
        <v>16.733032583787349</v>
      </c>
      <c r="E64" s="219">
        <f>'H) Péréquation directe'!I75/'H) Péréquation directe'!C75</f>
        <v>-1.229070142765023</v>
      </c>
      <c r="F64" s="214">
        <f>'I) Dépenses thématiques'!P64</f>
        <v>-4.1200226104265036</v>
      </c>
      <c r="G64" s="167">
        <f t="shared" si="7"/>
        <v>11.383939830595821</v>
      </c>
      <c r="H64" s="138">
        <f t="shared" si="4"/>
        <v>0</v>
      </c>
      <c r="I64" s="183">
        <f t="shared" si="6"/>
        <v>0</v>
      </c>
      <c r="J64" s="43">
        <f t="shared" si="5"/>
        <v>11.383939830595821</v>
      </c>
    </row>
    <row r="65" spans="1:10" x14ac:dyDescent="0.25">
      <c r="A65" s="61">
        <f>'A) Base RI'!A67</f>
        <v>5496</v>
      </c>
      <c r="B65" s="124" t="str">
        <f>'A) Base RI'!B67</f>
        <v>Penthaz</v>
      </c>
      <c r="C65" s="135">
        <f>'B) D RI'!U67</f>
        <v>56906.521408450702</v>
      </c>
      <c r="D65" s="219">
        <f>'E) Fact soc'!G71/C65</f>
        <v>16.241592677258211</v>
      </c>
      <c r="E65" s="219">
        <f>'H) Péréquation directe'!I76/'H) Péréquation directe'!C76</f>
        <v>7.4183021073563049</v>
      </c>
      <c r="F65" s="214">
        <f>'I) Dépenses thématiques'!P65</f>
        <v>-3.0930742049476367</v>
      </c>
      <c r="G65" s="167">
        <f t="shared" si="7"/>
        <v>20.566820579666878</v>
      </c>
      <c r="H65" s="138">
        <f t="shared" si="4"/>
        <v>0</v>
      </c>
      <c r="I65" s="183">
        <f t="shared" si="6"/>
        <v>0</v>
      </c>
      <c r="J65" s="43">
        <f t="shared" si="5"/>
        <v>20.566820579666878</v>
      </c>
    </row>
    <row r="66" spans="1:10" x14ac:dyDescent="0.25">
      <c r="A66" s="61">
        <f>'A) Base RI'!A68</f>
        <v>5497</v>
      </c>
      <c r="B66" s="124" t="str">
        <f>'A) Base RI'!B68</f>
        <v>Pompaples</v>
      </c>
      <c r="C66" s="135">
        <f>'B) D RI'!U68</f>
        <v>22227.212272727276</v>
      </c>
      <c r="D66" s="219">
        <f>'E) Fact soc'!G72/C66</f>
        <v>19.527954947500511</v>
      </c>
      <c r="E66" s="219">
        <f>'H) Péréquation directe'!I77/'H) Péréquation directe'!C77</f>
        <v>3.7413363321428994</v>
      </c>
      <c r="F66" s="214">
        <f>'I) Dépenses thématiques'!P66</f>
        <v>-7.6381178220393533</v>
      </c>
      <c r="G66" s="167">
        <f t="shared" si="7"/>
        <v>15.631173457604058</v>
      </c>
      <c r="H66" s="138">
        <f t="shared" si="4"/>
        <v>0</v>
      </c>
      <c r="I66" s="183">
        <f t="shared" si="6"/>
        <v>0</v>
      </c>
      <c r="J66" s="43">
        <f t="shared" si="5"/>
        <v>15.631173457604058</v>
      </c>
    </row>
    <row r="67" spans="1:10" x14ac:dyDescent="0.25">
      <c r="A67" s="61">
        <f>'A) Base RI'!A69</f>
        <v>5498</v>
      </c>
      <c r="B67" s="124" t="str">
        <f>'A) Base RI'!B69</f>
        <v>La Sarraz</v>
      </c>
      <c r="C67" s="135">
        <f>'B) D RI'!U69</f>
        <v>72104.13</v>
      </c>
      <c r="D67" s="219">
        <f>'E) Fact soc'!G73/C67</f>
        <v>16.323869907828833</v>
      </c>
      <c r="E67" s="219">
        <f>'H) Péréquation directe'!I78/'H) Péréquation directe'!C78</f>
        <v>0.69392347310148972</v>
      </c>
      <c r="F67" s="214">
        <f>'I) Dépenses thématiques'!P67</f>
        <v>-7.254059545663738</v>
      </c>
      <c r="G67" s="167">
        <f t="shared" si="7"/>
        <v>9.7637338352665832</v>
      </c>
      <c r="H67" s="138">
        <f t="shared" si="4"/>
        <v>0</v>
      </c>
      <c r="I67" s="183">
        <f t="shared" si="6"/>
        <v>0</v>
      </c>
      <c r="J67" s="43">
        <f t="shared" si="5"/>
        <v>9.7637338352665832</v>
      </c>
    </row>
    <row r="68" spans="1:10" x14ac:dyDescent="0.25">
      <c r="A68" s="61">
        <f>'A) Base RI'!A70</f>
        <v>5499</v>
      </c>
      <c r="B68" s="124" t="str">
        <f>'A) Base RI'!B70</f>
        <v>Senarclens</v>
      </c>
      <c r="C68" s="135">
        <f>'B) D RI'!U70</f>
        <v>21697.695620437953</v>
      </c>
      <c r="D68" s="219">
        <f>'E) Fact soc'!G74/C68</f>
        <v>17.135748609762953</v>
      </c>
      <c r="E68" s="219">
        <f>'H) Péréquation directe'!I79/'H) Péréquation directe'!C79</f>
        <v>16.432844913193801</v>
      </c>
      <c r="F68" s="214">
        <f>'I) Dépenses thématiques'!P68</f>
        <v>0</v>
      </c>
      <c r="G68" s="167">
        <f t="shared" si="7"/>
        <v>33.568593522956753</v>
      </c>
      <c r="H68" s="138">
        <f t="shared" si="4"/>
        <v>0</v>
      </c>
      <c r="I68" s="183">
        <f t="shared" si="6"/>
        <v>0</v>
      </c>
      <c r="J68" s="43">
        <f t="shared" si="5"/>
        <v>33.568593522956753</v>
      </c>
    </row>
    <row r="69" spans="1:10" x14ac:dyDescent="0.25">
      <c r="A69" s="61">
        <f>'A) Base RI'!A71</f>
        <v>5500</v>
      </c>
      <c r="B69" s="124" t="str">
        <f>'A) Base RI'!B71</f>
        <v>Sévery</v>
      </c>
      <c r="C69" s="135">
        <f>'B) D RI'!U71</f>
        <v>6767.1525657894736</v>
      </c>
      <c r="D69" s="219">
        <f>'E) Fact soc'!G75/C69</f>
        <v>17.472448866458048</v>
      </c>
      <c r="E69" s="219">
        <f>'H) Péréquation directe'!I80/'H) Péréquation directe'!C80</f>
        <v>3.8735128730070763</v>
      </c>
      <c r="F69" s="214">
        <f>'I) Dépenses thématiques'!P69</f>
        <v>-3.9918610170361593</v>
      </c>
      <c r="G69" s="167">
        <f t="shared" si="7"/>
        <v>17.354100722428967</v>
      </c>
      <c r="H69" s="138">
        <f t="shared" si="4"/>
        <v>0</v>
      </c>
      <c r="I69" s="183">
        <f t="shared" si="6"/>
        <v>0</v>
      </c>
      <c r="J69" s="43">
        <f t="shared" si="5"/>
        <v>17.354100722428967</v>
      </c>
    </row>
    <row r="70" spans="1:10" x14ac:dyDescent="0.25">
      <c r="A70" s="61">
        <f>'A) Base RI'!A72</f>
        <v>5501</v>
      </c>
      <c r="B70" s="124" t="str">
        <f>'A) Base RI'!B72</f>
        <v>Sullens</v>
      </c>
      <c r="C70" s="135">
        <f>'B) D RI'!U72</f>
        <v>35887.851857142865</v>
      </c>
      <c r="D70" s="219">
        <f>'E) Fact soc'!G76/C70</f>
        <v>17.38570669525177</v>
      </c>
      <c r="E70" s="219">
        <f>'H) Péréquation directe'!I81/'H) Péréquation directe'!C81</f>
        <v>13.515148810264332</v>
      </c>
      <c r="F70" s="214">
        <f>'I) Dépenses thématiques'!P70</f>
        <v>-0.31089250048269412</v>
      </c>
      <c r="G70" s="167">
        <f t="shared" si="7"/>
        <v>30.589963005033407</v>
      </c>
      <c r="H70" s="138">
        <f t="shared" si="4"/>
        <v>0</v>
      </c>
      <c r="I70" s="183">
        <f t="shared" si="6"/>
        <v>0</v>
      </c>
      <c r="J70" s="43">
        <f t="shared" si="5"/>
        <v>30.589963005033407</v>
      </c>
    </row>
    <row r="71" spans="1:10" x14ac:dyDescent="0.25">
      <c r="A71" s="61">
        <f>'A) Base RI'!A73</f>
        <v>5503</v>
      </c>
      <c r="B71" s="124" t="str">
        <f>'A) Base RI'!B73</f>
        <v>Vufflens-la-Ville</v>
      </c>
      <c r="C71" s="135">
        <f>'B) D RI'!U73</f>
        <v>61379.446318407958</v>
      </c>
      <c r="D71" s="219">
        <f>'E) Fact soc'!G77/C71</f>
        <v>19.53997327705434</v>
      </c>
      <c r="E71" s="219">
        <f>'H) Péréquation directe'!I82/'H) Péréquation directe'!C82</f>
        <v>15.658384647394874</v>
      </c>
      <c r="F71" s="214">
        <f>'I) Dépenses thématiques'!P71</f>
        <v>0</v>
      </c>
      <c r="G71" s="167">
        <f t="shared" si="7"/>
        <v>35.198357924449212</v>
      </c>
      <c r="H71" s="138">
        <f t="shared" si="4"/>
        <v>0</v>
      </c>
      <c r="I71" s="183">
        <f t="shared" si="6"/>
        <v>0</v>
      </c>
      <c r="J71" s="43">
        <f t="shared" si="5"/>
        <v>35.198357924449212</v>
      </c>
    </row>
    <row r="72" spans="1:10" x14ac:dyDescent="0.25">
      <c r="A72" s="61">
        <f>'A) Base RI'!A74</f>
        <v>5511</v>
      </c>
      <c r="B72" s="124" t="str">
        <f>'A) Base RI'!B74</f>
        <v>Assens</v>
      </c>
      <c r="C72" s="135">
        <f>'B) D RI'!U74</f>
        <v>41422.612571428566</v>
      </c>
      <c r="D72" s="219">
        <f>'E) Fact soc'!G78/C72</f>
        <v>16.217678848258107</v>
      </c>
      <c r="E72" s="219">
        <f>'H) Péréquation directe'!I83/'H) Péréquation directe'!C83</f>
        <v>14.170066395857122</v>
      </c>
      <c r="F72" s="214">
        <f>'I) Dépenses thématiques'!P72</f>
        <v>-4.2254073093343907</v>
      </c>
      <c r="G72" s="167">
        <f t="shared" si="7"/>
        <v>26.16233793478084</v>
      </c>
      <c r="H72" s="138">
        <f t="shared" si="4"/>
        <v>0</v>
      </c>
      <c r="I72" s="183">
        <f t="shared" si="6"/>
        <v>0</v>
      </c>
      <c r="J72" s="43">
        <f t="shared" si="5"/>
        <v>26.16233793478084</v>
      </c>
    </row>
    <row r="73" spans="1:10" x14ac:dyDescent="0.25">
      <c r="A73" s="61">
        <f>'A) Base RI'!A75</f>
        <v>5512</v>
      </c>
      <c r="B73" s="124" t="str">
        <f>'A) Base RI'!B75</f>
        <v>Bercher</v>
      </c>
      <c r="C73" s="135">
        <f>'B) D RI'!U75</f>
        <v>32079.191772151898</v>
      </c>
      <c r="D73" s="219">
        <f>'E) Fact soc'!G79/C73</f>
        <v>16.849140454336304</v>
      </c>
      <c r="E73" s="219">
        <f>'H) Péréquation directe'!I84/'H) Péréquation directe'!C84</f>
        <v>-0.1245356301962891</v>
      </c>
      <c r="F73" s="214">
        <f>'I) Dépenses thématiques'!P73</f>
        <v>-4.8113668920157631</v>
      </c>
      <c r="G73" s="167">
        <f t="shared" si="7"/>
        <v>11.913237932124254</v>
      </c>
      <c r="H73" s="138">
        <f t="shared" si="4"/>
        <v>0</v>
      </c>
      <c r="I73" s="183">
        <f t="shared" si="6"/>
        <v>0</v>
      </c>
      <c r="J73" s="43">
        <f t="shared" si="5"/>
        <v>11.913237932124254</v>
      </c>
    </row>
    <row r="74" spans="1:10" x14ac:dyDescent="0.25">
      <c r="A74" s="61">
        <f>'A) Base RI'!A76</f>
        <v>5513</v>
      </c>
      <c r="B74" s="124" t="str">
        <f>'A) Base RI'!B76</f>
        <v>Bioley-Orjulaz</v>
      </c>
      <c r="C74" s="135">
        <f>'B) D RI'!U76</f>
        <v>24024.471515151512</v>
      </c>
      <c r="D74" s="219">
        <f>'E) Fact soc'!G80/C74</f>
        <v>17.466356696005356</v>
      </c>
      <c r="E74" s="219">
        <f>'H) Péréquation directe'!I85/'H) Péréquation directe'!C85</f>
        <v>16.549717938803148</v>
      </c>
      <c r="F74" s="214">
        <f>'I) Dépenses thématiques'!P74</f>
        <v>-1.056535252783213</v>
      </c>
      <c r="G74" s="167">
        <f t="shared" si="7"/>
        <v>32.959539382025291</v>
      </c>
      <c r="H74" s="138">
        <f t="shared" si="4"/>
        <v>0</v>
      </c>
      <c r="I74" s="183">
        <f t="shared" si="6"/>
        <v>0</v>
      </c>
      <c r="J74" s="43">
        <f t="shared" si="5"/>
        <v>32.959539382025291</v>
      </c>
    </row>
    <row r="75" spans="1:10" x14ac:dyDescent="0.25">
      <c r="A75" s="61">
        <f>'A) Base RI'!A77</f>
        <v>5514</v>
      </c>
      <c r="B75" s="124" t="str">
        <f>'A) Base RI'!B77</f>
        <v>Bottens</v>
      </c>
      <c r="C75" s="135">
        <f>'B) D RI'!U77</f>
        <v>38346.680434782604</v>
      </c>
      <c r="D75" s="219">
        <f>'E) Fact soc'!G81/C75</f>
        <v>18.304272200594848</v>
      </c>
      <c r="E75" s="219">
        <f>'H) Péréquation directe'!I86/'H) Péréquation directe'!C86</f>
        <v>6.575410759614944</v>
      </c>
      <c r="F75" s="214">
        <f>'I) Dépenses thématiques'!P75</f>
        <v>-0.87771642871389177</v>
      </c>
      <c r="G75" s="167">
        <f t="shared" si="7"/>
        <v>24.001966531495899</v>
      </c>
      <c r="H75" s="138">
        <f t="shared" si="4"/>
        <v>0</v>
      </c>
      <c r="I75" s="183">
        <f t="shared" si="6"/>
        <v>0</v>
      </c>
      <c r="J75" s="43">
        <f t="shared" si="5"/>
        <v>24.001966531495899</v>
      </c>
    </row>
    <row r="76" spans="1:10" x14ac:dyDescent="0.25">
      <c r="A76" s="61">
        <f>'A) Base RI'!A78</f>
        <v>5515</v>
      </c>
      <c r="B76" s="124" t="str">
        <f>'A) Base RI'!B78</f>
        <v>Bretigny-sur-Morrens</v>
      </c>
      <c r="C76" s="135">
        <f>'B) D RI'!U78</f>
        <v>24345.34643835617</v>
      </c>
      <c r="D76" s="219">
        <f>'E) Fact soc'!G82/C76</f>
        <v>17.068218189036749</v>
      </c>
      <c r="E76" s="219">
        <f>'H) Péréquation directe'!I87/'H) Péréquation directe'!C87</f>
        <v>6.1746935023559271</v>
      </c>
      <c r="F76" s="214">
        <f>'I) Dépenses thématiques'!P76</f>
        <v>-3.2852357504819296</v>
      </c>
      <c r="G76" s="167">
        <f t="shared" si="7"/>
        <v>19.957675940910747</v>
      </c>
      <c r="H76" s="138">
        <f t="shared" si="4"/>
        <v>0</v>
      </c>
      <c r="I76" s="183">
        <f t="shared" si="6"/>
        <v>0</v>
      </c>
      <c r="J76" s="43">
        <f t="shared" si="5"/>
        <v>19.957675940910747</v>
      </c>
    </row>
    <row r="77" spans="1:10" x14ac:dyDescent="0.25">
      <c r="A77" s="61">
        <f>'A) Base RI'!A79</f>
        <v>5516</v>
      </c>
      <c r="B77" s="124" t="str">
        <f>'A) Base RI'!B79</f>
        <v>Cugy</v>
      </c>
      <c r="C77" s="135">
        <f>'B) D RI'!U79</f>
        <v>104935.17701492537</v>
      </c>
      <c r="D77" s="219">
        <f>'E) Fact soc'!G83/C77</f>
        <v>17.438963773952171</v>
      </c>
      <c r="E77" s="219">
        <f>'H) Péréquation directe'!I88/'H) Péréquation directe'!C88</f>
        <v>9.1582917951125289</v>
      </c>
      <c r="F77" s="214">
        <f>'I) Dépenses thématiques'!P77</f>
        <v>-2.1297140481310093</v>
      </c>
      <c r="G77" s="167">
        <f t="shared" si="7"/>
        <v>24.46754152093369</v>
      </c>
      <c r="H77" s="138">
        <f t="shared" si="4"/>
        <v>0</v>
      </c>
      <c r="I77" s="183">
        <f t="shared" si="6"/>
        <v>0</v>
      </c>
      <c r="J77" s="43">
        <f t="shared" si="5"/>
        <v>24.46754152093369</v>
      </c>
    </row>
    <row r="78" spans="1:10" x14ac:dyDescent="0.25">
      <c r="A78" s="61">
        <f>'A) Base RI'!A80</f>
        <v>5518</v>
      </c>
      <c r="B78" s="124" t="str">
        <f>'A) Base RI'!B80</f>
        <v>Echallens</v>
      </c>
      <c r="C78" s="135">
        <f>'B) D RI'!U80</f>
        <v>181423.1631081081</v>
      </c>
      <c r="D78" s="219">
        <f>'E) Fact soc'!G84/C78</f>
        <v>16.282132990251956</v>
      </c>
      <c r="E78" s="219">
        <f>'H) Péréquation directe'!I89/'H) Péréquation directe'!C89</f>
        <v>-0.89472248294086243</v>
      </c>
      <c r="F78" s="214">
        <f>'I) Dépenses thématiques'!P78</f>
        <v>-4.4917086379953544</v>
      </c>
      <c r="G78" s="167">
        <f t="shared" si="7"/>
        <v>10.89570186931574</v>
      </c>
      <c r="H78" s="138">
        <f t="shared" si="4"/>
        <v>0</v>
      </c>
      <c r="I78" s="183">
        <f t="shared" si="6"/>
        <v>0</v>
      </c>
      <c r="J78" s="43">
        <f t="shared" si="5"/>
        <v>10.89570186931574</v>
      </c>
    </row>
    <row r="79" spans="1:10" x14ac:dyDescent="0.25">
      <c r="A79" s="61">
        <f>'A) Base RI'!A81</f>
        <v>5520</v>
      </c>
      <c r="B79" s="124" t="str">
        <f>'A) Base RI'!B81</f>
        <v>Essertines-sur-Yverdon</v>
      </c>
      <c r="C79" s="135">
        <f>'B) D RI'!U81</f>
        <v>28021.579589041095</v>
      </c>
      <c r="D79" s="219">
        <f>'E) Fact soc'!G85/C79</f>
        <v>15.956631027872659</v>
      </c>
      <c r="E79" s="219">
        <f>'H) Péréquation directe'!I90/'H) Péréquation directe'!C90</f>
        <v>5.1644602697452537</v>
      </c>
      <c r="F79" s="214">
        <f>'I) Dépenses thématiques'!P79</f>
        <v>-4.1122116015341463</v>
      </c>
      <c r="G79" s="167">
        <f t="shared" si="7"/>
        <v>17.008879696083767</v>
      </c>
      <c r="H79" s="138">
        <f t="shared" si="4"/>
        <v>0</v>
      </c>
      <c r="I79" s="183">
        <f t="shared" si="6"/>
        <v>0</v>
      </c>
      <c r="J79" s="43">
        <f t="shared" si="5"/>
        <v>17.008879696083767</v>
      </c>
    </row>
    <row r="80" spans="1:10" x14ac:dyDescent="0.25">
      <c r="A80" s="61">
        <f>'A) Base RI'!A82</f>
        <v>5521</v>
      </c>
      <c r="B80" s="124" t="str">
        <f>'A) Base RI'!B82</f>
        <v>Etagnières</v>
      </c>
      <c r="C80" s="135">
        <f>'B) D RI'!U82</f>
        <v>42327.784109589047</v>
      </c>
      <c r="D80" s="219">
        <f>'E) Fact soc'!G86/C80</f>
        <v>15.347512676647549</v>
      </c>
      <c r="E80" s="219">
        <f>'H) Péréquation directe'!I91/'H) Péréquation directe'!C91</f>
        <v>11.118687823654847</v>
      </c>
      <c r="F80" s="214">
        <f>'I) Dépenses thématiques'!P80</f>
        <v>0</v>
      </c>
      <c r="G80" s="167">
        <f t="shared" si="7"/>
        <v>26.466200500302396</v>
      </c>
      <c r="H80" s="138">
        <f t="shared" si="4"/>
        <v>0</v>
      </c>
      <c r="I80" s="183">
        <f t="shared" si="6"/>
        <v>0</v>
      </c>
      <c r="J80" s="43">
        <f t="shared" si="5"/>
        <v>26.466200500302396</v>
      </c>
    </row>
    <row r="81" spans="1:10" x14ac:dyDescent="0.25">
      <c r="A81" s="61">
        <f>'A) Base RI'!A83</f>
        <v>5522</v>
      </c>
      <c r="B81" s="124" t="str">
        <f>'A) Base RI'!B83</f>
        <v>Fey</v>
      </c>
      <c r="C81" s="135">
        <f>'B) D RI'!U83</f>
        <v>18218.5124</v>
      </c>
      <c r="D81" s="219">
        <f>'E) Fact soc'!G87/C81</f>
        <v>16.382121099551053</v>
      </c>
      <c r="E81" s="219">
        <f>'H) Péréquation directe'!I92/'H) Péréquation directe'!C92</f>
        <v>3.3940598406983513</v>
      </c>
      <c r="F81" s="214">
        <f>'I) Dépenses thématiques'!P81</f>
        <v>-6.6769605220197334</v>
      </c>
      <c r="G81" s="167">
        <f t="shared" si="7"/>
        <v>13.09922041822967</v>
      </c>
      <c r="H81" s="138">
        <f t="shared" si="4"/>
        <v>0</v>
      </c>
      <c r="I81" s="183">
        <f t="shared" si="6"/>
        <v>0</v>
      </c>
      <c r="J81" s="43">
        <f t="shared" si="5"/>
        <v>13.09922041822967</v>
      </c>
    </row>
    <row r="82" spans="1:10" x14ac:dyDescent="0.25">
      <c r="A82" s="61">
        <f>'A) Base RI'!A84</f>
        <v>5523</v>
      </c>
      <c r="B82" s="124" t="str">
        <f>'A) Base RI'!B84</f>
        <v>Froideville</v>
      </c>
      <c r="C82" s="135">
        <f>'B) D RI'!U84</f>
        <v>77819.657763157898</v>
      </c>
      <c r="D82" s="219">
        <f>'E) Fact soc'!G88/C82</f>
        <v>17.737949916269212</v>
      </c>
      <c r="E82" s="219">
        <f>'H) Péréquation directe'!I93/'H) Péréquation directe'!C93</f>
        <v>2.6688235610924833</v>
      </c>
      <c r="F82" s="214">
        <f>'I) Dépenses thématiques'!P82</f>
        <v>-2.4865948488943914</v>
      </c>
      <c r="G82" s="167">
        <f t="shared" si="7"/>
        <v>17.920178628467305</v>
      </c>
      <c r="H82" s="138">
        <f t="shared" si="4"/>
        <v>0</v>
      </c>
      <c r="I82" s="183">
        <f t="shared" si="6"/>
        <v>0</v>
      </c>
      <c r="J82" s="43">
        <f t="shared" si="5"/>
        <v>17.920178628467305</v>
      </c>
    </row>
    <row r="83" spans="1:10" x14ac:dyDescent="0.25">
      <c r="A83" s="61">
        <f>'A) Base RI'!A85</f>
        <v>5527</v>
      </c>
      <c r="B83" s="124" t="str">
        <f>'A) Base RI'!B85</f>
        <v>Morrens</v>
      </c>
      <c r="C83" s="135">
        <f>'B) D RI'!U85</f>
        <v>36998.677183098589</v>
      </c>
      <c r="D83" s="219">
        <f>'E) Fact soc'!G89/C83</f>
        <v>17.818786807401551</v>
      </c>
      <c r="E83" s="219">
        <f>'H) Péréquation directe'!I94/'H) Péréquation directe'!C94</f>
        <v>10.409434085075032</v>
      </c>
      <c r="F83" s="214">
        <f>'I) Dépenses thématiques'!P83</f>
        <v>-0.35756056302662476</v>
      </c>
      <c r="G83" s="167">
        <f t="shared" si="7"/>
        <v>27.870660329449962</v>
      </c>
      <c r="H83" s="138">
        <f t="shared" si="4"/>
        <v>0</v>
      </c>
      <c r="I83" s="183">
        <f t="shared" si="6"/>
        <v>0</v>
      </c>
      <c r="J83" s="43">
        <f t="shared" si="5"/>
        <v>27.870660329449962</v>
      </c>
    </row>
    <row r="84" spans="1:10" x14ac:dyDescent="0.25">
      <c r="A84" s="61">
        <f>'A) Base RI'!A86</f>
        <v>5529</v>
      </c>
      <c r="B84" s="124" t="str">
        <f>'A) Base RI'!B86</f>
        <v>Oulens-sous-Echallens</v>
      </c>
      <c r="C84" s="135">
        <f>'B) D RI'!U86</f>
        <v>16830.940140845072</v>
      </c>
      <c r="D84" s="219">
        <f>'E) Fact soc'!G90/C84</f>
        <v>19.333163784504325</v>
      </c>
      <c r="E84" s="219">
        <f>'H) Péréquation directe'!I95/'H) Péréquation directe'!C95</f>
        <v>7.7644012382163901</v>
      </c>
      <c r="F84" s="214">
        <f>'I) Dépenses thématiques'!P84</f>
        <v>-7.2360631666463799</v>
      </c>
      <c r="G84" s="167">
        <f t="shared" si="7"/>
        <v>19.861501856074334</v>
      </c>
      <c r="H84" s="138">
        <f t="shared" si="4"/>
        <v>0</v>
      </c>
      <c r="I84" s="183">
        <f t="shared" si="6"/>
        <v>0</v>
      </c>
      <c r="J84" s="43">
        <f t="shared" si="5"/>
        <v>19.861501856074334</v>
      </c>
    </row>
    <row r="85" spans="1:10" x14ac:dyDescent="0.25">
      <c r="A85" s="61">
        <f>'A) Base RI'!A87</f>
        <v>5530</v>
      </c>
      <c r="B85" s="124" t="str">
        <f>'A) Base RI'!B87</f>
        <v>Pailly</v>
      </c>
      <c r="C85" s="135">
        <f>'B) D RI'!U87</f>
        <v>15988.116172043008</v>
      </c>
      <c r="D85" s="219">
        <f>'E) Fact soc'!G91/C85</f>
        <v>15.933596811946783</v>
      </c>
      <c r="E85" s="219">
        <f>'H) Péréquation directe'!I96/'H) Péréquation directe'!C96</f>
        <v>4.3365733714027765</v>
      </c>
      <c r="F85" s="214">
        <f>'I) Dépenses thématiques'!P85</f>
        <v>-18.341053687936139</v>
      </c>
      <c r="G85" s="167">
        <f t="shared" si="7"/>
        <v>1.929116495413421</v>
      </c>
      <c r="H85" s="138">
        <f t="shared" si="4"/>
        <v>0</v>
      </c>
      <c r="I85" s="183">
        <f t="shared" si="6"/>
        <v>0</v>
      </c>
      <c r="J85" s="43">
        <f t="shared" si="5"/>
        <v>1.929116495413421</v>
      </c>
    </row>
    <row r="86" spans="1:10" x14ac:dyDescent="0.25">
      <c r="A86" s="61">
        <f>'A) Base RI'!A88</f>
        <v>5531</v>
      </c>
      <c r="B86" s="124" t="str">
        <f>'A) Base RI'!B88</f>
        <v>Penthéréaz</v>
      </c>
      <c r="C86" s="135">
        <f>'B) D RI'!U88</f>
        <v>11628.696923076923</v>
      </c>
      <c r="D86" s="219">
        <f>'E) Fact soc'!G92/C86</f>
        <v>17.339880726984966</v>
      </c>
      <c r="E86" s="219">
        <f>'H) Péréquation directe'!I97/'H) Péréquation directe'!C97</f>
        <v>4.063884343103469</v>
      </c>
      <c r="F86" s="214">
        <f>'I) Dépenses thématiques'!P86</f>
        <v>-3.8576920024931507</v>
      </c>
      <c r="G86" s="167">
        <f t="shared" si="7"/>
        <v>17.54607306759528</v>
      </c>
      <c r="H86" s="138">
        <f t="shared" si="4"/>
        <v>0</v>
      </c>
      <c r="I86" s="183">
        <f t="shared" si="6"/>
        <v>0</v>
      </c>
      <c r="J86" s="43">
        <f t="shared" si="5"/>
        <v>17.54607306759528</v>
      </c>
    </row>
    <row r="87" spans="1:10" x14ac:dyDescent="0.25">
      <c r="A87" s="61">
        <f>'A) Base RI'!A89</f>
        <v>5533</v>
      </c>
      <c r="B87" s="124" t="str">
        <f>'A) Base RI'!B89</f>
        <v>Poliez-Pittet</v>
      </c>
      <c r="C87" s="135">
        <f>'B) D RI'!U89</f>
        <v>21286.915727699528</v>
      </c>
      <c r="D87" s="219">
        <f>'E) Fact soc'!G93/C87</f>
        <v>16.280558990295816</v>
      </c>
      <c r="E87" s="219">
        <f>'H) Péréquation directe'!I98/'H) Péréquation directe'!C98</f>
        <v>1.2612409198670147</v>
      </c>
      <c r="F87" s="214">
        <f>'I) Dépenses thématiques'!P87</f>
        <v>-5.259927913808391</v>
      </c>
      <c r="G87" s="167">
        <f t="shared" si="7"/>
        <v>12.28187199635444</v>
      </c>
      <c r="H87" s="138">
        <f t="shared" si="4"/>
        <v>0</v>
      </c>
      <c r="I87" s="183">
        <f t="shared" si="6"/>
        <v>0</v>
      </c>
      <c r="J87" s="43">
        <f t="shared" si="5"/>
        <v>12.28187199635444</v>
      </c>
    </row>
    <row r="88" spans="1:10" x14ac:dyDescent="0.25">
      <c r="A88" s="61">
        <f>'A) Base RI'!A90</f>
        <v>5534</v>
      </c>
      <c r="B88" s="124" t="str">
        <f>'A) Base RI'!B90</f>
        <v>Rueyres</v>
      </c>
      <c r="C88" s="135">
        <f>'B) D RI'!U90</f>
        <v>8123.1504109589041</v>
      </c>
      <c r="D88" s="219">
        <f>'E) Fact soc'!G94/C88</f>
        <v>20.7601599218156</v>
      </c>
      <c r="E88" s="219">
        <f>'H) Péréquation directe'!I99/'H) Péréquation directe'!C99</f>
        <v>6.291869422611776</v>
      </c>
      <c r="F88" s="214">
        <f>'I) Dépenses thématiques'!P88</f>
        <v>-3.4542766347314959</v>
      </c>
      <c r="G88" s="167">
        <f t="shared" si="7"/>
        <v>23.597752709695879</v>
      </c>
      <c r="H88" s="138">
        <f t="shared" si="4"/>
        <v>0</v>
      </c>
      <c r="I88" s="183">
        <f t="shared" si="6"/>
        <v>0</v>
      </c>
      <c r="J88" s="43">
        <f t="shared" si="5"/>
        <v>23.597752709695879</v>
      </c>
    </row>
    <row r="89" spans="1:10" x14ac:dyDescent="0.25">
      <c r="A89" s="61">
        <f>'A) Base RI'!A91</f>
        <v>5535</v>
      </c>
      <c r="B89" s="124" t="str">
        <f>'A) Base RI'!B91</f>
        <v>Saint-Barthélemy</v>
      </c>
      <c r="C89" s="135">
        <f>'B) D RI'!U91</f>
        <v>21652.779733333333</v>
      </c>
      <c r="D89" s="219">
        <f>'E) Fact soc'!G95/C89</f>
        <v>15.044183832807773</v>
      </c>
      <c r="E89" s="219">
        <f>'H) Péréquation directe'!I100/'H) Péréquation directe'!C100</f>
        <v>2.0384859421028385</v>
      </c>
      <c r="F89" s="214">
        <f>'I) Dépenses thématiques'!P89</f>
        <v>-2.3294060417794875</v>
      </c>
      <c r="G89" s="167">
        <f t="shared" si="7"/>
        <v>14.753263733131126</v>
      </c>
      <c r="H89" s="138">
        <f t="shared" si="4"/>
        <v>0</v>
      </c>
      <c r="I89" s="183">
        <f t="shared" si="6"/>
        <v>0</v>
      </c>
      <c r="J89" s="43">
        <f t="shared" si="5"/>
        <v>14.753263733131126</v>
      </c>
    </row>
    <row r="90" spans="1:10" x14ac:dyDescent="0.25">
      <c r="A90" s="61">
        <f>'A) Base RI'!A92</f>
        <v>5537</v>
      </c>
      <c r="B90" s="124" t="str">
        <f>'A) Base RI'!B92</f>
        <v>Villars-le-Terroir</v>
      </c>
      <c r="C90" s="135">
        <f>'B) D RI'!U92</f>
        <v>28181.728767123288</v>
      </c>
      <c r="D90" s="219">
        <f>'E) Fact soc'!G96/C90</f>
        <v>16.381714210783947</v>
      </c>
      <c r="E90" s="219">
        <f>'H) Péréquation directe'!I101/'H) Péréquation directe'!C101</f>
        <v>1.8739528473934304</v>
      </c>
      <c r="F90" s="214">
        <f>'I) Dépenses thématiques'!P90</f>
        <v>-0.3647833887199759</v>
      </c>
      <c r="G90" s="167">
        <f t="shared" si="7"/>
        <v>17.890883669457402</v>
      </c>
      <c r="H90" s="138">
        <f t="shared" si="4"/>
        <v>0</v>
      </c>
      <c r="I90" s="183">
        <f t="shared" si="6"/>
        <v>0</v>
      </c>
      <c r="J90" s="43">
        <f t="shared" si="5"/>
        <v>17.890883669457402</v>
      </c>
    </row>
    <row r="91" spans="1:10" x14ac:dyDescent="0.25">
      <c r="A91" s="61">
        <f>'A) Base RI'!A93</f>
        <v>5539</v>
      </c>
      <c r="B91" s="124" t="str">
        <f>'A) Base RI'!B93</f>
        <v>Vuarrens</v>
      </c>
      <c r="C91" s="135">
        <f>'B) D RI'!U93</f>
        <v>22756.172933333331</v>
      </c>
      <c r="D91" s="219">
        <f>'E) Fact soc'!G97/C91</f>
        <v>16.849647504794621</v>
      </c>
      <c r="E91" s="219">
        <f>'H) Péréquation directe'!I102/'H) Péréquation directe'!C102</f>
        <v>-3.3075837351632944</v>
      </c>
      <c r="F91" s="214">
        <f>'I) Dépenses thématiques'!P91</f>
        <v>-4.1096736522246724</v>
      </c>
      <c r="G91" s="167">
        <f t="shared" si="7"/>
        <v>9.4323901174066549</v>
      </c>
      <c r="H91" s="138">
        <f t="shared" si="4"/>
        <v>0</v>
      </c>
      <c r="I91" s="183">
        <f t="shared" si="6"/>
        <v>0</v>
      </c>
      <c r="J91" s="43">
        <f t="shared" si="5"/>
        <v>9.4323901174066549</v>
      </c>
    </row>
    <row r="92" spans="1:10" x14ac:dyDescent="0.25">
      <c r="A92" s="61">
        <f>'A) Base RI'!A94</f>
        <v>5540</v>
      </c>
      <c r="B92" s="124" t="str">
        <f>'A) Base RI'!B94</f>
        <v>Montilliez</v>
      </c>
      <c r="C92" s="135">
        <f>'B) D RI'!U94</f>
        <v>47199.265101351346</v>
      </c>
      <c r="D92" s="219">
        <f>'E) Fact soc'!G98/C92</f>
        <v>16.575968462315753</v>
      </c>
      <c r="E92" s="219">
        <f>'H) Péréquation directe'!I103/'H) Péréquation directe'!C103</f>
        <v>2.0867615157559895E-2</v>
      </c>
      <c r="F92" s="214">
        <f>'I) Dépenses thématiques'!P92</f>
        <v>-23.308282044008347</v>
      </c>
      <c r="G92" s="167">
        <f>SUM(D92:F92)</f>
        <v>-6.7114459665350346</v>
      </c>
      <c r="H92" s="138">
        <f t="shared" si="4"/>
        <v>0</v>
      </c>
      <c r="I92" s="183">
        <f>H92*C92</f>
        <v>0</v>
      </c>
      <c r="J92" s="43">
        <f>G92+H92</f>
        <v>-6.7114459665350346</v>
      </c>
    </row>
    <row r="93" spans="1:10" x14ac:dyDescent="0.25">
      <c r="A93" s="61">
        <f>'A) Base RI'!A95</f>
        <v>5541</v>
      </c>
      <c r="B93" s="124" t="str">
        <f>'A) Base RI'!B95</f>
        <v>Goumoëns</v>
      </c>
      <c r="C93" s="135">
        <f>'B) D RI'!U95</f>
        <v>35607.690389610398</v>
      </c>
      <c r="D93" s="219">
        <f>'E) Fact soc'!G99/C93</f>
        <v>16.182706267952533</v>
      </c>
      <c r="E93" s="219">
        <f>'H) Péréquation directe'!I104/'H) Péréquation directe'!C104</f>
        <v>8.2771949441753261</v>
      </c>
      <c r="F93" s="214">
        <f>'I) Dépenses thématiques'!P93</f>
        <v>-0.8878993057266501</v>
      </c>
      <c r="G93" s="167">
        <f>SUM(D93:F93)</f>
        <v>23.572001906401212</v>
      </c>
      <c r="H93" s="138">
        <f t="shared" si="4"/>
        <v>0</v>
      </c>
      <c r="I93" s="183">
        <f>H93*C93</f>
        <v>0</v>
      </c>
      <c r="J93" s="43">
        <f>G93+H93</f>
        <v>23.572001906401212</v>
      </c>
    </row>
    <row r="94" spans="1:10" x14ac:dyDescent="0.25">
      <c r="A94" s="61">
        <f>'A) Base RI'!A96</f>
        <v>5551</v>
      </c>
      <c r="B94" s="124" t="str">
        <f>'A) Base RI'!B96</f>
        <v>Bonvillars</v>
      </c>
      <c r="C94" s="135">
        <f>'B) D RI'!U96</f>
        <v>15988.430935064936</v>
      </c>
      <c r="D94" s="219">
        <f>'E) Fact soc'!G100/C94</f>
        <v>15.677504320646765</v>
      </c>
      <c r="E94" s="219">
        <f>'H) Péréquation directe'!I105/'H) Péréquation directe'!C105</f>
        <v>10.77801532845692</v>
      </c>
      <c r="F94" s="214">
        <f>'I) Dépenses thématiques'!P94</f>
        <v>-8.8924285218154573</v>
      </c>
      <c r="G94" s="167">
        <f>SUM(D94:F94)</f>
        <v>17.563091127288228</v>
      </c>
      <c r="H94" s="138">
        <f t="shared" si="4"/>
        <v>0</v>
      </c>
      <c r="I94" s="183">
        <f>H94*C94</f>
        <v>0</v>
      </c>
      <c r="J94" s="43">
        <f>G94+H94</f>
        <v>17.563091127288228</v>
      </c>
    </row>
    <row r="95" spans="1:10" x14ac:dyDescent="0.25">
      <c r="A95" s="61">
        <f>'A) Base RI'!A97</f>
        <v>5552</v>
      </c>
      <c r="B95" s="124" t="str">
        <f>'A) Base RI'!B97</f>
        <v>Bullet</v>
      </c>
      <c r="C95" s="135">
        <f>'B) D RI'!U97</f>
        <v>15525.607571428574</v>
      </c>
      <c r="D95" s="219">
        <f>'E) Fact soc'!G101/C95</f>
        <v>21.765169243537304</v>
      </c>
      <c r="E95" s="219">
        <f>'H) Péréquation directe'!I106/'H) Péréquation directe'!C106</f>
        <v>0.9290584688367205</v>
      </c>
      <c r="F95" s="214">
        <f>'I) Dépenses thématiques'!P95</f>
        <v>-11.671681906664698</v>
      </c>
      <c r="G95" s="167">
        <f t="shared" si="7"/>
        <v>11.022545805709328</v>
      </c>
      <c r="H95" s="138">
        <f t="shared" si="4"/>
        <v>0</v>
      </c>
      <c r="I95" s="183">
        <f t="shared" si="6"/>
        <v>0</v>
      </c>
      <c r="J95" s="43">
        <f t="shared" si="5"/>
        <v>11.022545805709328</v>
      </c>
    </row>
    <row r="96" spans="1:10" x14ac:dyDescent="0.25">
      <c r="A96" s="61">
        <f>'A) Base RI'!A98</f>
        <v>5553</v>
      </c>
      <c r="B96" s="124" t="str">
        <f>'A) Base RI'!B98</f>
        <v>Champagne</v>
      </c>
      <c r="C96" s="135">
        <f>'B) D RI'!U98</f>
        <v>55334.370317460314</v>
      </c>
      <c r="D96" s="219">
        <f>'E) Fact soc'!G102/C96</f>
        <v>17.101849148601019</v>
      </c>
      <c r="E96" s="219">
        <f>'H) Péréquation directe'!I107/'H) Péréquation directe'!C107</f>
        <v>16.400927206246948</v>
      </c>
      <c r="F96" s="214">
        <f>'I) Dépenses thématiques'!P96</f>
        <v>-2.6001397536912889</v>
      </c>
      <c r="G96" s="167">
        <f t="shared" si="7"/>
        <v>30.902636601156679</v>
      </c>
      <c r="H96" s="138">
        <f t="shared" si="4"/>
        <v>0</v>
      </c>
      <c r="I96" s="183">
        <f t="shared" si="6"/>
        <v>0</v>
      </c>
      <c r="J96" s="43">
        <f t="shared" si="5"/>
        <v>30.902636601156679</v>
      </c>
    </row>
    <row r="97" spans="1:10" x14ac:dyDescent="0.25">
      <c r="A97" s="61">
        <f>'A) Base RI'!A99</f>
        <v>5554</v>
      </c>
      <c r="B97" s="124" t="str">
        <f>'A) Base RI'!B99</f>
        <v>Concise</v>
      </c>
      <c r="C97" s="135">
        <f>'B) D RI'!U99</f>
        <v>29691.100933333331</v>
      </c>
      <c r="D97" s="219">
        <f>'E) Fact soc'!G103/C97</f>
        <v>19.131123053133454</v>
      </c>
      <c r="E97" s="219">
        <f>'H) Péréquation directe'!I108/'H) Péréquation directe'!C108</f>
        <v>6.3226293650476153</v>
      </c>
      <c r="F97" s="214">
        <f>'I) Dépenses thématiques'!P97</f>
        <v>-3.5485818620605385</v>
      </c>
      <c r="G97" s="167">
        <f t="shared" si="7"/>
        <v>21.905170556120531</v>
      </c>
      <c r="H97" s="138">
        <f t="shared" si="4"/>
        <v>0</v>
      </c>
      <c r="I97" s="183">
        <f t="shared" si="6"/>
        <v>0</v>
      </c>
      <c r="J97" s="43">
        <f t="shared" si="5"/>
        <v>21.905170556120531</v>
      </c>
    </row>
    <row r="98" spans="1:10" x14ac:dyDescent="0.25">
      <c r="A98" s="61">
        <f>'A) Base RI'!A100</f>
        <v>5555</v>
      </c>
      <c r="B98" s="124" t="str">
        <f>'A) Base RI'!B100</f>
        <v>Corcelles-près-Concise</v>
      </c>
      <c r="C98" s="135">
        <f>'B) D RI'!U100</f>
        <v>9762.6867605633779</v>
      </c>
      <c r="D98" s="219">
        <f>'E) Fact soc'!G104/C98</f>
        <v>18.117587995902422</v>
      </c>
      <c r="E98" s="219">
        <f>'H) Péréquation directe'!I109/'H) Péréquation directe'!C109</f>
        <v>4.9298661450182086</v>
      </c>
      <c r="F98" s="214">
        <f>'I) Dépenses thématiques'!P98</f>
        <v>-11.072471110638114</v>
      </c>
      <c r="G98" s="167">
        <f t="shared" si="7"/>
        <v>11.974983030282518</v>
      </c>
      <c r="H98" s="138">
        <f t="shared" si="4"/>
        <v>0</v>
      </c>
      <c r="I98" s="183">
        <f t="shared" si="6"/>
        <v>0</v>
      </c>
      <c r="J98" s="43">
        <f t="shared" si="5"/>
        <v>11.974983030282518</v>
      </c>
    </row>
    <row r="99" spans="1:10" x14ac:dyDescent="0.25">
      <c r="A99" s="61">
        <f>'A) Base RI'!A101</f>
        <v>5556</v>
      </c>
      <c r="B99" s="124" t="str">
        <f>'A) Base RI'!B101</f>
        <v>Fiez</v>
      </c>
      <c r="C99" s="135">
        <f>'B) D RI'!U101</f>
        <v>10799.932053140095</v>
      </c>
      <c r="D99" s="219">
        <f>'E) Fact soc'!G105/C99</f>
        <v>16.583347269266095</v>
      </c>
      <c r="E99" s="219">
        <f>'H) Péréquation directe'!I110/'H) Péréquation directe'!C110</f>
        <v>1.3644011686338759</v>
      </c>
      <c r="F99" s="214">
        <f>'I) Dépenses thématiques'!P99</f>
        <v>-5.3993142717939477</v>
      </c>
      <c r="G99" s="167">
        <f t="shared" si="7"/>
        <v>12.548434166106023</v>
      </c>
      <c r="H99" s="138">
        <f t="shared" si="4"/>
        <v>0</v>
      </c>
      <c r="I99" s="183">
        <f t="shared" si="6"/>
        <v>0</v>
      </c>
      <c r="J99" s="43">
        <f t="shared" si="5"/>
        <v>12.548434166106023</v>
      </c>
    </row>
    <row r="100" spans="1:10" x14ac:dyDescent="0.25">
      <c r="A100" s="61">
        <f>'A) Base RI'!A102</f>
        <v>5557</v>
      </c>
      <c r="B100" s="124" t="str">
        <f>'A) Base RI'!B102</f>
        <v>Fontaines-sur-Grandson</v>
      </c>
      <c r="C100" s="135">
        <f>'B) D RI'!U102</f>
        <v>4200.6523188405799</v>
      </c>
      <c r="D100" s="219">
        <f>'E) Fact soc'!G106/C100</f>
        <v>16.439346033544453</v>
      </c>
      <c r="E100" s="219">
        <f>'H) Péréquation directe'!I111/'H) Péréquation directe'!C111</f>
        <v>-4.6379389639792983</v>
      </c>
      <c r="F100" s="214">
        <f>'I) Dépenses thématiques'!P100</f>
        <v>-6.0388405454178127</v>
      </c>
      <c r="G100" s="167">
        <f t="shared" si="7"/>
        <v>5.7625665241473421</v>
      </c>
      <c r="H100" s="138">
        <f t="shared" si="4"/>
        <v>0</v>
      </c>
      <c r="I100" s="183">
        <f t="shared" si="6"/>
        <v>0</v>
      </c>
      <c r="J100" s="43">
        <f t="shared" si="5"/>
        <v>5.7625665241473421</v>
      </c>
    </row>
    <row r="101" spans="1:10" x14ac:dyDescent="0.25">
      <c r="A101" s="61">
        <f>'A) Base RI'!A103</f>
        <v>5559</v>
      </c>
      <c r="B101" s="124" t="str">
        <f>'A) Base RI'!B103</f>
        <v>Giez</v>
      </c>
      <c r="C101" s="135">
        <f>'B) D RI'!U103</f>
        <v>17998.483636363639</v>
      </c>
      <c r="D101" s="219">
        <f>'E) Fact soc'!G107/C101</f>
        <v>14.893369458258681</v>
      </c>
      <c r="E101" s="219">
        <f>'H) Péréquation directe'!I112/'H) Péréquation directe'!C112</f>
        <v>16.35094577948886</v>
      </c>
      <c r="F101" s="214">
        <f>'I) Dépenses thématiques'!P101</f>
        <v>0</v>
      </c>
      <c r="G101" s="167">
        <f t="shared" si="7"/>
        <v>31.244315237747543</v>
      </c>
      <c r="H101" s="138">
        <f t="shared" si="4"/>
        <v>0</v>
      </c>
      <c r="I101" s="183">
        <f t="shared" si="6"/>
        <v>0</v>
      </c>
      <c r="J101" s="43">
        <f t="shared" si="5"/>
        <v>31.244315237747543</v>
      </c>
    </row>
    <row r="102" spans="1:10" x14ac:dyDescent="0.25">
      <c r="A102" s="61">
        <f>'A) Base RI'!A104</f>
        <v>5560</v>
      </c>
      <c r="B102" s="124" t="str">
        <f>'A) Base RI'!B104</f>
        <v>Grandevent</v>
      </c>
      <c r="C102" s="135">
        <f>'B) D RI'!U104</f>
        <v>6396.1444117647052</v>
      </c>
      <c r="D102" s="219">
        <f>'E) Fact soc'!G108/C102</f>
        <v>16.810718522676623</v>
      </c>
      <c r="E102" s="219">
        <f>'H) Péréquation directe'!I113/'H) Péréquation directe'!C113</f>
        <v>4.1889995835037546</v>
      </c>
      <c r="F102" s="214">
        <f>'I) Dépenses thématiques'!P102</f>
        <v>-1.9994345653512973</v>
      </c>
      <c r="G102" s="167">
        <f t="shared" si="7"/>
        <v>19.000283540829081</v>
      </c>
      <c r="H102" s="138">
        <f t="shared" si="4"/>
        <v>0</v>
      </c>
      <c r="I102" s="183">
        <f t="shared" si="6"/>
        <v>0</v>
      </c>
      <c r="J102" s="43">
        <f t="shared" si="5"/>
        <v>19.000283540829081</v>
      </c>
    </row>
    <row r="103" spans="1:10" x14ac:dyDescent="0.25">
      <c r="A103" s="61">
        <f>'A) Base RI'!A105</f>
        <v>5561</v>
      </c>
      <c r="B103" s="124" t="str">
        <f>'A) Base RI'!B105</f>
        <v>Grandson</v>
      </c>
      <c r="C103" s="135">
        <f>'B) D RI'!U105</f>
        <v>106507.86840579711</v>
      </c>
      <c r="D103" s="219">
        <f>'E) Fact soc'!G109/C103</f>
        <v>18.588482258664584</v>
      </c>
      <c r="E103" s="219">
        <f>'H) Péréquation directe'!I114/'H) Péréquation directe'!C114</f>
        <v>2.9646678531911728</v>
      </c>
      <c r="F103" s="214">
        <f>'I) Dépenses thématiques'!P103</f>
        <v>-6.8007093128148917</v>
      </c>
      <c r="G103" s="167">
        <f t="shared" si="7"/>
        <v>14.752440799040865</v>
      </c>
      <c r="H103" s="138">
        <f t="shared" si="4"/>
        <v>0</v>
      </c>
      <c r="I103" s="183">
        <f t="shared" si="6"/>
        <v>0</v>
      </c>
      <c r="J103" s="43">
        <f t="shared" si="5"/>
        <v>14.752440799040865</v>
      </c>
    </row>
    <row r="104" spans="1:10" x14ac:dyDescent="0.25">
      <c r="A104" s="61">
        <f>'A) Base RI'!A106</f>
        <v>5562</v>
      </c>
      <c r="B104" s="124" t="str">
        <f>'A) Base RI'!B106</f>
        <v>Mauborget</v>
      </c>
      <c r="C104" s="135">
        <f>'B) D RI'!U106</f>
        <v>3916.9319285714282</v>
      </c>
      <c r="D104" s="219">
        <f>'E) Fact soc'!G110/C104</f>
        <v>15.596061913530697</v>
      </c>
      <c r="E104" s="219">
        <f>'H) Péréquation directe'!I115/'H) Péréquation directe'!C115</f>
        <v>9.1422572651324874</v>
      </c>
      <c r="F104" s="214">
        <f>'I) Dépenses thématiques'!P104</f>
        <v>-3.6990765305339068</v>
      </c>
      <c r="G104" s="167">
        <f t="shared" si="7"/>
        <v>21.039242648129274</v>
      </c>
      <c r="H104" s="138">
        <f t="shared" si="4"/>
        <v>0</v>
      </c>
      <c r="I104" s="183">
        <f t="shared" si="6"/>
        <v>0</v>
      </c>
      <c r="J104" s="43">
        <f t="shared" si="5"/>
        <v>21.039242648129274</v>
      </c>
    </row>
    <row r="105" spans="1:10" x14ac:dyDescent="0.25">
      <c r="A105" s="61">
        <f>'A) Base RI'!A107</f>
        <v>5563</v>
      </c>
      <c r="B105" s="124" t="str">
        <f>'A) Base RI'!B107</f>
        <v>Mutrux</v>
      </c>
      <c r="C105" s="135">
        <f>'B) D RI'!U107</f>
        <v>4102.2142675159239</v>
      </c>
      <c r="D105" s="219">
        <f>'E) Fact soc'!G111/C105</f>
        <v>15.902472816479907</v>
      </c>
      <c r="E105" s="219">
        <f>'H) Péréquation directe'!I116/'H) Péréquation directe'!C116</f>
        <v>-0.57183471741775072</v>
      </c>
      <c r="F105" s="214">
        <f>'I) Dépenses thématiques'!P105</f>
        <v>-4.7600129847541375</v>
      </c>
      <c r="G105" s="167">
        <f t="shared" si="7"/>
        <v>10.570625114308019</v>
      </c>
      <c r="H105" s="138">
        <f t="shared" si="4"/>
        <v>0</v>
      </c>
      <c r="I105" s="183">
        <f t="shared" si="6"/>
        <v>0</v>
      </c>
      <c r="J105" s="43">
        <f t="shared" si="5"/>
        <v>10.570625114308019</v>
      </c>
    </row>
    <row r="106" spans="1:10" x14ac:dyDescent="0.25">
      <c r="A106" s="61">
        <f>'A) Base RI'!A108</f>
        <v>5564</v>
      </c>
      <c r="B106" s="124" t="str">
        <f>'A) Base RI'!B108</f>
        <v>Novalles</v>
      </c>
      <c r="C106" s="135">
        <f>'B) D RI'!U108</f>
        <v>2120.1975328947365</v>
      </c>
      <c r="D106" s="219">
        <f>'E) Fact soc'!G112/C106</f>
        <v>14.370166215682488</v>
      </c>
      <c r="E106" s="219">
        <f>'H) Péréquation directe'!I117/'H) Péréquation directe'!C117</f>
        <v>-11.516283148697028</v>
      </c>
      <c r="F106" s="214">
        <f>'I) Dépenses thématiques'!P106</f>
        <v>-3.131139839633585</v>
      </c>
      <c r="G106" s="167">
        <f t="shared" si="7"/>
        <v>-0.27725677264812454</v>
      </c>
      <c r="H106" s="138">
        <f t="shared" si="4"/>
        <v>0</v>
      </c>
      <c r="I106" s="183">
        <f t="shared" si="6"/>
        <v>0</v>
      </c>
      <c r="J106" s="43">
        <f t="shared" si="5"/>
        <v>-0.27725677264812454</v>
      </c>
    </row>
    <row r="107" spans="1:10" x14ac:dyDescent="0.25">
      <c r="A107" s="61">
        <f>'A) Base RI'!A109</f>
        <v>5565</v>
      </c>
      <c r="B107" s="124" t="str">
        <f>'A) Base RI'!B109</f>
        <v>Onnens</v>
      </c>
      <c r="C107" s="135">
        <f>'B) D RI'!U109</f>
        <v>22453.434769230771</v>
      </c>
      <c r="D107" s="219">
        <f>'E) Fact soc'!G113/C107</f>
        <v>16.250687634074218</v>
      </c>
      <c r="E107" s="219">
        <f>'H) Péréquation directe'!I118/'H) Péréquation directe'!C118</f>
        <v>16.316929493170576</v>
      </c>
      <c r="F107" s="214">
        <f>'I) Dépenses thématiques'!P107</f>
        <v>-0.42891562450853188</v>
      </c>
      <c r="G107" s="167">
        <f t="shared" si="7"/>
        <v>32.138701502736261</v>
      </c>
      <c r="H107" s="138">
        <f t="shared" si="4"/>
        <v>0</v>
      </c>
      <c r="I107" s="183">
        <f t="shared" si="6"/>
        <v>0</v>
      </c>
      <c r="J107" s="43">
        <f t="shared" si="5"/>
        <v>32.138701502736261</v>
      </c>
    </row>
    <row r="108" spans="1:10" x14ac:dyDescent="0.25">
      <c r="A108" s="61">
        <f>'A) Base RI'!A110</f>
        <v>5566</v>
      </c>
      <c r="B108" s="124" t="str">
        <f>'A) Base RI'!B110</f>
        <v>Provence</v>
      </c>
      <c r="C108" s="135">
        <f>'B) D RI'!U110</f>
        <v>7814.1319753086409</v>
      </c>
      <c r="D108" s="219">
        <f>'E) Fact soc'!G114/C108</f>
        <v>16.978575577644275</v>
      </c>
      <c r="E108" s="219">
        <f>'H) Péréquation directe'!I119/'H) Péréquation directe'!C119</f>
        <v>-16.384006521305576</v>
      </c>
      <c r="F108" s="214">
        <f>'I) Dépenses thématiques'!P108</f>
        <v>-25.098358488331783</v>
      </c>
      <c r="G108" s="167">
        <f t="shared" si="7"/>
        <v>-24.503789431993084</v>
      </c>
      <c r="H108" s="138">
        <f t="shared" si="4"/>
        <v>0</v>
      </c>
      <c r="I108" s="183">
        <f t="shared" si="6"/>
        <v>0</v>
      </c>
      <c r="J108" s="43">
        <f t="shared" si="5"/>
        <v>-24.503789431993084</v>
      </c>
    </row>
    <row r="109" spans="1:10" x14ac:dyDescent="0.25">
      <c r="A109" s="61">
        <f>'A) Base RI'!A111</f>
        <v>5568</v>
      </c>
      <c r="B109" s="124" t="str">
        <f>'A) Base RI'!B111</f>
        <v>Sainte-Croix</v>
      </c>
      <c r="C109" s="135">
        <f>'B) D RI'!U111</f>
        <v>93435.029714285716</v>
      </c>
      <c r="D109" s="219">
        <f>'E) Fact soc'!G115/C109</f>
        <v>24.230837987472302</v>
      </c>
      <c r="E109" s="219">
        <f>'H) Péréquation directe'!I120/'H) Péréquation directe'!C120</f>
        <v>-23.179339321309172</v>
      </c>
      <c r="F109" s="214">
        <f>'I) Dépenses thématiques'!P109</f>
        <v>-12.114166496058921</v>
      </c>
      <c r="G109" s="167">
        <f t="shared" si="7"/>
        <v>-11.062667829895791</v>
      </c>
      <c r="H109" s="138">
        <f t="shared" si="4"/>
        <v>0</v>
      </c>
      <c r="I109" s="183">
        <f t="shared" si="6"/>
        <v>0</v>
      </c>
      <c r="J109" s="43">
        <f t="shared" si="5"/>
        <v>-11.062667829895791</v>
      </c>
    </row>
    <row r="110" spans="1:10" x14ac:dyDescent="0.25">
      <c r="A110" s="61">
        <f>'A) Base RI'!A112</f>
        <v>5571</v>
      </c>
      <c r="B110" s="124" t="str">
        <f>'A) Base RI'!B112</f>
        <v>Tévenon</v>
      </c>
      <c r="C110" s="135">
        <f>'B) D RI'!U112</f>
        <v>20766.182465753427</v>
      </c>
      <c r="D110" s="219">
        <f>'E) Fact soc'!G116/C110</f>
        <v>17.555308940354209</v>
      </c>
      <c r="E110" s="219">
        <f>'H) Péréquation directe'!I121/'H) Péréquation directe'!C121</f>
        <v>-0.29227466153267367</v>
      </c>
      <c r="F110" s="214">
        <f>'I) Dépenses thématiques'!P110</f>
        <v>-2.8957806776598507</v>
      </c>
      <c r="G110" s="167">
        <f t="shared" si="7"/>
        <v>14.367253601161686</v>
      </c>
      <c r="H110" s="138">
        <f t="shared" si="4"/>
        <v>0</v>
      </c>
      <c r="I110" s="183">
        <f t="shared" si="6"/>
        <v>0</v>
      </c>
      <c r="J110" s="43">
        <f t="shared" si="5"/>
        <v>14.367253601161686</v>
      </c>
    </row>
    <row r="111" spans="1:10" x14ac:dyDescent="0.25">
      <c r="A111" s="61">
        <f>'A) Base RI'!A113</f>
        <v>5581</v>
      </c>
      <c r="B111" s="124" t="str">
        <f>'A) Base RI'!B113</f>
        <v>Belmont-sur-Lausanne</v>
      </c>
      <c r="C111" s="135">
        <f>'B) D RI'!U113</f>
        <v>173034.35179856114</v>
      </c>
      <c r="D111" s="219">
        <f>'E) Fact soc'!G117/C111</f>
        <v>16.710488936522523</v>
      </c>
      <c r="E111" s="219">
        <f>'H) Péréquation directe'!I122/'H) Péréquation directe'!C122</f>
        <v>12.191610234529163</v>
      </c>
      <c r="F111" s="214">
        <f>'I) Dépenses thématiques'!P111</f>
        <v>-3.607512513798008</v>
      </c>
      <c r="G111" s="167">
        <f t="shared" si="7"/>
        <v>25.294586657253681</v>
      </c>
      <c r="H111" s="138">
        <f t="shared" si="4"/>
        <v>0</v>
      </c>
      <c r="I111" s="183">
        <f t="shared" si="6"/>
        <v>0</v>
      </c>
      <c r="J111" s="43">
        <f t="shared" si="5"/>
        <v>25.294586657253681</v>
      </c>
    </row>
    <row r="112" spans="1:10" x14ac:dyDescent="0.25">
      <c r="A112" s="61">
        <f>'A) Base RI'!A114</f>
        <v>5582</v>
      </c>
      <c r="B112" s="124" t="str">
        <f>'A) Base RI'!B114</f>
        <v>Cheseaux-sur-Lausanne</v>
      </c>
      <c r="C112" s="135">
        <f>'B) D RI'!U114</f>
        <v>165346.44872483221</v>
      </c>
      <c r="D112" s="219">
        <f>'E) Fact soc'!G118/C112</f>
        <v>17.76672437783947</v>
      </c>
      <c r="E112" s="219">
        <f>'H) Péréquation directe'!I123/'H) Péréquation directe'!C123</f>
        <v>6.8675052732821795</v>
      </c>
      <c r="F112" s="214">
        <f>'I) Dépenses thématiques'!P112</f>
        <v>-1.2982763865934455</v>
      </c>
      <c r="G112" s="167">
        <f t="shared" si="7"/>
        <v>23.335953264528204</v>
      </c>
      <c r="H112" s="138">
        <f t="shared" si="4"/>
        <v>0</v>
      </c>
      <c r="I112" s="183">
        <f t="shared" si="6"/>
        <v>0</v>
      </c>
      <c r="J112" s="43">
        <f t="shared" si="5"/>
        <v>23.335953264528204</v>
      </c>
    </row>
    <row r="113" spans="1:10" x14ac:dyDescent="0.25">
      <c r="A113" s="61">
        <f>'A) Base RI'!A115</f>
        <v>5583</v>
      </c>
      <c r="B113" s="124" t="str">
        <f>'A) Base RI'!B115</f>
        <v>Crissier</v>
      </c>
      <c r="C113" s="135">
        <f>'B) D RI'!U115</f>
        <v>323925.7196923077</v>
      </c>
      <c r="D113" s="219">
        <f>'E) Fact soc'!G119/C113</f>
        <v>17.924755339058429</v>
      </c>
      <c r="E113" s="219">
        <f>'H) Péréquation directe'!I124/'H) Péréquation directe'!C124</f>
        <v>8.0654413609477658</v>
      </c>
      <c r="F113" s="214">
        <f>'I) Dépenses thématiques'!P113</f>
        <v>-5.6240526855895689</v>
      </c>
      <c r="G113" s="167">
        <f t="shared" si="7"/>
        <v>20.366144014416626</v>
      </c>
      <c r="H113" s="138">
        <f t="shared" si="4"/>
        <v>0</v>
      </c>
      <c r="I113" s="183">
        <f t="shared" si="6"/>
        <v>0</v>
      </c>
      <c r="J113" s="43">
        <f t="shared" si="5"/>
        <v>20.366144014416626</v>
      </c>
    </row>
    <row r="114" spans="1:10" x14ac:dyDescent="0.25">
      <c r="A114" s="61">
        <f>'A) Base RI'!A116</f>
        <v>5584</v>
      </c>
      <c r="B114" s="124" t="str">
        <f>'A) Base RI'!B116</f>
        <v>Epalinges</v>
      </c>
      <c r="C114" s="135">
        <f>'B) D RI'!U116</f>
        <v>455923.60696969699</v>
      </c>
      <c r="D114" s="219">
        <f>'E) Fact soc'!G120/C114</f>
        <v>18.034021266098918</v>
      </c>
      <c r="E114" s="219">
        <f>'H) Péréquation directe'!I125/'H) Péréquation directe'!C125</f>
        <v>9.0296683161962381</v>
      </c>
      <c r="F114" s="214">
        <f>'I) Dépenses thématiques'!P114</f>
        <v>-5.7351526023243871</v>
      </c>
      <c r="G114" s="167">
        <f t="shared" si="7"/>
        <v>21.328536979970767</v>
      </c>
      <c r="H114" s="138">
        <f t="shared" ref="H114:H168" si="8">IF(G114&gt;H$4,H$4-G114,0)</f>
        <v>0</v>
      </c>
      <c r="I114" s="183">
        <f t="shared" si="6"/>
        <v>0</v>
      </c>
      <c r="J114" s="43">
        <f t="shared" ref="J114:J168" si="9">G114+H114</f>
        <v>21.328536979970767</v>
      </c>
    </row>
    <row r="115" spans="1:10" x14ac:dyDescent="0.25">
      <c r="A115" s="61">
        <f>'A) Base RI'!A117</f>
        <v>5585</v>
      </c>
      <c r="B115" s="124" t="str">
        <f>'A) Base RI'!B117</f>
        <v>Jouxtens-Mézery</v>
      </c>
      <c r="C115" s="135">
        <f>'B) D RI'!U117</f>
        <v>159177.88018867921</v>
      </c>
      <c r="D115" s="219">
        <f>'E) Fact soc'!G121/C115</f>
        <v>25.501350435109977</v>
      </c>
      <c r="E115" s="219">
        <f>'H) Péréquation directe'!I126/'H) Péréquation directe'!C126</f>
        <v>16.502757707931025</v>
      </c>
      <c r="F115" s="214">
        <f>'I) Dépenses thématiques'!P115</f>
        <v>0</v>
      </c>
      <c r="G115" s="167">
        <f t="shared" si="7"/>
        <v>42.004108143041002</v>
      </c>
      <c r="H115" s="138">
        <f t="shared" si="8"/>
        <v>0</v>
      </c>
      <c r="I115" s="183">
        <f t="shared" si="6"/>
        <v>0</v>
      </c>
      <c r="J115" s="43">
        <f t="shared" si="9"/>
        <v>42.004108143041002</v>
      </c>
    </row>
    <row r="116" spans="1:10" x14ac:dyDescent="0.25">
      <c r="A116" s="61">
        <f>'A) Base RI'!A118</f>
        <v>5586</v>
      </c>
      <c r="B116" s="124" t="str">
        <f>'A) Base RI'!B118</f>
        <v>Lausanne</v>
      </c>
      <c r="C116" s="135">
        <f>'B) D RI'!U118</f>
        <v>5897479.10464135</v>
      </c>
      <c r="D116" s="219">
        <f>'E) Fact soc'!G122/C116</f>
        <v>17.294699114226582</v>
      </c>
      <c r="E116" s="219">
        <f>'H) Péréquation directe'!I127/'H) Péréquation directe'!C127</f>
        <v>-4.2851377029413014</v>
      </c>
      <c r="F116" s="214">
        <f>'I) Dépenses thématiques'!P116</f>
        <v>-7.1986506430597199</v>
      </c>
      <c r="G116" s="167">
        <f t="shared" si="7"/>
        <v>5.8109107682255594</v>
      </c>
      <c r="H116" s="138">
        <f t="shared" si="8"/>
        <v>0</v>
      </c>
      <c r="I116" s="183">
        <f t="shared" ref="I116:I169" si="10">H116*C116</f>
        <v>0</v>
      </c>
      <c r="J116" s="43">
        <f t="shared" si="9"/>
        <v>5.8109107682255594</v>
      </c>
    </row>
    <row r="117" spans="1:10" x14ac:dyDescent="0.25">
      <c r="A117" s="61">
        <f>'A) Base RI'!A119</f>
        <v>5587</v>
      </c>
      <c r="B117" s="124" t="str">
        <f>'A) Base RI'!B119</f>
        <v>Le Mont-sur-Lausanne</v>
      </c>
      <c r="C117" s="135">
        <f>'B) D RI'!U119</f>
        <v>380449.00348888891</v>
      </c>
      <c r="D117" s="219">
        <f>'E) Fact soc'!G123/C117</f>
        <v>18.650265545861327</v>
      </c>
      <c r="E117" s="219">
        <f>'H) Péréquation directe'!I128/'H) Péréquation directe'!C128</f>
        <v>10.26131618063306</v>
      </c>
      <c r="F117" s="214">
        <f>'I) Dépenses thématiques'!P117</f>
        <v>-5.7039742783893024</v>
      </c>
      <c r="G117" s="167">
        <f t="shared" ref="G117:G170" si="11">SUM(D117:F117)</f>
        <v>23.207607448105083</v>
      </c>
      <c r="H117" s="138">
        <f t="shared" si="8"/>
        <v>0</v>
      </c>
      <c r="I117" s="183">
        <f t="shared" si="10"/>
        <v>0</v>
      </c>
      <c r="J117" s="43">
        <f t="shared" si="9"/>
        <v>23.207607448105083</v>
      </c>
    </row>
    <row r="118" spans="1:10" x14ac:dyDescent="0.25">
      <c r="A118" s="61">
        <f>'A) Base RI'!A120</f>
        <v>5588</v>
      </c>
      <c r="B118" s="124" t="str">
        <f>'A) Base RI'!B120</f>
        <v>Paudex</v>
      </c>
      <c r="C118" s="135">
        <f>'B) D RI'!U120</f>
        <v>152789.79231126595</v>
      </c>
      <c r="D118" s="219">
        <f>'E) Fact soc'!G124/C118</f>
        <v>24.504519044213577</v>
      </c>
      <c r="E118" s="219">
        <f>'H) Péréquation directe'!I129/'H) Péréquation directe'!C129</f>
        <v>16.273576776537485</v>
      </c>
      <c r="F118" s="214">
        <f>'I) Dépenses thématiques'!P118</f>
        <v>0</v>
      </c>
      <c r="G118" s="167">
        <f t="shared" si="11"/>
        <v>40.778095820751062</v>
      </c>
      <c r="H118" s="138">
        <f t="shared" si="8"/>
        <v>0</v>
      </c>
      <c r="I118" s="183">
        <f t="shared" si="10"/>
        <v>0</v>
      </c>
      <c r="J118" s="43">
        <f t="shared" si="9"/>
        <v>40.778095820751062</v>
      </c>
    </row>
    <row r="119" spans="1:10" x14ac:dyDescent="0.25">
      <c r="A119" s="61">
        <f>'A) Base RI'!A121</f>
        <v>5589</v>
      </c>
      <c r="B119" s="124" t="str">
        <f>'A) Base RI'!B121</f>
        <v>Prilly</v>
      </c>
      <c r="C119" s="135">
        <f>'B) D RI'!U121</f>
        <v>462414.97306122456</v>
      </c>
      <c r="D119" s="219">
        <f>'E) Fact soc'!G125/C119</f>
        <v>18.137865536632727</v>
      </c>
      <c r="E119" s="219">
        <f>'H) Péréquation directe'!I130/'H) Péréquation directe'!C130</f>
        <v>2.0415187692044516</v>
      </c>
      <c r="F119" s="214">
        <f>'I) Dépenses thématiques'!P119</f>
        <v>-5.6559323543185549</v>
      </c>
      <c r="G119" s="167">
        <f t="shared" si="11"/>
        <v>14.523451951518624</v>
      </c>
      <c r="H119" s="138">
        <f t="shared" si="8"/>
        <v>0</v>
      </c>
      <c r="I119" s="183">
        <f t="shared" si="10"/>
        <v>0</v>
      </c>
      <c r="J119" s="43">
        <f t="shared" si="9"/>
        <v>14.523451951518624</v>
      </c>
    </row>
    <row r="120" spans="1:10" x14ac:dyDescent="0.25">
      <c r="A120" s="61">
        <f>'A) Base RI'!A122</f>
        <v>5590</v>
      </c>
      <c r="B120" s="124" t="str">
        <f>'A) Base RI'!B122</f>
        <v>Pully</v>
      </c>
      <c r="C120" s="135">
        <f>'B) D RI'!U122</f>
        <v>1366683.426371882</v>
      </c>
      <c r="D120" s="219">
        <f>'E) Fact soc'!G126/C120</f>
        <v>23.968291355149219</v>
      </c>
      <c r="E120" s="219">
        <f>'H) Péréquation directe'!I131/'H) Péréquation directe'!C131</f>
        <v>8.1257615843325208</v>
      </c>
      <c r="F120" s="214">
        <f>'I) Dépenses thématiques'!P120</f>
        <v>-1.8249750400823332</v>
      </c>
      <c r="G120" s="167">
        <f t="shared" si="11"/>
        <v>30.269077899399409</v>
      </c>
      <c r="H120" s="138">
        <f t="shared" si="8"/>
        <v>0</v>
      </c>
      <c r="I120" s="183">
        <f t="shared" si="10"/>
        <v>0</v>
      </c>
      <c r="J120" s="43">
        <f t="shared" si="9"/>
        <v>30.269077899399409</v>
      </c>
    </row>
    <row r="121" spans="1:10" x14ac:dyDescent="0.25">
      <c r="A121" s="61">
        <f>'A) Base RI'!A123</f>
        <v>5591</v>
      </c>
      <c r="B121" s="124" t="str">
        <f>'A) Base RI'!B123</f>
        <v>Renens</v>
      </c>
      <c r="C121" s="135">
        <f>'B) D RI'!U123</f>
        <v>546895.28569608741</v>
      </c>
      <c r="D121" s="219">
        <f>'E) Fact soc'!G127/C121</f>
        <v>16.510195057785879</v>
      </c>
      <c r="E121" s="219">
        <f>'H) Péréquation directe'!I132/'H) Péréquation directe'!C132</f>
        <v>-24.649861058954833</v>
      </c>
      <c r="F121" s="214">
        <f>'I) Dépenses thématiques'!P121</f>
        <v>-9.14786251866858</v>
      </c>
      <c r="G121" s="167">
        <f t="shared" si="11"/>
        <v>-17.287528519837537</v>
      </c>
      <c r="H121" s="138">
        <f t="shared" si="8"/>
        <v>0</v>
      </c>
      <c r="I121" s="183">
        <f t="shared" si="10"/>
        <v>0</v>
      </c>
      <c r="J121" s="43">
        <f t="shared" si="9"/>
        <v>-17.287528519837537</v>
      </c>
    </row>
    <row r="122" spans="1:10" x14ac:dyDescent="0.25">
      <c r="A122" s="61">
        <f>'A) Base RI'!A124</f>
        <v>5592</v>
      </c>
      <c r="B122" s="124" t="str">
        <f>'A) Base RI'!B124</f>
        <v>Romanel-sur-Lausanne</v>
      </c>
      <c r="C122" s="135">
        <f>'B) D RI'!U124</f>
        <v>110273.83828571429</v>
      </c>
      <c r="D122" s="219">
        <f>'E) Fact soc'!G128/C122</f>
        <v>18.87698793990992</v>
      </c>
      <c r="E122" s="219">
        <f>'H) Péréquation directe'!I133/'H) Péréquation directe'!C133</f>
        <v>3.3866120019957435</v>
      </c>
      <c r="F122" s="214">
        <f>'I) Dépenses thématiques'!P122</f>
        <v>-1.7052925025763677</v>
      </c>
      <c r="G122" s="167">
        <f t="shared" si="11"/>
        <v>20.558307439329297</v>
      </c>
      <c r="H122" s="138">
        <f t="shared" si="8"/>
        <v>0</v>
      </c>
      <c r="I122" s="183">
        <f t="shared" si="10"/>
        <v>0</v>
      </c>
      <c r="J122" s="43">
        <f t="shared" si="9"/>
        <v>20.558307439329297</v>
      </c>
    </row>
    <row r="123" spans="1:10" x14ac:dyDescent="0.25">
      <c r="A123" s="61">
        <f>'A) Base RI'!A125</f>
        <v>5601</v>
      </c>
      <c r="B123" s="124" t="str">
        <f>'A) Base RI'!B125</f>
        <v>Chexbres</v>
      </c>
      <c r="C123" s="135">
        <f>'B) D RI'!U125</f>
        <v>104474.96078125002</v>
      </c>
      <c r="D123" s="219">
        <f>'E) Fact soc'!G129/C123</f>
        <v>17.49040955018398</v>
      </c>
      <c r="E123" s="219">
        <f>'H) Péréquation directe'!I134/'H) Péréquation directe'!C134</f>
        <v>13.503604669164243</v>
      </c>
      <c r="F123" s="214">
        <f>'I) Dépenses thématiques'!P123</f>
        <v>-1.436950165105634</v>
      </c>
      <c r="G123" s="167">
        <f t="shared" si="11"/>
        <v>29.557064054242588</v>
      </c>
      <c r="H123" s="138">
        <f t="shared" si="8"/>
        <v>0</v>
      </c>
      <c r="I123" s="183">
        <f t="shared" si="10"/>
        <v>0</v>
      </c>
      <c r="J123" s="43">
        <f t="shared" si="9"/>
        <v>29.557064054242588</v>
      </c>
    </row>
    <row r="124" spans="1:10" x14ac:dyDescent="0.25">
      <c r="A124" s="61">
        <f>'A) Base RI'!A126</f>
        <v>5604</v>
      </c>
      <c r="B124" s="124" t="str">
        <f>'A) Base RI'!B126</f>
        <v>Forel (Lavaux)</v>
      </c>
      <c r="C124" s="135">
        <f>'B) D RI'!U126</f>
        <v>65514.699852941172</v>
      </c>
      <c r="D124" s="219">
        <f>'E) Fact soc'!G130/C124</f>
        <v>16.524463118771543</v>
      </c>
      <c r="E124" s="219">
        <f>'H) Péréquation directe'!I135/'H) Péréquation directe'!C135</f>
        <v>4.0990694329165169</v>
      </c>
      <c r="F124" s="214">
        <f>'I) Dépenses thématiques'!P124</f>
        <v>-4.4376504877184137</v>
      </c>
      <c r="G124" s="167">
        <f t="shared" si="11"/>
        <v>16.185882063969643</v>
      </c>
      <c r="H124" s="138">
        <f t="shared" si="8"/>
        <v>0</v>
      </c>
      <c r="I124" s="183">
        <f t="shared" si="10"/>
        <v>0</v>
      </c>
      <c r="J124" s="43">
        <f t="shared" si="9"/>
        <v>16.185882063969643</v>
      </c>
    </row>
    <row r="125" spans="1:10" x14ac:dyDescent="0.25">
      <c r="A125" s="61">
        <f>'A) Base RI'!A127</f>
        <v>5606</v>
      </c>
      <c r="B125" s="124" t="str">
        <f>'A) Base RI'!B127</f>
        <v>Lutry</v>
      </c>
      <c r="C125" s="135">
        <f>'B) D RI'!U127</f>
        <v>742470.65823979594</v>
      </c>
      <c r="D125" s="219">
        <f>'E) Fact soc'!G131/C125</f>
        <v>24.054142922518189</v>
      </c>
      <c r="E125" s="219">
        <f>'H) Péréquation directe'!I136/'H) Péréquation directe'!C136</f>
        <v>11.256699206778583</v>
      </c>
      <c r="F125" s="214">
        <f>'I) Dépenses thématiques'!P125</f>
        <v>-2.7092922556067123</v>
      </c>
      <c r="G125" s="167">
        <f t="shared" si="11"/>
        <v>32.601549873690061</v>
      </c>
      <c r="H125" s="138">
        <f t="shared" si="8"/>
        <v>0</v>
      </c>
      <c r="I125" s="183">
        <f t="shared" si="10"/>
        <v>0</v>
      </c>
      <c r="J125" s="43">
        <f t="shared" si="9"/>
        <v>32.601549873690061</v>
      </c>
    </row>
    <row r="126" spans="1:10" x14ac:dyDescent="0.25">
      <c r="A126" s="61">
        <f>'A) Base RI'!A128</f>
        <v>5607</v>
      </c>
      <c r="B126" s="124" t="str">
        <f>'A) Base RI'!B128</f>
        <v>Puidoux</v>
      </c>
      <c r="C126" s="135">
        <f>'B) D RI'!U128</f>
        <v>100862.46201406649</v>
      </c>
      <c r="D126" s="219">
        <f>'E) Fact soc'!G132/C126</f>
        <v>16.928092374217258</v>
      </c>
      <c r="E126" s="219">
        <f>'H) Péréquation directe'!I137/'H) Péréquation directe'!C137</f>
        <v>6.7842073171151922</v>
      </c>
      <c r="F126" s="214">
        <f>'I) Dépenses thématiques'!P126</f>
        <v>-5.6288500092726723</v>
      </c>
      <c r="G126" s="167">
        <f t="shared" si="11"/>
        <v>18.083449682059779</v>
      </c>
      <c r="H126" s="138">
        <f t="shared" si="8"/>
        <v>0</v>
      </c>
      <c r="I126" s="183">
        <f t="shared" si="10"/>
        <v>0</v>
      </c>
      <c r="J126" s="43">
        <f t="shared" si="9"/>
        <v>18.083449682059779</v>
      </c>
    </row>
    <row r="127" spans="1:10" x14ac:dyDescent="0.25">
      <c r="A127" s="61">
        <f>'A) Base RI'!A129</f>
        <v>5609</v>
      </c>
      <c r="B127" s="124" t="str">
        <f>'A) Base RI'!B129</f>
        <v>Rivaz</v>
      </c>
      <c r="C127" s="135">
        <f>'B) D RI'!U129</f>
        <v>16122.244409448818</v>
      </c>
      <c r="D127" s="219">
        <f>'E) Fact soc'!G133/C127</f>
        <v>17.554550703112248</v>
      </c>
      <c r="E127" s="219">
        <f>'H) Péréquation directe'!I138/'H) Péréquation directe'!C138</f>
        <v>16.28002002820957</v>
      </c>
      <c r="F127" s="214">
        <f>'I) Dépenses thématiques'!P127</f>
        <v>-1.6872156022030276</v>
      </c>
      <c r="G127" s="167">
        <f t="shared" si="11"/>
        <v>32.147355129118793</v>
      </c>
      <c r="H127" s="138">
        <f t="shared" si="8"/>
        <v>0</v>
      </c>
      <c r="I127" s="183">
        <f t="shared" si="10"/>
        <v>0</v>
      </c>
      <c r="J127" s="43">
        <f t="shared" si="9"/>
        <v>32.147355129118793</v>
      </c>
    </row>
    <row r="128" spans="1:10" x14ac:dyDescent="0.25">
      <c r="A128" s="61">
        <f>'A) Base RI'!A130</f>
        <v>5610</v>
      </c>
      <c r="B128" s="124" t="str">
        <f>'A) Base RI'!B130</f>
        <v>St-Saphorin (Lavaux)</v>
      </c>
      <c r="C128" s="135">
        <f>'B) D RI'!U130</f>
        <v>20974.487096774192</v>
      </c>
      <c r="D128" s="219">
        <f>'E) Fact soc'!G134/C128</f>
        <v>15.607935457915486</v>
      </c>
      <c r="E128" s="219">
        <f>'H) Péréquation directe'!I139/'H) Péréquation directe'!C139</f>
        <v>16.682838108192652</v>
      </c>
      <c r="F128" s="214">
        <f>'I) Dépenses thématiques'!P128</f>
        <v>-2.0638628881884995</v>
      </c>
      <c r="G128" s="167">
        <f t="shared" si="11"/>
        <v>30.226910677919637</v>
      </c>
      <c r="H128" s="138">
        <f t="shared" si="8"/>
        <v>0</v>
      </c>
      <c r="I128" s="183">
        <f t="shared" si="10"/>
        <v>0</v>
      </c>
      <c r="J128" s="43">
        <f t="shared" si="9"/>
        <v>30.226910677919637</v>
      </c>
    </row>
    <row r="129" spans="1:10" x14ac:dyDescent="0.25">
      <c r="A129" s="61">
        <f>'A) Base RI'!A131</f>
        <v>5611</v>
      </c>
      <c r="B129" s="124" t="str">
        <f>'A) Base RI'!B131</f>
        <v>Savigny</v>
      </c>
      <c r="C129" s="135">
        <f>'B) D RI'!U131</f>
        <v>130312.40671641791</v>
      </c>
      <c r="D129" s="219">
        <f>'E) Fact soc'!G135/C129</f>
        <v>17.726185615674897</v>
      </c>
      <c r="E129" s="219">
        <f>'H) Péréquation directe'!I140/'H) Péréquation directe'!C140</f>
        <v>9.3653853493609454</v>
      </c>
      <c r="F129" s="214">
        <f>'I) Dépenses thématiques'!P129</f>
        <v>-4.139061092033276</v>
      </c>
      <c r="G129" s="167">
        <f t="shared" si="11"/>
        <v>22.952509873002565</v>
      </c>
      <c r="H129" s="138">
        <f t="shared" si="8"/>
        <v>0</v>
      </c>
      <c r="I129" s="183">
        <f t="shared" si="10"/>
        <v>0</v>
      </c>
      <c r="J129" s="43">
        <f t="shared" si="9"/>
        <v>22.952509873002565</v>
      </c>
    </row>
    <row r="130" spans="1:10" x14ac:dyDescent="0.25">
      <c r="A130" s="61">
        <f>'A) Base RI'!A132</f>
        <v>5613</v>
      </c>
      <c r="B130" s="124" t="str">
        <f>'A) Base RI'!B132</f>
        <v>Bourg-en-Lavaux</v>
      </c>
      <c r="C130" s="135">
        <f>'B) D RI'!U132</f>
        <v>295658.88923497271</v>
      </c>
      <c r="D130" s="219">
        <f>'E) Fact soc'!G136/C130</f>
        <v>19.245992627061355</v>
      </c>
      <c r="E130" s="219">
        <f>'H) Péréquation directe'!I141/'H) Péréquation directe'!C141</f>
        <v>11.910823812124885</v>
      </c>
      <c r="F130" s="214">
        <f>'I) Dépenses thématiques'!P130</f>
        <v>-0.82380222569120509</v>
      </c>
      <c r="G130" s="167">
        <f t="shared" si="11"/>
        <v>30.333014213495034</v>
      </c>
      <c r="H130" s="138">
        <f t="shared" si="8"/>
        <v>0</v>
      </c>
      <c r="I130" s="183">
        <f t="shared" si="10"/>
        <v>0</v>
      </c>
      <c r="J130" s="43">
        <f t="shared" si="9"/>
        <v>30.333014213495034</v>
      </c>
    </row>
    <row r="131" spans="1:10" x14ac:dyDescent="0.25">
      <c r="A131" s="61">
        <f>'A) Base RI'!A133</f>
        <v>5621</v>
      </c>
      <c r="B131" s="124" t="str">
        <f>'A) Base RI'!B133</f>
        <v>Aclens</v>
      </c>
      <c r="C131" s="135">
        <f>'B) D RI'!U133</f>
        <v>33759.339076246331</v>
      </c>
      <c r="D131" s="219">
        <f>'E) Fact soc'!G137/C131</f>
        <v>20.444481513691464</v>
      </c>
      <c r="E131" s="219">
        <f>'H) Péréquation directe'!I142/'H) Péréquation directe'!C142</f>
        <v>16.860185040075876</v>
      </c>
      <c r="F131" s="214">
        <f>'I) Dépenses thématiques'!P131</f>
        <v>0</v>
      </c>
      <c r="G131" s="167">
        <f t="shared" si="11"/>
        <v>37.304666553767341</v>
      </c>
      <c r="H131" s="138">
        <f t="shared" si="8"/>
        <v>0</v>
      </c>
      <c r="I131" s="183">
        <f t="shared" si="10"/>
        <v>0</v>
      </c>
      <c r="J131" s="43">
        <f t="shared" si="9"/>
        <v>37.304666553767341</v>
      </c>
    </row>
    <row r="132" spans="1:10" x14ac:dyDescent="0.25">
      <c r="A132" s="61">
        <f>'A) Base RI'!A134</f>
        <v>5622</v>
      </c>
      <c r="B132" s="124" t="str">
        <f>'A) Base RI'!B134</f>
        <v>Bremblens</v>
      </c>
      <c r="C132" s="135">
        <f>'B) D RI'!U134</f>
        <v>28126.288636363635</v>
      </c>
      <c r="D132" s="219">
        <f>'E) Fact soc'!G138/C132</f>
        <v>15.718553523644641</v>
      </c>
      <c r="E132" s="219">
        <f>'H) Péréquation directe'!I143/'H) Péréquation directe'!C143</f>
        <v>16.691494257938412</v>
      </c>
      <c r="F132" s="214">
        <f>'I) Dépenses thématiques'!P132</f>
        <v>-0.40382699332841415</v>
      </c>
      <c r="G132" s="167">
        <f t="shared" si="11"/>
        <v>32.006220788254637</v>
      </c>
      <c r="H132" s="138">
        <f t="shared" si="8"/>
        <v>0</v>
      </c>
      <c r="I132" s="183">
        <f t="shared" si="10"/>
        <v>0</v>
      </c>
      <c r="J132" s="43">
        <f t="shared" si="9"/>
        <v>32.006220788254637</v>
      </c>
    </row>
    <row r="133" spans="1:10" x14ac:dyDescent="0.25">
      <c r="A133" s="61">
        <f>'A) Base RI'!A135</f>
        <v>5623</v>
      </c>
      <c r="B133" s="124" t="str">
        <f>'A) Base RI'!B135</f>
        <v>Buchillon</v>
      </c>
      <c r="C133" s="135">
        <f>'B) D RI'!U135</f>
        <v>86045.549622641513</v>
      </c>
      <c r="D133" s="219">
        <f>'E) Fact soc'!G139/C133</f>
        <v>29.538741166166421</v>
      </c>
      <c r="E133" s="219">
        <f>'H) Péréquation directe'!I144/'H) Péréquation directe'!C144</f>
        <v>17.46440414206025</v>
      </c>
      <c r="F133" s="214">
        <f>'I) Dépenses thématiques'!P133</f>
        <v>0</v>
      </c>
      <c r="G133" s="167">
        <f t="shared" si="11"/>
        <v>47.003145308226671</v>
      </c>
      <c r="H133" s="138">
        <f t="shared" si="8"/>
        <v>0</v>
      </c>
      <c r="I133" s="183">
        <f t="shared" si="10"/>
        <v>0</v>
      </c>
      <c r="J133" s="43">
        <f t="shared" si="9"/>
        <v>47.003145308226671</v>
      </c>
    </row>
    <row r="134" spans="1:10" x14ac:dyDescent="0.25">
      <c r="A134" s="61">
        <f>'A) Base RI'!A136</f>
        <v>5624</v>
      </c>
      <c r="B134" s="124" t="str">
        <f>'A) Base RI'!B136</f>
        <v>Bussigny</v>
      </c>
      <c r="C134" s="135">
        <f>'B) D RI'!U136</f>
        <v>312174.83774193545</v>
      </c>
      <c r="D134" s="219">
        <f>'E) Fact soc'!G140/C134</f>
        <v>22.7620186114404</v>
      </c>
      <c r="E134" s="219">
        <f>'H) Péréquation directe'!I145/'H) Péréquation directe'!C145</f>
        <v>4.4033290141303736</v>
      </c>
      <c r="F134" s="214">
        <f>'I) Dépenses thématiques'!P134</f>
        <v>-3.0940919993389477</v>
      </c>
      <c r="G134" s="167">
        <f t="shared" si="11"/>
        <v>24.071255626231828</v>
      </c>
      <c r="H134" s="138">
        <f t="shared" si="8"/>
        <v>0</v>
      </c>
      <c r="I134" s="183">
        <f t="shared" si="10"/>
        <v>0</v>
      </c>
      <c r="J134" s="43">
        <f t="shared" si="9"/>
        <v>24.071255626231828</v>
      </c>
    </row>
    <row r="135" spans="1:10" x14ac:dyDescent="0.25">
      <c r="A135" s="61">
        <f>'A) Base RI'!A137</f>
        <v>5625</v>
      </c>
      <c r="B135" s="124" t="str">
        <f>'A) Base RI'!B137</f>
        <v>Bussy-Chardonney</v>
      </c>
      <c r="C135" s="135">
        <f>'B) D RI'!U137</f>
        <v>16172.617200854704</v>
      </c>
      <c r="D135" s="219">
        <f>'E) Fact soc'!G141/C135</f>
        <v>17.561229811577935</v>
      </c>
      <c r="E135" s="219">
        <f>'H) Péréquation directe'!I146/'H) Péréquation directe'!C146</f>
        <v>15.774662191334043</v>
      </c>
      <c r="F135" s="214">
        <f>'I) Dépenses thématiques'!P135</f>
        <v>-0.47193031791845974</v>
      </c>
      <c r="G135" s="167">
        <f t="shared" si="11"/>
        <v>32.863961684993519</v>
      </c>
      <c r="H135" s="138">
        <f t="shared" si="8"/>
        <v>0</v>
      </c>
      <c r="I135" s="183">
        <f t="shared" si="10"/>
        <v>0</v>
      </c>
      <c r="J135" s="43">
        <f t="shared" si="9"/>
        <v>32.863961684993519</v>
      </c>
    </row>
    <row r="136" spans="1:10" x14ac:dyDescent="0.25">
      <c r="A136" s="61">
        <f>'A) Base RI'!A138</f>
        <v>5627</v>
      </c>
      <c r="B136" s="124" t="str">
        <f>'A) Base RI'!B138</f>
        <v>Chavannes-près-Renens</v>
      </c>
      <c r="C136" s="135">
        <f>'B) D RI'!U138</f>
        <v>162511.92244725736</v>
      </c>
      <c r="D136" s="219">
        <f>'E) Fact soc'!G142/C136</f>
        <v>16.337636018421236</v>
      </c>
      <c r="E136" s="219">
        <f>'H) Péréquation directe'!I147/'H) Péréquation directe'!C147</f>
        <v>-25.46681686629239</v>
      </c>
      <c r="F136" s="214">
        <f>'I) Dépenses thématiques'!P136</f>
        <v>-7.3474001986235571</v>
      </c>
      <c r="G136" s="167">
        <f t="shared" si="11"/>
        <v>-16.476581046494712</v>
      </c>
      <c r="H136" s="138">
        <f t="shared" si="8"/>
        <v>0</v>
      </c>
      <c r="I136" s="183">
        <f t="shared" si="10"/>
        <v>0</v>
      </c>
      <c r="J136" s="43">
        <f t="shared" si="9"/>
        <v>-16.476581046494712</v>
      </c>
    </row>
    <row r="137" spans="1:10" x14ac:dyDescent="0.25">
      <c r="A137" s="61">
        <f>'A) Base RI'!A139</f>
        <v>5628</v>
      </c>
      <c r="B137" s="124" t="str">
        <f>'A) Base RI'!B139</f>
        <v>Chigny</v>
      </c>
      <c r="C137" s="135">
        <f>'B) D RI'!U139</f>
        <v>19064.278346774194</v>
      </c>
      <c r="D137" s="219">
        <f>'E) Fact soc'!G143/C137</f>
        <v>15.215551015062891</v>
      </c>
      <c r="E137" s="219">
        <f>'H) Péréquation directe'!I148/'H) Péréquation directe'!C148</f>
        <v>16.743398117780071</v>
      </c>
      <c r="F137" s="214">
        <f>'I) Dépenses thématiques'!P137</f>
        <v>0</v>
      </c>
      <c r="G137" s="167">
        <f t="shared" si="11"/>
        <v>31.95894913284296</v>
      </c>
      <c r="H137" s="138">
        <f t="shared" si="8"/>
        <v>0</v>
      </c>
      <c r="I137" s="183">
        <f t="shared" si="10"/>
        <v>0</v>
      </c>
      <c r="J137" s="43">
        <f t="shared" si="9"/>
        <v>31.95894913284296</v>
      </c>
    </row>
    <row r="138" spans="1:10" x14ac:dyDescent="0.25">
      <c r="A138" s="61">
        <f>'A) Base RI'!A140</f>
        <v>5629</v>
      </c>
      <c r="B138" s="124" t="str">
        <f>'A) Base RI'!B140</f>
        <v>Clarmont</v>
      </c>
      <c r="C138" s="135">
        <f>'B) D RI'!U140</f>
        <v>7581.8990666666659</v>
      </c>
      <c r="D138" s="219">
        <f>'E) Fact soc'!G144/C138</f>
        <v>15.770606910901098</v>
      </c>
      <c r="E138" s="219">
        <f>'H) Péréquation directe'!I149/'H) Péréquation directe'!C149</f>
        <v>16.401436607532201</v>
      </c>
      <c r="F138" s="214">
        <f>'I) Dépenses thématiques'!P138</f>
        <v>-6.4607222738971135</v>
      </c>
      <c r="G138" s="167">
        <f t="shared" si="11"/>
        <v>25.711321244536187</v>
      </c>
      <c r="H138" s="138">
        <f t="shared" si="8"/>
        <v>0</v>
      </c>
      <c r="I138" s="183">
        <f t="shared" si="10"/>
        <v>0</v>
      </c>
      <c r="J138" s="43">
        <f t="shared" si="9"/>
        <v>25.711321244536187</v>
      </c>
    </row>
    <row r="139" spans="1:10" x14ac:dyDescent="0.25">
      <c r="A139" s="61">
        <f>'A) Base RI'!A141</f>
        <v>5631</v>
      </c>
      <c r="B139" s="124" t="str">
        <f>'A) Base RI'!B141</f>
        <v>Denens</v>
      </c>
      <c r="C139" s="135">
        <f>'B) D RI'!U141</f>
        <v>34218.35955882354</v>
      </c>
      <c r="D139" s="219">
        <f>'E) Fact soc'!G145/C139</f>
        <v>22.37976189863296</v>
      </c>
      <c r="E139" s="219">
        <f>'H) Péréquation directe'!I150/'H) Péréquation directe'!C150</f>
        <v>16.424888363273535</v>
      </c>
      <c r="F139" s="214">
        <f>'I) Dépenses thématiques'!P139</f>
        <v>0</v>
      </c>
      <c r="G139" s="167">
        <f t="shared" si="11"/>
        <v>38.804650261906495</v>
      </c>
      <c r="H139" s="138">
        <f t="shared" si="8"/>
        <v>0</v>
      </c>
      <c r="I139" s="183">
        <f t="shared" si="10"/>
        <v>0</v>
      </c>
      <c r="J139" s="43">
        <f t="shared" si="9"/>
        <v>38.804650261906495</v>
      </c>
    </row>
    <row r="140" spans="1:10" x14ac:dyDescent="0.25">
      <c r="A140" s="61">
        <f>'A) Base RI'!A142</f>
        <v>5632</v>
      </c>
      <c r="B140" s="124" t="str">
        <f>'A) Base RI'!B142</f>
        <v>Denges</v>
      </c>
      <c r="C140" s="135">
        <f>'B) D RI'!U142</f>
        <v>70599.599193548376</v>
      </c>
      <c r="D140" s="219">
        <f>'E) Fact soc'!G146/C140</f>
        <v>16.422467668595562</v>
      </c>
      <c r="E140" s="219">
        <f>'H) Péréquation directe'!I151/'H) Péréquation directe'!C151</f>
        <v>13.585891878554223</v>
      </c>
      <c r="F140" s="214">
        <f>'I) Dépenses thématiques'!P140</f>
        <v>-0.29159013977509379</v>
      </c>
      <c r="G140" s="167">
        <f t="shared" si="11"/>
        <v>29.716769407374695</v>
      </c>
      <c r="H140" s="138">
        <f t="shared" si="8"/>
        <v>0</v>
      </c>
      <c r="I140" s="183">
        <f t="shared" si="10"/>
        <v>0</v>
      </c>
      <c r="J140" s="43">
        <f t="shared" si="9"/>
        <v>29.716769407374695</v>
      </c>
    </row>
    <row r="141" spans="1:10" x14ac:dyDescent="0.25">
      <c r="A141" s="61">
        <f>'A) Base RI'!A143</f>
        <v>5633</v>
      </c>
      <c r="B141" s="124" t="str">
        <f>'A) Base RI'!B143</f>
        <v>Echandens</v>
      </c>
      <c r="C141" s="135">
        <f>'B) D RI'!U143</f>
        <v>123013.45645161292</v>
      </c>
      <c r="D141" s="219">
        <f>'E) Fact soc'!G147/C141</f>
        <v>17.109573876604138</v>
      </c>
      <c r="E141" s="219">
        <f>'H) Péréquation directe'!I152/'H) Péréquation directe'!C152</f>
        <v>13.091891018342707</v>
      </c>
      <c r="F141" s="214">
        <f>'I) Dépenses thématiques'!P141</f>
        <v>-3.2423170038497648</v>
      </c>
      <c r="G141" s="167">
        <f t="shared" si="11"/>
        <v>26.959147891097082</v>
      </c>
      <c r="H141" s="138">
        <f t="shared" si="8"/>
        <v>0</v>
      </c>
      <c r="I141" s="183">
        <f t="shared" si="10"/>
        <v>0</v>
      </c>
      <c r="J141" s="43">
        <f t="shared" si="9"/>
        <v>26.959147891097082</v>
      </c>
    </row>
    <row r="142" spans="1:10" x14ac:dyDescent="0.25">
      <c r="A142" s="61">
        <f>'A) Base RI'!A144</f>
        <v>5634</v>
      </c>
      <c r="B142" s="124" t="str">
        <f>'A) Base RI'!B144</f>
        <v>Echichens</v>
      </c>
      <c r="C142" s="135">
        <f>'B) D RI'!U144</f>
        <v>121660.2017647059</v>
      </c>
      <c r="D142" s="219">
        <f>'E) Fact soc'!G148/C142</f>
        <v>16.444837113304029</v>
      </c>
      <c r="E142" s="219">
        <f>'H) Péréquation directe'!I153/'H) Péréquation directe'!C153</f>
        <v>13.16284553863921</v>
      </c>
      <c r="F142" s="214">
        <f>'I) Dépenses thématiques'!P142</f>
        <v>0</v>
      </c>
      <c r="G142" s="167">
        <f t="shared" si="11"/>
        <v>29.607682651943239</v>
      </c>
      <c r="H142" s="138">
        <f t="shared" si="8"/>
        <v>0</v>
      </c>
      <c r="I142" s="183">
        <f t="shared" si="10"/>
        <v>0</v>
      </c>
      <c r="J142" s="43">
        <f t="shared" si="9"/>
        <v>29.607682651943239</v>
      </c>
    </row>
    <row r="143" spans="1:10" x14ac:dyDescent="0.25">
      <c r="A143" s="61">
        <f>'A) Base RI'!A145</f>
        <v>5635</v>
      </c>
      <c r="B143" s="124" t="str">
        <f>'A) Base RI'!B145</f>
        <v>Ecublens</v>
      </c>
      <c r="C143" s="135">
        <f>'B) D RI'!U145</f>
        <v>470087.75038200343</v>
      </c>
      <c r="D143" s="219">
        <f>'E) Fact soc'!G149/C143</f>
        <v>16.605643547619003</v>
      </c>
      <c r="E143" s="219">
        <f>'H) Péréquation directe'!I154/'H) Péréquation directe'!C154</f>
        <v>1.524462350021393</v>
      </c>
      <c r="F143" s="214">
        <f>'I) Dépenses thématiques'!P143</f>
        <v>-5.1089289925136292</v>
      </c>
      <c r="G143" s="167">
        <f t="shared" si="11"/>
        <v>13.021176905126769</v>
      </c>
      <c r="H143" s="138">
        <f t="shared" si="8"/>
        <v>0</v>
      </c>
      <c r="I143" s="183">
        <f t="shared" si="10"/>
        <v>0</v>
      </c>
      <c r="J143" s="43">
        <f t="shared" si="9"/>
        <v>13.021176905126769</v>
      </c>
    </row>
    <row r="144" spans="1:10" x14ac:dyDescent="0.25">
      <c r="A144" s="61">
        <f>'A) Base RI'!A146</f>
        <v>5636</v>
      </c>
      <c r="B144" s="124" t="str">
        <f>'A) Base RI'!B146</f>
        <v>Etoy</v>
      </c>
      <c r="C144" s="135">
        <f>'B) D RI'!U146</f>
        <v>158779.04229508198</v>
      </c>
      <c r="D144" s="219">
        <f>'E) Fact soc'!G150/C144</f>
        <v>17.255526955852353</v>
      </c>
      <c r="E144" s="219">
        <f>'H) Péréquation directe'!I155/'H) Péréquation directe'!C155</f>
        <v>13.651121710466807</v>
      </c>
      <c r="F144" s="214">
        <f>'I) Dépenses thématiques'!P144</f>
        <v>0</v>
      </c>
      <c r="G144" s="167">
        <f t="shared" si="11"/>
        <v>30.90664866631916</v>
      </c>
      <c r="H144" s="138">
        <f t="shared" si="8"/>
        <v>0</v>
      </c>
      <c r="I144" s="183">
        <f t="shared" si="10"/>
        <v>0</v>
      </c>
      <c r="J144" s="43">
        <f t="shared" si="9"/>
        <v>30.90664866631916</v>
      </c>
    </row>
    <row r="145" spans="1:10" x14ac:dyDescent="0.25">
      <c r="A145" s="61">
        <f>'A) Base RI'!A147</f>
        <v>5637</v>
      </c>
      <c r="B145" s="124" t="str">
        <f>'A) Base RI'!B147</f>
        <v>Lavigny</v>
      </c>
      <c r="C145" s="135">
        <f>'B) D RI'!U147</f>
        <v>31075.388277404931</v>
      </c>
      <c r="D145" s="219">
        <f>'E) Fact soc'!G151/C145</f>
        <v>20.723129314249647</v>
      </c>
      <c r="E145" s="219">
        <f>'H) Péréquation directe'!I156/'H) Péréquation directe'!C156</f>
        <v>7.0394904073851805</v>
      </c>
      <c r="F145" s="214">
        <f>'I) Dépenses thématiques'!P145</f>
        <v>-7.3486270439624297</v>
      </c>
      <c r="G145" s="167">
        <f t="shared" si="11"/>
        <v>20.413992677672397</v>
      </c>
      <c r="H145" s="138">
        <f t="shared" si="8"/>
        <v>0</v>
      </c>
      <c r="I145" s="183">
        <f t="shared" si="10"/>
        <v>0</v>
      </c>
      <c r="J145" s="43">
        <f t="shared" si="9"/>
        <v>20.413992677672397</v>
      </c>
    </row>
    <row r="146" spans="1:10" x14ac:dyDescent="0.25">
      <c r="A146" s="61">
        <f>'A) Base RI'!A148</f>
        <v>5638</v>
      </c>
      <c r="B146" s="124" t="str">
        <f>'A) Base RI'!B148</f>
        <v>Lonay</v>
      </c>
      <c r="C146" s="135">
        <f>'B) D RI'!U148</f>
        <v>152475.57054545457</v>
      </c>
      <c r="D146" s="219">
        <f>'E) Fact soc'!G152/C146</f>
        <v>21.722266746448735</v>
      </c>
      <c r="E146" s="219">
        <f>'H) Péréquation directe'!I157/'H) Péréquation directe'!C157</f>
        <v>14.219913359970908</v>
      </c>
      <c r="F146" s="214">
        <f>'I) Dépenses thématiques'!P146</f>
        <v>-1.3685170525154264</v>
      </c>
      <c r="G146" s="167">
        <f t="shared" si="11"/>
        <v>34.573663053904212</v>
      </c>
      <c r="H146" s="138">
        <f t="shared" si="8"/>
        <v>0</v>
      </c>
      <c r="I146" s="183">
        <f t="shared" si="10"/>
        <v>0</v>
      </c>
      <c r="J146" s="43">
        <f t="shared" si="9"/>
        <v>34.573663053904212</v>
      </c>
    </row>
    <row r="147" spans="1:10" x14ac:dyDescent="0.25">
      <c r="A147" s="61">
        <f>'A) Base RI'!A149</f>
        <v>5639</v>
      </c>
      <c r="B147" s="124" t="str">
        <f>'A) Base RI'!B149</f>
        <v>Lully</v>
      </c>
      <c r="C147" s="135">
        <f>'B) D RI'!U149</f>
        <v>42318.428360655736</v>
      </c>
      <c r="D147" s="219">
        <f>'E) Fact soc'!G153/C147</f>
        <v>17.82289073103534</v>
      </c>
      <c r="E147" s="219">
        <f>'H) Péréquation directe'!I158/'H) Péréquation directe'!C158</f>
        <v>16.704796286850623</v>
      </c>
      <c r="F147" s="214">
        <f>'I) Dépenses thématiques'!P147</f>
        <v>-2.3678539532019576</v>
      </c>
      <c r="G147" s="167">
        <f t="shared" si="11"/>
        <v>32.159833064684008</v>
      </c>
      <c r="H147" s="138">
        <f t="shared" si="8"/>
        <v>0</v>
      </c>
      <c r="I147" s="183">
        <f t="shared" si="10"/>
        <v>0</v>
      </c>
      <c r="J147" s="43">
        <f t="shared" si="9"/>
        <v>32.159833064684008</v>
      </c>
    </row>
    <row r="148" spans="1:10" x14ac:dyDescent="0.25">
      <c r="A148" s="61">
        <f>'A) Base RI'!A150</f>
        <v>5640</v>
      </c>
      <c r="B148" s="124" t="str">
        <f>'A) Base RI'!B150</f>
        <v>Lussy-sur-Morges</v>
      </c>
      <c r="C148" s="135">
        <f>'B) D RI'!U150</f>
        <v>45310.844393939391</v>
      </c>
      <c r="D148" s="219">
        <f>'E) Fact soc'!G154/C148</f>
        <v>21.560112694875475</v>
      </c>
      <c r="E148" s="219">
        <f>'H) Péréquation directe'!I159/'H) Péréquation directe'!C159</f>
        <v>16.956933016301036</v>
      </c>
      <c r="F148" s="214">
        <f>'I) Dépenses thématiques'!P148</f>
        <v>0</v>
      </c>
      <c r="G148" s="167">
        <f t="shared" si="11"/>
        <v>38.517045711176507</v>
      </c>
      <c r="H148" s="138">
        <f t="shared" si="8"/>
        <v>0</v>
      </c>
      <c r="I148" s="183">
        <f t="shared" si="10"/>
        <v>0</v>
      </c>
      <c r="J148" s="43">
        <f t="shared" si="9"/>
        <v>38.517045711176507</v>
      </c>
    </row>
    <row r="149" spans="1:10" x14ac:dyDescent="0.25">
      <c r="A149" s="61">
        <f>'A) Base RI'!A151</f>
        <v>5642</v>
      </c>
      <c r="B149" s="124" t="str">
        <f>'A) Base RI'!B151</f>
        <v>Morges</v>
      </c>
      <c r="C149" s="135">
        <f>'B) D RI'!U151</f>
        <v>715380.13065693423</v>
      </c>
      <c r="D149" s="219">
        <f>'E) Fact soc'!G155/C149</f>
        <v>19.210625073297301</v>
      </c>
      <c r="E149" s="219">
        <f>'H) Péréquation directe'!I160/'H) Péréquation directe'!C160</f>
        <v>4.0932820595644905</v>
      </c>
      <c r="F149" s="214">
        <f>'I) Dépenses thématiques'!P149</f>
        <v>-1.7004324318543551</v>
      </c>
      <c r="G149" s="167">
        <f t="shared" si="11"/>
        <v>21.603474701007435</v>
      </c>
      <c r="H149" s="138">
        <f t="shared" si="8"/>
        <v>0</v>
      </c>
      <c r="I149" s="183">
        <f t="shared" si="10"/>
        <v>0</v>
      </c>
      <c r="J149" s="43">
        <f t="shared" si="9"/>
        <v>21.603474701007435</v>
      </c>
    </row>
    <row r="150" spans="1:10" x14ac:dyDescent="0.25">
      <c r="A150" s="61">
        <f>'A) Base RI'!A152</f>
        <v>5643</v>
      </c>
      <c r="B150" s="124" t="str">
        <f>'A) Base RI'!B152</f>
        <v>Préverenges</v>
      </c>
      <c r="C150" s="135">
        <f>'B) D RI'!U152</f>
        <v>249793.53640625</v>
      </c>
      <c r="D150" s="219">
        <f>'E) Fact soc'!G156/C150</f>
        <v>16.209176870677588</v>
      </c>
      <c r="E150" s="219">
        <f>'H) Péréquation directe'!I161/'H) Péréquation directe'!C161</f>
        <v>10.731672621358936</v>
      </c>
      <c r="F150" s="214">
        <f>'I) Dépenses thématiques'!P150</f>
        <v>0</v>
      </c>
      <c r="G150" s="167">
        <f t="shared" si="11"/>
        <v>26.940849492036524</v>
      </c>
      <c r="H150" s="138">
        <f t="shared" si="8"/>
        <v>0</v>
      </c>
      <c r="I150" s="183">
        <f t="shared" si="10"/>
        <v>0</v>
      </c>
      <c r="J150" s="43">
        <f t="shared" si="9"/>
        <v>26.940849492036524</v>
      </c>
    </row>
    <row r="151" spans="1:10" x14ac:dyDescent="0.25">
      <c r="A151" s="61">
        <f>'A) Base RI'!A153</f>
        <v>5644</v>
      </c>
      <c r="B151" s="124" t="str">
        <f>'A) Base RI'!B153</f>
        <v>Reverolle</v>
      </c>
      <c r="C151" s="135">
        <f>'B) D RI'!U153</f>
        <v>15594.857631578949</v>
      </c>
      <c r="D151" s="219">
        <f>'E) Fact soc'!G157/C151</f>
        <v>17.639877373336532</v>
      </c>
      <c r="E151" s="219">
        <f>'H) Péréquation directe'!I162/'H) Péréquation directe'!C162</f>
        <v>16.044760260822656</v>
      </c>
      <c r="F151" s="214">
        <f>'I) Dépenses thématiques'!P151</f>
        <v>-4.5986156799240865</v>
      </c>
      <c r="G151" s="167">
        <f t="shared" si="11"/>
        <v>29.0860219542351</v>
      </c>
      <c r="H151" s="138">
        <f t="shared" si="8"/>
        <v>0</v>
      </c>
      <c r="I151" s="183">
        <f t="shared" si="10"/>
        <v>0</v>
      </c>
      <c r="J151" s="43">
        <f t="shared" si="9"/>
        <v>29.0860219542351</v>
      </c>
    </row>
    <row r="152" spans="1:10" x14ac:dyDescent="0.25">
      <c r="A152" s="61">
        <f>'A) Base RI'!A154</f>
        <v>5645</v>
      </c>
      <c r="B152" s="124" t="str">
        <f>'A) Base RI'!B154</f>
        <v>Romanel-sur-Morges</v>
      </c>
      <c r="C152" s="135">
        <f>'B) D RI'!U154</f>
        <v>25378.60526785714</v>
      </c>
      <c r="D152" s="219">
        <f>'E) Fact soc'!G158/C152</f>
        <v>15.892735595622211</v>
      </c>
      <c r="E152" s="219">
        <f>'H) Péréquation directe'!I163/'H) Péréquation directe'!C163</f>
        <v>16.69669786484949</v>
      </c>
      <c r="F152" s="214">
        <f>'I) Dépenses thématiques'!P152</f>
        <v>0</v>
      </c>
      <c r="G152" s="167">
        <f t="shared" si="11"/>
        <v>32.589433460471703</v>
      </c>
      <c r="H152" s="138">
        <f t="shared" si="8"/>
        <v>0</v>
      </c>
      <c r="I152" s="183">
        <f t="shared" si="10"/>
        <v>0</v>
      </c>
      <c r="J152" s="43">
        <f t="shared" si="9"/>
        <v>32.589433460471703</v>
      </c>
    </row>
    <row r="153" spans="1:10" x14ac:dyDescent="0.25">
      <c r="A153" s="61">
        <f>'A) Base RI'!A155</f>
        <v>5646</v>
      </c>
      <c r="B153" s="124" t="str">
        <f>'A) Base RI'!B155</f>
        <v>Saint-Prex</v>
      </c>
      <c r="C153" s="135">
        <f>'B) D RI'!U155</f>
        <v>307317.64145454549</v>
      </c>
      <c r="D153" s="219">
        <f>'E) Fact soc'!G159/C153</f>
        <v>19.632602720614479</v>
      </c>
      <c r="E153" s="219">
        <f>'H) Péréquation directe'!I164/'H) Péréquation directe'!C164</f>
        <v>11.524916039967573</v>
      </c>
      <c r="F153" s="214">
        <f>'I) Dépenses thématiques'!P153</f>
        <v>0</v>
      </c>
      <c r="G153" s="167">
        <f t="shared" si="11"/>
        <v>31.15751876058205</v>
      </c>
      <c r="H153" s="138">
        <f t="shared" si="8"/>
        <v>0</v>
      </c>
      <c r="I153" s="183">
        <f t="shared" si="10"/>
        <v>0</v>
      </c>
      <c r="J153" s="43">
        <f t="shared" si="9"/>
        <v>31.15751876058205</v>
      </c>
    </row>
    <row r="154" spans="1:10" x14ac:dyDescent="0.25">
      <c r="A154" s="61">
        <f>'A) Base RI'!A156</f>
        <v>5648</v>
      </c>
      <c r="B154" s="124" t="str">
        <f>'A) Base RI'!B156</f>
        <v>Saint-Sulpice</v>
      </c>
      <c r="C154" s="135">
        <f>'B) D RI'!U156</f>
        <v>307335.61263636366</v>
      </c>
      <c r="D154" s="219">
        <f>'E) Fact soc'!G160/C154</f>
        <v>23.582655367795194</v>
      </c>
      <c r="E154" s="219">
        <f>'H) Péréquation directe'!I165/'H) Péréquation directe'!C165</f>
        <v>13.910142547074631</v>
      </c>
      <c r="F154" s="214">
        <f>'I) Dépenses thématiques'!P154</f>
        <v>-0.47415360828409975</v>
      </c>
      <c r="G154" s="167">
        <f t="shared" si="11"/>
        <v>37.018644306585728</v>
      </c>
      <c r="H154" s="138">
        <f t="shared" si="8"/>
        <v>0</v>
      </c>
      <c r="I154" s="183">
        <f t="shared" si="10"/>
        <v>0</v>
      </c>
      <c r="J154" s="43">
        <f t="shared" si="9"/>
        <v>37.018644306585728</v>
      </c>
    </row>
    <row r="155" spans="1:10" x14ac:dyDescent="0.25">
      <c r="A155" s="61">
        <f>'A) Base RI'!A157</f>
        <v>5649</v>
      </c>
      <c r="B155" s="124" t="str">
        <f>'A) Base RI'!B157</f>
        <v>Tolochenaz</v>
      </c>
      <c r="C155" s="135">
        <f>'B) D RI'!U157</f>
        <v>109360.12415384616</v>
      </c>
      <c r="D155" s="219">
        <f>'E) Fact soc'!G161/C155</f>
        <v>18.571472120435601</v>
      </c>
      <c r="E155" s="219">
        <f>'H) Péréquation directe'!I166/'H) Péréquation directe'!C166</f>
        <v>14.78704920868017</v>
      </c>
      <c r="F155" s="214">
        <f>'I) Dépenses thématiques'!P155</f>
        <v>-0.68008260448639235</v>
      </c>
      <c r="G155" s="167">
        <f t="shared" si="11"/>
        <v>32.67843872462938</v>
      </c>
      <c r="H155" s="138">
        <f t="shared" si="8"/>
        <v>0</v>
      </c>
      <c r="I155" s="183">
        <f t="shared" si="10"/>
        <v>0</v>
      </c>
      <c r="J155" s="43">
        <f t="shared" si="9"/>
        <v>32.67843872462938</v>
      </c>
    </row>
    <row r="156" spans="1:10" x14ac:dyDescent="0.25">
      <c r="A156" s="61">
        <f>'A) Base RI'!A158</f>
        <v>5650</v>
      </c>
      <c r="B156" s="124" t="str">
        <f>'A) Base RI'!B158</f>
        <v>Vaux-sur-Morges</v>
      </c>
      <c r="C156" s="135">
        <f>'B) D RI'!U158</f>
        <v>185061.46846153846</v>
      </c>
      <c r="D156" s="219">
        <f>'E) Fact soc'!G162/C156</f>
        <v>29.478235153962867</v>
      </c>
      <c r="E156" s="219">
        <f>'H) Péréquation directe'!I167/'H) Péréquation directe'!C167</f>
        <v>18.215166741969025</v>
      </c>
      <c r="F156" s="214">
        <f>'I) Dépenses thématiques'!P156</f>
        <v>0</v>
      </c>
      <c r="G156" s="167">
        <f t="shared" si="11"/>
        <v>47.693401895931892</v>
      </c>
      <c r="H156" s="138">
        <f t="shared" si="8"/>
        <v>0</v>
      </c>
      <c r="I156" s="183">
        <f t="shared" si="10"/>
        <v>0</v>
      </c>
      <c r="J156" s="43">
        <f t="shared" si="9"/>
        <v>47.693401895931892</v>
      </c>
    </row>
    <row r="157" spans="1:10" x14ac:dyDescent="0.25">
      <c r="A157" s="61">
        <f>'A) Base RI'!A159</f>
        <v>5651</v>
      </c>
      <c r="B157" s="124" t="str">
        <f>'A) Base RI'!B159</f>
        <v>Villars-Sainte-Croix</v>
      </c>
      <c r="C157" s="135">
        <f>'B) D RI'!U159</f>
        <v>37823.297796610175</v>
      </c>
      <c r="D157" s="219">
        <f>'E) Fact soc'!G163/C157</f>
        <v>21.332481913696558</v>
      </c>
      <c r="E157" s="219">
        <f>'H) Péréquation directe'!I168/'H) Péréquation directe'!C168</f>
        <v>16.634847745159057</v>
      </c>
      <c r="F157" s="214">
        <f>'I) Dépenses thématiques'!P157</f>
        <v>0</v>
      </c>
      <c r="G157" s="167">
        <f t="shared" si="11"/>
        <v>37.967329658855618</v>
      </c>
      <c r="H157" s="138">
        <f t="shared" si="8"/>
        <v>0</v>
      </c>
      <c r="I157" s="183">
        <f t="shared" si="10"/>
        <v>0</v>
      </c>
      <c r="J157" s="43">
        <f t="shared" si="9"/>
        <v>37.967329658855618</v>
      </c>
    </row>
    <row r="158" spans="1:10" x14ac:dyDescent="0.25">
      <c r="A158" s="61">
        <f>'A) Base RI'!A160</f>
        <v>5652</v>
      </c>
      <c r="B158" s="124" t="str">
        <f>'A) Base RI'!B160</f>
        <v>Villars-sous-Yens</v>
      </c>
      <c r="C158" s="135">
        <f>'B) D RI'!U160</f>
        <v>23640.281403508772</v>
      </c>
      <c r="D158" s="219">
        <f>'E) Fact soc'!G164/C158</f>
        <v>15.567608814474838</v>
      </c>
      <c r="E158" s="219">
        <f>'H) Péréquation directe'!I169/'H) Péréquation directe'!C169</f>
        <v>15.193340060532707</v>
      </c>
      <c r="F158" s="214">
        <f>'I) Dépenses thématiques'!P158</f>
        <v>-5.3666010386143892</v>
      </c>
      <c r="G158" s="167">
        <f t="shared" si="11"/>
        <v>25.394347836393152</v>
      </c>
      <c r="H158" s="138">
        <f t="shared" si="8"/>
        <v>0</v>
      </c>
      <c r="I158" s="183">
        <f t="shared" si="10"/>
        <v>0</v>
      </c>
      <c r="J158" s="43">
        <f t="shared" si="9"/>
        <v>25.394347836393152</v>
      </c>
    </row>
    <row r="159" spans="1:10" x14ac:dyDescent="0.25">
      <c r="A159" s="61">
        <f>'A) Base RI'!A161</f>
        <v>5653</v>
      </c>
      <c r="B159" s="124" t="str">
        <f>'A) Base RI'!B161</f>
        <v>Vufflens-le-Château</v>
      </c>
      <c r="C159" s="135">
        <f>'B) D RI'!U161</f>
        <v>59809.956818181818</v>
      </c>
      <c r="D159" s="219">
        <f>'E) Fact soc'!G165/C159</f>
        <v>19.576193892147817</v>
      </c>
      <c r="E159" s="219">
        <f>'H) Péréquation directe'!I170/'H) Péréquation directe'!C170</f>
        <v>16.990922455682878</v>
      </c>
      <c r="F159" s="214">
        <f>'I) Dépenses thématiques'!P159</f>
        <v>0</v>
      </c>
      <c r="G159" s="167">
        <f t="shared" si="11"/>
        <v>36.567116347830691</v>
      </c>
      <c r="H159" s="138">
        <f t="shared" si="8"/>
        <v>0</v>
      </c>
      <c r="I159" s="183">
        <f t="shared" si="10"/>
        <v>0</v>
      </c>
      <c r="J159" s="43">
        <f t="shared" si="9"/>
        <v>36.567116347830691</v>
      </c>
    </row>
    <row r="160" spans="1:10" x14ac:dyDescent="0.25">
      <c r="A160" s="61">
        <f>'A) Base RI'!A162</f>
        <v>5654</v>
      </c>
      <c r="B160" s="124" t="str">
        <f>'A) Base RI'!B162</f>
        <v>Vullierens</v>
      </c>
      <c r="C160" s="135">
        <f>'B) D RI'!U162</f>
        <v>16948.890394736845</v>
      </c>
      <c r="D160" s="219">
        <f>'E) Fact soc'!G166/C160</f>
        <v>18.354739743927819</v>
      </c>
      <c r="E160" s="219">
        <f>'H) Péréquation directe'!I171/'H) Péréquation directe'!C171</f>
        <v>11.577703747482301</v>
      </c>
      <c r="F160" s="214">
        <f>'I) Dépenses thématiques'!P160</f>
        <v>-6.8924951913503554</v>
      </c>
      <c r="G160" s="167">
        <f t="shared" si="11"/>
        <v>23.039948300059763</v>
      </c>
      <c r="H160" s="138">
        <f t="shared" si="8"/>
        <v>0</v>
      </c>
      <c r="I160" s="183">
        <f t="shared" si="10"/>
        <v>0</v>
      </c>
      <c r="J160" s="43">
        <f t="shared" si="9"/>
        <v>23.039948300059763</v>
      </c>
    </row>
    <row r="161" spans="1:10" x14ac:dyDescent="0.25">
      <c r="A161" s="61">
        <f>'A) Base RI'!A163</f>
        <v>5655</v>
      </c>
      <c r="B161" s="124" t="str">
        <f>'A) Base RI'!B163</f>
        <v>Yens</v>
      </c>
      <c r="C161" s="135">
        <f>'B) D RI'!U163</f>
        <v>68107.282191780832</v>
      </c>
      <c r="D161" s="219">
        <f>'E) Fact soc'!G167/C161</f>
        <v>20.482292505317879</v>
      </c>
      <c r="E161" s="219">
        <f>'H) Péréquation directe'!I172/'H) Péréquation directe'!C172</f>
        <v>14.97665828746767</v>
      </c>
      <c r="F161" s="214">
        <f>'I) Dépenses thématiques'!P161</f>
        <v>0</v>
      </c>
      <c r="G161" s="167">
        <f t="shared" si="11"/>
        <v>35.458950792785551</v>
      </c>
      <c r="H161" s="138">
        <f t="shared" si="8"/>
        <v>0</v>
      </c>
      <c r="I161" s="183">
        <f t="shared" si="10"/>
        <v>0</v>
      </c>
      <c r="J161" s="43">
        <f t="shared" si="9"/>
        <v>35.458950792785551</v>
      </c>
    </row>
    <row r="162" spans="1:10" x14ac:dyDescent="0.25">
      <c r="A162" s="61">
        <f>'A) Base RI'!A164</f>
        <v>5661</v>
      </c>
      <c r="B162" s="124" t="str">
        <f>'A) Base RI'!B164</f>
        <v>Boulens</v>
      </c>
      <c r="C162" s="135">
        <f>'B) D RI'!U164</f>
        <v>7277.4751898734185</v>
      </c>
      <c r="D162" s="219">
        <f>'E) Fact soc'!G168/C162</f>
        <v>16.96823278502092</v>
      </c>
      <c r="E162" s="219">
        <f>'H) Péréquation directe'!I173/'H) Péréquation directe'!C173</f>
        <v>-9.4699880991761347</v>
      </c>
      <c r="F162" s="214">
        <f>'I) Dépenses thématiques'!P162</f>
        <v>-6.1802533912423021</v>
      </c>
      <c r="G162" s="167">
        <f t="shared" si="11"/>
        <v>1.317991294602483</v>
      </c>
      <c r="H162" s="138">
        <f t="shared" si="8"/>
        <v>0</v>
      </c>
      <c r="I162" s="183">
        <f t="shared" si="10"/>
        <v>0</v>
      </c>
      <c r="J162" s="43">
        <f t="shared" si="9"/>
        <v>1.317991294602483</v>
      </c>
    </row>
    <row r="163" spans="1:10" x14ac:dyDescent="0.25">
      <c r="A163" s="61">
        <f>'A) Base RI'!A165</f>
        <v>5662</v>
      </c>
      <c r="B163" s="124" t="str">
        <f>'A) Base RI'!B165</f>
        <v>Brenles</v>
      </c>
      <c r="C163" s="135">
        <f>'B) D RI'!U165</f>
        <v>4680.0413390313388</v>
      </c>
      <c r="D163" s="219">
        <f>'E) Fact soc'!G169/C163</f>
        <v>16.205203425370371</v>
      </c>
      <c r="E163" s="219">
        <f>'H) Péréquation directe'!I174/'H) Péréquation directe'!C174</f>
        <v>7.1620179541090128</v>
      </c>
      <c r="F163" s="214">
        <f>'I) Dépenses thématiques'!P163</f>
        <v>-1.421438481390972</v>
      </c>
      <c r="G163" s="167">
        <f t="shared" si="11"/>
        <v>21.94578289808841</v>
      </c>
      <c r="H163" s="138">
        <f t="shared" si="8"/>
        <v>0</v>
      </c>
      <c r="I163" s="183">
        <f t="shared" si="10"/>
        <v>0</v>
      </c>
      <c r="J163" s="43">
        <f t="shared" si="9"/>
        <v>21.94578289808841</v>
      </c>
    </row>
    <row r="164" spans="1:10" x14ac:dyDescent="0.25">
      <c r="A164" s="61">
        <f>'A) Base RI'!A166</f>
        <v>5663</v>
      </c>
      <c r="B164" s="124" t="str">
        <f>'A) Base RI'!B166</f>
        <v>Bussy-sur-Moudon</v>
      </c>
      <c r="C164" s="135">
        <f>'B) D RI'!U166</f>
        <v>4999.1039999999994</v>
      </c>
      <c r="D164" s="219">
        <f>'E) Fact soc'!G170/C164</f>
        <v>20.523998982514307</v>
      </c>
      <c r="E164" s="219">
        <f>'H) Péréquation directe'!I175/'H) Péréquation directe'!C175</f>
        <v>-3.9593732960784456</v>
      </c>
      <c r="F164" s="214">
        <f>'I) Dépenses thématiques'!P164</f>
        <v>-6.7634850712264862</v>
      </c>
      <c r="G164" s="167">
        <f t="shared" si="11"/>
        <v>9.8011406152093734</v>
      </c>
      <c r="H164" s="138">
        <f t="shared" si="8"/>
        <v>0</v>
      </c>
      <c r="I164" s="183">
        <f t="shared" si="10"/>
        <v>0</v>
      </c>
      <c r="J164" s="43">
        <f t="shared" si="9"/>
        <v>9.8011406152093734</v>
      </c>
    </row>
    <row r="165" spans="1:10" x14ac:dyDescent="0.25">
      <c r="A165" s="61">
        <f>'A) Base RI'!A167</f>
        <v>5665</v>
      </c>
      <c r="B165" s="124" t="str">
        <f>'A) Base RI'!B167</f>
        <v>Chavannes-sur-Moudon</v>
      </c>
      <c r="C165" s="135">
        <f>'B) D RI'!U167</f>
        <v>4834.5158333333329</v>
      </c>
      <c r="D165" s="219">
        <f>'E) Fact soc'!G171/C165</f>
        <v>14.370166215682488</v>
      </c>
      <c r="E165" s="219">
        <f>'H) Péréquation directe'!I176/'H) Péréquation directe'!C176</f>
        <v>-7.1561001268929365</v>
      </c>
      <c r="F165" s="214">
        <f>'I) Dépenses thématiques'!P165</f>
        <v>-3.8703088769254617</v>
      </c>
      <c r="G165" s="167">
        <f t="shared" si="11"/>
        <v>3.3437572118640899</v>
      </c>
      <c r="H165" s="138">
        <f t="shared" si="8"/>
        <v>0</v>
      </c>
      <c r="I165" s="183">
        <f t="shared" si="10"/>
        <v>0</v>
      </c>
      <c r="J165" s="43">
        <f t="shared" si="9"/>
        <v>3.3437572118640899</v>
      </c>
    </row>
    <row r="166" spans="1:10" x14ac:dyDescent="0.25">
      <c r="A166" s="61">
        <f>'A) Base RI'!A168</f>
        <v>5666</v>
      </c>
      <c r="B166" s="124" t="str">
        <f>'A) Base RI'!B168</f>
        <v>Chesalles-sur-Moudon</v>
      </c>
      <c r="C166" s="135">
        <f>'B) D RI'!U168</f>
        <v>3561.2682666666665</v>
      </c>
      <c r="D166" s="219">
        <f>'E) Fact soc'!G172/C166</f>
        <v>15.041015705557106</v>
      </c>
      <c r="E166" s="219">
        <f>'H) Péréquation directe'!I177/'H) Péréquation directe'!C177</f>
        <v>-10.153468083119568</v>
      </c>
      <c r="F166" s="214">
        <f>'I) Dépenses thématiques'!P166</f>
        <v>0</v>
      </c>
      <c r="G166" s="167">
        <f t="shared" si="11"/>
        <v>4.8875476224375376</v>
      </c>
      <c r="H166" s="138">
        <f t="shared" si="8"/>
        <v>0</v>
      </c>
      <c r="I166" s="183">
        <f t="shared" si="10"/>
        <v>0</v>
      </c>
      <c r="J166" s="43">
        <f t="shared" si="9"/>
        <v>4.8875476224375376</v>
      </c>
    </row>
    <row r="167" spans="1:10" x14ac:dyDescent="0.25">
      <c r="A167" s="61">
        <f>'A) Base RI'!A169</f>
        <v>5668</v>
      </c>
      <c r="B167" s="124" t="str">
        <f>'A) Base RI'!B169</f>
        <v>Cremin</v>
      </c>
      <c r="C167" s="135">
        <f>'B) D RI'!U169</f>
        <v>902.96818181818162</v>
      </c>
      <c r="D167" s="219">
        <f>'E) Fact soc'!G173/C167</f>
        <v>14.370166215682488</v>
      </c>
      <c r="E167" s="219">
        <f>'H) Péréquation directe'!I178/'H) Péréquation directe'!C178</f>
        <v>-30.371554406880527</v>
      </c>
      <c r="F167" s="214">
        <f>'I) Dépenses thématiques'!P167</f>
        <v>0</v>
      </c>
      <c r="G167" s="167">
        <f t="shared" si="11"/>
        <v>-16.001388191198039</v>
      </c>
      <c r="H167" s="138">
        <f t="shared" si="8"/>
        <v>0</v>
      </c>
      <c r="I167" s="183">
        <f t="shared" si="10"/>
        <v>0</v>
      </c>
      <c r="J167" s="43">
        <f t="shared" si="9"/>
        <v>-16.001388191198039</v>
      </c>
    </row>
    <row r="168" spans="1:10" x14ac:dyDescent="0.25">
      <c r="A168" s="61">
        <f>'A) Base RI'!A170</f>
        <v>5669</v>
      </c>
      <c r="B168" s="124" t="str">
        <f>'A) Base RI'!B170</f>
        <v>Curtilles</v>
      </c>
      <c r="C168" s="135">
        <f>'B) D RI'!U170</f>
        <v>8707.7998611111107</v>
      </c>
      <c r="D168" s="219">
        <f>'E) Fact soc'!G174/C168</f>
        <v>19.313725517297758</v>
      </c>
      <c r="E168" s="219">
        <f>'H) Péréquation directe'!I179/'H) Péréquation directe'!C179</f>
        <v>3.4478306865334787</v>
      </c>
      <c r="F168" s="214">
        <f>'I) Dépenses thématiques'!P168</f>
        <v>-1.0961900165295635</v>
      </c>
      <c r="G168" s="167">
        <f t="shared" si="11"/>
        <v>21.665366187301672</v>
      </c>
      <c r="H168" s="138">
        <f t="shared" si="8"/>
        <v>0</v>
      </c>
      <c r="I168" s="183">
        <f t="shared" si="10"/>
        <v>0</v>
      </c>
      <c r="J168" s="43">
        <f t="shared" si="9"/>
        <v>21.665366187301672</v>
      </c>
    </row>
    <row r="169" spans="1:10" x14ac:dyDescent="0.25">
      <c r="A169" s="61">
        <f>'A) Base RI'!A171</f>
        <v>5671</v>
      </c>
      <c r="B169" s="124" t="str">
        <f>'A) Base RI'!B171</f>
        <v>Dompierre</v>
      </c>
      <c r="C169" s="135">
        <f>'B) D RI'!U171</f>
        <v>6226.6947500000006</v>
      </c>
      <c r="D169" s="219">
        <f>'E) Fact soc'!G175/C169</f>
        <v>19.32530714337932</v>
      </c>
      <c r="E169" s="219">
        <f>'H) Péréquation directe'!I180/'H) Péréquation directe'!C180</f>
        <v>-4.0329424524382347</v>
      </c>
      <c r="F169" s="214">
        <f>'I) Dépenses thématiques'!P169</f>
        <v>-10.602183651255395</v>
      </c>
      <c r="G169" s="167">
        <f t="shared" si="11"/>
        <v>4.6901810396856902</v>
      </c>
      <c r="H169" s="138">
        <f t="shared" ref="H169:H223" si="12">IF(G169&gt;H$4,H$4-G169,0)</f>
        <v>0</v>
      </c>
      <c r="I169" s="183">
        <f t="shared" si="10"/>
        <v>0</v>
      </c>
      <c r="J169" s="43">
        <f t="shared" ref="J169:J223" si="13">G169+H169</f>
        <v>4.6901810396856902</v>
      </c>
    </row>
    <row r="170" spans="1:10" x14ac:dyDescent="0.25">
      <c r="A170" s="61">
        <f>'A) Base RI'!A172</f>
        <v>5672</v>
      </c>
      <c r="B170" s="124" t="str">
        <f>'A) Base RI'!B172</f>
        <v>Forel-sur-Lucens</v>
      </c>
      <c r="C170" s="135">
        <f>'B) D RI'!U172</f>
        <v>4324.9200666666666</v>
      </c>
      <c r="D170" s="219">
        <f>'E) Fact soc'!G176/C170</f>
        <v>14.370166215682488</v>
      </c>
      <c r="E170" s="219">
        <f>'H) Péréquation directe'!I181/'H) Péréquation directe'!C181</f>
        <v>2.5845232174501249</v>
      </c>
      <c r="F170" s="214">
        <f>'I) Dépenses thématiques'!P170</f>
        <v>0</v>
      </c>
      <c r="G170" s="167">
        <f t="shared" si="11"/>
        <v>16.954689433132614</v>
      </c>
      <c r="H170" s="138">
        <f t="shared" si="12"/>
        <v>0</v>
      </c>
      <c r="I170" s="183">
        <f t="shared" ref="I170:I225" si="14">H170*C170</f>
        <v>0</v>
      </c>
      <c r="J170" s="43">
        <f t="shared" si="13"/>
        <v>16.954689433132614</v>
      </c>
    </row>
    <row r="171" spans="1:10" x14ac:dyDescent="0.25">
      <c r="A171" s="61">
        <f>'A) Base RI'!A173</f>
        <v>5673</v>
      </c>
      <c r="B171" s="124" t="str">
        <f>'A) Base RI'!B173</f>
        <v>Hermenches</v>
      </c>
      <c r="C171" s="135">
        <f>'B) D RI'!U173</f>
        <v>8854.2944888888887</v>
      </c>
      <c r="D171" s="219">
        <f>'E) Fact soc'!G177/C171</f>
        <v>17.834154796420204</v>
      </c>
      <c r="E171" s="219">
        <f>'H) Péréquation directe'!I182/'H) Péréquation directe'!C182</f>
        <v>-5.5172258935078586</v>
      </c>
      <c r="F171" s="214">
        <f>'I) Dépenses thématiques'!P171</f>
        <v>-6.7417798811356011</v>
      </c>
      <c r="G171" s="167">
        <f t="shared" ref="G171:G226" si="15">SUM(D171:F171)</f>
        <v>5.5751490217767437</v>
      </c>
      <c r="H171" s="138">
        <f t="shared" si="12"/>
        <v>0</v>
      </c>
      <c r="I171" s="183">
        <f t="shared" si="14"/>
        <v>0</v>
      </c>
      <c r="J171" s="43">
        <f t="shared" si="13"/>
        <v>5.5751490217767437</v>
      </c>
    </row>
    <row r="172" spans="1:10" x14ac:dyDescent="0.25">
      <c r="A172" s="61">
        <f>'A) Base RI'!A174</f>
        <v>5674</v>
      </c>
      <c r="B172" s="124" t="str">
        <f>'A) Base RI'!B174</f>
        <v>Lovatens</v>
      </c>
      <c r="C172" s="135">
        <f>'B) D RI'!U174</f>
        <v>3347.4317333333333</v>
      </c>
      <c r="D172" s="219">
        <f>'E) Fact soc'!G178/C172</f>
        <v>14.698328247804387</v>
      </c>
      <c r="E172" s="219">
        <f>'H) Péréquation directe'!I183/'H) Péréquation directe'!C183</f>
        <v>-7.6313379991629882</v>
      </c>
      <c r="F172" s="214">
        <f>'I) Dépenses thématiques'!P172</f>
        <v>-3.6148046603196691</v>
      </c>
      <c r="G172" s="167">
        <f t="shared" si="15"/>
        <v>3.4521855883217296</v>
      </c>
      <c r="H172" s="138">
        <f t="shared" si="12"/>
        <v>0</v>
      </c>
      <c r="I172" s="183">
        <f t="shared" si="14"/>
        <v>0</v>
      </c>
      <c r="J172" s="43">
        <f t="shared" si="13"/>
        <v>3.4521855883217296</v>
      </c>
    </row>
    <row r="173" spans="1:10" x14ac:dyDescent="0.25">
      <c r="A173" s="61">
        <f>'A) Base RI'!A175</f>
        <v>5675</v>
      </c>
      <c r="B173" s="124" t="str">
        <f>'A) Base RI'!B175</f>
        <v>Lucens</v>
      </c>
      <c r="C173" s="135">
        <f>'B) D RI'!U175</f>
        <v>76574.855468319569</v>
      </c>
      <c r="D173" s="219">
        <f>'E) Fact soc'!G179/C173</f>
        <v>20.110520308572116</v>
      </c>
      <c r="E173" s="219">
        <f>'H) Péréquation directe'!I184/'H) Péréquation directe'!C184</f>
        <v>-8.793870713071076</v>
      </c>
      <c r="F173" s="214">
        <f>'I) Dépenses thématiques'!P173</f>
        <v>-4.0387800785769645</v>
      </c>
      <c r="G173" s="167">
        <f t="shared" si="15"/>
        <v>7.2778695169240759</v>
      </c>
      <c r="H173" s="138">
        <f t="shared" si="12"/>
        <v>0</v>
      </c>
      <c r="I173" s="183">
        <f t="shared" si="14"/>
        <v>0</v>
      </c>
      <c r="J173" s="43">
        <f t="shared" si="13"/>
        <v>7.2778695169240759</v>
      </c>
    </row>
    <row r="174" spans="1:10" x14ac:dyDescent="0.25">
      <c r="A174" s="61">
        <f>'A) Base RI'!A176</f>
        <v>5678</v>
      </c>
      <c r="B174" s="124" t="str">
        <f>'A) Base RI'!B176</f>
        <v>Moudon</v>
      </c>
      <c r="C174" s="135">
        <f>'B) D RI'!U176</f>
        <v>122060.45639999998</v>
      </c>
      <c r="D174" s="219">
        <f>'E) Fact soc'!G180/C174</f>
        <v>17.592624713715761</v>
      </c>
      <c r="E174" s="219">
        <f>'H) Péréquation directe'!I185/'H) Péréquation directe'!C185</f>
        <v>-23.622093385426254</v>
      </c>
      <c r="F174" s="214">
        <f>'I) Dépenses thématiques'!P174</f>
        <v>-9.5523963201467943</v>
      </c>
      <c r="G174" s="167">
        <f t="shared" si="15"/>
        <v>-15.581864991857287</v>
      </c>
      <c r="H174" s="138">
        <f t="shared" si="12"/>
        <v>0</v>
      </c>
      <c r="I174" s="183">
        <f t="shared" si="14"/>
        <v>0</v>
      </c>
      <c r="J174" s="43">
        <f t="shared" si="13"/>
        <v>-15.581864991857287</v>
      </c>
    </row>
    <row r="175" spans="1:10" x14ac:dyDescent="0.25">
      <c r="A175" s="61">
        <f>'A) Base RI'!A177</f>
        <v>5680</v>
      </c>
      <c r="B175" s="124" t="str">
        <f>'A) Base RI'!B177</f>
        <v>Ogens</v>
      </c>
      <c r="C175" s="135">
        <f>'B) D RI'!U177</f>
        <v>8163.3689316239324</v>
      </c>
      <c r="D175" s="219">
        <f>'E) Fact soc'!G181/C175</f>
        <v>15.18487887361904</v>
      </c>
      <c r="E175" s="219">
        <f>'H) Péréquation directe'!I186/'H) Péréquation directe'!C186</f>
        <v>2.6603855005681978</v>
      </c>
      <c r="F175" s="214">
        <f>'I) Dépenses thématiques'!P175</f>
        <v>0</v>
      </c>
      <c r="G175" s="167">
        <f t="shared" si="15"/>
        <v>17.845264374187238</v>
      </c>
      <c r="H175" s="138">
        <f t="shared" si="12"/>
        <v>0</v>
      </c>
      <c r="I175" s="183">
        <f t="shared" si="14"/>
        <v>0</v>
      </c>
      <c r="J175" s="43">
        <f t="shared" si="13"/>
        <v>17.845264374187238</v>
      </c>
    </row>
    <row r="176" spans="1:10" x14ac:dyDescent="0.25">
      <c r="A176" s="61">
        <f>'A) Base RI'!A178</f>
        <v>5683</v>
      </c>
      <c r="B176" s="124" t="str">
        <f>'A) Base RI'!B178</f>
        <v>Prévonloup</v>
      </c>
      <c r="C176" s="135">
        <f>'B) D RI'!U178</f>
        <v>3618.5018918918922</v>
      </c>
      <c r="D176" s="219">
        <f>'E) Fact soc'!G182/C176</f>
        <v>16.486663658218248</v>
      </c>
      <c r="E176" s="219">
        <f>'H) Péréquation directe'!I187/'H) Péréquation directe'!C187</f>
        <v>-9.6015092607020858</v>
      </c>
      <c r="F176" s="214">
        <f>'I) Dépenses thématiques'!P176</f>
        <v>-4.7198952784179857</v>
      </c>
      <c r="G176" s="167">
        <f t="shared" si="15"/>
        <v>2.1652591190981765</v>
      </c>
      <c r="H176" s="138">
        <f t="shared" si="12"/>
        <v>0</v>
      </c>
      <c r="I176" s="183">
        <f t="shared" si="14"/>
        <v>0</v>
      </c>
      <c r="J176" s="43">
        <f t="shared" si="13"/>
        <v>2.1652591190981765</v>
      </c>
    </row>
    <row r="177" spans="1:10" x14ac:dyDescent="0.25">
      <c r="A177" s="61">
        <f>'A) Base RI'!A179</f>
        <v>5684</v>
      </c>
      <c r="B177" s="124" t="str">
        <f>'A) Base RI'!B179</f>
        <v>Rossenges</v>
      </c>
      <c r="C177" s="135">
        <f>'B) D RI'!U179</f>
        <v>2611.7396666666664</v>
      </c>
      <c r="D177" s="219">
        <f>'E) Fact soc'!G183/C177</f>
        <v>14.370166215682488</v>
      </c>
      <c r="E177" s="219">
        <f>'H) Péréquation directe'!I188/'H) Péréquation directe'!C188</f>
        <v>14.800243969699494</v>
      </c>
      <c r="F177" s="214">
        <f>'I) Dépenses thématiques'!P177</f>
        <v>0</v>
      </c>
      <c r="G177" s="167">
        <f t="shared" si="15"/>
        <v>29.170410185381982</v>
      </c>
      <c r="H177" s="138">
        <f t="shared" si="12"/>
        <v>0</v>
      </c>
      <c r="I177" s="183">
        <f t="shared" si="14"/>
        <v>0</v>
      </c>
      <c r="J177" s="43">
        <f t="shared" si="13"/>
        <v>29.170410185381982</v>
      </c>
    </row>
    <row r="178" spans="1:10" x14ac:dyDescent="0.25">
      <c r="A178" s="61">
        <f>'A) Base RI'!A180</f>
        <v>5686</v>
      </c>
      <c r="B178" s="124" t="str">
        <f>'A) Base RI'!B180</f>
        <v>Sarzens</v>
      </c>
      <c r="C178" s="135">
        <f>'B) D RI'!U180</f>
        <v>1857.3194594594593</v>
      </c>
      <c r="D178" s="219">
        <f>'E) Fact soc'!G184/C178</f>
        <v>19.119928005486511</v>
      </c>
      <c r="E178" s="219">
        <f>'H) Péréquation directe'!I189/'H) Péréquation directe'!C189</f>
        <v>-4.9208837921399047</v>
      </c>
      <c r="F178" s="214">
        <f>'I) Dépenses thématiques'!P178</f>
        <v>0</v>
      </c>
      <c r="G178" s="167">
        <f t="shared" si="15"/>
        <v>14.199044213346607</v>
      </c>
      <c r="H178" s="138">
        <f t="shared" si="12"/>
        <v>0</v>
      </c>
      <c r="I178" s="183">
        <f t="shared" si="14"/>
        <v>0</v>
      </c>
      <c r="J178" s="43">
        <f t="shared" si="13"/>
        <v>14.199044213346607</v>
      </c>
    </row>
    <row r="179" spans="1:10" x14ac:dyDescent="0.25">
      <c r="A179" s="61">
        <f>'A) Base RI'!A181</f>
        <v>5688</v>
      </c>
      <c r="B179" s="124" t="str">
        <f>'A) Base RI'!B181</f>
        <v>Syens</v>
      </c>
      <c r="C179" s="135">
        <f>'B) D RI'!U181</f>
        <v>5385.636772486775</v>
      </c>
      <c r="D179" s="219">
        <f>'E) Fact soc'!G185/C179</f>
        <v>16.99504152703263</v>
      </c>
      <c r="E179" s="219">
        <f>'H) Péréquation directe'!I190/'H) Péréquation directe'!C190</f>
        <v>13.074028349251503</v>
      </c>
      <c r="F179" s="214">
        <f>'I) Dépenses thématiques'!P179</f>
        <v>-1.3779237776679454</v>
      </c>
      <c r="G179" s="167">
        <f t="shared" si="15"/>
        <v>28.691146098616187</v>
      </c>
      <c r="H179" s="138">
        <f t="shared" si="12"/>
        <v>0</v>
      </c>
      <c r="I179" s="183">
        <f t="shared" si="14"/>
        <v>0</v>
      </c>
      <c r="J179" s="43">
        <f t="shared" si="13"/>
        <v>28.691146098616187</v>
      </c>
    </row>
    <row r="180" spans="1:10" x14ac:dyDescent="0.25">
      <c r="A180" s="61">
        <f>'A) Base RI'!A182</f>
        <v>5690</v>
      </c>
      <c r="B180" s="124" t="str">
        <f>'A) Base RI'!B182</f>
        <v>Villars-le-Comte</v>
      </c>
      <c r="C180" s="135">
        <f>'B) D RI'!U182</f>
        <v>3468.3659210526316</v>
      </c>
      <c r="D180" s="219">
        <f>'E) Fact soc'!G186/C180</f>
        <v>16.305263363091623</v>
      </c>
      <c r="E180" s="219">
        <f>'H) Péréquation directe'!I191/'H) Péréquation directe'!C191</f>
        <v>-6.1628327367442077</v>
      </c>
      <c r="F180" s="214">
        <f>'I) Dépenses thématiques'!P180</f>
        <v>-0.46737809657406088</v>
      </c>
      <c r="G180" s="167">
        <f t="shared" si="15"/>
        <v>9.6750525297733549</v>
      </c>
      <c r="H180" s="138">
        <f t="shared" si="12"/>
        <v>0</v>
      </c>
      <c r="I180" s="183">
        <f t="shared" si="14"/>
        <v>0</v>
      </c>
      <c r="J180" s="43">
        <f t="shared" si="13"/>
        <v>9.6750525297733549</v>
      </c>
    </row>
    <row r="181" spans="1:10" x14ac:dyDescent="0.25">
      <c r="A181" s="61">
        <f>'A) Base RI'!A183</f>
        <v>5692</v>
      </c>
      <c r="B181" s="124" t="str">
        <f>'A) Base RI'!B183</f>
        <v>Vucherens</v>
      </c>
      <c r="C181" s="135">
        <f>'B) D RI'!U183</f>
        <v>15125.888354430383</v>
      </c>
      <c r="D181" s="219">
        <f>'E) Fact soc'!G187/C181</f>
        <v>17.0527448549804</v>
      </c>
      <c r="E181" s="219">
        <f>'H) Péréquation directe'!I192/'H) Péréquation directe'!C192</f>
        <v>0.88453301784847616</v>
      </c>
      <c r="F181" s="214">
        <f>'I) Dépenses thématiques'!P181</f>
        <v>-4.2407165109239973</v>
      </c>
      <c r="G181" s="167">
        <f t="shared" si="15"/>
        <v>13.696561361904878</v>
      </c>
      <c r="H181" s="138">
        <f t="shared" si="12"/>
        <v>0</v>
      </c>
      <c r="I181" s="183">
        <f t="shared" si="14"/>
        <v>0</v>
      </c>
      <c r="J181" s="43">
        <f t="shared" si="13"/>
        <v>13.696561361904878</v>
      </c>
    </row>
    <row r="182" spans="1:10" x14ac:dyDescent="0.25">
      <c r="A182" s="61">
        <f>'A) Base RI'!A184</f>
        <v>5693</v>
      </c>
      <c r="B182" s="124" t="str">
        <f>'A) Base RI'!B184</f>
        <v>Montanaire</v>
      </c>
      <c r="C182" s="135">
        <f>'B) D RI'!U184</f>
        <v>62987.795555555575</v>
      </c>
      <c r="D182" s="219">
        <f>'E) Fact soc'!G188/C182</f>
        <v>17.420152063028997</v>
      </c>
      <c r="E182" s="219">
        <f>'H) Péréquation directe'!I193/'H) Péréquation directe'!C193</f>
        <v>-4.8526173784448074</v>
      </c>
      <c r="F182" s="214">
        <f>'I) Dépenses thématiques'!P182</f>
        <v>-6.9024195535482598</v>
      </c>
      <c r="G182" s="167">
        <f>SUM(D182:F182)</f>
        <v>5.6651151310359289</v>
      </c>
      <c r="H182" s="138">
        <f t="shared" si="12"/>
        <v>0</v>
      </c>
      <c r="I182" s="183">
        <f>H182*C182</f>
        <v>0</v>
      </c>
      <c r="J182" s="43">
        <f>G182+H182</f>
        <v>5.6651151310359289</v>
      </c>
    </row>
    <row r="183" spans="1:10" x14ac:dyDescent="0.25">
      <c r="A183" s="61">
        <f>'A) Base RI'!A185</f>
        <v>5701</v>
      </c>
      <c r="B183" s="124" t="str">
        <f>'A) Base RI'!B185</f>
        <v>Arnex-sur-Nyon</v>
      </c>
      <c r="C183" s="135">
        <f>'B) D RI'!U185</f>
        <v>14386.456307692306</v>
      </c>
      <c r="D183" s="219">
        <f>'E) Fact soc'!G189/C183</f>
        <v>19.787144768979246</v>
      </c>
      <c r="E183" s="219">
        <f>'H) Péréquation directe'!I194/'H) Péréquation directe'!C194</f>
        <v>16.944322402500546</v>
      </c>
      <c r="F183" s="214">
        <f>'I) Dépenses thématiques'!P183</f>
        <v>0</v>
      </c>
      <c r="G183" s="167">
        <f>SUM(D183:F183)</f>
        <v>36.731467171479792</v>
      </c>
      <c r="H183" s="138">
        <f t="shared" si="12"/>
        <v>0</v>
      </c>
      <c r="I183" s="183">
        <f>H183*C183</f>
        <v>0</v>
      </c>
      <c r="J183" s="43">
        <f>G183+H183</f>
        <v>36.731467171479792</v>
      </c>
    </row>
    <row r="184" spans="1:10" x14ac:dyDescent="0.25">
      <c r="A184" s="61">
        <f>'A) Base RI'!A186</f>
        <v>5702</v>
      </c>
      <c r="B184" s="124" t="str">
        <f>'A) Base RI'!B186</f>
        <v>Arzier-Le Muids</v>
      </c>
      <c r="C184" s="135">
        <f>'B) D RI'!U186</f>
        <v>137336.67807291666</v>
      </c>
      <c r="D184" s="219">
        <f>'E) Fact soc'!G190/C184</f>
        <v>17.571685767266196</v>
      </c>
      <c r="E184" s="219">
        <f>'H) Péréquation directe'!I195/'H) Péréquation directe'!C195</f>
        <v>13.970281775283743</v>
      </c>
      <c r="F184" s="214">
        <f>'I) Dépenses thématiques'!P184</f>
        <v>-1.9343857843833794</v>
      </c>
      <c r="G184" s="167">
        <f t="shared" si="15"/>
        <v>29.60758175816656</v>
      </c>
      <c r="H184" s="138">
        <f t="shared" si="12"/>
        <v>0</v>
      </c>
      <c r="I184" s="183">
        <f t="shared" si="14"/>
        <v>0</v>
      </c>
      <c r="J184" s="43">
        <f t="shared" si="13"/>
        <v>29.60758175816656</v>
      </c>
    </row>
    <row r="185" spans="1:10" x14ac:dyDescent="0.25">
      <c r="A185" s="61">
        <f>'A) Base RI'!A187</f>
        <v>5703</v>
      </c>
      <c r="B185" s="124" t="str">
        <f>'A) Base RI'!B187</f>
        <v>Bassins</v>
      </c>
      <c r="C185" s="135">
        <f>'B) D RI'!U187</f>
        <v>51617.647746478862</v>
      </c>
      <c r="D185" s="219">
        <f>'E) Fact soc'!G191/C185</f>
        <v>16.620102915053341</v>
      </c>
      <c r="E185" s="219">
        <f>'H) Péréquation directe'!I196/'H) Péréquation directe'!C196</f>
        <v>12.107936321374089</v>
      </c>
      <c r="F185" s="214">
        <f>'I) Dépenses thématiques'!P185</f>
        <v>-6.527979098858486</v>
      </c>
      <c r="G185" s="167">
        <f t="shared" si="15"/>
        <v>22.20006013756894</v>
      </c>
      <c r="H185" s="138">
        <f t="shared" si="12"/>
        <v>0</v>
      </c>
      <c r="I185" s="183">
        <f t="shared" si="14"/>
        <v>0</v>
      </c>
      <c r="J185" s="43">
        <f t="shared" si="13"/>
        <v>22.20006013756894</v>
      </c>
    </row>
    <row r="186" spans="1:10" x14ac:dyDescent="0.25">
      <c r="A186" s="61">
        <f>'A) Base RI'!A188</f>
        <v>5704</v>
      </c>
      <c r="B186" s="124" t="str">
        <f>'A) Base RI'!B188</f>
        <v>Begnins</v>
      </c>
      <c r="C186" s="135">
        <f>'B) D RI'!U188</f>
        <v>109192.54039800997</v>
      </c>
      <c r="D186" s="219">
        <f>'E) Fact soc'!G192/C186</f>
        <v>34.122473426471352</v>
      </c>
      <c r="E186" s="219">
        <f>'H) Péréquation directe'!I197/'H) Péréquation directe'!C197</f>
        <v>14.920425244027999</v>
      </c>
      <c r="F186" s="214">
        <f>'I) Dépenses thématiques'!P186</f>
        <v>0</v>
      </c>
      <c r="G186" s="167">
        <f t="shared" si="15"/>
        <v>49.042898670499355</v>
      </c>
      <c r="H186" s="138">
        <f t="shared" si="12"/>
        <v>0</v>
      </c>
      <c r="I186" s="183">
        <f t="shared" si="14"/>
        <v>0</v>
      </c>
      <c r="J186" s="43">
        <f t="shared" si="13"/>
        <v>49.042898670499355</v>
      </c>
    </row>
    <row r="187" spans="1:10" x14ac:dyDescent="0.25">
      <c r="A187" s="61">
        <f>'A) Base RI'!A189</f>
        <v>5705</v>
      </c>
      <c r="B187" s="124" t="str">
        <f>'A) Base RI'!B189</f>
        <v>Bogis-Bossey</v>
      </c>
      <c r="C187" s="135">
        <f>'B) D RI'!U189</f>
        <v>49393.857499999991</v>
      </c>
      <c r="D187" s="219">
        <f>'E) Fact soc'!G193/C187</f>
        <v>19.383531659850867</v>
      </c>
      <c r="E187" s="219">
        <f>'H) Péréquation directe'!I198/'H) Péréquation directe'!C198</f>
        <v>16.780381462665073</v>
      </c>
      <c r="F187" s="214">
        <f>'I) Dépenses thématiques'!P187</f>
        <v>0</v>
      </c>
      <c r="G187" s="167">
        <f t="shared" si="15"/>
        <v>36.163913122515936</v>
      </c>
      <c r="H187" s="138">
        <f t="shared" si="12"/>
        <v>0</v>
      </c>
      <c r="I187" s="183">
        <f t="shared" si="14"/>
        <v>0</v>
      </c>
      <c r="J187" s="43">
        <f t="shared" si="13"/>
        <v>36.163913122515936</v>
      </c>
    </row>
    <row r="188" spans="1:10" x14ac:dyDescent="0.25">
      <c r="A188" s="61">
        <f>'A) Base RI'!A190</f>
        <v>5706</v>
      </c>
      <c r="B188" s="124" t="str">
        <f>'A) Base RI'!B190</f>
        <v>Borex</v>
      </c>
      <c r="C188" s="135">
        <f>'B) D RI'!U190</f>
        <v>61064.931696969696</v>
      </c>
      <c r="D188" s="219">
        <f>'E) Fact soc'!G194/C188</f>
        <v>21.381169640403691</v>
      </c>
      <c r="E188" s="219">
        <f>'H) Péréquation directe'!I199/'H) Péréquation directe'!C199</f>
        <v>16.552868496283057</v>
      </c>
      <c r="F188" s="214">
        <f>'I) Dépenses thématiques'!P188</f>
        <v>0</v>
      </c>
      <c r="G188" s="167">
        <f t="shared" si="15"/>
        <v>37.934038136686752</v>
      </c>
      <c r="H188" s="138">
        <f t="shared" si="12"/>
        <v>0</v>
      </c>
      <c r="I188" s="183">
        <f t="shared" si="14"/>
        <v>0</v>
      </c>
      <c r="J188" s="43">
        <f t="shared" si="13"/>
        <v>37.934038136686752</v>
      </c>
    </row>
    <row r="189" spans="1:10" x14ac:dyDescent="0.25">
      <c r="A189" s="61">
        <f>'A) Base RI'!A191</f>
        <v>5707</v>
      </c>
      <c r="B189" s="124" t="str">
        <f>'A) Base RI'!B191</f>
        <v>Chavannes-de-Bogis</v>
      </c>
      <c r="C189" s="135">
        <f>'B) D RI'!U191</f>
        <v>90099.169661016946</v>
      </c>
      <c r="D189" s="219">
        <f>'E) Fact soc'!G195/C189</f>
        <v>21.717865100799184</v>
      </c>
      <c r="E189" s="219">
        <f>'H) Péréquation directe'!I200/'H) Péréquation directe'!C200</f>
        <v>16.56889290965216</v>
      </c>
      <c r="F189" s="214">
        <f>'I) Dépenses thématiques'!P189</f>
        <v>0</v>
      </c>
      <c r="G189" s="167">
        <f t="shared" si="15"/>
        <v>38.286758010451344</v>
      </c>
      <c r="H189" s="138">
        <f t="shared" si="12"/>
        <v>0</v>
      </c>
      <c r="I189" s="183">
        <f t="shared" si="14"/>
        <v>0</v>
      </c>
      <c r="J189" s="43">
        <f t="shared" si="13"/>
        <v>38.286758010451344</v>
      </c>
    </row>
    <row r="190" spans="1:10" x14ac:dyDescent="0.25">
      <c r="A190" s="61">
        <f>'A) Base RI'!A192</f>
        <v>5708</v>
      </c>
      <c r="B190" s="124" t="str">
        <f>'A) Base RI'!B192</f>
        <v>Chavannes-des-Bois</v>
      </c>
      <c r="C190" s="135">
        <f>'B) D RI'!U192</f>
        <v>61956.418196721308</v>
      </c>
      <c r="D190" s="219">
        <f>'E) Fact soc'!G196/C190</f>
        <v>23.126862883746934</v>
      </c>
      <c r="E190" s="219">
        <f>'H) Péréquation directe'!I201/'H) Péréquation directe'!C201</f>
        <v>17.03755485699967</v>
      </c>
      <c r="F190" s="214">
        <f>'I) Dépenses thématiques'!P190</f>
        <v>0</v>
      </c>
      <c r="G190" s="167">
        <f t="shared" si="15"/>
        <v>40.1644177407466</v>
      </c>
      <c r="H190" s="138">
        <f t="shared" si="12"/>
        <v>0</v>
      </c>
      <c r="I190" s="183">
        <f t="shared" si="14"/>
        <v>0</v>
      </c>
      <c r="J190" s="43">
        <f t="shared" si="13"/>
        <v>40.1644177407466</v>
      </c>
    </row>
    <row r="191" spans="1:10" x14ac:dyDescent="0.25">
      <c r="A191" s="61">
        <f>'A) Base RI'!A193</f>
        <v>5709</v>
      </c>
      <c r="B191" s="124" t="str">
        <f>'A) Base RI'!B193</f>
        <v>Chéserex</v>
      </c>
      <c r="C191" s="135">
        <f>'B) D RI'!U193</f>
        <v>139220.21615384615</v>
      </c>
      <c r="D191" s="219">
        <f>'E) Fact soc'!G197/C191</f>
        <v>24.589031989467145</v>
      </c>
      <c r="E191" s="219">
        <f>'H) Péréquation directe'!I202/'H) Péréquation directe'!C202</f>
        <v>16.949105090955566</v>
      </c>
      <c r="F191" s="214">
        <f>'I) Dépenses thématiques'!P191</f>
        <v>0</v>
      </c>
      <c r="G191" s="167">
        <f t="shared" si="15"/>
        <v>41.538137080422715</v>
      </c>
      <c r="H191" s="138">
        <f t="shared" si="12"/>
        <v>0</v>
      </c>
      <c r="I191" s="183">
        <f t="shared" si="14"/>
        <v>0</v>
      </c>
      <c r="J191" s="43">
        <f t="shared" si="13"/>
        <v>41.538137080422715</v>
      </c>
    </row>
    <row r="192" spans="1:10" x14ac:dyDescent="0.25">
      <c r="A192" s="61">
        <f>'A) Base RI'!A194</f>
        <v>5710</v>
      </c>
      <c r="B192" s="124" t="str">
        <f>'A) Base RI'!B194</f>
        <v>Coinsins</v>
      </c>
      <c r="C192" s="135">
        <f>'B) D RI'!U194</f>
        <v>112738.70512195122</v>
      </c>
      <c r="D192" s="219">
        <f>'E) Fact soc'!G198/C192</f>
        <v>28.029780144271765</v>
      </c>
      <c r="E192" s="219">
        <f>'H) Péréquation directe'!I203/'H) Péréquation directe'!C203</f>
        <v>17.771640302795539</v>
      </c>
      <c r="F192" s="214">
        <f>'I) Dépenses thématiques'!P192</f>
        <v>0</v>
      </c>
      <c r="G192" s="167">
        <f t="shared" si="15"/>
        <v>45.801420447067301</v>
      </c>
      <c r="H192" s="138">
        <f t="shared" si="12"/>
        <v>0</v>
      </c>
      <c r="I192" s="183">
        <f t="shared" si="14"/>
        <v>0</v>
      </c>
      <c r="J192" s="43">
        <f t="shared" si="13"/>
        <v>45.801420447067301</v>
      </c>
    </row>
    <row r="193" spans="1:10" x14ac:dyDescent="0.25">
      <c r="A193" s="61">
        <f>'A) Base RI'!A195</f>
        <v>5711</v>
      </c>
      <c r="B193" s="124" t="str">
        <f>'A) Base RI'!B195</f>
        <v>Commugny</v>
      </c>
      <c r="C193" s="135">
        <f>'B) D RI'!U195</f>
        <v>236913.245596817</v>
      </c>
      <c r="D193" s="219">
        <f>'E) Fact soc'!G199/C193</f>
        <v>23.749359801386472</v>
      </c>
      <c r="E193" s="219">
        <f>'H) Péréquation directe'!I204/'H) Péréquation directe'!C204</f>
        <v>15.190610912622869</v>
      </c>
      <c r="F193" s="214">
        <f>'I) Dépenses thématiques'!P193</f>
        <v>0</v>
      </c>
      <c r="G193" s="167">
        <f t="shared" si="15"/>
        <v>38.939970714009341</v>
      </c>
      <c r="H193" s="138">
        <f t="shared" si="12"/>
        <v>0</v>
      </c>
      <c r="I193" s="183">
        <f t="shared" si="14"/>
        <v>0</v>
      </c>
      <c r="J193" s="43">
        <f t="shared" si="13"/>
        <v>38.939970714009341</v>
      </c>
    </row>
    <row r="194" spans="1:10" x14ac:dyDescent="0.25">
      <c r="A194" s="61">
        <f>'A) Base RI'!A196</f>
        <v>5712</v>
      </c>
      <c r="B194" s="124" t="str">
        <f>'A) Base RI'!B196</f>
        <v>Coppet</v>
      </c>
      <c r="C194" s="135">
        <f>'B) D RI'!U196</f>
        <v>309642.37182389939</v>
      </c>
      <c r="D194" s="219">
        <f>'E) Fact soc'!G200/C194</f>
        <v>26.748320492087586</v>
      </c>
      <c r="E194" s="219">
        <f>'H) Péréquation directe'!I205/'H) Péréquation directe'!C205</f>
        <v>15.30270283968424</v>
      </c>
      <c r="F194" s="214">
        <f>'I) Dépenses thématiques'!P194</f>
        <v>0</v>
      </c>
      <c r="G194" s="167">
        <f t="shared" si="15"/>
        <v>42.05102333177183</v>
      </c>
      <c r="H194" s="138">
        <f t="shared" si="12"/>
        <v>0</v>
      </c>
      <c r="I194" s="183">
        <f t="shared" si="14"/>
        <v>0</v>
      </c>
      <c r="J194" s="43">
        <f t="shared" si="13"/>
        <v>42.05102333177183</v>
      </c>
    </row>
    <row r="195" spans="1:10" x14ac:dyDescent="0.25">
      <c r="A195" s="61">
        <f>'A) Base RI'!A197</f>
        <v>5713</v>
      </c>
      <c r="B195" s="124" t="str">
        <f>'A) Base RI'!B197</f>
        <v>Crans-près-Céligny</v>
      </c>
      <c r="C195" s="135">
        <f>'B) D RI'!U197</f>
        <v>259331.62150943396</v>
      </c>
      <c r="D195" s="219">
        <f>'E) Fact soc'!G201/C195</f>
        <v>27.586759442225208</v>
      </c>
      <c r="E195" s="219">
        <f>'H) Péréquation directe'!I206/'H) Péréquation directe'!C206</f>
        <v>16.031604733889608</v>
      </c>
      <c r="F195" s="214">
        <f>'I) Dépenses thématiques'!P195</f>
        <v>0</v>
      </c>
      <c r="G195" s="167">
        <f t="shared" si="15"/>
        <v>43.618364176114817</v>
      </c>
      <c r="H195" s="138">
        <f t="shared" si="12"/>
        <v>0</v>
      </c>
      <c r="I195" s="183">
        <f t="shared" si="14"/>
        <v>0</v>
      </c>
      <c r="J195" s="43">
        <f t="shared" si="13"/>
        <v>43.618364176114817</v>
      </c>
    </row>
    <row r="196" spans="1:10" x14ac:dyDescent="0.25">
      <c r="A196" s="61">
        <f>'A) Base RI'!A198</f>
        <v>5714</v>
      </c>
      <c r="B196" s="124" t="str">
        <f>'A) Base RI'!B198</f>
        <v>Crassier</v>
      </c>
      <c r="C196" s="135">
        <f>'B) D RI'!U198</f>
        <v>74990.560937499991</v>
      </c>
      <c r="D196" s="219">
        <f>'E) Fact soc'!G202/C196</f>
        <v>19.599771726969564</v>
      </c>
      <c r="E196" s="219">
        <f>'H) Péréquation directe'!I207/'H) Péréquation directe'!C207</f>
        <v>16.39593346456304</v>
      </c>
      <c r="F196" s="214">
        <f>'I) Dépenses thématiques'!P196</f>
        <v>0</v>
      </c>
      <c r="G196" s="167">
        <f t="shared" si="15"/>
        <v>35.995705191532608</v>
      </c>
      <c r="H196" s="138">
        <f t="shared" si="12"/>
        <v>0</v>
      </c>
      <c r="I196" s="183">
        <f t="shared" si="14"/>
        <v>0</v>
      </c>
      <c r="J196" s="43">
        <f t="shared" si="13"/>
        <v>35.995705191532608</v>
      </c>
    </row>
    <row r="197" spans="1:10" x14ac:dyDescent="0.25">
      <c r="A197" s="61">
        <f>'A) Base RI'!A199</f>
        <v>5715</v>
      </c>
      <c r="B197" s="124" t="str">
        <f>'A) Base RI'!B199</f>
        <v>Duillier</v>
      </c>
      <c r="C197" s="135">
        <f>'B) D RI'!U199</f>
        <v>58313.27166666666</v>
      </c>
      <c r="D197" s="219">
        <f>'E) Fact soc'!G203/C197</f>
        <v>20.731741994897146</v>
      </c>
      <c r="E197" s="219">
        <f>'H) Péréquation directe'!I208/'H) Péréquation directe'!C208</f>
        <v>16.759704740794533</v>
      </c>
      <c r="F197" s="214">
        <f>'I) Dépenses thématiques'!P197</f>
        <v>0</v>
      </c>
      <c r="G197" s="167">
        <f t="shared" si="15"/>
        <v>37.491446735691682</v>
      </c>
      <c r="H197" s="138">
        <f t="shared" si="12"/>
        <v>0</v>
      </c>
      <c r="I197" s="183">
        <f t="shared" si="14"/>
        <v>0</v>
      </c>
      <c r="J197" s="43">
        <f t="shared" si="13"/>
        <v>37.491446735691682</v>
      </c>
    </row>
    <row r="198" spans="1:10" x14ac:dyDescent="0.25">
      <c r="A198" s="61">
        <f>'A) Base RI'!A200</f>
        <v>5716</v>
      </c>
      <c r="B198" s="124" t="str">
        <f>'A) Base RI'!B200</f>
        <v>Eysins</v>
      </c>
      <c r="C198" s="135">
        <f>'B) D RI'!U200</f>
        <v>124360.51655737706</v>
      </c>
      <c r="D198" s="219">
        <f>'E) Fact soc'!G204/C198</f>
        <v>24.16742818551937</v>
      </c>
      <c r="E198" s="219">
        <f>'H) Péréquation directe'!I209/'H) Péréquation directe'!C209</f>
        <v>16.031501508661165</v>
      </c>
      <c r="F198" s="214">
        <f>'I) Dépenses thématiques'!P198</f>
        <v>0</v>
      </c>
      <c r="G198" s="167">
        <f t="shared" si="15"/>
        <v>40.198929694180535</v>
      </c>
      <c r="H198" s="138">
        <f t="shared" si="12"/>
        <v>0</v>
      </c>
      <c r="I198" s="183">
        <f t="shared" si="14"/>
        <v>0</v>
      </c>
      <c r="J198" s="43">
        <f t="shared" si="13"/>
        <v>40.198929694180535</v>
      </c>
    </row>
    <row r="199" spans="1:10" x14ac:dyDescent="0.25">
      <c r="A199" s="61">
        <f>'A) Base RI'!A201</f>
        <v>5717</v>
      </c>
      <c r="B199" s="124" t="str">
        <f>'A) Base RI'!B201</f>
        <v>Founex</v>
      </c>
      <c r="C199" s="135">
        <f>'B) D RI'!U201</f>
        <v>345595.68736842106</v>
      </c>
      <c r="D199" s="219">
        <f>'E) Fact soc'!G205/C199</f>
        <v>26.784148674239248</v>
      </c>
      <c r="E199" s="219">
        <f>'H) Péréquation directe'!I210/'H) Péréquation directe'!C210</f>
        <v>14.914104928597268</v>
      </c>
      <c r="F199" s="214">
        <f>'I) Dépenses thématiques'!P199</f>
        <v>0</v>
      </c>
      <c r="G199" s="167">
        <f t="shared" si="15"/>
        <v>41.698253602836516</v>
      </c>
      <c r="H199" s="138">
        <f t="shared" si="12"/>
        <v>0</v>
      </c>
      <c r="I199" s="183">
        <f t="shared" si="14"/>
        <v>0</v>
      </c>
      <c r="J199" s="43">
        <f t="shared" si="13"/>
        <v>41.698253602836516</v>
      </c>
    </row>
    <row r="200" spans="1:10" x14ac:dyDescent="0.25">
      <c r="A200" s="61">
        <f>'A) Base RI'!A202</f>
        <v>5718</v>
      </c>
      <c r="B200" s="124" t="str">
        <f>'A) Base RI'!B202</f>
        <v>Genolier</v>
      </c>
      <c r="C200" s="135">
        <f>'B) D RI'!U202</f>
        <v>147563.83054545455</v>
      </c>
      <c r="D200" s="219">
        <f>'E) Fact soc'!G206/C200</f>
        <v>23.040249870619192</v>
      </c>
      <c r="E200" s="219">
        <f>'H) Péréquation directe'!I211/'H) Péréquation directe'!C211</f>
        <v>15.359401201641495</v>
      </c>
      <c r="F200" s="214">
        <f>'I) Dépenses thématiques'!P200</f>
        <v>-1.4263572327187319E-2</v>
      </c>
      <c r="G200" s="167">
        <f t="shared" si="15"/>
        <v>38.385387499933501</v>
      </c>
      <c r="H200" s="138">
        <f t="shared" si="12"/>
        <v>0</v>
      </c>
      <c r="I200" s="183">
        <f t="shared" si="14"/>
        <v>0</v>
      </c>
      <c r="J200" s="43">
        <f t="shared" si="13"/>
        <v>38.385387499933501</v>
      </c>
    </row>
    <row r="201" spans="1:10" x14ac:dyDescent="0.25">
      <c r="A201" s="61">
        <f>'A) Base RI'!A203</f>
        <v>5719</v>
      </c>
      <c r="B201" s="124" t="str">
        <f>'A) Base RI'!B203</f>
        <v>Gingins</v>
      </c>
      <c r="C201" s="135">
        <f>'B) D RI'!U203</f>
        <v>96514.726140350875</v>
      </c>
      <c r="D201" s="219">
        <f>'E) Fact soc'!G207/C201</f>
        <v>23.320496067297288</v>
      </c>
      <c r="E201" s="219">
        <f>'H) Péréquation directe'!I212/'H) Péréquation directe'!C212</f>
        <v>16.476194215765055</v>
      </c>
      <c r="F201" s="214">
        <f>'I) Dépenses thématiques'!P201</f>
        <v>0</v>
      </c>
      <c r="G201" s="167">
        <f t="shared" si="15"/>
        <v>39.796690283062347</v>
      </c>
      <c r="H201" s="138">
        <f t="shared" si="12"/>
        <v>0</v>
      </c>
      <c r="I201" s="183">
        <f t="shared" si="14"/>
        <v>0</v>
      </c>
      <c r="J201" s="43">
        <f t="shared" si="13"/>
        <v>39.796690283062347</v>
      </c>
    </row>
    <row r="202" spans="1:10" x14ac:dyDescent="0.25">
      <c r="A202" s="61">
        <f>'A) Base RI'!A204</f>
        <v>5720</v>
      </c>
      <c r="B202" s="124" t="str">
        <f>'A) Base RI'!B204</f>
        <v>Givrins</v>
      </c>
      <c r="C202" s="135">
        <f>'B) D RI'!U204</f>
        <v>81037.865428051009</v>
      </c>
      <c r="D202" s="219">
        <f>'E) Fact soc'!G208/C202</f>
        <v>25.95052506858956</v>
      </c>
      <c r="E202" s="219">
        <f>'H) Péréquation directe'!I213/'H) Péréquation directe'!C213</f>
        <v>17.11065596165075</v>
      </c>
      <c r="F202" s="214">
        <f>'I) Dépenses thématiques'!P202</f>
        <v>-0.43878713294403499</v>
      </c>
      <c r="G202" s="167">
        <f t="shared" si="15"/>
        <v>42.62239389729627</v>
      </c>
      <c r="H202" s="138">
        <f t="shared" si="12"/>
        <v>0</v>
      </c>
      <c r="I202" s="183">
        <f t="shared" si="14"/>
        <v>0</v>
      </c>
      <c r="J202" s="43">
        <f t="shared" si="13"/>
        <v>42.62239389729627</v>
      </c>
    </row>
    <row r="203" spans="1:10" x14ac:dyDescent="0.25">
      <c r="A203" s="61">
        <f>'A) Base RI'!A205</f>
        <v>5721</v>
      </c>
      <c r="B203" s="124" t="str">
        <f>'A) Base RI'!B205</f>
        <v>Gland</v>
      </c>
      <c r="C203" s="135">
        <f>'B) D RI'!U205</f>
        <v>556574.85335272714</v>
      </c>
      <c r="D203" s="219">
        <f>'E) Fact soc'!G209/C203</f>
        <v>22.108984856255006</v>
      </c>
      <c r="E203" s="219">
        <f>'H) Péréquation directe'!I214/'H) Péréquation directe'!C214</f>
        <v>5.3055259464961901</v>
      </c>
      <c r="F203" s="214">
        <f>'I) Dépenses thématiques'!P203</f>
        <v>0</v>
      </c>
      <c r="G203" s="167">
        <f t="shared" si="15"/>
        <v>27.414510802751195</v>
      </c>
      <c r="H203" s="138">
        <f t="shared" si="12"/>
        <v>0</v>
      </c>
      <c r="I203" s="183">
        <f t="shared" si="14"/>
        <v>0</v>
      </c>
      <c r="J203" s="43">
        <f t="shared" si="13"/>
        <v>27.414510802751195</v>
      </c>
    </row>
    <row r="204" spans="1:10" x14ac:dyDescent="0.25">
      <c r="A204" s="61">
        <f>'A) Base RI'!A206</f>
        <v>5722</v>
      </c>
      <c r="B204" s="124" t="str">
        <f>'A) Base RI'!B206</f>
        <v>Grens</v>
      </c>
      <c r="C204" s="135">
        <f>'B) D RI'!U206</f>
        <v>25010.62</v>
      </c>
      <c r="D204" s="219">
        <f>'E) Fact soc'!G210/C204</f>
        <v>17.719091693978537</v>
      </c>
      <c r="E204" s="219">
        <f>'H) Péréquation directe'!I215/'H) Péréquation directe'!C215</f>
        <v>16.891850433903961</v>
      </c>
      <c r="F204" s="214">
        <f>'I) Dépenses thématiques'!P204</f>
        <v>0</v>
      </c>
      <c r="G204" s="167">
        <f t="shared" si="15"/>
        <v>34.610942127882495</v>
      </c>
      <c r="H204" s="138">
        <f t="shared" si="12"/>
        <v>0</v>
      </c>
      <c r="I204" s="183">
        <f t="shared" si="14"/>
        <v>0</v>
      </c>
      <c r="J204" s="43">
        <f t="shared" si="13"/>
        <v>34.610942127882495</v>
      </c>
    </row>
    <row r="205" spans="1:10" x14ac:dyDescent="0.25">
      <c r="A205" s="61">
        <f>'A) Base RI'!A207</f>
        <v>5723</v>
      </c>
      <c r="B205" s="124" t="str">
        <f>'A) Base RI'!B207</f>
        <v>Mies</v>
      </c>
      <c r="C205" s="135">
        <f>'B) D RI'!U207</f>
        <v>265838.70510204078</v>
      </c>
      <c r="D205" s="219">
        <f>'E) Fact soc'!G211/C205</f>
        <v>27.780865813955117</v>
      </c>
      <c r="E205" s="219">
        <f>'H) Péréquation directe'!I216/'H) Péréquation directe'!C216</f>
        <v>16.426474683332202</v>
      </c>
      <c r="F205" s="214">
        <f>'I) Dépenses thématiques'!P205</f>
        <v>0</v>
      </c>
      <c r="G205" s="167">
        <f>SUM(D205:F205)</f>
        <v>44.207340497287319</v>
      </c>
      <c r="H205" s="138">
        <f t="shared" si="12"/>
        <v>0</v>
      </c>
      <c r="I205" s="183">
        <f>H205*C205</f>
        <v>0</v>
      </c>
      <c r="J205" s="43">
        <f t="shared" si="13"/>
        <v>44.207340497287319</v>
      </c>
    </row>
    <row r="206" spans="1:10" x14ac:dyDescent="0.25">
      <c r="A206" s="61">
        <f>'A) Base RI'!A208</f>
        <v>5724</v>
      </c>
      <c r="B206" s="124" t="str">
        <f>'A) Base RI'!B208</f>
        <v>Nyon</v>
      </c>
      <c r="C206" s="135">
        <f>'B) D RI'!U208</f>
        <v>1373447.3453593946</v>
      </c>
      <c r="D206" s="219">
        <f>'E) Fact soc'!G212/C206</f>
        <v>20.892413124051387</v>
      </c>
      <c r="E206" s="219">
        <f>'H) Péréquation directe'!I217/'H) Péréquation directe'!C217</f>
        <v>6.9254238089160065</v>
      </c>
      <c r="F206" s="214">
        <f>'I) Dépenses thématiques'!P206</f>
        <v>-0.24913201715275249</v>
      </c>
      <c r="G206" s="167">
        <f t="shared" si="15"/>
        <v>27.568704915814642</v>
      </c>
      <c r="H206" s="138">
        <f t="shared" si="12"/>
        <v>0</v>
      </c>
      <c r="I206" s="183">
        <f t="shared" si="14"/>
        <v>0</v>
      </c>
      <c r="J206" s="43">
        <f t="shared" si="13"/>
        <v>27.568704915814642</v>
      </c>
    </row>
    <row r="207" spans="1:10" x14ac:dyDescent="0.25">
      <c r="A207" s="61">
        <f>'A) Base RI'!A209</f>
        <v>5725</v>
      </c>
      <c r="B207" s="124" t="str">
        <f>'A) Base RI'!B209</f>
        <v>Prangins</v>
      </c>
      <c r="C207" s="135">
        <f>'B) D RI'!U209</f>
        <v>279071.20818877552</v>
      </c>
      <c r="D207" s="219">
        <f>'E) Fact soc'!G213/C207</f>
        <v>21.950305953220383</v>
      </c>
      <c r="E207" s="219">
        <f>'H) Péréquation directe'!I218/'H) Péréquation directe'!C218</f>
        <v>13.52462372805023</v>
      </c>
      <c r="F207" s="214">
        <f>'I) Dépenses thématiques'!P207</f>
        <v>0</v>
      </c>
      <c r="G207" s="167">
        <f t="shared" si="15"/>
        <v>35.474929681270609</v>
      </c>
      <c r="H207" s="138">
        <f t="shared" si="12"/>
        <v>0</v>
      </c>
      <c r="I207" s="183">
        <f t="shared" si="14"/>
        <v>0</v>
      </c>
      <c r="J207" s="43">
        <f t="shared" si="13"/>
        <v>35.474929681270609</v>
      </c>
    </row>
    <row r="208" spans="1:10" x14ac:dyDescent="0.25">
      <c r="A208" s="61">
        <f>'A) Base RI'!A210</f>
        <v>5726</v>
      </c>
      <c r="B208" s="124" t="str">
        <f>'A) Base RI'!B210</f>
        <v>La Rippe</v>
      </c>
      <c r="C208" s="135">
        <f>'B) D RI'!U210</f>
        <v>60430.074769230778</v>
      </c>
      <c r="D208" s="219">
        <f>'E) Fact soc'!G214/C208</f>
        <v>17.672484817174766</v>
      </c>
      <c r="E208" s="219">
        <f>'H) Péréquation directe'!I219/'H) Péréquation directe'!C219</f>
        <v>16.256049111749199</v>
      </c>
      <c r="F208" s="214">
        <f>'I) Dépenses thématiques'!P208</f>
        <v>-8.8834178232151482E-3</v>
      </c>
      <c r="G208" s="167">
        <f t="shared" si="15"/>
        <v>33.919650511100755</v>
      </c>
      <c r="H208" s="138">
        <f t="shared" si="12"/>
        <v>0</v>
      </c>
      <c r="I208" s="183">
        <f t="shared" si="14"/>
        <v>0</v>
      </c>
      <c r="J208" s="43">
        <f t="shared" si="13"/>
        <v>33.919650511100755</v>
      </c>
    </row>
    <row r="209" spans="1:10" x14ac:dyDescent="0.25">
      <c r="A209" s="61">
        <f>'A) Base RI'!A211</f>
        <v>5727</v>
      </c>
      <c r="B209" s="124" t="str">
        <f>'A) Base RI'!B211</f>
        <v>Saint-Cergue</v>
      </c>
      <c r="C209" s="135">
        <f>'B) D RI'!U211</f>
        <v>92384.571565656559</v>
      </c>
      <c r="D209" s="219">
        <f>'E) Fact soc'!G215/C209</f>
        <v>18.190293473069655</v>
      </c>
      <c r="E209" s="219">
        <f>'H) Péréquation directe'!I220/'H) Péréquation directe'!C220</f>
        <v>9.7881561484888877</v>
      </c>
      <c r="F209" s="214">
        <f>'I) Dépenses thématiques'!P209</f>
        <v>-1.8368931935660056</v>
      </c>
      <c r="G209" s="167">
        <f t="shared" si="15"/>
        <v>26.141556427992537</v>
      </c>
      <c r="H209" s="138">
        <f t="shared" si="12"/>
        <v>0</v>
      </c>
      <c r="I209" s="183">
        <f t="shared" si="14"/>
        <v>0</v>
      </c>
      <c r="J209" s="43">
        <f t="shared" si="13"/>
        <v>26.141556427992537</v>
      </c>
    </row>
    <row r="210" spans="1:10" x14ac:dyDescent="0.25">
      <c r="A210" s="61">
        <f>'A) Base RI'!A212</f>
        <v>5728</v>
      </c>
      <c r="B210" s="124" t="str">
        <f>'A) Base RI'!B212</f>
        <v>Signy-Avenex</v>
      </c>
      <c r="C210" s="135">
        <f>'B) D RI'!U212</f>
        <v>31185.312142857143</v>
      </c>
      <c r="D210" s="219">
        <f>'E) Fact soc'!G216/C210</f>
        <v>21.559155117748269</v>
      </c>
      <c r="E210" s="219">
        <f>'H) Péréquation directe'!I221/'H) Péréquation directe'!C221</f>
        <v>16.875440571859283</v>
      </c>
      <c r="F210" s="214">
        <f>'I) Dépenses thématiques'!P210</f>
        <v>0</v>
      </c>
      <c r="G210" s="167">
        <f t="shared" si="15"/>
        <v>38.434595689607548</v>
      </c>
      <c r="H210" s="138">
        <f t="shared" si="12"/>
        <v>0</v>
      </c>
      <c r="I210" s="183">
        <f t="shared" si="14"/>
        <v>0</v>
      </c>
      <c r="J210" s="43">
        <f t="shared" si="13"/>
        <v>38.434595689607548</v>
      </c>
    </row>
    <row r="211" spans="1:10" x14ac:dyDescent="0.25">
      <c r="A211" s="61">
        <f>'A) Base RI'!A213</f>
        <v>5729</v>
      </c>
      <c r="B211" s="124" t="str">
        <f>'A) Base RI'!B213</f>
        <v>Tannay</v>
      </c>
      <c r="C211" s="135">
        <f>'B) D RI'!U213</f>
        <v>138438.0717486339</v>
      </c>
      <c r="D211" s="219">
        <f>'E) Fact soc'!G217/C211</f>
        <v>25.041482353618555</v>
      </c>
      <c r="E211" s="219">
        <f>'H) Péréquation directe'!I222/'H) Péréquation directe'!C222</f>
        <v>16.237059565626083</v>
      </c>
      <c r="F211" s="214">
        <f>'I) Dépenses thématiques'!P211</f>
        <v>0</v>
      </c>
      <c r="G211" s="167">
        <f t="shared" si="15"/>
        <v>41.278541919244638</v>
      </c>
      <c r="H211" s="138">
        <f t="shared" si="12"/>
        <v>0</v>
      </c>
      <c r="I211" s="183">
        <f t="shared" si="14"/>
        <v>0</v>
      </c>
      <c r="J211" s="43">
        <f t="shared" si="13"/>
        <v>41.278541919244638</v>
      </c>
    </row>
    <row r="212" spans="1:10" x14ac:dyDescent="0.25">
      <c r="A212" s="61">
        <f>'A) Base RI'!A214</f>
        <v>5730</v>
      </c>
      <c r="B212" s="124" t="str">
        <f>'A) Base RI'!B214</f>
        <v>Trélex</v>
      </c>
      <c r="C212" s="135">
        <f>'B) D RI'!U214</f>
        <v>149022.17830188677</v>
      </c>
      <c r="D212" s="219">
        <f>'E) Fact soc'!G218/C212</f>
        <v>24.18785269450753</v>
      </c>
      <c r="E212" s="219">
        <f>'H) Péréquation directe'!I223/'H) Péréquation directe'!C223</f>
        <v>16.452083084332667</v>
      </c>
      <c r="F212" s="214">
        <f>'I) Dépenses thématiques'!P212</f>
        <v>0</v>
      </c>
      <c r="G212" s="167">
        <f t="shared" si="15"/>
        <v>40.639935778840197</v>
      </c>
      <c r="H212" s="138">
        <f t="shared" si="12"/>
        <v>0</v>
      </c>
      <c r="I212" s="183">
        <f t="shared" si="14"/>
        <v>0</v>
      </c>
      <c r="J212" s="43">
        <f t="shared" si="13"/>
        <v>40.639935778840197</v>
      </c>
    </row>
    <row r="213" spans="1:10" x14ac:dyDescent="0.25">
      <c r="A213" s="61">
        <f>'A) Base RI'!A215</f>
        <v>5731</v>
      </c>
      <c r="B213" s="124" t="str">
        <f>'A) Base RI'!B215</f>
        <v>Le Vaud</v>
      </c>
      <c r="C213" s="135">
        <f>'B) D RI'!U215</f>
        <v>46449.882799999999</v>
      </c>
      <c r="D213" s="219">
        <f>'E) Fact soc'!G219/C213</f>
        <v>17.625605000126527</v>
      </c>
      <c r="E213" s="219">
        <f>'H) Péréquation directe'!I224/'H) Péréquation directe'!C224</f>
        <v>10.802470396523129</v>
      </c>
      <c r="F213" s="214">
        <f>'I) Dépenses thématiques'!P213</f>
        <v>-3.4430423616853938</v>
      </c>
      <c r="G213" s="167">
        <f t="shared" si="15"/>
        <v>24.98503303496426</v>
      </c>
      <c r="H213" s="138">
        <f t="shared" si="12"/>
        <v>0</v>
      </c>
      <c r="I213" s="183">
        <f t="shared" si="14"/>
        <v>0</v>
      </c>
      <c r="J213" s="43">
        <f t="shared" si="13"/>
        <v>24.98503303496426</v>
      </c>
    </row>
    <row r="214" spans="1:10" x14ac:dyDescent="0.25">
      <c r="A214" s="61">
        <f>'A) Base RI'!A216</f>
        <v>5732</v>
      </c>
      <c r="B214" s="124" t="str">
        <f>'A) Base RI'!B216</f>
        <v>Vich</v>
      </c>
      <c r="C214" s="135">
        <f>'B) D RI'!U216</f>
        <v>57292.894852941186</v>
      </c>
      <c r="D214" s="219">
        <f>'E) Fact soc'!G220/C214</f>
        <v>23.711307003122698</v>
      </c>
      <c r="E214" s="219">
        <f>'H) Péréquation directe'!I225/'H) Péréquation directe'!C225</f>
        <v>16.877522237077812</v>
      </c>
      <c r="F214" s="214">
        <f>'I) Dépenses thématiques'!P214</f>
        <v>0</v>
      </c>
      <c r="G214" s="167">
        <f t="shared" si="15"/>
        <v>40.588829240200511</v>
      </c>
      <c r="H214" s="138">
        <f t="shared" si="12"/>
        <v>0</v>
      </c>
      <c r="I214" s="183">
        <f t="shared" si="14"/>
        <v>0</v>
      </c>
      <c r="J214" s="43">
        <f t="shared" si="13"/>
        <v>40.588829240200511</v>
      </c>
    </row>
    <row r="215" spans="1:10" x14ac:dyDescent="0.25">
      <c r="A215" s="61">
        <f>'A) Base RI'!A217</f>
        <v>5741</v>
      </c>
      <c r="B215" s="124" t="str">
        <f>'A) Base RI'!B217</f>
        <v>L'Abergement</v>
      </c>
      <c r="C215" s="135">
        <f>'B) D RI'!U217</f>
        <v>6994.8889917695487</v>
      </c>
      <c r="D215" s="219">
        <f>'E) Fact soc'!G221/C215</f>
        <v>16.682185751522006</v>
      </c>
      <c r="E215" s="219">
        <f>'H) Péréquation directe'!I226/'H) Péréquation directe'!C226</f>
        <v>0.35998102120303838</v>
      </c>
      <c r="F215" s="214">
        <f>'I) Dépenses thématiques'!P215</f>
        <v>-11.7540242643797</v>
      </c>
      <c r="G215" s="167">
        <f t="shared" si="15"/>
        <v>5.2881425083453433</v>
      </c>
      <c r="H215" s="138">
        <f t="shared" si="12"/>
        <v>0</v>
      </c>
      <c r="I215" s="183">
        <f t="shared" si="14"/>
        <v>0</v>
      </c>
      <c r="J215" s="43">
        <f t="shared" si="13"/>
        <v>5.2881425083453433</v>
      </c>
    </row>
    <row r="216" spans="1:10" x14ac:dyDescent="0.25">
      <c r="A216" s="61">
        <f>'A) Base RI'!A218</f>
        <v>5742</v>
      </c>
      <c r="B216" s="124" t="str">
        <f>'A) Base RI'!B218</f>
        <v>Agiez</v>
      </c>
      <c r="C216" s="135">
        <f>'B) D RI'!U218</f>
        <v>9274.0430263157905</v>
      </c>
      <c r="D216" s="219">
        <f>'E) Fact soc'!G222/C216</f>
        <v>14.789988507745621</v>
      </c>
      <c r="E216" s="219">
        <f>'H) Péréquation directe'!I227/'H) Péréquation directe'!C227</f>
        <v>4.8917415825933714</v>
      </c>
      <c r="F216" s="214">
        <f>'I) Dépenses thématiques'!P216</f>
        <v>-3.0565707832485645</v>
      </c>
      <c r="G216" s="167">
        <f t="shared" si="15"/>
        <v>16.625159307090428</v>
      </c>
      <c r="H216" s="138">
        <f t="shared" si="12"/>
        <v>0</v>
      </c>
      <c r="I216" s="183">
        <f t="shared" si="14"/>
        <v>0</v>
      </c>
      <c r="J216" s="43">
        <f t="shared" si="13"/>
        <v>16.625159307090428</v>
      </c>
    </row>
    <row r="217" spans="1:10" x14ac:dyDescent="0.25">
      <c r="A217" s="61">
        <f>'A) Base RI'!A219</f>
        <v>5743</v>
      </c>
      <c r="B217" s="124" t="str">
        <f>'A) Base RI'!B219</f>
        <v>Arnex-sur-Orbe</v>
      </c>
      <c r="C217" s="135">
        <f>'B) D RI'!U219</f>
        <v>17348.834349315071</v>
      </c>
      <c r="D217" s="219">
        <f>'E) Fact soc'!G223/C217</f>
        <v>16.794590482645447</v>
      </c>
      <c r="E217" s="219">
        <f>'H) Péréquation directe'!I228/'H) Péréquation directe'!C228</f>
        <v>2.8082136486618636</v>
      </c>
      <c r="F217" s="214">
        <f>'I) Dépenses thématiques'!P217</f>
        <v>-3.0116503094045703</v>
      </c>
      <c r="G217" s="167">
        <f t="shared" si="15"/>
        <v>16.59115382190274</v>
      </c>
      <c r="H217" s="138">
        <f t="shared" si="12"/>
        <v>0</v>
      </c>
      <c r="I217" s="183">
        <f t="shared" si="14"/>
        <v>0</v>
      </c>
      <c r="J217" s="43">
        <f t="shared" si="13"/>
        <v>16.59115382190274</v>
      </c>
    </row>
    <row r="218" spans="1:10" x14ac:dyDescent="0.25">
      <c r="A218" s="61">
        <f>'A) Base RI'!A220</f>
        <v>5744</v>
      </c>
      <c r="B218" s="124" t="str">
        <f>'A) Base RI'!B220</f>
        <v>Ballaigues</v>
      </c>
      <c r="C218" s="135">
        <f>'B) D RI'!U220</f>
        <v>53212.458333333336</v>
      </c>
      <c r="D218" s="219">
        <f>'E) Fact soc'!G224/C218</f>
        <v>19.498290597582404</v>
      </c>
      <c r="E218" s="219">
        <f>'H) Péréquation directe'!I229/'H) Péréquation directe'!C229</f>
        <v>16.180867151523113</v>
      </c>
      <c r="F218" s="214">
        <f>'I) Dépenses thématiques'!P218</f>
        <v>-7.6433300634193744</v>
      </c>
      <c r="G218" s="167">
        <f t="shared" si="15"/>
        <v>28.03582768568614</v>
      </c>
      <c r="H218" s="138">
        <f t="shared" si="12"/>
        <v>0</v>
      </c>
      <c r="I218" s="183">
        <f t="shared" si="14"/>
        <v>0</v>
      </c>
      <c r="J218" s="43">
        <f t="shared" si="13"/>
        <v>28.03582768568614</v>
      </c>
    </row>
    <row r="219" spans="1:10" x14ac:dyDescent="0.25">
      <c r="A219" s="61">
        <f>'A) Base RI'!A221</f>
        <v>5745</v>
      </c>
      <c r="B219" s="124" t="str">
        <f>'A) Base RI'!B221</f>
        <v>Baulmes</v>
      </c>
      <c r="C219" s="135">
        <f>'B) D RI'!U221</f>
        <v>27522.151666666668</v>
      </c>
      <c r="D219" s="219">
        <f>'E) Fact soc'!G225/C219</f>
        <v>17.73915026616643</v>
      </c>
      <c r="E219" s="219">
        <f>'H) Péréquation directe'!I230/'H) Péréquation directe'!C230</f>
        <v>-0.99743959746424526</v>
      </c>
      <c r="F219" s="214">
        <f>'I) Dépenses thématiques'!P219</f>
        <v>-10.959842585569474</v>
      </c>
      <c r="G219" s="167">
        <f t="shared" si="15"/>
        <v>5.7818680831327089</v>
      </c>
      <c r="H219" s="138">
        <f t="shared" si="12"/>
        <v>0</v>
      </c>
      <c r="I219" s="183">
        <f t="shared" si="14"/>
        <v>0</v>
      </c>
      <c r="J219" s="43">
        <f t="shared" si="13"/>
        <v>5.7818680831327089</v>
      </c>
    </row>
    <row r="220" spans="1:10" x14ac:dyDescent="0.25">
      <c r="A220" s="61">
        <f>'A) Base RI'!A222</f>
        <v>5746</v>
      </c>
      <c r="B220" s="124" t="str">
        <f>'A) Base RI'!B222</f>
        <v>Bavois</v>
      </c>
      <c r="C220" s="135">
        <f>'B) D RI'!U222</f>
        <v>23930.083584474884</v>
      </c>
      <c r="D220" s="219">
        <f>'E) Fact soc'!G226/C220</f>
        <v>17.207571056343014</v>
      </c>
      <c r="E220" s="219">
        <f>'H) Péréquation directe'!I231/'H) Péréquation directe'!C231</f>
        <v>-0.48211961172545864</v>
      </c>
      <c r="F220" s="214">
        <f>'I) Dépenses thématiques'!P220</f>
        <v>-7.4187298645265196</v>
      </c>
      <c r="G220" s="167">
        <f t="shared" si="15"/>
        <v>9.3067215800910361</v>
      </c>
      <c r="H220" s="138">
        <f t="shared" si="12"/>
        <v>0</v>
      </c>
      <c r="I220" s="183">
        <f t="shared" si="14"/>
        <v>0</v>
      </c>
      <c r="J220" s="43">
        <f t="shared" si="13"/>
        <v>9.3067215800910361</v>
      </c>
    </row>
    <row r="221" spans="1:10" x14ac:dyDescent="0.25">
      <c r="A221" s="61">
        <f>'A) Base RI'!A223</f>
        <v>5747</v>
      </c>
      <c r="B221" s="124" t="str">
        <f>'A) Base RI'!B223</f>
        <v>Bofflens</v>
      </c>
      <c r="C221" s="135">
        <f>'B) D RI'!U223</f>
        <v>5183.441884057971</v>
      </c>
      <c r="D221" s="219">
        <f>'E) Fact soc'!G227/C221</f>
        <v>15.694488963683655</v>
      </c>
      <c r="E221" s="219">
        <f>'H) Péréquation directe'!I232/'H) Péréquation directe'!C232</f>
        <v>4.052483467435458</v>
      </c>
      <c r="F221" s="214">
        <f>'I) Dépenses thématiques'!P221</f>
        <v>-1.5524703984762973</v>
      </c>
      <c r="G221" s="167">
        <f t="shared" si="15"/>
        <v>18.194502032642813</v>
      </c>
      <c r="H221" s="138">
        <f t="shared" si="12"/>
        <v>0</v>
      </c>
      <c r="I221" s="183">
        <f t="shared" si="14"/>
        <v>0</v>
      </c>
      <c r="J221" s="43">
        <f t="shared" si="13"/>
        <v>18.194502032642813</v>
      </c>
    </row>
    <row r="222" spans="1:10" x14ac:dyDescent="0.25">
      <c r="A222" s="61">
        <f>'A) Base RI'!A224</f>
        <v>5748</v>
      </c>
      <c r="B222" s="124" t="str">
        <f>'A) Base RI'!B224</f>
        <v>Bretonnières</v>
      </c>
      <c r="C222" s="135">
        <f>'B) D RI'!U224</f>
        <v>6140.8540277777784</v>
      </c>
      <c r="D222" s="219">
        <f>'E) Fact soc'!G228/C222</f>
        <v>18.612474351026218</v>
      </c>
      <c r="E222" s="219">
        <f>'H) Péréquation directe'!I233/'H) Péréquation directe'!C233</f>
        <v>-1.8664561019683761</v>
      </c>
      <c r="F222" s="214">
        <f>'I) Dépenses thématiques'!P222</f>
        <v>-7.5055402302636489</v>
      </c>
      <c r="G222" s="167">
        <f t="shared" si="15"/>
        <v>9.2404780187941959</v>
      </c>
      <c r="H222" s="138">
        <f t="shared" si="12"/>
        <v>0</v>
      </c>
      <c r="I222" s="183">
        <f t="shared" si="14"/>
        <v>0</v>
      </c>
      <c r="J222" s="43">
        <f t="shared" si="13"/>
        <v>9.2404780187941959</v>
      </c>
    </row>
    <row r="223" spans="1:10" x14ac:dyDescent="0.25">
      <c r="A223" s="61">
        <f>'A) Base RI'!A225</f>
        <v>5749</v>
      </c>
      <c r="B223" s="124" t="str">
        <f>'A) Base RI'!B225</f>
        <v>Chavornay</v>
      </c>
      <c r="C223" s="135">
        <f>'B) D RI'!U225</f>
        <v>110381.46250000001</v>
      </c>
      <c r="D223" s="219">
        <f>'E) Fact soc'!G229/C223</f>
        <v>16.974826939397758</v>
      </c>
      <c r="E223" s="219">
        <f>'H) Péréquation directe'!I234/'H) Péréquation directe'!C234</f>
        <v>-7.1168172374358649</v>
      </c>
      <c r="F223" s="214">
        <f>'I) Dépenses thématiques'!P223</f>
        <v>-3.7279512303904041</v>
      </c>
      <c r="G223" s="167">
        <f t="shared" si="15"/>
        <v>6.1300584715714894</v>
      </c>
      <c r="H223" s="138">
        <f t="shared" si="12"/>
        <v>0</v>
      </c>
      <c r="I223" s="183">
        <f t="shared" si="14"/>
        <v>0</v>
      </c>
      <c r="J223" s="43">
        <f t="shared" si="13"/>
        <v>6.1300584715714894</v>
      </c>
    </row>
    <row r="224" spans="1:10" x14ac:dyDescent="0.25">
      <c r="A224" s="61">
        <f>'A) Base RI'!A226</f>
        <v>5750</v>
      </c>
      <c r="B224" s="124" t="str">
        <f>'A) Base RI'!B226</f>
        <v>Les Clées</v>
      </c>
      <c r="C224" s="135">
        <f>'B) D RI'!U226</f>
        <v>4366.1146666666664</v>
      </c>
      <c r="D224" s="219">
        <f>'E) Fact soc'!G230/C224</f>
        <v>15.69928614107153</v>
      </c>
      <c r="E224" s="219">
        <f>'H) Péréquation directe'!I235/'H) Péréquation directe'!C235</f>
        <v>-7.5807610387645994</v>
      </c>
      <c r="F224" s="214">
        <f>'I) Dépenses thématiques'!P224</f>
        <v>-6.7588475206577048</v>
      </c>
      <c r="G224" s="167">
        <f t="shared" si="15"/>
        <v>1.3596775816492261</v>
      </c>
      <c r="H224" s="138">
        <f t="shared" ref="H224:H268" si="16">IF(G224&gt;H$4,H$4-G224,0)</f>
        <v>0</v>
      </c>
      <c r="I224" s="183">
        <f t="shared" si="14"/>
        <v>0</v>
      </c>
      <c r="J224" s="43">
        <f t="shared" ref="J224:J268" si="17">G224+H224</f>
        <v>1.3596775816492261</v>
      </c>
    </row>
    <row r="225" spans="1:10" x14ac:dyDescent="0.25">
      <c r="A225" s="61">
        <f>'A) Base RI'!A227</f>
        <v>5751</v>
      </c>
      <c r="B225" s="124" t="str">
        <f>'A) Base RI'!B227</f>
        <v>Corcelles-sur-Chavornay</v>
      </c>
      <c r="C225" s="135">
        <f>'B) D RI'!U227</f>
        <v>8804.0960526315775</v>
      </c>
      <c r="D225" s="219">
        <f>'E) Fact soc'!G231/C225</f>
        <v>18.630163468755331</v>
      </c>
      <c r="E225" s="219">
        <f>'H) Péréquation directe'!I236/'H) Péréquation directe'!C236</f>
        <v>-2.5650322001575461</v>
      </c>
      <c r="F225" s="214">
        <f>'I) Dépenses thématiques'!P225</f>
        <v>-7.2541236203808017</v>
      </c>
      <c r="G225" s="167">
        <f t="shared" si="15"/>
        <v>8.8110076482169823</v>
      </c>
      <c r="H225" s="138">
        <f t="shared" si="16"/>
        <v>0</v>
      </c>
      <c r="I225" s="183">
        <f t="shared" si="14"/>
        <v>0</v>
      </c>
      <c r="J225" s="43">
        <f t="shared" si="17"/>
        <v>8.8110076482169823</v>
      </c>
    </row>
    <row r="226" spans="1:10" x14ac:dyDescent="0.25">
      <c r="A226" s="61">
        <f>'A) Base RI'!A228</f>
        <v>5752</v>
      </c>
      <c r="B226" s="124" t="str">
        <f>'A) Base RI'!B228</f>
        <v>Croy</v>
      </c>
      <c r="C226" s="135">
        <f>'B) D RI'!U228</f>
        <v>14303.968204633204</v>
      </c>
      <c r="D226" s="219">
        <f>'E) Fact soc'!G232/C226</f>
        <v>17.38805183891937</v>
      </c>
      <c r="E226" s="219">
        <f>'H) Péréquation directe'!I237/'H) Péréquation directe'!C237</f>
        <v>15.701008368103039</v>
      </c>
      <c r="F226" s="214">
        <f>'I) Dépenses thématiques'!P226</f>
        <v>-20.077882336672388</v>
      </c>
      <c r="G226" s="167">
        <f t="shared" si="15"/>
        <v>13.011177870350025</v>
      </c>
      <c r="H226" s="138">
        <f t="shared" si="16"/>
        <v>0</v>
      </c>
      <c r="I226" s="183">
        <f t="shared" ref="I226:I272" si="18">H226*C226</f>
        <v>0</v>
      </c>
      <c r="J226" s="43">
        <f t="shared" si="17"/>
        <v>13.011177870350025</v>
      </c>
    </row>
    <row r="227" spans="1:10" x14ac:dyDescent="0.25">
      <c r="A227" s="61">
        <f>'A) Base RI'!A229</f>
        <v>5754</v>
      </c>
      <c r="B227" s="124" t="str">
        <f>'A) Base RI'!B229</f>
        <v>Juriens</v>
      </c>
      <c r="C227" s="135">
        <f>'B) D RI'!U229</f>
        <v>6475.8115189873415</v>
      </c>
      <c r="D227" s="219">
        <f>'E) Fact soc'!G233/C227</f>
        <v>17.282628992695077</v>
      </c>
      <c r="E227" s="219">
        <f>'H) Péréquation directe'!I238/'H) Péréquation directe'!C238</f>
        <v>-11.806635434887818</v>
      </c>
      <c r="F227" s="214">
        <f>'I) Dépenses thématiques'!P227</f>
        <v>-5.0842527604602079</v>
      </c>
      <c r="G227" s="167">
        <f t="shared" ref="G227:G273" si="19">SUM(D227:F227)</f>
        <v>0.39174079734705103</v>
      </c>
      <c r="H227" s="138">
        <f t="shared" si="16"/>
        <v>0</v>
      </c>
      <c r="I227" s="183">
        <f t="shared" si="18"/>
        <v>0</v>
      </c>
      <c r="J227" s="43">
        <f t="shared" si="17"/>
        <v>0.39174079734705103</v>
      </c>
    </row>
    <row r="228" spans="1:10" x14ac:dyDescent="0.25">
      <c r="A228" s="61">
        <f>'A) Base RI'!A230</f>
        <v>5755</v>
      </c>
      <c r="B228" s="124" t="str">
        <f>'A) Base RI'!B230</f>
        <v>Lignerolle</v>
      </c>
      <c r="C228" s="135">
        <f>'B) D RI'!U230</f>
        <v>8871.4906525573169</v>
      </c>
      <c r="D228" s="219">
        <f>'E) Fact soc'!G234/C228</f>
        <v>19.07783278893881</v>
      </c>
      <c r="E228" s="219">
        <f>'H) Péréquation directe'!I239/'H) Péréquation directe'!C239</f>
        <v>-10.3719841451188</v>
      </c>
      <c r="F228" s="214">
        <f>'I) Dépenses thématiques'!P228</f>
        <v>-32.315636677760985</v>
      </c>
      <c r="G228" s="167">
        <f t="shared" si="19"/>
        <v>-23.609788033940973</v>
      </c>
      <c r="H228" s="138">
        <f t="shared" si="16"/>
        <v>0</v>
      </c>
      <c r="I228" s="183">
        <f t="shared" si="18"/>
        <v>0</v>
      </c>
      <c r="J228" s="43">
        <f t="shared" si="17"/>
        <v>-23.609788033940973</v>
      </c>
    </row>
    <row r="229" spans="1:10" x14ac:dyDescent="0.25">
      <c r="A229" s="61">
        <f>'A) Base RI'!A231</f>
        <v>5756</v>
      </c>
      <c r="B229" s="124" t="str">
        <f>'A) Base RI'!B231</f>
        <v>Montcherand</v>
      </c>
      <c r="C229" s="135">
        <f>'B) D RI'!U231</f>
        <v>14808.245169082125</v>
      </c>
      <c r="D229" s="219">
        <f>'E) Fact soc'!G235/C229</f>
        <v>16.642865621704413</v>
      </c>
      <c r="E229" s="219">
        <f>'H) Péréquation directe'!I240/'H) Péréquation directe'!C240</f>
        <v>7.8155986664446662</v>
      </c>
      <c r="F229" s="214">
        <f>'I) Dépenses thématiques'!P229</f>
        <v>-3.9384629493561381</v>
      </c>
      <c r="G229" s="167">
        <f t="shared" si="19"/>
        <v>20.520001338792945</v>
      </c>
      <c r="H229" s="138">
        <f t="shared" si="16"/>
        <v>0</v>
      </c>
      <c r="I229" s="183">
        <f t="shared" si="18"/>
        <v>0</v>
      </c>
      <c r="J229" s="43">
        <f t="shared" si="17"/>
        <v>20.520001338792945</v>
      </c>
    </row>
    <row r="230" spans="1:10" x14ac:dyDescent="0.25">
      <c r="A230" s="61">
        <f>'A) Base RI'!A232</f>
        <v>5757</v>
      </c>
      <c r="B230" s="124" t="str">
        <f>'A) Base RI'!B232</f>
        <v>Orbe</v>
      </c>
      <c r="C230" s="135">
        <f>'B) D RI'!U232</f>
        <v>210430.38166666671</v>
      </c>
      <c r="D230" s="219">
        <f>'E) Fact soc'!G236/C230</f>
        <v>20.231875871058694</v>
      </c>
      <c r="E230" s="219">
        <f>'H) Péréquation directe'!I241/'H) Péréquation directe'!C241</f>
        <v>-3.2717724949449964</v>
      </c>
      <c r="F230" s="214">
        <f>'I) Dépenses thématiques'!P230</f>
        <v>-8.0605996084410911</v>
      </c>
      <c r="G230" s="167">
        <f t="shared" si="19"/>
        <v>8.8995037676726056</v>
      </c>
      <c r="H230" s="138">
        <f t="shared" si="16"/>
        <v>0</v>
      </c>
      <c r="I230" s="183">
        <f t="shared" si="18"/>
        <v>0</v>
      </c>
      <c r="J230" s="43">
        <f t="shared" si="17"/>
        <v>8.8995037676726056</v>
      </c>
    </row>
    <row r="231" spans="1:10" x14ac:dyDescent="0.25">
      <c r="A231" s="61">
        <f>'A) Base RI'!A233</f>
        <v>5758</v>
      </c>
      <c r="B231" s="124" t="str">
        <f>'A) Base RI'!B233</f>
        <v>La Praz</v>
      </c>
      <c r="C231" s="135">
        <f>'B) D RI'!U233</f>
        <v>3864.2083668005353</v>
      </c>
      <c r="D231" s="219">
        <f>'E) Fact soc'!G237/C231</f>
        <v>16.007157392024641</v>
      </c>
      <c r="E231" s="219">
        <f>'H) Péréquation directe'!I242/'H) Péréquation directe'!C242</f>
        <v>-7.7033632499376283</v>
      </c>
      <c r="F231" s="214">
        <f>'I) Dépenses thématiques'!P231</f>
        <v>-8.5707231619010642</v>
      </c>
      <c r="G231" s="167">
        <f t="shared" si="19"/>
        <v>-0.26692901981405015</v>
      </c>
      <c r="H231" s="138">
        <f t="shared" si="16"/>
        <v>0</v>
      </c>
      <c r="I231" s="183">
        <f t="shared" si="18"/>
        <v>0</v>
      </c>
      <c r="J231" s="43">
        <f t="shared" si="17"/>
        <v>-0.26692901981405015</v>
      </c>
    </row>
    <row r="232" spans="1:10" x14ac:dyDescent="0.25">
      <c r="A232" s="61">
        <f>'A) Base RI'!A234</f>
        <v>5759</v>
      </c>
      <c r="B232" s="124" t="str">
        <f>'A) Base RI'!B234</f>
        <v>Premier</v>
      </c>
      <c r="C232" s="135">
        <f>'B) D RI'!U234</f>
        <v>4558.7250617283944</v>
      </c>
      <c r="D232" s="219">
        <f>'E) Fact soc'!G238/C232</f>
        <v>16.660445813294697</v>
      </c>
      <c r="E232" s="219">
        <f>'H) Péréquation directe'!I243/'H) Péréquation directe'!C243</f>
        <v>-5.6314475534759181</v>
      </c>
      <c r="F232" s="214">
        <f>'I) Dépenses thématiques'!P232</f>
        <v>-9.4383864115541076</v>
      </c>
      <c r="G232" s="167">
        <f t="shared" si="19"/>
        <v>1.5906118482646701</v>
      </c>
      <c r="H232" s="138">
        <f t="shared" si="16"/>
        <v>0</v>
      </c>
      <c r="I232" s="183">
        <f t="shared" si="18"/>
        <v>0</v>
      </c>
      <c r="J232" s="43">
        <f t="shared" si="17"/>
        <v>1.5906118482646701</v>
      </c>
    </row>
    <row r="233" spans="1:10" x14ac:dyDescent="0.25">
      <c r="A233" s="61">
        <f>'A) Base RI'!A235</f>
        <v>5760</v>
      </c>
      <c r="B233" s="124" t="str">
        <f>'A) Base RI'!B235</f>
        <v>Rances</v>
      </c>
      <c r="C233" s="135">
        <f>'B) D RI'!U235</f>
        <v>11470.274871794873</v>
      </c>
      <c r="D233" s="219">
        <f>'E) Fact soc'!G239/C233</f>
        <v>16.569058158718658</v>
      </c>
      <c r="E233" s="219">
        <f>'H) Péréquation directe'!I244/'H) Péréquation directe'!C244</f>
        <v>-3.617947006573885</v>
      </c>
      <c r="F233" s="214">
        <f>'I) Dépenses thématiques'!P233</f>
        <v>-13.831812048040762</v>
      </c>
      <c r="G233" s="167">
        <f t="shared" si="19"/>
        <v>-0.88070089589598943</v>
      </c>
      <c r="H233" s="138">
        <f t="shared" si="16"/>
        <v>0</v>
      </c>
      <c r="I233" s="183">
        <f t="shared" si="18"/>
        <v>0</v>
      </c>
      <c r="J233" s="43">
        <f t="shared" si="17"/>
        <v>-0.88070089589598943</v>
      </c>
    </row>
    <row r="234" spans="1:10" x14ac:dyDescent="0.25">
      <c r="A234" s="61">
        <f>'A) Base RI'!A236</f>
        <v>5761</v>
      </c>
      <c r="B234" s="124" t="str">
        <f>'A) Base RI'!B236</f>
        <v>Romainmôtier-Envy</v>
      </c>
      <c r="C234" s="135">
        <f>'B) D RI'!U236</f>
        <v>11347.35572368421</v>
      </c>
      <c r="D234" s="219">
        <f>'E) Fact soc'!G240/C234</f>
        <v>18.136025508416971</v>
      </c>
      <c r="E234" s="219">
        <f>'H) Péréquation directe'!I245/'H) Péréquation directe'!C245</f>
        <v>-9.4870646779978376</v>
      </c>
      <c r="F234" s="214">
        <f>'I) Dépenses thématiques'!P234</f>
        <v>-6.250324713336461</v>
      </c>
      <c r="G234" s="167">
        <f t="shared" si="19"/>
        <v>2.3986361170826722</v>
      </c>
      <c r="H234" s="138">
        <f t="shared" si="16"/>
        <v>0</v>
      </c>
      <c r="I234" s="183">
        <f t="shared" si="18"/>
        <v>0</v>
      </c>
      <c r="J234" s="43">
        <f t="shared" si="17"/>
        <v>2.3986361170826722</v>
      </c>
    </row>
    <row r="235" spans="1:10" x14ac:dyDescent="0.25">
      <c r="A235" s="61">
        <f>'A) Base RI'!A237</f>
        <v>5762</v>
      </c>
      <c r="B235" s="124" t="str">
        <f>'A) Base RI'!B237</f>
        <v>Sergey</v>
      </c>
      <c r="C235" s="135">
        <f>'B) D RI'!U237</f>
        <v>3104.8092592592593</v>
      </c>
      <c r="D235" s="219">
        <f>'E) Fact soc'!G241/C235</f>
        <v>14.771176357058142</v>
      </c>
      <c r="E235" s="219">
        <f>'H) Péréquation directe'!I246/'H) Péréquation directe'!C246</f>
        <v>-12.807264238534502</v>
      </c>
      <c r="F235" s="214">
        <f>'I) Dépenses thématiques'!P235</f>
        <v>-2.3148542177666855</v>
      </c>
      <c r="G235" s="167">
        <f t="shared" si="19"/>
        <v>-0.35094209924304609</v>
      </c>
      <c r="H235" s="138">
        <f t="shared" si="16"/>
        <v>0</v>
      </c>
      <c r="I235" s="183">
        <f t="shared" si="18"/>
        <v>0</v>
      </c>
      <c r="J235" s="43">
        <f t="shared" si="17"/>
        <v>-0.35094209924304609</v>
      </c>
    </row>
    <row r="236" spans="1:10" x14ac:dyDescent="0.25">
      <c r="A236" s="61">
        <f>'A) Base RI'!A238</f>
        <v>5763</v>
      </c>
      <c r="B236" s="124" t="str">
        <f>'A) Base RI'!B238</f>
        <v>Valeyres-sous-Rances</v>
      </c>
      <c r="C236" s="135">
        <f>'B) D RI'!U238</f>
        <v>16129.151764705883</v>
      </c>
      <c r="D236" s="219">
        <f>'E) Fact soc'!G242/C236</f>
        <v>17.926989341715373</v>
      </c>
      <c r="E236" s="219">
        <f>'H) Péréquation directe'!I247/'H) Péréquation directe'!C247</f>
        <v>3.3525640136067123</v>
      </c>
      <c r="F236" s="214">
        <f>'I) Dépenses thématiques'!P236</f>
        <v>-7.1445048476879167</v>
      </c>
      <c r="G236" s="167">
        <f t="shared" si="19"/>
        <v>14.135048507634171</v>
      </c>
      <c r="H236" s="138">
        <f t="shared" si="16"/>
        <v>0</v>
      </c>
      <c r="I236" s="183">
        <f t="shared" si="18"/>
        <v>0</v>
      </c>
      <c r="J236" s="43">
        <f t="shared" si="17"/>
        <v>14.135048507634171</v>
      </c>
    </row>
    <row r="237" spans="1:10" x14ac:dyDescent="0.25">
      <c r="A237" s="61">
        <f>'A) Base RI'!A239</f>
        <v>5764</v>
      </c>
      <c r="B237" s="124" t="str">
        <f>'A) Base RI'!B239</f>
        <v>Vallorbe</v>
      </c>
      <c r="C237" s="135">
        <f>'B) D RI'!U239</f>
        <v>84393.993513513502</v>
      </c>
      <c r="D237" s="219">
        <f>'E) Fact soc'!G243/C237</f>
        <v>25.21042210253669</v>
      </c>
      <c r="E237" s="219">
        <f>'H) Péréquation directe'!I248/'H) Péréquation directe'!C248</f>
        <v>-14.021076384845243</v>
      </c>
      <c r="F237" s="214">
        <f>'I) Dépenses thématiques'!P237</f>
        <v>-17.773596494854349</v>
      </c>
      <c r="G237" s="167">
        <f t="shared" si="19"/>
        <v>-6.584250777162902</v>
      </c>
      <c r="H237" s="138">
        <f t="shared" si="16"/>
        <v>0</v>
      </c>
      <c r="I237" s="183">
        <f t="shared" si="18"/>
        <v>0</v>
      </c>
      <c r="J237" s="43">
        <f t="shared" si="17"/>
        <v>-6.584250777162902</v>
      </c>
    </row>
    <row r="238" spans="1:10" x14ac:dyDescent="0.25">
      <c r="A238" s="61">
        <f>'A) Base RI'!A240</f>
        <v>5765</v>
      </c>
      <c r="B238" s="124" t="str">
        <f>'A) Base RI'!B240</f>
        <v>Vaulion</v>
      </c>
      <c r="C238" s="135">
        <f>'B) D RI'!U240</f>
        <v>9305.5603703703709</v>
      </c>
      <c r="D238" s="219">
        <f>'E) Fact soc'!G244/C238</f>
        <v>20.556012925493146</v>
      </c>
      <c r="E238" s="219">
        <f>'H) Péréquation directe'!I249/'H) Péréquation directe'!C249</f>
        <v>-20.708754298286976</v>
      </c>
      <c r="F238" s="214">
        <f>'I) Dépenses thématiques'!P238</f>
        <v>-17.742347312965244</v>
      </c>
      <c r="G238" s="167">
        <f t="shared" si="19"/>
        <v>-17.895088685759074</v>
      </c>
      <c r="H238" s="138">
        <f t="shared" si="16"/>
        <v>0</v>
      </c>
      <c r="I238" s="183">
        <f t="shared" si="18"/>
        <v>0</v>
      </c>
      <c r="J238" s="43">
        <f t="shared" si="17"/>
        <v>-17.895088685759074</v>
      </c>
    </row>
    <row r="239" spans="1:10" x14ac:dyDescent="0.25">
      <c r="A239" s="61">
        <f>'A) Base RI'!A241</f>
        <v>5766</v>
      </c>
      <c r="B239" s="124" t="str">
        <f>'A) Base RI'!B241</f>
        <v>Vuiteboeuf</v>
      </c>
      <c r="C239" s="135">
        <f>'B) D RI'!U241</f>
        <v>11614.965899814471</v>
      </c>
      <c r="D239" s="219">
        <f>'E) Fact soc'!G245/C239</f>
        <v>17.807059216000091</v>
      </c>
      <c r="E239" s="219">
        <f>'H) Péréquation directe'!I250/'H) Péréquation directe'!C250</f>
        <v>-10.166917658021031</v>
      </c>
      <c r="F239" s="214">
        <f>'I) Dépenses thématiques'!P239</f>
        <v>-7.7168205045513538</v>
      </c>
      <c r="G239" s="167">
        <f t="shared" si="19"/>
        <v>-7.6678946572293682E-2</v>
      </c>
      <c r="H239" s="138">
        <f t="shared" si="16"/>
        <v>0</v>
      </c>
      <c r="I239" s="183">
        <f t="shared" si="18"/>
        <v>0</v>
      </c>
      <c r="J239" s="43">
        <f t="shared" si="17"/>
        <v>-7.6678946572293682E-2</v>
      </c>
    </row>
    <row r="240" spans="1:10" x14ac:dyDescent="0.25">
      <c r="A240" s="61">
        <f>'A) Base RI'!A242</f>
        <v>5782</v>
      </c>
      <c r="B240" s="124" t="str">
        <f>'A) Base RI'!B242</f>
        <v>Carrouge</v>
      </c>
      <c r="C240" s="135">
        <f>'B) D RI'!U242</f>
        <v>30069.638421052627</v>
      </c>
      <c r="D240" s="219">
        <f>'E) Fact soc'!G246/C240</f>
        <v>18.206679591221825</v>
      </c>
      <c r="E240" s="219">
        <f>'H) Péréquation directe'!I251/'H) Péréquation directe'!C251</f>
        <v>-4.3090112549159896</v>
      </c>
      <c r="F240" s="214">
        <f>'I) Dépenses thématiques'!P240</f>
        <v>-12.568110095745949</v>
      </c>
      <c r="G240" s="167">
        <f t="shared" si="19"/>
        <v>1.3295582405598854</v>
      </c>
      <c r="H240" s="138">
        <f t="shared" si="16"/>
        <v>0</v>
      </c>
      <c r="I240" s="183">
        <f t="shared" si="18"/>
        <v>0</v>
      </c>
      <c r="J240" s="43">
        <f t="shared" si="17"/>
        <v>1.3295582405598854</v>
      </c>
    </row>
    <row r="241" spans="1:10" x14ac:dyDescent="0.25">
      <c r="A241" s="61">
        <f>'A) Base RI'!A243</f>
        <v>5785</v>
      </c>
      <c r="B241" s="124" t="str">
        <f>'A) Base RI'!B243</f>
        <v>Corcelles-le-Jorat</v>
      </c>
      <c r="C241" s="135">
        <f>'B) D RI'!U243</f>
        <v>12293.058354430379</v>
      </c>
      <c r="D241" s="219">
        <f>'E) Fact soc'!G247/C241</f>
        <v>16.024717866994688</v>
      </c>
      <c r="E241" s="219">
        <f>'H) Péréquation directe'!I252/'H) Péréquation directe'!C252</f>
        <v>2.8370201586275416</v>
      </c>
      <c r="F241" s="214">
        <f>'I) Dépenses thématiques'!P241</f>
        <v>-8.3476128647299461</v>
      </c>
      <c r="G241" s="167">
        <f t="shared" si="19"/>
        <v>10.514125160892284</v>
      </c>
      <c r="H241" s="138">
        <f t="shared" si="16"/>
        <v>0</v>
      </c>
      <c r="I241" s="183">
        <f t="shared" si="18"/>
        <v>0</v>
      </c>
      <c r="J241" s="43">
        <f t="shared" si="17"/>
        <v>10.514125160892284</v>
      </c>
    </row>
    <row r="242" spans="1:10" x14ac:dyDescent="0.25">
      <c r="A242" s="61">
        <f>'A) Base RI'!A244</f>
        <v>5788</v>
      </c>
      <c r="B242" s="124" t="str">
        <f>'A) Base RI'!B244</f>
        <v>Essertes</v>
      </c>
      <c r="C242" s="135">
        <f>'B) D RI'!U244</f>
        <v>10412.319857142857</v>
      </c>
      <c r="D242" s="219">
        <f>'E) Fact soc'!G248/C242</f>
        <v>16.456010225276675</v>
      </c>
      <c r="E242" s="219">
        <f>'H) Péréquation directe'!I253/'H) Péréquation directe'!C253</f>
        <v>7.8964177634178165</v>
      </c>
      <c r="F242" s="214">
        <f>'I) Dépenses thématiques'!P242</f>
        <v>-4.0348977074348387</v>
      </c>
      <c r="G242" s="167">
        <f t="shared" si="19"/>
        <v>20.31753028125965</v>
      </c>
      <c r="H242" s="138">
        <f t="shared" si="16"/>
        <v>0</v>
      </c>
      <c r="I242" s="183">
        <f t="shared" si="18"/>
        <v>0</v>
      </c>
      <c r="J242" s="43">
        <f t="shared" si="17"/>
        <v>20.31753028125965</v>
      </c>
    </row>
    <row r="243" spans="1:10" x14ac:dyDescent="0.25">
      <c r="A243" s="61">
        <f>'A) Base RI'!A245</f>
        <v>5789</v>
      </c>
      <c r="B243" s="124" t="str">
        <f>'A) Base RI'!B245</f>
        <v>Ferlens</v>
      </c>
      <c r="C243" s="135">
        <f>'B) D RI'!U245</f>
        <v>10073.464805194806</v>
      </c>
      <c r="D243" s="219">
        <f>'E) Fact soc'!G249/C243</f>
        <v>17.528880780664252</v>
      </c>
      <c r="E243" s="219">
        <f>'H) Péréquation directe'!I254/'H) Péréquation directe'!C254</f>
        <v>4.4562082238629053</v>
      </c>
      <c r="F243" s="214">
        <f>'I) Dépenses thématiques'!P243</f>
        <v>-0.75129408987622504</v>
      </c>
      <c r="G243" s="167">
        <f t="shared" si="19"/>
        <v>21.233794914650932</v>
      </c>
      <c r="H243" s="138">
        <f t="shared" si="16"/>
        <v>0</v>
      </c>
      <c r="I243" s="183">
        <f t="shared" si="18"/>
        <v>0</v>
      </c>
      <c r="J243" s="43">
        <f t="shared" si="17"/>
        <v>21.233794914650932</v>
      </c>
    </row>
    <row r="244" spans="1:10" x14ac:dyDescent="0.25">
      <c r="A244" s="61">
        <f>'A) Base RI'!A246</f>
        <v>5790</v>
      </c>
      <c r="B244" s="124" t="str">
        <f>'A) Base RI'!B246</f>
        <v>Maracon</v>
      </c>
      <c r="C244" s="135">
        <f>'B) D RI'!U246</f>
        <v>12107.709078947366</v>
      </c>
      <c r="D244" s="219">
        <f>'E) Fact soc'!G250/C244</f>
        <v>23.261722355496801</v>
      </c>
      <c r="E244" s="219">
        <f>'H) Péréquation directe'!I255/'H) Péréquation directe'!C255</f>
        <v>1.0811156739863881</v>
      </c>
      <c r="F244" s="214">
        <f>'I) Dépenses thématiques'!P244</f>
        <v>-8.9939412821275599</v>
      </c>
      <c r="G244" s="167">
        <f t="shared" si="19"/>
        <v>15.34889674735563</v>
      </c>
      <c r="H244" s="138">
        <f t="shared" si="16"/>
        <v>0</v>
      </c>
      <c r="I244" s="183">
        <f t="shared" si="18"/>
        <v>0</v>
      </c>
      <c r="J244" s="43">
        <f t="shared" si="17"/>
        <v>15.34889674735563</v>
      </c>
    </row>
    <row r="245" spans="1:10" x14ac:dyDescent="0.25">
      <c r="A245" s="61">
        <f>'A) Base RI'!A247</f>
        <v>5791</v>
      </c>
      <c r="B245" s="124" t="str">
        <f>'A) Base RI'!B247</f>
        <v>Mézières</v>
      </c>
      <c r="C245" s="135">
        <f>'B) D RI'!U247</f>
        <v>42914.858070175447</v>
      </c>
      <c r="D245" s="219">
        <f>'E) Fact soc'!G251/C245</f>
        <v>16.04886406625435</v>
      </c>
      <c r="E245" s="219">
        <f>'H) Péréquation directe'!I256/'H) Péréquation directe'!C256</f>
        <v>9.0476140764673225</v>
      </c>
      <c r="F245" s="214">
        <f>'I) Dépenses thématiques'!P245</f>
        <v>-6.7661059749051855</v>
      </c>
      <c r="G245" s="167">
        <f t="shared" si="19"/>
        <v>18.330372167816485</v>
      </c>
      <c r="H245" s="138">
        <f t="shared" si="16"/>
        <v>0</v>
      </c>
      <c r="I245" s="183">
        <f t="shared" si="18"/>
        <v>0</v>
      </c>
      <c r="J245" s="43">
        <f t="shared" si="17"/>
        <v>18.330372167816485</v>
      </c>
    </row>
    <row r="246" spans="1:10" x14ac:dyDescent="0.25">
      <c r="A246" s="61">
        <f>'A) Base RI'!A248</f>
        <v>5792</v>
      </c>
      <c r="B246" s="124" t="str">
        <f>'A) Base RI'!B248</f>
        <v>Montpreveyres</v>
      </c>
      <c r="C246" s="135">
        <f>'B) D RI'!U248</f>
        <v>19088.494155844161</v>
      </c>
      <c r="D246" s="219">
        <f>'E) Fact soc'!G252/C246</f>
        <v>15.892375865263672</v>
      </c>
      <c r="E246" s="219">
        <f>'H) Péréquation directe'!I257/'H) Péréquation directe'!C257</f>
        <v>4.9700456069156136</v>
      </c>
      <c r="F246" s="214">
        <f>'I) Dépenses thématiques'!P246</f>
        <v>-5.6803315272978674</v>
      </c>
      <c r="G246" s="167">
        <f t="shared" si="19"/>
        <v>15.182089944881419</v>
      </c>
      <c r="H246" s="138">
        <f t="shared" si="16"/>
        <v>0</v>
      </c>
      <c r="I246" s="183">
        <f t="shared" si="18"/>
        <v>0</v>
      </c>
      <c r="J246" s="43">
        <f t="shared" si="17"/>
        <v>15.182089944881419</v>
      </c>
    </row>
    <row r="247" spans="1:10" x14ac:dyDescent="0.25">
      <c r="A247" s="61">
        <f>'A) Base RI'!A249</f>
        <v>5798</v>
      </c>
      <c r="B247" s="124" t="str">
        <f>'A) Base RI'!B249</f>
        <v>Ropraz</v>
      </c>
      <c r="C247" s="135">
        <f>'B) D RI'!U249</f>
        <v>9558.3067096774193</v>
      </c>
      <c r="D247" s="219">
        <f>'E) Fact soc'!G253/C247</f>
        <v>18.907295679847131</v>
      </c>
      <c r="E247" s="219">
        <f>'H) Péréquation directe'!I258/'H) Péréquation directe'!C258</f>
        <v>-5.9745367421212876</v>
      </c>
      <c r="F247" s="214">
        <f>'I) Dépenses thématiques'!P247</f>
        <v>-9.0161810587806848</v>
      </c>
      <c r="G247" s="167">
        <f t="shared" si="19"/>
        <v>3.9165778789451586</v>
      </c>
      <c r="H247" s="138">
        <f t="shared" si="16"/>
        <v>0</v>
      </c>
      <c r="I247" s="183">
        <f t="shared" si="18"/>
        <v>0</v>
      </c>
      <c r="J247" s="43">
        <f t="shared" si="17"/>
        <v>3.9165778789451586</v>
      </c>
    </row>
    <row r="248" spans="1:10" x14ac:dyDescent="0.25">
      <c r="A248" s="61">
        <f>'A) Base RI'!A250</f>
        <v>5799</v>
      </c>
      <c r="B248" s="124" t="str">
        <f>'A) Base RI'!B250</f>
        <v>Servion</v>
      </c>
      <c r="C248" s="135">
        <f>'B) D RI'!U250</f>
        <v>51366.477681159435</v>
      </c>
      <c r="D248" s="219">
        <f>'E) Fact soc'!G254/C248</f>
        <v>19.119092285991421</v>
      </c>
      <c r="E248" s="219">
        <f>'H) Péréquation directe'!I259/'H) Péréquation directe'!C259</f>
        <v>-1.3108285869043619</v>
      </c>
      <c r="F248" s="214">
        <f>'I) Dépenses thématiques'!P248</f>
        <v>-4.3945474003002039</v>
      </c>
      <c r="G248" s="167">
        <f t="shared" si="19"/>
        <v>13.413716298786856</v>
      </c>
      <c r="H248" s="138">
        <f t="shared" si="16"/>
        <v>0</v>
      </c>
      <c r="I248" s="183">
        <f t="shared" si="18"/>
        <v>0</v>
      </c>
      <c r="J248" s="43">
        <f t="shared" si="17"/>
        <v>13.413716298786856</v>
      </c>
    </row>
    <row r="249" spans="1:10" x14ac:dyDescent="0.25">
      <c r="A249" s="61">
        <f>'A) Base RI'!A251</f>
        <v>5803</v>
      </c>
      <c r="B249" s="124" t="str">
        <f>'A) Base RI'!B251</f>
        <v>Vulliens</v>
      </c>
      <c r="C249" s="135">
        <f>'B) D RI'!U251</f>
        <v>12589.149382716048</v>
      </c>
      <c r="D249" s="219">
        <f>'E) Fact soc'!G255/C249</f>
        <v>21.244876124107446</v>
      </c>
      <c r="E249" s="219">
        <f>'H) Péréquation directe'!I260/'H) Péréquation directe'!C260</f>
        <v>-0.8255082604008035</v>
      </c>
      <c r="F249" s="214">
        <f>'I) Dépenses thématiques'!P249</f>
        <v>-5.707538553901224</v>
      </c>
      <c r="G249" s="167">
        <f t="shared" si="19"/>
        <v>14.71182930980542</v>
      </c>
      <c r="H249" s="138">
        <f t="shared" si="16"/>
        <v>0</v>
      </c>
      <c r="I249" s="183">
        <f t="shared" si="18"/>
        <v>0</v>
      </c>
      <c r="J249" s="43">
        <f t="shared" si="17"/>
        <v>14.71182930980542</v>
      </c>
    </row>
    <row r="250" spans="1:10" x14ac:dyDescent="0.25">
      <c r="A250" s="61">
        <f>'A) Base RI'!A252</f>
        <v>5804</v>
      </c>
      <c r="B250" s="124" t="str">
        <f>'A) Base RI'!B252</f>
        <v>Jorat-Menthue</v>
      </c>
      <c r="C250" s="135">
        <f>'B) D RI'!U252</f>
        <v>41163.666944444441</v>
      </c>
      <c r="D250" s="219">
        <f>'E) Fact soc'!G256/C250</f>
        <v>17.202585887072715</v>
      </c>
      <c r="E250" s="219">
        <f>'H) Péréquation directe'!I261/'H) Péréquation directe'!C261</f>
        <v>-0.82699048301316669</v>
      </c>
      <c r="F250" s="214">
        <f>'I) Dépenses thématiques'!P250</f>
        <v>-9.9523291366997668</v>
      </c>
      <c r="G250" s="167">
        <f>SUM(D250:F250)</f>
        <v>6.4232662673597822</v>
      </c>
      <c r="H250" s="138">
        <f t="shared" si="16"/>
        <v>0</v>
      </c>
      <c r="I250" s="183">
        <f>H250*C250</f>
        <v>0</v>
      </c>
      <c r="J250" s="43">
        <f>G250+H250</f>
        <v>6.4232662673597822</v>
      </c>
    </row>
    <row r="251" spans="1:10" x14ac:dyDescent="0.25">
      <c r="A251" s="61">
        <f>'A) Base RI'!A253</f>
        <v>5805</v>
      </c>
      <c r="B251" s="124" t="str">
        <f>'A) Base RI'!B253</f>
        <v>Oron</v>
      </c>
      <c r="C251" s="135">
        <f>'B) D RI'!U253</f>
        <v>146504.50986824767</v>
      </c>
      <c r="D251" s="219">
        <f>'E) Fact soc'!G257/C251</f>
        <v>17.518645504236947</v>
      </c>
      <c r="E251" s="219">
        <f>'H) Péréquation directe'!I262/'H) Péréquation directe'!C262</f>
        <v>-5.8086435107009162</v>
      </c>
      <c r="F251" s="214">
        <f>'I) Dépenses thématiques'!P251</f>
        <v>-6.468087035238141</v>
      </c>
      <c r="G251" s="167">
        <f>SUM(D251:F251)</f>
        <v>5.2419149582978894</v>
      </c>
      <c r="H251" s="138">
        <f t="shared" si="16"/>
        <v>0</v>
      </c>
      <c r="I251" s="183">
        <f>H251*C251</f>
        <v>0</v>
      </c>
      <c r="J251" s="43">
        <f>G251+H251</f>
        <v>5.2419149582978894</v>
      </c>
    </row>
    <row r="252" spans="1:10" x14ac:dyDescent="0.25">
      <c r="A252" s="61">
        <f>'A) Base RI'!A254</f>
        <v>5812</v>
      </c>
      <c r="B252" s="124" t="str">
        <f>'A) Base RI'!B254</f>
        <v>Champtauroz</v>
      </c>
      <c r="C252" s="135">
        <f>'B) D RI'!U254</f>
        <v>2420.1879870129869</v>
      </c>
      <c r="D252" s="219">
        <f>'E) Fact soc'!G258/C252</f>
        <v>21.616834695202495</v>
      </c>
      <c r="E252" s="219">
        <f>'H) Péréquation directe'!I263/'H) Péréquation directe'!C263</f>
        <v>-19.906415698185771</v>
      </c>
      <c r="F252" s="214">
        <f>'I) Dépenses thématiques'!P252</f>
        <v>-14.469530561447838</v>
      </c>
      <c r="G252" s="167">
        <f>SUM(D252:F252)</f>
        <v>-12.759111564431114</v>
      </c>
      <c r="H252" s="138">
        <f t="shared" si="16"/>
        <v>0</v>
      </c>
      <c r="I252" s="183">
        <f>H252*C252</f>
        <v>0</v>
      </c>
      <c r="J252" s="43">
        <f>G252+H252</f>
        <v>-12.759111564431114</v>
      </c>
    </row>
    <row r="253" spans="1:10" x14ac:dyDescent="0.25">
      <c r="A253" s="61">
        <f>'A) Base RI'!A255</f>
        <v>5813</v>
      </c>
      <c r="B253" s="124" t="str">
        <f>'A) Base RI'!B255</f>
        <v>Chevroux</v>
      </c>
      <c r="C253" s="135">
        <f>'B) D RI'!U255</f>
        <v>11590.298571428571</v>
      </c>
      <c r="D253" s="219">
        <f>'E) Fact soc'!G259/C253</f>
        <v>17.236149330378538</v>
      </c>
      <c r="E253" s="219">
        <f>'H) Péréquation directe'!I264/'H) Péréquation directe'!C264</f>
        <v>2.7634883330593389</v>
      </c>
      <c r="F253" s="214">
        <f>'I) Dépenses thématiques'!P253</f>
        <v>-0.76333290929806741</v>
      </c>
      <c r="G253" s="167">
        <f t="shared" si="19"/>
        <v>19.236304754139809</v>
      </c>
      <c r="H253" s="138">
        <f t="shared" si="16"/>
        <v>0</v>
      </c>
      <c r="I253" s="183">
        <f t="shared" si="18"/>
        <v>0</v>
      </c>
      <c r="J253" s="43">
        <f t="shared" si="17"/>
        <v>19.236304754139809</v>
      </c>
    </row>
    <row r="254" spans="1:10" x14ac:dyDescent="0.25">
      <c r="A254" s="61">
        <f>'A) Base RI'!A256</f>
        <v>5816</v>
      </c>
      <c r="B254" s="124" t="str">
        <f>'A) Base RI'!B256</f>
        <v>Corcelles-près-Payerne</v>
      </c>
      <c r="C254" s="135">
        <f>'B) D RI'!U256</f>
        <v>52953.608154761903</v>
      </c>
      <c r="D254" s="219">
        <f>'E) Fact soc'!G260/C254</f>
        <v>18.912984606772003</v>
      </c>
      <c r="E254" s="219">
        <f>'H) Péréquation directe'!I265/'H) Péréquation directe'!C265</f>
        <v>-8.6657049283547902</v>
      </c>
      <c r="F254" s="214">
        <f>'I) Dépenses thématiques'!P254</f>
        <v>-4.6971522762980857</v>
      </c>
      <c r="G254" s="167">
        <f t="shared" si="19"/>
        <v>5.5501274021191271</v>
      </c>
      <c r="H254" s="138">
        <f t="shared" si="16"/>
        <v>0</v>
      </c>
      <c r="I254" s="183">
        <f t="shared" si="18"/>
        <v>0</v>
      </c>
      <c r="J254" s="43">
        <f t="shared" si="17"/>
        <v>5.5501274021191271</v>
      </c>
    </row>
    <row r="255" spans="1:10" x14ac:dyDescent="0.25">
      <c r="A255" s="61">
        <f>'A) Base RI'!A257</f>
        <v>5817</v>
      </c>
      <c r="B255" s="124" t="str">
        <f>'A) Base RI'!B257</f>
        <v>Grandcour</v>
      </c>
      <c r="C255" s="135">
        <f>'B) D RI'!U257</f>
        <v>20895.78968553459</v>
      </c>
      <c r="D255" s="219">
        <f>'E) Fact soc'!G261/C255</f>
        <v>16.287754667854685</v>
      </c>
      <c r="E255" s="219">
        <f>'H) Péréquation directe'!I266/'H) Péréquation directe'!C266</f>
        <v>-5.3525277084079832</v>
      </c>
      <c r="F255" s="214">
        <f>'I) Dépenses thématiques'!P255</f>
        <v>-4.8878542870318311</v>
      </c>
      <c r="G255" s="167">
        <f t="shared" si="19"/>
        <v>6.0473726724148706</v>
      </c>
      <c r="H255" s="138">
        <f t="shared" si="16"/>
        <v>0</v>
      </c>
      <c r="I255" s="183">
        <f t="shared" si="18"/>
        <v>0</v>
      </c>
      <c r="J255" s="43">
        <f t="shared" si="17"/>
        <v>6.0473726724148706</v>
      </c>
    </row>
    <row r="256" spans="1:10" x14ac:dyDescent="0.25">
      <c r="A256" s="61">
        <f>'A) Base RI'!A258</f>
        <v>5819</v>
      </c>
      <c r="B256" s="124" t="str">
        <f>'A) Base RI'!B258</f>
        <v>Henniez</v>
      </c>
      <c r="C256" s="135">
        <f>'B) D RI'!U258</f>
        <v>13106.979402985076</v>
      </c>
      <c r="D256" s="219">
        <f>'E) Fact soc'!G262/C256</f>
        <v>16.283152360628257</v>
      </c>
      <c r="E256" s="219">
        <f>'H) Péréquation directe'!I267/'H) Péréquation directe'!C267</f>
        <v>13.640004924485146</v>
      </c>
      <c r="F256" s="214">
        <f>'I) Dépenses thématiques'!P256</f>
        <v>-5.3923250189464556</v>
      </c>
      <c r="G256" s="167">
        <f t="shared" si="19"/>
        <v>24.53083226616695</v>
      </c>
      <c r="H256" s="138">
        <f t="shared" si="16"/>
        <v>0</v>
      </c>
      <c r="I256" s="183">
        <f t="shared" si="18"/>
        <v>0</v>
      </c>
      <c r="J256" s="43">
        <f t="shared" si="17"/>
        <v>24.53083226616695</v>
      </c>
    </row>
    <row r="257" spans="1:10" x14ac:dyDescent="0.25">
      <c r="A257" s="61">
        <f>'A) Base RI'!A259</f>
        <v>5821</v>
      </c>
      <c r="B257" s="124" t="str">
        <f>'A) Base RI'!B259</f>
        <v>Missy</v>
      </c>
      <c r="C257" s="135">
        <f>'B) D RI'!U259</f>
        <v>7313.8070833333331</v>
      </c>
      <c r="D257" s="219">
        <f>'E) Fact soc'!G263/C257</f>
        <v>21.011187703750405</v>
      </c>
      <c r="E257" s="219">
        <f>'H) Péréquation directe'!I268/'H) Péréquation directe'!C268</f>
        <v>-8.6752315110509457</v>
      </c>
      <c r="F257" s="214">
        <f>'I) Dépenses thématiques'!P257</f>
        <v>-9.6980797821247169</v>
      </c>
      <c r="G257" s="167">
        <f t="shared" si="19"/>
        <v>2.6378764105747425</v>
      </c>
      <c r="H257" s="138">
        <f t="shared" si="16"/>
        <v>0</v>
      </c>
      <c r="I257" s="183">
        <f t="shared" si="18"/>
        <v>0</v>
      </c>
      <c r="J257" s="43">
        <f t="shared" si="17"/>
        <v>2.6378764105747425</v>
      </c>
    </row>
    <row r="258" spans="1:10" x14ac:dyDescent="0.25">
      <c r="A258" s="61">
        <f>'A) Base RI'!A260</f>
        <v>5822</v>
      </c>
      <c r="B258" s="124" t="str">
        <f>'A) Base RI'!B260</f>
        <v>Payerne</v>
      </c>
      <c r="C258" s="135">
        <f>'B) D RI'!U260</f>
        <v>224445.50853333328</v>
      </c>
      <c r="D258" s="219">
        <f>'E) Fact soc'!G264/C258</f>
        <v>17.421745302631699</v>
      </c>
      <c r="E258" s="219">
        <f>'H) Péréquation directe'!I269/'H) Péréquation directe'!C269</f>
        <v>-19.244980926270419</v>
      </c>
      <c r="F258" s="214">
        <f>'I) Dépenses thématiques'!P258</f>
        <v>-5.0169482376362105</v>
      </c>
      <c r="G258" s="167">
        <f t="shared" si="19"/>
        <v>-6.8401838612749302</v>
      </c>
      <c r="H258" s="138">
        <f t="shared" si="16"/>
        <v>0</v>
      </c>
      <c r="I258" s="183">
        <f t="shared" si="18"/>
        <v>0</v>
      </c>
      <c r="J258" s="43">
        <f t="shared" si="17"/>
        <v>-6.8401838612749302</v>
      </c>
    </row>
    <row r="259" spans="1:10" x14ac:dyDescent="0.25">
      <c r="A259" s="61">
        <f>'A) Base RI'!A261</f>
        <v>5827</v>
      </c>
      <c r="B259" s="124" t="str">
        <f>'A) Base RI'!B261</f>
        <v>Trey</v>
      </c>
      <c r="C259" s="135">
        <f>'B) D RI'!U261</f>
        <v>6544.3336250000011</v>
      </c>
      <c r="D259" s="219">
        <f>'E) Fact soc'!G265/C259</f>
        <v>18.34382059978336</v>
      </c>
      <c r="E259" s="219">
        <f>'H) Péréquation directe'!I270/'H) Péréquation directe'!C270</f>
        <v>-3.1826567886291168</v>
      </c>
      <c r="F259" s="214">
        <f>'I) Dépenses thématiques'!P259</f>
        <v>-6.9056039729745402</v>
      </c>
      <c r="G259" s="167">
        <f t="shared" si="19"/>
        <v>8.2555598381797033</v>
      </c>
      <c r="H259" s="138">
        <f t="shared" si="16"/>
        <v>0</v>
      </c>
      <c r="I259" s="183">
        <f t="shared" si="18"/>
        <v>0</v>
      </c>
      <c r="J259" s="43">
        <f t="shared" si="17"/>
        <v>8.2555598381797033</v>
      </c>
    </row>
    <row r="260" spans="1:10" x14ac:dyDescent="0.25">
      <c r="A260" s="61">
        <f>'A) Base RI'!A262</f>
        <v>5828</v>
      </c>
      <c r="B260" s="124" t="str">
        <f>'A) Base RI'!B262</f>
        <v>Treytorrens (Payerne)</v>
      </c>
      <c r="C260" s="135">
        <f>'B) D RI'!U262</f>
        <v>2136.5168650793653</v>
      </c>
      <c r="D260" s="219">
        <f>'E) Fact soc'!G266/C260</f>
        <v>18.184376687499796</v>
      </c>
      <c r="E260" s="219">
        <f>'H) Péréquation directe'!I271/'H) Péréquation directe'!C271</f>
        <v>-30.252605079066157</v>
      </c>
      <c r="F260" s="214">
        <f>'I) Dépenses thématiques'!P260</f>
        <v>-24.92419045934777</v>
      </c>
      <c r="G260" s="167">
        <f t="shared" si="19"/>
        <v>-36.992418850914135</v>
      </c>
      <c r="H260" s="138">
        <f t="shared" si="16"/>
        <v>0</v>
      </c>
      <c r="I260" s="183">
        <f t="shared" si="18"/>
        <v>0</v>
      </c>
      <c r="J260" s="43">
        <f t="shared" si="17"/>
        <v>-36.992418850914135</v>
      </c>
    </row>
    <row r="261" spans="1:10" x14ac:dyDescent="0.25">
      <c r="A261" s="61">
        <f>'A) Base RI'!A263</f>
        <v>5830</v>
      </c>
      <c r="B261" s="124" t="str">
        <f>'A) Base RI'!B263</f>
        <v>Villarzel</v>
      </c>
      <c r="C261" s="135">
        <f>'B) D RI'!U263</f>
        <v>10236.981518987341</v>
      </c>
      <c r="D261" s="219">
        <f>'E) Fact soc'!G267/C261</f>
        <v>15.906705572603782</v>
      </c>
      <c r="E261" s="219">
        <f>'H) Péréquation directe'!I272/'H) Péréquation directe'!C272</f>
        <v>-4.6009673532379924</v>
      </c>
      <c r="F261" s="214">
        <f>'I) Dépenses thématiques'!P261</f>
        <v>-10.201495446626232</v>
      </c>
      <c r="G261" s="167">
        <f t="shared" si="19"/>
        <v>1.104242772739557</v>
      </c>
      <c r="H261" s="138">
        <f t="shared" si="16"/>
        <v>0</v>
      </c>
      <c r="I261" s="183">
        <f t="shared" si="18"/>
        <v>0</v>
      </c>
      <c r="J261" s="43">
        <f t="shared" si="17"/>
        <v>1.104242772739557</v>
      </c>
    </row>
    <row r="262" spans="1:10" x14ac:dyDescent="0.25">
      <c r="A262" s="61">
        <f>'A) Base RI'!A264</f>
        <v>5831</v>
      </c>
      <c r="B262" s="124" t="str">
        <f>'A) Base RI'!B264</f>
        <v>Valbroye</v>
      </c>
      <c r="C262" s="135">
        <f>'B) D RI'!U264</f>
        <v>78037.716438356161</v>
      </c>
      <c r="D262" s="219">
        <f>'E) Fact soc'!G268/C262</f>
        <v>15.772467948671348</v>
      </c>
      <c r="E262" s="219">
        <f>'H) Péréquation directe'!I273/'H) Péréquation directe'!C273</f>
        <v>-5.3578753654454854</v>
      </c>
      <c r="F262" s="214">
        <f>'I) Dépenses thématiques'!P262</f>
        <v>-7.8150685839476157</v>
      </c>
      <c r="G262" s="167">
        <f>SUM(D262:F262)</f>
        <v>2.5995239992782473</v>
      </c>
      <c r="H262" s="138">
        <f t="shared" si="16"/>
        <v>0</v>
      </c>
      <c r="I262" s="183">
        <f>H262*C262</f>
        <v>0</v>
      </c>
      <c r="J262" s="43">
        <f>G262+H262</f>
        <v>2.5995239992782473</v>
      </c>
    </row>
    <row r="263" spans="1:10" x14ac:dyDescent="0.25">
      <c r="A263" s="61">
        <f>'A) Base RI'!A265</f>
        <v>5841</v>
      </c>
      <c r="B263" s="124" t="str">
        <f>'A) Base RI'!B265</f>
        <v>Château-d'Oex</v>
      </c>
      <c r="C263" s="135">
        <f>'B) D RI'!U265</f>
        <v>107525.73574297188</v>
      </c>
      <c r="D263" s="219">
        <f>'E) Fact soc'!G269/C263</f>
        <v>19.908350361880466</v>
      </c>
      <c r="E263" s="219">
        <f>'H) Péréquation directe'!I274/'H) Péréquation directe'!C274</f>
        <v>-1.2381023171861396</v>
      </c>
      <c r="F263" s="214">
        <f>'I) Dépenses thématiques'!P263</f>
        <v>-16.172751494341302</v>
      </c>
      <c r="G263" s="167">
        <f>SUM(D263:F263)</f>
        <v>2.4974965503530235</v>
      </c>
      <c r="H263" s="138">
        <f t="shared" si="16"/>
        <v>0</v>
      </c>
      <c r="I263" s="183">
        <f>H263*C263</f>
        <v>0</v>
      </c>
      <c r="J263" s="43">
        <f>G263+H263</f>
        <v>2.4974965503530235</v>
      </c>
    </row>
    <row r="264" spans="1:10" x14ac:dyDescent="0.25">
      <c r="A264" s="61">
        <f>'A) Base RI'!A266</f>
        <v>5842</v>
      </c>
      <c r="B264" s="124" t="str">
        <f>'A) Base RI'!B266</f>
        <v>Rossinière</v>
      </c>
      <c r="C264" s="135">
        <f>'B) D RI'!U266</f>
        <v>16554.125349794238</v>
      </c>
      <c r="D264" s="219">
        <f>'E) Fact soc'!G270/C264</f>
        <v>16.366537168643212</v>
      </c>
      <c r="E264" s="219">
        <f>'H) Péréquation directe'!I275/'H) Péréquation directe'!C275</f>
        <v>2.3524242383976182</v>
      </c>
      <c r="F264" s="214">
        <f>'I) Dépenses thématiques'!P264</f>
        <v>-16.224910475929605</v>
      </c>
      <c r="G264" s="167">
        <f t="shared" si="19"/>
        <v>2.4940509311112251</v>
      </c>
      <c r="H264" s="138">
        <f t="shared" si="16"/>
        <v>0</v>
      </c>
      <c r="I264" s="183">
        <f t="shared" si="18"/>
        <v>0</v>
      </c>
      <c r="J264" s="43">
        <f t="shared" si="17"/>
        <v>2.4940509311112251</v>
      </c>
    </row>
    <row r="265" spans="1:10" x14ac:dyDescent="0.25">
      <c r="A265" s="61">
        <f>'A) Base RI'!A267</f>
        <v>5843</v>
      </c>
      <c r="B265" s="124" t="str">
        <f>'A) Base RI'!B267</f>
        <v>Rougemont</v>
      </c>
      <c r="C265" s="135">
        <f>'B) D RI'!U267</f>
        <v>92297.453816425128</v>
      </c>
      <c r="D265" s="219">
        <f>'E) Fact soc'!G271/C265</f>
        <v>37.783668871920696</v>
      </c>
      <c r="E265" s="219">
        <f>'H) Péréquation directe'!I276/'H) Péréquation directe'!C276</f>
        <v>17.282352517180733</v>
      </c>
      <c r="F265" s="214">
        <f>'I) Dépenses thématiques'!P265</f>
        <v>-13.904999315684631</v>
      </c>
      <c r="G265" s="167">
        <f t="shared" si="19"/>
        <v>41.161022073416802</v>
      </c>
      <c r="H265" s="138">
        <f t="shared" si="16"/>
        <v>0</v>
      </c>
      <c r="I265" s="183">
        <f t="shared" si="18"/>
        <v>0</v>
      </c>
      <c r="J265" s="43">
        <f t="shared" si="17"/>
        <v>41.161022073416802</v>
      </c>
    </row>
    <row r="266" spans="1:10" x14ac:dyDescent="0.25">
      <c r="A266" s="61">
        <f>'A) Base RI'!A268</f>
        <v>5851</v>
      </c>
      <c r="B266" s="124" t="str">
        <f>'A) Base RI'!B268</f>
        <v>Allaman</v>
      </c>
      <c r="C266" s="135">
        <f>'B) D RI'!U268</f>
        <v>26311.895293255133</v>
      </c>
      <c r="D266" s="219">
        <f>'E) Fact soc'!G272/C266</f>
        <v>8.3000870787615746</v>
      </c>
      <c r="E266" s="219">
        <f>'H) Péréquation directe'!I277/'H) Péréquation directe'!C277</f>
        <v>16.910369339754361</v>
      </c>
      <c r="F266" s="214">
        <f>'I) Dépenses thématiques'!P266</f>
        <v>-2.8047807264291857E-2</v>
      </c>
      <c r="G266" s="167">
        <f t="shared" si="19"/>
        <v>25.182408611251642</v>
      </c>
      <c r="H266" s="138">
        <f t="shared" si="16"/>
        <v>0</v>
      </c>
      <c r="I266" s="183">
        <f t="shared" si="18"/>
        <v>0</v>
      </c>
      <c r="J266" s="43">
        <f t="shared" si="17"/>
        <v>25.182408611251642</v>
      </c>
    </row>
    <row r="267" spans="1:10" x14ac:dyDescent="0.25">
      <c r="A267" s="61">
        <f>'A) Base RI'!A269</f>
        <v>5852</v>
      </c>
      <c r="B267" s="124" t="str">
        <f>'A) Base RI'!B269</f>
        <v>Bursinel</v>
      </c>
      <c r="C267" s="135">
        <f>'B) D RI'!U269</f>
        <v>31632.546141732284</v>
      </c>
      <c r="D267" s="219">
        <f>'E) Fact soc'!G273/C267</f>
        <v>21.194317999170462</v>
      </c>
      <c r="E267" s="219">
        <f>'H) Péréquation directe'!I278/'H) Péréquation directe'!C278</f>
        <v>16.900039594449499</v>
      </c>
      <c r="F267" s="214">
        <f>'I) Dépenses thématiques'!P267</f>
        <v>-0.7103261440054256</v>
      </c>
      <c r="G267" s="167">
        <f t="shared" si="19"/>
        <v>37.384031449614533</v>
      </c>
      <c r="H267" s="138">
        <f t="shared" si="16"/>
        <v>0</v>
      </c>
      <c r="I267" s="183">
        <f t="shared" si="18"/>
        <v>0</v>
      </c>
      <c r="J267" s="43">
        <f t="shared" si="17"/>
        <v>37.384031449614533</v>
      </c>
    </row>
    <row r="268" spans="1:10" x14ac:dyDescent="0.25">
      <c r="A268" s="61">
        <f>'A) Base RI'!A270</f>
        <v>5853</v>
      </c>
      <c r="B268" s="124" t="str">
        <f>'A) Base RI'!B270</f>
        <v>Bursins</v>
      </c>
      <c r="C268" s="135">
        <f>'B) D RI'!U270</f>
        <v>37118.734366197183</v>
      </c>
      <c r="D268" s="219">
        <f>'E) Fact soc'!G274/C268</f>
        <v>18.402875373361013</v>
      </c>
      <c r="E268" s="219">
        <f>'H) Péréquation directe'!I279/'H) Péréquation directe'!C279</f>
        <v>16.431606943851349</v>
      </c>
      <c r="F268" s="214">
        <f>'I) Dépenses thématiques'!P268</f>
        <v>-4.3072546805774256E-2</v>
      </c>
      <c r="G268" s="167">
        <f t="shared" si="19"/>
        <v>34.791409770406588</v>
      </c>
      <c r="H268" s="138">
        <f t="shared" si="16"/>
        <v>0</v>
      </c>
      <c r="I268" s="183">
        <f t="shared" si="18"/>
        <v>0</v>
      </c>
      <c r="J268" s="43">
        <f t="shared" si="17"/>
        <v>34.791409770406588</v>
      </c>
    </row>
    <row r="269" spans="1:10" x14ac:dyDescent="0.25">
      <c r="A269" s="61">
        <f>'A) Base RI'!A271</f>
        <v>5854</v>
      </c>
      <c r="B269" s="124" t="str">
        <f>'A) Base RI'!B271</f>
        <v>Burtigny</v>
      </c>
      <c r="C269" s="135">
        <f>'B) D RI'!U271</f>
        <v>10244.164041666669</v>
      </c>
      <c r="D269" s="219">
        <f>'E) Fact soc'!G275/C269</f>
        <v>15.454173163914968</v>
      </c>
      <c r="E269" s="219">
        <f>'H) Péréquation directe'!I280/'H) Péréquation directe'!C280</f>
        <v>2.386622312266903</v>
      </c>
      <c r="F269" s="214">
        <f>'I) Dépenses thématiques'!P269</f>
        <v>-2.3605582918104591</v>
      </c>
      <c r="G269" s="167">
        <f t="shared" si="19"/>
        <v>15.480237184371411</v>
      </c>
      <c r="H269" s="138">
        <f t="shared" ref="H269:H322" si="20">IF(G269&gt;H$4,H$4-G269,0)</f>
        <v>0</v>
      </c>
      <c r="I269" s="183">
        <f t="shared" si="18"/>
        <v>0</v>
      </c>
      <c r="J269" s="43">
        <f t="shared" ref="J269:J322" si="21">G269+H269</f>
        <v>15.480237184371411</v>
      </c>
    </row>
    <row r="270" spans="1:10" x14ac:dyDescent="0.25">
      <c r="A270" s="61">
        <f>'A) Base RI'!A272</f>
        <v>5855</v>
      </c>
      <c r="B270" s="124" t="str">
        <f>'A) Base RI'!B272</f>
        <v>Dully</v>
      </c>
      <c r="C270" s="135">
        <f>'B) D RI'!U272</f>
        <v>65353.176326530607</v>
      </c>
      <c r="D270" s="219">
        <f>'E) Fact soc'!G276/C270</f>
        <v>28.686413219175396</v>
      </c>
      <c r="E270" s="219">
        <f>'H) Péréquation directe'!I281/'H) Péréquation directe'!C281</f>
        <v>17.269184494051022</v>
      </c>
      <c r="F270" s="214">
        <f>'I) Dépenses thématiques'!P270</f>
        <v>0</v>
      </c>
      <c r="G270" s="167">
        <f t="shared" si="19"/>
        <v>45.955597713226418</v>
      </c>
      <c r="H270" s="138">
        <f t="shared" si="20"/>
        <v>0</v>
      </c>
      <c r="I270" s="183">
        <f t="shared" si="18"/>
        <v>0</v>
      </c>
      <c r="J270" s="43">
        <f t="shared" si="21"/>
        <v>45.955597713226418</v>
      </c>
    </row>
    <row r="271" spans="1:10" x14ac:dyDescent="0.25">
      <c r="A271" s="61">
        <f>'A) Base RI'!A273</f>
        <v>5856</v>
      </c>
      <c r="B271" s="124" t="str">
        <f>'A) Base RI'!B273</f>
        <v>Essertines-sur-Rolle</v>
      </c>
      <c r="C271" s="135">
        <f>'B) D RI'!U273</f>
        <v>28766.256402714938</v>
      </c>
      <c r="D271" s="219">
        <f>'E) Fact soc'!G277/C271</f>
        <v>15.028604343148125</v>
      </c>
      <c r="E271" s="219">
        <f>'H) Péréquation directe'!I282/'H) Péréquation directe'!C282</f>
        <v>14.950374005094682</v>
      </c>
      <c r="F271" s="214">
        <f>'I) Dépenses thématiques'!P271</f>
        <v>-1.9671886947931427</v>
      </c>
      <c r="G271" s="167">
        <f t="shared" si="19"/>
        <v>28.011789653449661</v>
      </c>
      <c r="H271" s="138">
        <f t="shared" si="20"/>
        <v>0</v>
      </c>
      <c r="I271" s="183">
        <f t="shared" si="18"/>
        <v>0</v>
      </c>
      <c r="J271" s="43">
        <f t="shared" si="21"/>
        <v>28.011789653449661</v>
      </c>
    </row>
    <row r="272" spans="1:10" x14ac:dyDescent="0.25">
      <c r="A272" s="61">
        <f>'A) Base RI'!A274</f>
        <v>5857</v>
      </c>
      <c r="B272" s="124" t="str">
        <f>'A) Base RI'!B274</f>
        <v>Gilly</v>
      </c>
      <c r="C272" s="135">
        <f>'B) D RI'!U274</f>
        <v>55694.918787878785</v>
      </c>
      <c r="D272" s="219">
        <f>'E) Fact soc'!G278/C272</f>
        <v>20.665797983015466</v>
      </c>
      <c r="E272" s="219">
        <f>'H) Péréquation directe'!I283/'H) Péréquation directe'!C283</f>
        <v>15.898110137641652</v>
      </c>
      <c r="F272" s="214">
        <f>'I) Dépenses thématiques'!P272</f>
        <v>0</v>
      </c>
      <c r="G272" s="167">
        <f t="shared" si="19"/>
        <v>36.563908120657118</v>
      </c>
      <c r="H272" s="138">
        <f t="shared" si="20"/>
        <v>0</v>
      </c>
      <c r="I272" s="183">
        <f t="shared" si="18"/>
        <v>0</v>
      </c>
      <c r="J272" s="43">
        <f t="shared" si="21"/>
        <v>36.563908120657118</v>
      </c>
    </row>
    <row r="273" spans="1:10" x14ac:dyDescent="0.25">
      <c r="A273" s="61">
        <f>'A) Base RI'!A275</f>
        <v>5858</v>
      </c>
      <c r="B273" s="124" t="str">
        <f>'A) Base RI'!B275</f>
        <v>Luins</v>
      </c>
      <c r="C273" s="135">
        <f>'B) D RI'!U275</f>
        <v>33594.571611111111</v>
      </c>
      <c r="D273" s="219">
        <f>'E) Fact soc'!G279/C273</f>
        <v>15.259153292098203</v>
      </c>
      <c r="E273" s="219">
        <f>'H) Péréquation directe'!I284/'H) Péréquation directe'!C284</f>
        <v>16.625218650661175</v>
      </c>
      <c r="F273" s="214">
        <f>'I) Dépenses thématiques'!P273</f>
        <v>0</v>
      </c>
      <c r="G273" s="167">
        <f t="shared" si="19"/>
        <v>31.88437194275938</v>
      </c>
      <c r="H273" s="138">
        <f t="shared" si="20"/>
        <v>0</v>
      </c>
      <c r="I273" s="183">
        <f t="shared" ref="I273:I322" si="22">H273*C273</f>
        <v>0</v>
      </c>
      <c r="J273" s="43">
        <f t="shared" si="21"/>
        <v>31.88437194275938</v>
      </c>
    </row>
    <row r="274" spans="1:10" x14ac:dyDescent="0.25">
      <c r="A274" s="61">
        <f>'A) Base RI'!A276</f>
        <v>5859</v>
      </c>
      <c r="B274" s="124" t="str">
        <f>'A) Base RI'!B276</f>
        <v>Mont-sur-Rolle</v>
      </c>
      <c r="C274" s="135">
        <f>'B) D RI'!U276</f>
        <v>147627.58999999997</v>
      </c>
      <c r="D274" s="219">
        <f>'E) Fact soc'!G280/C274</f>
        <v>16.895505363635706</v>
      </c>
      <c r="E274" s="219">
        <f>'H) Péréquation directe'!I285/'H) Péréquation directe'!C285</f>
        <v>14.0248992283336</v>
      </c>
      <c r="F274" s="214">
        <f>'I) Dépenses thématiques'!P274</f>
        <v>0</v>
      </c>
      <c r="G274" s="167">
        <f t="shared" ref="G274:G322" si="23">SUM(D274:F274)</f>
        <v>30.920404591969309</v>
      </c>
      <c r="H274" s="138">
        <f t="shared" si="20"/>
        <v>0</v>
      </c>
      <c r="I274" s="183">
        <f t="shared" si="22"/>
        <v>0</v>
      </c>
      <c r="J274" s="43">
        <f t="shared" si="21"/>
        <v>30.920404591969309</v>
      </c>
    </row>
    <row r="275" spans="1:10" x14ac:dyDescent="0.25">
      <c r="A275" s="61">
        <f>'A) Base RI'!A277</f>
        <v>5860</v>
      </c>
      <c r="B275" s="124" t="str">
        <f>'A) Base RI'!B277</f>
        <v>Perroy</v>
      </c>
      <c r="C275" s="135">
        <f>'B) D RI'!U277</f>
        <v>88241.731705128201</v>
      </c>
      <c r="D275" s="219">
        <f>'E) Fact soc'!G281/C275</f>
        <v>20.103785125227972</v>
      </c>
      <c r="E275" s="219">
        <f>'H) Péréquation directe'!I286/'H) Péréquation directe'!C286</f>
        <v>15.451037663433922</v>
      </c>
      <c r="F275" s="214">
        <f>'I) Dépenses thématiques'!P275</f>
        <v>0</v>
      </c>
      <c r="G275" s="167">
        <f t="shared" si="23"/>
        <v>35.554822788661895</v>
      </c>
      <c r="H275" s="138">
        <f t="shared" si="20"/>
        <v>0</v>
      </c>
      <c r="I275" s="183">
        <f t="shared" si="22"/>
        <v>0</v>
      </c>
      <c r="J275" s="43">
        <f t="shared" si="21"/>
        <v>35.554822788661895</v>
      </c>
    </row>
    <row r="276" spans="1:10" x14ac:dyDescent="0.25">
      <c r="A276" s="61">
        <f>'A) Base RI'!A278</f>
        <v>5861</v>
      </c>
      <c r="B276" s="124" t="str">
        <f>'A) Base RI'!B278</f>
        <v>Rolle</v>
      </c>
      <c r="C276" s="135">
        <f>'B) D RI'!U278</f>
        <v>641127.68151260505</v>
      </c>
      <c r="D276" s="219">
        <f>'E) Fact soc'!G282/C276</f>
        <v>26.440348855294129</v>
      </c>
      <c r="E276" s="219">
        <f>'H) Péréquation directe'!I287/'H) Péréquation directe'!C287</f>
        <v>13.671738179705537</v>
      </c>
      <c r="F276" s="214">
        <f>'I) Dépenses thématiques'!P276</f>
        <v>-6.2529625698109451E-2</v>
      </c>
      <c r="G276" s="167">
        <f t="shared" si="23"/>
        <v>40.049557409301556</v>
      </c>
      <c r="H276" s="138">
        <f t="shared" si="20"/>
        <v>0</v>
      </c>
      <c r="I276" s="183">
        <f t="shared" si="22"/>
        <v>0</v>
      </c>
      <c r="J276" s="43">
        <f t="shared" si="21"/>
        <v>40.049557409301556</v>
      </c>
    </row>
    <row r="277" spans="1:10" x14ac:dyDescent="0.25">
      <c r="A277" s="61">
        <f>'A) Base RI'!A279</f>
        <v>5862</v>
      </c>
      <c r="B277" s="124" t="str">
        <f>'A) Base RI'!B279</f>
        <v>Tartegnin</v>
      </c>
      <c r="C277" s="135">
        <f>'B) D RI'!U279</f>
        <v>9990.8663492063497</v>
      </c>
      <c r="D277" s="219">
        <f>'E) Fact soc'!G283/C277</f>
        <v>15.842187208253195</v>
      </c>
      <c r="E277" s="219">
        <f>'H) Péréquation directe'!I288/'H) Péréquation directe'!C288</f>
        <v>16.093241985730753</v>
      </c>
      <c r="F277" s="214">
        <f>'I) Dépenses thématiques'!P277</f>
        <v>0</v>
      </c>
      <c r="G277" s="167">
        <f t="shared" si="23"/>
        <v>31.93542919398395</v>
      </c>
      <c r="H277" s="138">
        <f t="shared" si="20"/>
        <v>0</v>
      </c>
      <c r="I277" s="183">
        <f t="shared" si="22"/>
        <v>0</v>
      </c>
      <c r="J277" s="43">
        <f t="shared" si="21"/>
        <v>31.93542919398395</v>
      </c>
    </row>
    <row r="278" spans="1:10" x14ac:dyDescent="0.25">
      <c r="A278" s="61">
        <f>'A) Base RI'!A280</f>
        <v>5863</v>
      </c>
      <c r="B278" s="124" t="str">
        <f>'A) Base RI'!B280</f>
        <v>Vinzel</v>
      </c>
      <c r="C278" s="135">
        <f>'B) D RI'!U280</f>
        <v>25660.793857142853</v>
      </c>
      <c r="D278" s="219">
        <f>'E) Fact soc'!G284/C278</f>
        <v>20.837699238412245</v>
      </c>
      <c r="E278" s="219">
        <f>'H) Péréquation directe'!I289/'H) Péréquation directe'!C289</f>
        <v>16.999175066955633</v>
      </c>
      <c r="F278" s="214">
        <f>'I) Dépenses thématiques'!P278</f>
        <v>0</v>
      </c>
      <c r="G278" s="167">
        <f t="shared" si="23"/>
        <v>37.836874305367878</v>
      </c>
      <c r="H278" s="138">
        <f t="shared" si="20"/>
        <v>0</v>
      </c>
      <c r="I278" s="183">
        <f t="shared" si="22"/>
        <v>0</v>
      </c>
      <c r="J278" s="43">
        <f t="shared" si="21"/>
        <v>37.836874305367878</v>
      </c>
    </row>
    <row r="279" spans="1:10" x14ac:dyDescent="0.25">
      <c r="A279" s="61">
        <f>'A) Base RI'!A281</f>
        <v>5871</v>
      </c>
      <c r="B279" s="124" t="str">
        <f>'A) Base RI'!B281</f>
        <v>L'Abbaye</v>
      </c>
      <c r="C279" s="135">
        <f>'B) D RI'!U281</f>
        <v>49270.614706263776</v>
      </c>
      <c r="D279" s="219">
        <f>'E) Fact soc'!G285/C279</f>
        <v>19.582515838902246</v>
      </c>
      <c r="E279" s="219">
        <f>'H) Péréquation directe'!I290/'H) Péréquation directe'!C290</f>
        <v>7.3599172639115622</v>
      </c>
      <c r="F279" s="214">
        <f>'I) Dépenses thématiques'!P279</f>
        <v>-6.1723443019034603</v>
      </c>
      <c r="G279" s="167">
        <f t="shared" si="23"/>
        <v>20.770088800910347</v>
      </c>
      <c r="H279" s="138">
        <f t="shared" si="20"/>
        <v>0</v>
      </c>
      <c r="I279" s="183">
        <f t="shared" si="22"/>
        <v>0</v>
      </c>
      <c r="J279" s="43">
        <f t="shared" si="21"/>
        <v>20.770088800910347</v>
      </c>
    </row>
    <row r="280" spans="1:10" x14ac:dyDescent="0.25">
      <c r="A280" s="61">
        <f>'A) Base RI'!A282</f>
        <v>5872</v>
      </c>
      <c r="B280" s="124" t="str">
        <f>'A) Base RI'!B282</f>
        <v>Le Chenit</v>
      </c>
      <c r="C280" s="135">
        <f>'B) D RI'!U282</f>
        <v>312565.48082674423</v>
      </c>
      <c r="D280" s="219">
        <f>'E) Fact soc'!G286/C280</f>
        <v>23.176922835496345</v>
      </c>
      <c r="E280" s="219">
        <f>'H) Péréquation directe'!I291/'H) Péréquation directe'!C291</f>
        <v>13.031247399208491</v>
      </c>
      <c r="F280" s="214">
        <f>'I) Dépenses thématiques'!P280</f>
        <v>-4.4743037572378324</v>
      </c>
      <c r="G280" s="167">
        <f t="shared" si="23"/>
        <v>31.733866477467004</v>
      </c>
      <c r="H280" s="138">
        <f t="shared" si="20"/>
        <v>0</v>
      </c>
      <c r="I280" s="183">
        <f t="shared" si="22"/>
        <v>0</v>
      </c>
      <c r="J280" s="43">
        <f t="shared" si="21"/>
        <v>31.733866477467004</v>
      </c>
    </row>
    <row r="281" spans="1:10" x14ac:dyDescent="0.25">
      <c r="A281" s="61">
        <f>'A) Base RI'!A283</f>
        <v>5873</v>
      </c>
      <c r="B281" s="124" t="str">
        <f>'A) Base RI'!B283</f>
        <v>Le Lieu</v>
      </c>
      <c r="C281" s="135">
        <f>'B) D RI'!U283</f>
        <v>35906.558461538458</v>
      </c>
      <c r="D281" s="219">
        <f>'E) Fact soc'!G287/C281</f>
        <v>23.888871979870501</v>
      </c>
      <c r="E281" s="219">
        <f>'H) Péréquation directe'!I292/'H) Péréquation directe'!C292</f>
        <v>15.389906458494693</v>
      </c>
      <c r="F281" s="214">
        <f>'I) Dépenses thématiques'!P281</f>
        <v>-20.605097947252062</v>
      </c>
      <c r="G281" s="167">
        <f t="shared" si="23"/>
        <v>18.673680491113132</v>
      </c>
      <c r="H281" s="138">
        <f t="shared" si="20"/>
        <v>0</v>
      </c>
      <c r="I281" s="183">
        <f t="shared" si="22"/>
        <v>0</v>
      </c>
      <c r="J281" s="43">
        <f t="shared" si="21"/>
        <v>18.673680491113132</v>
      </c>
    </row>
    <row r="282" spans="1:10" x14ac:dyDescent="0.25">
      <c r="A282" s="61">
        <f>'A) Base RI'!A284</f>
        <v>5881</v>
      </c>
      <c r="B282" s="124" t="str">
        <f>'A) Base RI'!B284</f>
        <v>Blonay</v>
      </c>
      <c r="C282" s="135">
        <f>'B) D RI'!U284</f>
        <v>350302.66257142869</v>
      </c>
      <c r="D282" s="219">
        <f>'E) Fact soc'!G288/C282</f>
        <v>17.886480977559966</v>
      </c>
      <c r="E282" s="219">
        <f>'H) Péréquation directe'!I293/'H) Péréquation directe'!C293</f>
        <v>11.389268452208116</v>
      </c>
      <c r="F282" s="214">
        <f>'I) Dépenses thématiques'!P282</f>
        <v>-2.2722164900943089</v>
      </c>
      <c r="G282" s="167">
        <f t="shared" si="23"/>
        <v>27.003532939673775</v>
      </c>
      <c r="H282" s="138">
        <f t="shared" si="20"/>
        <v>0</v>
      </c>
      <c r="I282" s="183">
        <f t="shared" si="22"/>
        <v>0</v>
      </c>
      <c r="J282" s="43">
        <f t="shared" si="21"/>
        <v>27.003532939673775</v>
      </c>
    </row>
    <row r="283" spans="1:10" x14ac:dyDescent="0.25">
      <c r="A283" s="61">
        <f>'A) Base RI'!A285</f>
        <v>5882</v>
      </c>
      <c r="B283" s="124" t="str">
        <f>'A) Base RI'!B285</f>
        <v>Chardonne</v>
      </c>
      <c r="C283" s="135">
        <f>'B) D RI'!U285</f>
        <v>162874.24803030302</v>
      </c>
      <c r="D283" s="219">
        <f>'E) Fact soc'!G289/C283</f>
        <v>19.285741503652599</v>
      </c>
      <c r="E283" s="219">
        <f>'H) Péréquation directe'!I294/'H) Péréquation directe'!C294</f>
        <v>13.823265637486395</v>
      </c>
      <c r="F283" s="214">
        <f>'I) Dépenses thématiques'!P283</f>
        <v>-1.8126546223596938</v>
      </c>
      <c r="G283" s="167">
        <f t="shared" si="23"/>
        <v>31.296352518779301</v>
      </c>
      <c r="H283" s="138">
        <f t="shared" si="20"/>
        <v>0</v>
      </c>
      <c r="I283" s="183">
        <f t="shared" si="22"/>
        <v>0</v>
      </c>
      <c r="J283" s="43">
        <f t="shared" si="21"/>
        <v>31.296352518779301</v>
      </c>
    </row>
    <row r="284" spans="1:10" x14ac:dyDescent="0.25">
      <c r="A284" s="61">
        <f>'A) Base RI'!A286</f>
        <v>5883</v>
      </c>
      <c r="B284" s="124" t="str">
        <f>'A) Base RI'!B286</f>
        <v>Corseaux</v>
      </c>
      <c r="C284" s="135">
        <f>'B) D RI'!U286</f>
        <v>144418.05406250001</v>
      </c>
      <c r="D284" s="219">
        <f>'E) Fact soc'!G290/C284</f>
        <v>21.351175245735028</v>
      </c>
      <c r="E284" s="219">
        <f>'H) Péréquation directe'!I295/'H) Péréquation directe'!C295</f>
        <v>14.76125334935705</v>
      </c>
      <c r="F284" s="214">
        <f>'I) Dépenses thématiques'!P284</f>
        <v>0</v>
      </c>
      <c r="G284" s="167">
        <f t="shared" si="23"/>
        <v>36.112428595092076</v>
      </c>
      <c r="H284" s="138">
        <f t="shared" si="20"/>
        <v>0</v>
      </c>
      <c r="I284" s="183">
        <f t="shared" si="22"/>
        <v>0</v>
      </c>
      <c r="J284" s="43">
        <f t="shared" si="21"/>
        <v>36.112428595092076</v>
      </c>
    </row>
    <row r="285" spans="1:10" x14ac:dyDescent="0.25">
      <c r="A285" s="61">
        <f>'A) Base RI'!A287</f>
        <v>5884</v>
      </c>
      <c r="B285" s="124" t="str">
        <f>'A) Base RI'!B287</f>
        <v>Corsier-sur-Vevey</v>
      </c>
      <c r="C285" s="135">
        <f>'B) D RI'!U287</f>
        <v>132379.93277777778</v>
      </c>
      <c r="D285" s="219">
        <f>'E) Fact soc'!G291/C285</f>
        <v>16.959418663599873</v>
      </c>
      <c r="E285" s="219">
        <f>'H) Péréquation directe'!I296/'H) Péréquation directe'!C296</f>
        <v>8.6714869201429909</v>
      </c>
      <c r="F285" s="214">
        <f>'I) Dépenses thématiques'!P285</f>
        <v>-5.0868753032650149</v>
      </c>
      <c r="G285" s="167">
        <f t="shared" si="23"/>
        <v>20.544030280477852</v>
      </c>
      <c r="H285" s="138">
        <f t="shared" si="20"/>
        <v>0</v>
      </c>
      <c r="I285" s="183">
        <f t="shared" si="22"/>
        <v>0</v>
      </c>
      <c r="J285" s="43">
        <f t="shared" si="21"/>
        <v>20.544030280477852</v>
      </c>
    </row>
    <row r="286" spans="1:10" x14ac:dyDescent="0.25">
      <c r="A286" s="61">
        <f>'A) Base RI'!A288</f>
        <v>5885</v>
      </c>
      <c r="B286" s="124" t="str">
        <f>'A) Base RI'!B288</f>
        <v>Jongny</v>
      </c>
      <c r="C286" s="135">
        <f>'B) D RI'!U288</f>
        <v>197476.07983091791</v>
      </c>
      <c r="D286" s="219">
        <f>'E) Fact soc'!G292/C286</f>
        <v>31.129119131327727</v>
      </c>
      <c r="E286" s="219">
        <f>'H) Péréquation directe'!I297/'H) Péréquation directe'!C297</f>
        <v>16.568819675107555</v>
      </c>
      <c r="F286" s="214">
        <f>'I) Dépenses thématiques'!P286</f>
        <v>0</v>
      </c>
      <c r="G286" s="167">
        <f t="shared" si="23"/>
        <v>47.697938806435282</v>
      </c>
      <c r="H286" s="138">
        <f t="shared" si="20"/>
        <v>0</v>
      </c>
      <c r="I286" s="183">
        <f t="shared" si="22"/>
        <v>0</v>
      </c>
      <c r="J286" s="43">
        <f t="shared" si="21"/>
        <v>47.697938806435282</v>
      </c>
    </row>
    <row r="287" spans="1:10" x14ac:dyDescent="0.25">
      <c r="A287" s="61">
        <f>'A) Base RI'!A289</f>
        <v>5886</v>
      </c>
      <c r="B287" s="124" t="str">
        <f>'A) Base RI'!B289</f>
        <v>Montreux</v>
      </c>
      <c r="C287" s="135">
        <f>'B) D RI'!U289</f>
        <v>1113145.3400000003</v>
      </c>
      <c r="D287" s="219">
        <f>'E) Fact soc'!G293/C287</f>
        <v>20.603629839579078</v>
      </c>
      <c r="E287" s="219">
        <f>'H) Péréquation directe'!I298/'H) Péréquation directe'!C298</f>
        <v>-1.2199951932664603</v>
      </c>
      <c r="F287" s="214">
        <f>'I) Dépenses thématiques'!P287</f>
        <v>-4.0349792435613496</v>
      </c>
      <c r="G287" s="167">
        <f t="shared" si="23"/>
        <v>15.34865540275127</v>
      </c>
      <c r="H287" s="138">
        <f t="shared" si="20"/>
        <v>0</v>
      </c>
      <c r="I287" s="183">
        <f t="shared" si="22"/>
        <v>0</v>
      </c>
      <c r="J287" s="43">
        <f t="shared" si="21"/>
        <v>15.34865540275127</v>
      </c>
    </row>
    <row r="288" spans="1:10" x14ac:dyDescent="0.25">
      <c r="A288" s="61">
        <f>'A) Base RI'!A290</f>
        <v>5888</v>
      </c>
      <c r="B288" s="124" t="str">
        <f>'A) Base RI'!B290</f>
        <v>Saint-Légier-La Chiésaz</v>
      </c>
      <c r="C288" s="135">
        <f>'B) D RI'!U290</f>
        <v>313348.84833333333</v>
      </c>
      <c r="D288" s="219">
        <f>'E) Fact soc'!G294/C288</f>
        <v>18.574286062199345</v>
      </c>
      <c r="E288" s="219">
        <f>'H) Péréquation directe'!I299/'H) Péréquation directe'!C299</f>
        <v>12.429513173511154</v>
      </c>
      <c r="F288" s="214">
        <f>'I) Dépenses thématiques'!P288</f>
        <v>-5.7639226932912715</v>
      </c>
      <c r="G288" s="167">
        <f t="shared" si="23"/>
        <v>25.239876542419228</v>
      </c>
      <c r="H288" s="138">
        <f t="shared" si="20"/>
        <v>0</v>
      </c>
      <c r="I288" s="183">
        <f t="shared" si="22"/>
        <v>0</v>
      </c>
      <c r="J288" s="43">
        <f t="shared" si="21"/>
        <v>25.239876542419228</v>
      </c>
    </row>
    <row r="289" spans="1:10" x14ac:dyDescent="0.25">
      <c r="A289" s="61">
        <f>'A) Base RI'!A291</f>
        <v>5889</v>
      </c>
      <c r="B289" s="124" t="str">
        <f>'A) Base RI'!B291</f>
        <v>La Tour-de-Peilz</v>
      </c>
      <c r="C289" s="135">
        <f>'B) D RI'!U291</f>
        <v>590141.45856770838</v>
      </c>
      <c r="D289" s="219">
        <f>'E) Fact soc'!G295/C289</f>
        <v>16.199737006422186</v>
      </c>
      <c r="E289" s="219">
        <f>'H) Péréquation directe'!I300/'H) Péréquation directe'!C300</f>
        <v>7.9931924707938515</v>
      </c>
      <c r="F289" s="214">
        <f>'I) Dépenses thématiques'!P289</f>
        <v>0</v>
      </c>
      <c r="G289" s="167">
        <f t="shared" si="23"/>
        <v>24.192929477216037</v>
      </c>
      <c r="H289" s="138">
        <f t="shared" si="20"/>
        <v>0</v>
      </c>
      <c r="I289" s="183">
        <f t="shared" si="22"/>
        <v>0</v>
      </c>
      <c r="J289" s="43">
        <f t="shared" si="21"/>
        <v>24.192929477216037</v>
      </c>
    </row>
    <row r="290" spans="1:10" x14ac:dyDescent="0.25">
      <c r="A290" s="61">
        <f>'A) Base RI'!A292</f>
        <v>5890</v>
      </c>
      <c r="B290" s="124" t="str">
        <f>'A) Base RI'!B292</f>
        <v>Vevey</v>
      </c>
      <c r="C290" s="135">
        <f>'B) D RI'!U292</f>
        <v>922155.6933561645</v>
      </c>
      <c r="D290" s="219">
        <f>'E) Fact soc'!G296/C290</f>
        <v>16.911852095720473</v>
      </c>
      <c r="E290" s="219">
        <f>'H) Péréquation directe'!I301/'H) Péréquation directe'!C301</f>
        <v>3.2704890197245731</v>
      </c>
      <c r="F290" s="214">
        <f>'I) Dépenses thématiques'!P290</f>
        <v>-1.0154941719796109</v>
      </c>
      <c r="G290" s="167">
        <f t="shared" si="23"/>
        <v>19.166846943465433</v>
      </c>
      <c r="H290" s="138">
        <f t="shared" si="20"/>
        <v>0</v>
      </c>
      <c r="I290" s="183">
        <f t="shared" si="22"/>
        <v>0</v>
      </c>
      <c r="J290" s="43">
        <f t="shared" si="21"/>
        <v>19.166846943465433</v>
      </c>
    </row>
    <row r="291" spans="1:10" x14ac:dyDescent="0.25">
      <c r="A291" s="61">
        <f>'A) Base RI'!A293</f>
        <v>5891</v>
      </c>
      <c r="B291" s="124" t="str">
        <f>'A) Base RI'!B293</f>
        <v>Veytaux</v>
      </c>
      <c r="C291" s="135">
        <f>'B) D RI'!U293</f>
        <v>37259.444879227056</v>
      </c>
      <c r="D291" s="219">
        <f>'E) Fact soc'!G297/C291</f>
        <v>17.394015614544958</v>
      </c>
      <c r="E291" s="219">
        <f>'H) Péréquation directe'!I302/'H) Péréquation directe'!C302</f>
        <v>16.221517991088945</v>
      </c>
      <c r="F291" s="214">
        <f>'I) Dépenses thématiques'!P291</f>
        <v>-8.7436836167158614</v>
      </c>
      <c r="G291" s="167">
        <f t="shared" si="23"/>
        <v>24.871849988918036</v>
      </c>
      <c r="H291" s="138">
        <f t="shared" si="20"/>
        <v>0</v>
      </c>
      <c r="I291" s="183">
        <f t="shared" si="22"/>
        <v>0</v>
      </c>
      <c r="J291" s="43">
        <f t="shared" si="21"/>
        <v>24.871849988918036</v>
      </c>
    </row>
    <row r="292" spans="1:10" x14ac:dyDescent="0.25">
      <c r="A292" s="61">
        <f>'A) Base RI'!A294</f>
        <v>5902</v>
      </c>
      <c r="B292" s="124" t="str">
        <f>'A) Base RI'!B294</f>
        <v>Belmont-sur-Yverdon</v>
      </c>
      <c r="C292" s="135">
        <f>'B) D RI'!U294</f>
        <v>8642.2247368421067</v>
      </c>
      <c r="D292" s="219">
        <f>'E) Fact soc'!G298/C292</f>
        <v>20.926904986711659</v>
      </c>
      <c r="E292" s="219">
        <f>'H) Péréquation directe'!I303/'H) Péréquation directe'!C303</f>
        <v>-5.5563129122404558</v>
      </c>
      <c r="F292" s="214">
        <f>'I) Dépenses thématiques'!P292</f>
        <v>-17.797461180276617</v>
      </c>
      <c r="G292" s="167">
        <f t="shared" si="23"/>
        <v>-2.4268691058054142</v>
      </c>
      <c r="H292" s="138">
        <f t="shared" si="20"/>
        <v>0</v>
      </c>
      <c r="I292" s="183">
        <f t="shared" si="22"/>
        <v>0</v>
      </c>
      <c r="J292" s="43">
        <f t="shared" si="21"/>
        <v>-2.4268691058054142</v>
      </c>
    </row>
    <row r="293" spans="1:10" x14ac:dyDescent="0.25">
      <c r="A293" s="61">
        <f>'A) Base RI'!A295</f>
        <v>5903</v>
      </c>
      <c r="B293" s="124" t="str">
        <f>'A) Base RI'!B295</f>
        <v>Bioley-Magnoux</v>
      </c>
      <c r="C293" s="135">
        <f>'B) D RI'!U295</f>
        <v>6046.5271621621623</v>
      </c>
      <c r="D293" s="219">
        <f>'E) Fact soc'!G299/C293</f>
        <v>21.893246618704094</v>
      </c>
      <c r="E293" s="219">
        <f>'H) Péréquation directe'!I304/'H) Péréquation directe'!C304</f>
        <v>5.394499298861092</v>
      </c>
      <c r="F293" s="214">
        <f>'I) Dépenses thématiques'!P293</f>
        <v>-26.747827637340098</v>
      </c>
      <c r="G293" s="167">
        <f t="shared" si="23"/>
        <v>0.5399182802250877</v>
      </c>
      <c r="H293" s="138">
        <f t="shared" si="20"/>
        <v>0</v>
      </c>
      <c r="I293" s="183">
        <f t="shared" si="22"/>
        <v>0</v>
      </c>
      <c r="J293" s="43">
        <f t="shared" si="21"/>
        <v>0.5399182802250877</v>
      </c>
    </row>
    <row r="294" spans="1:10" x14ac:dyDescent="0.25">
      <c r="A294" s="61">
        <f>'A) Base RI'!A296</f>
        <v>5904</v>
      </c>
      <c r="B294" s="124" t="str">
        <f>'A) Base RI'!B296</f>
        <v>Chamblon</v>
      </c>
      <c r="C294" s="135">
        <f>'B) D RI'!U296</f>
        <v>20170.434545454544</v>
      </c>
      <c r="D294" s="219">
        <f>'E) Fact soc'!G300/C294</f>
        <v>18.120954272801914</v>
      </c>
      <c r="E294" s="219">
        <f>'H) Péréquation directe'!I305/'H) Péréquation directe'!C305</f>
        <v>11.744948120965681</v>
      </c>
      <c r="F294" s="214">
        <f>'I) Dépenses thématiques'!P294</f>
        <v>0</v>
      </c>
      <c r="G294" s="167">
        <f t="shared" si="23"/>
        <v>29.865902393767595</v>
      </c>
      <c r="H294" s="138">
        <f t="shared" si="20"/>
        <v>0</v>
      </c>
      <c r="I294" s="183">
        <f t="shared" si="22"/>
        <v>0</v>
      </c>
      <c r="J294" s="43">
        <f t="shared" si="21"/>
        <v>29.865902393767595</v>
      </c>
    </row>
    <row r="295" spans="1:10" x14ac:dyDescent="0.25">
      <c r="A295" s="61">
        <f>'A) Base RI'!A297</f>
        <v>5905</v>
      </c>
      <c r="B295" s="124" t="str">
        <f>'A) Base RI'!B297</f>
        <v>Champvent</v>
      </c>
      <c r="C295" s="135">
        <f>'B) D RI'!U297</f>
        <v>18220.765633802814</v>
      </c>
      <c r="D295" s="219">
        <f>'E) Fact soc'!G301/C295</f>
        <v>17.001440387337247</v>
      </c>
      <c r="E295" s="219">
        <f>'H) Péréquation directe'!I306/'H) Péréquation directe'!C306</f>
        <v>5.5693976409357031</v>
      </c>
      <c r="F295" s="214">
        <f>'I) Dépenses thématiques'!P295</f>
        <v>-4.9077651108691764</v>
      </c>
      <c r="G295" s="167">
        <f t="shared" si="23"/>
        <v>17.663072917403774</v>
      </c>
      <c r="H295" s="138">
        <f t="shared" si="20"/>
        <v>0</v>
      </c>
      <c r="I295" s="183">
        <f t="shared" si="22"/>
        <v>0</v>
      </c>
      <c r="J295" s="43">
        <f t="shared" si="21"/>
        <v>17.663072917403774</v>
      </c>
    </row>
    <row r="296" spans="1:10" x14ac:dyDescent="0.25">
      <c r="A296" s="61">
        <f>'A) Base RI'!A298</f>
        <v>5907</v>
      </c>
      <c r="B296" s="124" t="str">
        <f>'A) Base RI'!B298</f>
        <v>Chavannes-le-Chêne</v>
      </c>
      <c r="C296" s="135">
        <f>'B) D RI'!U298</f>
        <v>6951.74782051282</v>
      </c>
      <c r="D296" s="219">
        <f>'E) Fact soc'!G302/C296</f>
        <v>17.279582742605353</v>
      </c>
      <c r="E296" s="219">
        <f>'H) Péréquation directe'!I307/'H) Péréquation directe'!C307</f>
        <v>-3.4866240475829051</v>
      </c>
      <c r="F296" s="214">
        <f>'I) Dépenses thématiques'!P296</f>
        <v>-12.584839065568243</v>
      </c>
      <c r="G296" s="167">
        <f t="shared" si="23"/>
        <v>1.2081196294542043</v>
      </c>
      <c r="H296" s="138">
        <f t="shared" si="20"/>
        <v>0</v>
      </c>
      <c r="I296" s="183">
        <f t="shared" si="22"/>
        <v>0</v>
      </c>
      <c r="J296" s="43">
        <f t="shared" si="21"/>
        <v>1.2081196294542043</v>
      </c>
    </row>
    <row r="297" spans="1:10" x14ac:dyDescent="0.25">
      <c r="A297" s="61">
        <f>'A) Base RI'!A299</f>
        <v>5908</v>
      </c>
      <c r="B297" s="124" t="str">
        <f>'A) Base RI'!B299</f>
        <v>Chêne-Pâquier</v>
      </c>
      <c r="C297" s="135">
        <f>'B) D RI'!U299</f>
        <v>2899.0017721518989</v>
      </c>
      <c r="D297" s="219">
        <f>'E) Fact soc'!G303/C297</f>
        <v>16.768233049163449</v>
      </c>
      <c r="E297" s="219">
        <f>'H) Péréquation directe'!I308/'H) Péréquation directe'!C308</f>
        <v>-7.6495302819883424</v>
      </c>
      <c r="F297" s="214">
        <f>'I) Dépenses thématiques'!P297</f>
        <v>-10.279131594135343</v>
      </c>
      <c r="G297" s="167">
        <f t="shared" si="23"/>
        <v>-1.1604288269602367</v>
      </c>
      <c r="H297" s="138">
        <f t="shared" si="20"/>
        <v>0</v>
      </c>
      <c r="I297" s="183">
        <f t="shared" si="22"/>
        <v>0</v>
      </c>
      <c r="J297" s="43">
        <f t="shared" si="21"/>
        <v>-1.1604288269602367</v>
      </c>
    </row>
    <row r="298" spans="1:10" x14ac:dyDescent="0.25">
      <c r="A298" s="61">
        <f>'A) Base RI'!A300</f>
        <v>5909</v>
      </c>
      <c r="B298" s="124" t="str">
        <f>'A) Base RI'!B300</f>
        <v>Cheseaux-Noréaz</v>
      </c>
      <c r="C298" s="135">
        <f>'B) D RI'!U300</f>
        <v>22661.846714285719</v>
      </c>
      <c r="D298" s="219">
        <f>'E) Fact soc'!G304/C298</f>
        <v>16.778076333863691</v>
      </c>
      <c r="E298" s="219">
        <f>'H) Péréquation directe'!I309/'H) Péréquation directe'!C309</f>
        <v>10.168102009380306</v>
      </c>
      <c r="F298" s="214">
        <f>'I) Dépenses thématiques'!P298</f>
        <v>-5.6472011256829759</v>
      </c>
      <c r="G298" s="167">
        <f t="shared" si="23"/>
        <v>21.298977217561021</v>
      </c>
      <c r="H298" s="138">
        <f t="shared" si="20"/>
        <v>0</v>
      </c>
      <c r="I298" s="183">
        <f t="shared" si="22"/>
        <v>0</v>
      </c>
      <c r="J298" s="43">
        <f t="shared" si="21"/>
        <v>21.298977217561021</v>
      </c>
    </row>
    <row r="299" spans="1:10" x14ac:dyDescent="0.25">
      <c r="A299" s="61">
        <f>'A) Base RI'!A301</f>
        <v>5910</v>
      </c>
      <c r="B299" s="124" t="str">
        <f>'A) Base RI'!B301</f>
        <v>Cronay</v>
      </c>
      <c r="C299" s="135">
        <f>'B) D RI'!U301</f>
        <v>10409.753209876544</v>
      </c>
      <c r="D299" s="219">
        <f>'E) Fact soc'!G305/C299</f>
        <v>19.324303836454348</v>
      </c>
      <c r="E299" s="219">
        <f>'H) Péréquation directe'!I310/'H) Péréquation directe'!C310</f>
        <v>1.3168663407710517</v>
      </c>
      <c r="F299" s="214">
        <f>'I) Dépenses thématiques'!P299</f>
        <v>-9.3092596876224682</v>
      </c>
      <c r="G299" s="167">
        <f t="shared" si="23"/>
        <v>11.331910489602933</v>
      </c>
      <c r="H299" s="138">
        <f t="shared" si="20"/>
        <v>0</v>
      </c>
      <c r="I299" s="183">
        <f t="shared" si="22"/>
        <v>0</v>
      </c>
      <c r="J299" s="43">
        <f t="shared" si="21"/>
        <v>11.331910489602933</v>
      </c>
    </row>
    <row r="300" spans="1:10" x14ac:dyDescent="0.25">
      <c r="A300" s="61">
        <f>'A) Base RI'!A302</f>
        <v>5911</v>
      </c>
      <c r="B300" s="124" t="str">
        <f>'A) Base RI'!B302</f>
        <v>Cuarny</v>
      </c>
      <c r="C300" s="135">
        <f>'B) D RI'!U302</f>
        <v>6783.6280246913584</v>
      </c>
      <c r="D300" s="219">
        <f>'E) Fact soc'!G306/C300</f>
        <v>14.421134517414469</v>
      </c>
      <c r="E300" s="219">
        <f>'H) Péréquation directe'!I311/'H) Péréquation directe'!C311</f>
        <v>5.1854260536262338</v>
      </c>
      <c r="F300" s="214">
        <f>'I) Dépenses thématiques'!P300</f>
        <v>-0.89584882128233168</v>
      </c>
      <c r="G300" s="167">
        <f t="shared" si="23"/>
        <v>18.710711749758371</v>
      </c>
      <c r="H300" s="138">
        <f t="shared" si="20"/>
        <v>0</v>
      </c>
      <c r="I300" s="183">
        <f t="shared" si="22"/>
        <v>0</v>
      </c>
      <c r="J300" s="43">
        <f t="shared" si="21"/>
        <v>18.710711749758371</v>
      </c>
    </row>
    <row r="301" spans="1:10" x14ac:dyDescent="0.25">
      <c r="A301" s="61">
        <f>'A) Base RI'!A303</f>
        <v>5912</v>
      </c>
      <c r="B301" s="124" t="str">
        <f>'A) Base RI'!B303</f>
        <v>Démoret</v>
      </c>
      <c r="C301" s="135">
        <f>'B) D RI'!U303</f>
        <v>3146.6025925925924</v>
      </c>
      <c r="D301" s="219">
        <f>'E) Fact soc'!G307/C301</f>
        <v>30.321465600662904</v>
      </c>
      <c r="E301" s="219">
        <f>'H) Péréquation directe'!I312/'H) Péréquation directe'!C312</f>
        <v>-3.7852565621973788</v>
      </c>
      <c r="F301" s="214">
        <f>'I) Dépenses thématiques'!P301</f>
        <v>-8.5462730398454312</v>
      </c>
      <c r="G301" s="167">
        <f t="shared" si="23"/>
        <v>17.989935998620094</v>
      </c>
      <c r="H301" s="138">
        <f t="shared" si="20"/>
        <v>0</v>
      </c>
      <c r="I301" s="183">
        <f t="shared" si="22"/>
        <v>0</v>
      </c>
      <c r="J301" s="43">
        <f t="shared" si="21"/>
        <v>17.989935998620094</v>
      </c>
    </row>
    <row r="302" spans="1:10" x14ac:dyDescent="0.25">
      <c r="A302" s="61">
        <f>'A) Base RI'!A304</f>
        <v>5913</v>
      </c>
      <c r="B302" s="124" t="str">
        <f>'A) Base RI'!B304</f>
        <v>Donneloye</v>
      </c>
      <c r="C302" s="135">
        <f>'B) D RI'!U304</f>
        <v>23116.238767123283</v>
      </c>
      <c r="D302" s="219">
        <f>'E) Fact soc'!G308/C302</f>
        <v>17.124369468269979</v>
      </c>
      <c r="E302" s="219">
        <f>'H) Péréquation directe'!I313/'H) Péréquation directe'!C313</f>
        <v>5.8098549184725012</v>
      </c>
      <c r="F302" s="214">
        <f>'I) Dépenses thématiques'!P302</f>
        <v>-1.1579489954271458</v>
      </c>
      <c r="G302" s="167">
        <f t="shared" si="23"/>
        <v>21.776275391315334</v>
      </c>
      <c r="H302" s="138">
        <f t="shared" si="20"/>
        <v>0</v>
      </c>
      <c r="I302" s="183">
        <f t="shared" si="22"/>
        <v>0</v>
      </c>
      <c r="J302" s="43">
        <f t="shared" si="21"/>
        <v>21.776275391315334</v>
      </c>
    </row>
    <row r="303" spans="1:10" x14ac:dyDescent="0.25">
      <c r="A303" s="61">
        <f>'A) Base RI'!A305</f>
        <v>5914</v>
      </c>
      <c r="B303" s="124" t="str">
        <f>'A) Base RI'!B305</f>
        <v>Ependes</v>
      </c>
      <c r="C303" s="135">
        <f>'B) D RI'!U305</f>
        <v>8750.2923999999985</v>
      </c>
      <c r="D303" s="219">
        <f>'E) Fact soc'!G309/C303</f>
        <v>15.315071782495318</v>
      </c>
      <c r="E303" s="219">
        <f>'H) Péréquation directe'!I314/'H) Péréquation directe'!C314</f>
        <v>-1.5222638195760705</v>
      </c>
      <c r="F303" s="214">
        <f>'I) Dépenses thématiques'!P303</f>
        <v>-3.3555042179485173</v>
      </c>
      <c r="G303" s="167">
        <f t="shared" si="23"/>
        <v>10.43730374497073</v>
      </c>
      <c r="H303" s="138">
        <f t="shared" si="20"/>
        <v>0</v>
      </c>
      <c r="I303" s="183">
        <f t="shared" si="22"/>
        <v>0</v>
      </c>
      <c r="J303" s="43">
        <f t="shared" si="21"/>
        <v>10.43730374497073</v>
      </c>
    </row>
    <row r="304" spans="1:10" x14ac:dyDescent="0.25">
      <c r="A304" s="61">
        <f>'A) Base RI'!A306</f>
        <v>5915</v>
      </c>
      <c r="B304" s="124" t="str">
        <f>'A) Base RI'!B306</f>
        <v>Essert-Pittet</v>
      </c>
      <c r="C304" s="135">
        <f>'B) D RI'!U306</f>
        <v>5181.7059529411763</v>
      </c>
      <c r="D304" s="219">
        <f>'E) Fact soc'!G310/C304</f>
        <v>15.705551716681901</v>
      </c>
      <c r="E304" s="219">
        <f>'H) Péréquation directe'!I315/'H) Péréquation directe'!C315</f>
        <v>6.8398202313379528</v>
      </c>
      <c r="F304" s="214">
        <f>'I) Dépenses thématiques'!P304</f>
        <v>-3.3214499570504548</v>
      </c>
      <c r="G304" s="167">
        <f t="shared" si="23"/>
        <v>19.223921990969401</v>
      </c>
      <c r="H304" s="138">
        <f t="shared" si="20"/>
        <v>0</v>
      </c>
      <c r="I304" s="183">
        <f t="shared" si="22"/>
        <v>0</v>
      </c>
      <c r="J304" s="43">
        <f t="shared" si="21"/>
        <v>19.223921990969401</v>
      </c>
    </row>
    <row r="305" spans="1:10" x14ac:dyDescent="0.25">
      <c r="A305" s="61">
        <f>'A) Base RI'!A307</f>
        <v>5919</v>
      </c>
      <c r="B305" s="124" t="str">
        <f>'A) Base RI'!B307</f>
        <v>Mathod</v>
      </c>
      <c r="C305" s="135">
        <f>'B) D RI'!U307</f>
        <v>16260.723851351351</v>
      </c>
      <c r="D305" s="219">
        <f>'E) Fact soc'!G311/C305</f>
        <v>14.750587472235953</v>
      </c>
      <c r="E305" s="219">
        <f>'H) Péréquation directe'!I316/'H) Péréquation directe'!C316</f>
        <v>2.783761536283933</v>
      </c>
      <c r="F305" s="214">
        <f>'I) Dépenses thématiques'!P305</f>
        <v>-4.6207323533223805</v>
      </c>
      <c r="G305" s="167">
        <f t="shared" si="23"/>
        <v>12.913616655197504</v>
      </c>
      <c r="H305" s="138">
        <f t="shared" si="20"/>
        <v>0</v>
      </c>
      <c r="I305" s="183">
        <f t="shared" si="22"/>
        <v>0</v>
      </c>
      <c r="J305" s="43">
        <f t="shared" si="21"/>
        <v>12.913616655197504</v>
      </c>
    </row>
    <row r="306" spans="1:10" x14ac:dyDescent="0.25">
      <c r="A306" s="61">
        <f>'A) Base RI'!A308</f>
        <v>5921</v>
      </c>
      <c r="B306" s="124" t="str">
        <f>'A) Base RI'!B308</f>
        <v>Molondin</v>
      </c>
      <c r="C306" s="135">
        <f>'B) D RI'!U308</f>
        <v>4932.1140740740739</v>
      </c>
      <c r="D306" s="219">
        <f>'E) Fact soc'!G312/C306</f>
        <v>20.901228659944241</v>
      </c>
      <c r="E306" s="219">
        <f>'H) Péréquation directe'!I317/'H) Péréquation directe'!C317</f>
        <v>-11.615410813942795</v>
      </c>
      <c r="F306" s="214">
        <f>'I) Dépenses thématiques'!P306</f>
        <v>-11.032934839133063</v>
      </c>
      <c r="G306" s="167">
        <f t="shared" si="23"/>
        <v>-1.7471169931316162</v>
      </c>
      <c r="H306" s="138">
        <f t="shared" si="20"/>
        <v>0</v>
      </c>
      <c r="I306" s="183">
        <f t="shared" si="22"/>
        <v>0</v>
      </c>
      <c r="J306" s="43">
        <f t="shared" si="21"/>
        <v>-1.7471169931316162</v>
      </c>
    </row>
    <row r="307" spans="1:10" x14ac:dyDescent="0.25">
      <c r="A307" s="61">
        <f>'A) Base RI'!A309</f>
        <v>5922</v>
      </c>
      <c r="B307" s="124" t="str">
        <f>'A) Base RI'!B309</f>
        <v>Montagny-près-Yverdon</v>
      </c>
      <c r="C307" s="135">
        <f>'B) D RI'!U309</f>
        <v>54274.18045081968</v>
      </c>
      <c r="D307" s="219">
        <f>'E) Fact soc'!G313/C307</f>
        <v>21.305548287156796</v>
      </c>
      <c r="E307" s="219">
        <f>'H) Péréquation directe'!I318/'H) Péréquation directe'!C318</f>
        <v>17.029997520517313</v>
      </c>
      <c r="F307" s="214">
        <f>'I) Dépenses thématiques'!P307</f>
        <v>-1.4822870390524923</v>
      </c>
      <c r="G307" s="167">
        <f t="shared" si="23"/>
        <v>36.853258768621615</v>
      </c>
      <c r="H307" s="138">
        <f t="shared" si="20"/>
        <v>0</v>
      </c>
      <c r="I307" s="183">
        <f t="shared" si="22"/>
        <v>0</v>
      </c>
      <c r="J307" s="43">
        <f t="shared" si="21"/>
        <v>36.853258768621615</v>
      </c>
    </row>
    <row r="308" spans="1:10" x14ac:dyDescent="0.25">
      <c r="A308" s="61">
        <f>'A) Base RI'!A310</f>
        <v>5923</v>
      </c>
      <c r="B308" s="124" t="str">
        <f>'A) Base RI'!B310</f>
        <v>Oppens</v>
      </c>
      <c r="C308" s="135">
        <f>'B) D RI'!U310</f>
        <v>4902.1274074074072</v>
      </c>
      <c r="D308" s="219">
        <f>'E) Fact soc'!G314/C308</f>
        <v>19.894974681304067</v>
      </c>
      <c r="E308" s="219">
        <f>'H) Péréquation directe'!I319/'H) Péréquation directe'!C319</f>
        <v>-1.3557835341498075</v>
      </c>
      <c r="F308" s="214">
        <f>'I) Dépenses thématiques'!P308</f>
        <v>-6.8542539245384306</v>
      </c>
      <c r="G308" s="167">
        <f t="shared" si="23"/>
        <v>11.684937222615829</v>
      </c>
      <c r="H308" s="138">
        <f t="shared" si="20"/>
        <v>0</v>
      </c>
      <c r="I308" s="183">
        <f t="shared" si="22"/>
        <v>0</v>
      </c>
      <c r="J308" s="43">
        <f t="shared" si="21"/>
        <v>11.684937222615829</v>
      </c>
    </row>
    <row r="309" spans="1:10" x14ac:dyDescent="0.25">
      <c r="A309" s="61">
        <f>'A) Base RI'!A311</f>
        <v>5924</v>
      </c>
      <c r="B309" s="124" t="str">
        <f>'A) Base RI'!B311</f>
        <v>Orges</v>
      </c>
      <c r="C309" s="135">
        <f>'B) D RI'!U311</f>
        <v>9002.8555405405405</v>
      </c>
      <c r="D309" s="219">
        <f>'E) Fact soc'!G315/C309</f>
        <v>19.340309277348613</v>
      </c>
      <c r="E309" s="219">
        <f>'H) Péréquation directe'!I320/'H) Péréquation directe'!C320</f>
        <v>8.2238236634228201</v>
      </c>
      <c r="F309" s="214">
        <f>'I) Dépenses thématiques'!P309</f>
        <v>0</v>
      </c>
      <c r="G309" s="167">
        <f t="shared" si="23"/>
        <v>27.564132940771433</v>
      </c>
      <c r="H309" s="138">
        <f t="shared" si="20"/>
        <v>0</v>
      </c>
      <c r="I309" s="183">
        <f t="shared" si="22"/>
        <v>0</v>
      </c>
      <c r="J309" s="43">
        <f t="shared" si="21"/>
        <v>27.564132940771433</v>
      </c>
    </row>
    <row r="310" spans="1:10" x14ac:dyDescent="0.25">
      <c r="A310" s="61">
        <f>'A) Base RI'!A312</f>
        <v>5925</v>
      </c>
      <c r="B310" s="124" t="str">
        <f>'A) Base RI'!B312</f>
        <v>Orzens</v>
      </c>
      <c r="C310" s="135">
        <f>'B) D RI'!U312</f>
        <v>5053.7527848101263</v>
      </c>
      <c r="D310" s="219">
        <f>'E) Fact soc'!G316/C310</f>
        <v>15.195766552236499</v>
      </c>
      <c r="E310" s="219">
        <f>'H) Péréquation directe'!I321/'H) Péréquation directe'!C321</f>
        <v>-6.0334725111401983</v>
      </c>
      <c r="F310" s="214">
        <f>'I) Dépenses thématiques'!P310</f>
        <v>-2.0792153276168626</v>
      </c>
      <c r="G310" s="167">
        <f t="shared" si="23"/>
        <v>7.0830787134794377</v>
      </c>
      <c r="H310" s="138">
        <f t="shared" si="20"/>
        <v>0</v>
      </c>
      <c r="I310" s="183">
        <f t="shared" si="22"/>
        <v>0</v>
      </c>
      <c r="J310" s="43">
        <f t="shared" si="21"/>
        <v>7.0830787134794377</v>
      </c>
    </row>
    <row r="311" spans="1:10" x14ac:dyDescent="0.25">
      <c r="A311" s="61">
        <f>'A) Base RI'!A313</f>
        <v>5926</v>
      </c>
      <c r="B311" s="124" t="str">
        <f>'A) Base RI'!B313</f>
        <v>Pomy</v>
      </c>
      <c r="C311" s="135">
        <f>'B) D RI'!U313</f>
        <v>21029.126197183101</v>
      </c>
      <c r="D311" s="219">
        <f>'E) Fact soc'!G317/C311</f>
        <v>16.780598514423932</v>
      </c>
      <c r="E311" s="219">
        <f>'H) Péréquation directe'!I322/'H) Péréquation directe'!C322</f>
        <v>4.7403875049166002</v>
      </c>
      <c r="F311" s="214">
        <f>'I) Dépenses thématiques'!P311</f>
        <v>-13.039923523754068</v>
      </c>
      <c r="G311" s="167">
        <f t="shared" si="23"/>
        <v>8.4810624955864657</v>
      </c>
      <c r="H311" s="138">
        <f t="shared" si="20"/>
        <v>0</v>
      </c>
      <c r="I311" s="183">
        <f t="shared" si="22"/>
        <v>0</v>
      </c>
      <c r="J311" s="43">
        <f t="shared" si="21"/>
        <v>8.4810624955864657</v>
      </c>
    </row>
    <row r="312" spans="1:10" x14ac:dyDescent="0.25">
      <c r="A312" s="61">
        <f>'A) Base RI'!A314</f>
        <v>5928</v>
      </c>
      <c r="B312" s="124" t="str">
        <f>'A) Base RI'!B314</f>
        <v>Rovray</v>
      </c>
      <c r="C312" s="135">
        <f>'B) D RI'!U314</f>
        <v>4897.1457333333328</v>
      </c>
      <c r="D312" s="219">
        <f>'E) Fact soc'!G318/C312</f>
        <v>17.179772208484881</v>
      </c>
      <c r="E312" s="219">
        <f>'H) Péréquation directe'!I323/'H) Péréquation directe'!C323</f>
        <v>2.2278808132501453</v>
      </c>
      <c r="F312" s="214">
        <f>'I) Dépenses thématiques'!P312</f>
        <v>-1.3112135977434043</v>
      </c>
      <c r="G312" s="167">
        <f t="shared" si="23"/>
        <v>18.096439423991622</v>
      </c>
      <c r="H312" s="138">
        <f t="shared" si="20"/>
        <v>0</v>
      </c>
      <c r="I312" s="183">
        <f t="shared" si="22"/>
        <v>0</v>
      </c>
      <c r="J312" s="43">
        <f t="shared" si="21"/>
        <v>18.096439423991622</v>
      </c>
    </row>
    <row r="313" spans="1:10" x14ac:dyDescent="0.25">
      <c r="A313" s="61">
        <f>'A) Base RI'!A315</f>
        <v>5929</v>
      </c>
      <c r="B313" s="124" t="str">
        <f>'A) Base RI'!B315</f>
        <v>Suchy</v>
      </c>
      <c r="C313" s="135">
        <f>'B) D RI'!U315</f>
        <v>16083.913284313729</v>
      </c>
      <c r="D313" s="219">
        <f>'E) Fact soc'!G319/C313</f>
        <v>15.499625799235268</v>
      </c>
      <c r="E313" s="219">
        <f>'H) Péréquation directe'!I324/'H) Péréquation directe'!C324</f>
        <v>6.5089700970806792</v>
      </c>
      <c r="F313" s="214">
        <f>'I) Dépenses thématiques'!P313</f>
        <v>-0.95768424709916689</v>
      </c>
      <c r="G313" s="167">
        <f t="shared" si="23"/>
        <v>21.050911649216779</v>
      </c>
      <c r="H313" s="138">
        <f t="shared" si="20"/>
        <v>0</v>
      </c>
      <c r="I313" s="183">
        <f t="shared" si="22"/>
        <v>0</v>
      </c>
      <c r="J313" s="43">
        <f t="shared" si="21"/>
        <v>21.050911649216779</v>
      </c>
    </row>
    <row r="314" spans="1:10" x14ac:dyDescent="0.25">
      <c r="A314" s="61">
        <f>'A) Base RI'!A316</f>
        <v>5930</v>
      </c>
      <c r="B314" s="124" t="str">
        <f>'A) Base RI'!B316</f>
        <v>Suscévaz</v>
      </c>
      <c r="C314" s="135">
        <f>'B) D RI'!U316</f>
        <v>5208.083787878787</v>
      </c>
      <c r="D314" s="219">
        <f>'E) Fact soc'!G320/C314</f>
        <v>15.27730407913154</v>
      </c>
      <c r="E314" s="219">
        <f>'H) Péréquation directe'!I325/'H) Péréquation directe'!C325</f>
        <v>3.1529147333277199</v>
      </c>
      <c r="F314" s="214">
        <f>'I) Dépenses thématiques'!P314</f>
        <v>0</v>
      </c>
      <c r="G314" s="167">
        <f t="shared" si="23"/>
        <v>18.430218812459259</v>
      </c>
      <c r="H314" s="138">
        <f t="shared" si="20"/>
        <v>0</v>
      </c>
      <c r="I314" s="183">
        <f t="shared" si="22"/>
        <v>0</v>
      </c>
      <c r="J314" s="43">
        <f t="shared" si="21"/>
        <v>18.430218812459259</v>
      </c>
    </row>
    <row r="315" spans="1:10" x14ac:dyDescent="0.25">
      <c r="A315" s="61">
        <f>'A) Base RI'!A317</f>
        <v>5931</v>
      </c>
      <c r="B315" s="124" t="str">
        <f>'A) Base RI'!B317</f>
        <v>Treycovagnes</v>
      </c>
      <c r="C315" s="135">
        <f>'B) D RI'!U317</f>
        <v>13922.074155844155</v>
      </c>
      <c r="D315" s="219">
        <f>'E) Fact soc'!G321/C315</f>
        <v>17.356522597252777</v>
      </c>
      <c r="E315" s="219">
        <f>'H) Péréquation directe'!I326/'H) Péréquation directe'!C326</f>
        <v>4.6482356777867055</v>
      </c>
      <c r="F315" s="214">
        <f>'I) Dépenses thématiques'!P315</f>
        <v>0</v>
      </c>
      <c r="G315" s="167">
        <f t="shared" si="23"/>
        <v>22.004758275039482</v>
      </c>
      <c r="H315" s="138">
        <f t="shared" si="20"/>
        <v>0</v>
      </c>
      <c r="I315" s="183">
        <f>H315*C315</f>
        <v>0</v>
      </c>
      <c r="J315" s="43">
        <f t="shared" si="21"/>
        <v>22.004758275039482</v>
      </c>
    </row>
    <row r="316" spans="1:10" x14ac:dyDescent="0.25">
      <c r="A316" s="61">
        <f>'A) Base RI'!A318</f>
        <v>5932</v>
      </c>
      <c r="B316" s="124" t="str">
        <f>'A) Base RI'!B318</f>
        <v>Ursins</v>
      </c>
      <c r="C316" s="135">
        <f>'B) D RI'!U318</f>
        <v>5429.3069230769233</v>
      </c>
      <c r="D316" s="219">
        <f>'E) Fact soc'!G322/C316</f>
        <v>14.421830268566982</v>
      </c>
      <c r="E316" s="219">
        <f>'H) Péréquation directe'!I327/'H) Péréquation directe'!C327</f>
        <v>-1.3345694422037462</v>
      </c>
      <c r="F316" s="214">
        <f>'I) Dépenses thématiques'!P316</f>
        <v>-3.1084679924809513</v>
      </c>
      <c r="G316" s="167">
        <f t="shared" si="23"/>
        <v>9.9787928338822844</v>
      </c>
      <c r="H316" s="138">
        <f t="shared" si="20"/>
        <v>0</v>
      </c>
      <c r="I316" s="183">
        <f t="shared" si="22"/>
        <v>0</v>
      </c>
      <c r="J316" s="43">
        <f t="shared" si="21"/>
        <v>9.9787928338822844</v>
      </c>
    </row>
    <row r="317" spans="1:10" x14ac:dyDescent="0.25">
      <c r="A317" s="61">
        <f>'A) Base RI'!A319</f>
        <v>5933</v>
      </c>
      <c r="B317" s="124" t="str">
        <f>'A) Base RI'!B319</f>
        <v>Valeyres-sous-Montagny</v>
      </c>
      <c r="C317" s="135">
        <f>'B) D RI'!U319</f>
        <v>17165.971111111114</v>
      </c>
      <c r="D317" s="219">
        <f>'E) Fact soc'!G323/C317</f>
        <v>17.400961541111208</v>
      </c>
      <c r="E317" s="219">
        <f>'H) Péréquation directe'!I328/'H) Péréquation directe'!C328</f>
        <v>0.66032240979217849</v>
      </c>
      <c r="F317" s="214">
        <f>'I) Dépenses thématiques'!P317</f>
        <v>-9.4148733355112082</v>
      </c>
      <c r="G317" s="167">
        <f t="shared" si="23"/>
        <v>8.6464106153921794</v>
      </c>
      <c r="H317" s="138">
        <f t="shared" si="20"/>
        <v>0</v>
      </c>
      <c r="I317" s="183">
        <f t="shared" si="22"/>
        <v>0</v>
      </c>
      <c r="J317" s="43">
        <f t="shared" si="21"/>
        <v>8.6464106153921794</v>
      </c>
    </row>
    <row r="318" spans="1:10" x14ac:dyDescent="0.25">
      <c r="A318" s="61">
        <f>'A) Base RI'!A320</f>
        <v>5934</v>
      </c>
      <c r="B318" s="124" t="str">
        <f>'A) Base RI'!B320</f>
        <v>Valeyres-sous-Ursins</v>
      </c>
      <c r="C318" s="135">
        <f>'B) D RI'!U320</f>
        <v>6602.430506329114</v>
      </c>
      <c r="D318" s="219">
        <f>'E) Fact soc'!G324/C318</f>
        <v>17.693219745586063</v>
      </c>
      <c r="E318" s="219">
        <f>'H) Péréquation directe'!I329/'H) Péréquation directe'!C329</f>
        <v>-0.54439138371233853</v>
      </c>
      <c r="F318" s="214">
        <f>'I) Dépenses thématiques'!P318</f>
        <v>-1.0042350941227782</v>
      </c>
      <c r="G318" s="167">
        <f t="shared" si="23"/>
        <v>16.144593267750949</v>
      </c>
      <c r="H318" s="138">
        <f t="shared" si="20"/>
        <v>0</v>
      </c>
      <c r="I318" s="183">
        <f t="shared" si="22"/>
        <v>0</v>
      </c>
      <c r="J318" s="43">
        <f t="shared" si="21"/>
        <v>16.144593267750949</v>
      </c>
    </row>
    <row r="319" spans="1:10" x14ac:dyDescent="0.25">
      <c r="A319" s="61">
        <f>'A) Base RI'!A321</f>
        <v>5935</v>
      </c>
      <c r="B319" s="124" t="str">
        <f>'A) Base RI'!B321</f>
        <v>Villars-Epeney</v>
      </c>
      <c r="C319" s="135">
        <f>'B) D RI'!U321</f>
        <v>7512.9308333333338</v>
      </c>
      <c r="D319" s="219">
        <f>'E) Fact soc'!G325/C319</f>
        <v>20.881030483731443</v>
      </c>
      <c r="E319" s="219">
        <f>'H) Péréquation directe'!I330/'H) Péréquation directe'!C330</f>
        <v>17.110851784372848</v>
      </c>
      <c r="F319" s="214">
        <f>'I) Dépenses thématiques'!P319</f>
        <v>-6.3756436520141246</v>
      </c>
      <c r="G319" s="167">
        <f t="shared" si="23"/>
        <v>31.616238616090165</v>
      </c>
      <c r="H319" s="138">
        <f>IF(G319&gt;H$4,H$4-G319,0)</f>
        <v>0</v>
      </c>
      <c r="I319" s="183">
        <f t="shared" si="22"/>
        <v>0</v>
      </c>
      <c r="J319" s="43">
        <f t="shared" si="21"/>
        <v>31.616238616090165</v>
      </c>
    </row>
    <row r="320" spans="1:10" x14ac:dyDescent="0.25">
      <c r="A320" s="61">
        <f>'A) Base RI'!A322</f>
        <v>5937</v>
      </c>
      <c r="B320" s="124" t="str">
        <f>'A) Base RI'!B322</f>
        <v>Vugelles-La Mothe</v>
      </c>
      <c r="C320" s="135">
        <f>'B) D RI'!U322</f>
        <v>2128.9780612244899</v>
      </c>
      <c r="D320" s="219">
        <f>'E) Fact soc'!G326/C320</f>
        <v>14.370166215682488</v>
      </c>
      <c r="E320" s="219">
        <f>'H) Péréquation directe'!I331/'H) Péréquation directe'!C331</f>
        <v>-22.214655228970074</v>
      </c>
      <c r="F320" s="214">
        <f>'I) Dépenses thématiques'!P320</f>
        <v>-19.6791449105176</v>
      </c>
      <c r="G320" s="167">
        <f t="shared" si="23"/>
        <v>-27.523633923805185</v>
      </c>
      <c r="H320" s="138">
        <f>IF(G320&gt;H$4,H$4-G320,0)</f>
        <v>0</v>
      </c>
      <c r="I320" s="183">
        <f>H320*C320</f>
        <v>0</v>
      </c>
      <c r="J320" s="43">
        <f t="shared" si="21"/>
        <v>-27.523633923805185</v>
      </c>
    </row>
    <row r="321" spans="1:13" x14ac:dyDescent="0.25">
      <c r="A321" s="61">
        <f>'A) Base RI'!A323</f>
        <v>5938</v>
      </c>
      <c r="B321" s="124" t="str">
        <f>'A) Base RI'!B323</f>
        <v>Yverdon-les-Bains</v>
      </c>
      <c r="C321" s="135">
        <f>'B) D RI'!U323</f>
        <v>771340.02758169943</v>
      </c>
      <c r="D321" s="219">
        <f>'E) Fact soc'!G327/C321</f>
        <v>18.158767086250524</v>
      </c>
      <c r="E321" s="219">
        <f>'H) Péréquation directe'!I332/'H) Péréquation directe'!C332</f>
        <v>-28.610890396319498</v>
      </c>
      <c r="F321" s="214">
        <f>'I) Dépenses thématiques'!P321</f>
        <v>-8.8143588280233942</v>
      </c>
      <c r="G321" s="167">
        <f t="shared" si="23"/>
        <v>-19.266482138092368</v>
      </c>
      <c r="H321" s="138">
        <f t="shared" si="20"/>
        <v>0</v>
      </c>
      <c r="I321" s="183">
        <f t="shared" si="22"/>
        <v>0</v>
      </c>
      <c r="J321" s="43">
        <f t="shared" si="21"/>
        <v>-19.266482138092368</v>
      </c>
    </row>
    <row r="322" spans="1:13" x14ac:dyDescent="0.25">
      <c r="A322" s="63">
        <f>'A) Base RI'!A324</f>
        <v>5939</v>
      </c>
      <c r="B322" s="125" t="str">
        <f>'A) Base RI'!B324</f>
        <v>Yvonand</v>
      </c>
      <c r="C322" s="136">
        <f>'B) D RI'!U324</f>
        <v>88221.551917808203</v>
      </c>
      <c r="D322" s="220">
        <f>'E) Fact soc'!G328/C322</f>
        <v>17.532445317958011</v>
      </c>
      <c r="E322" s="220">
        <f>'H) Péréquation directe'!I333/'H) Péréquation directe'!C333</f>
        <v>-3.1802397014744961</v>
      </c>
      <c r="F322" s="215">
        <f>'I) Dépenses thématiques'!P322</f>
        <v>-2.5590589107734223</v>
      </c>
      <c r="G322" s="170">
        <f t="shared" si="23"/>
        <v>11.793146705710093</v>
      </c>
      <c r="H322" s="139">
        <f t="shared" si="20"/>
        <v>0</v>
      </c>
      <c r="I322" s="184">
        <f t="shared" si="22"/>
        <v>0</v>
      </c>
      <c r="J322" s="128">
        <f t="shared" si="21"/>
        <v>11.793146705710093</v>
      </c>
    </row>
    <row r="323" spans="1:13" x14ac:dyDescent="0.25">
      <c r="A323" s="40"/>
      <c r="B323" s="190">
        <f>COUNTA(B5:B322)</f>
        <v>318</v>
      </c>
      <c r="C323" s="136">
        <f>SUM(C5:C322)</f>
        <v>35177813.511629909</v>
      </c>
      <c r="D323" s="215">
        <f>'E) Fact soc'!G329/C323</f>
        <v>20.191412231040921</v>
      </c>
      <c r="E323" s="173">
        <f>'H) Péréquation directe'!I334/'H) Péréquation directe'!C334</f>
        <v>3.8359480481201795</v>
      </c>
      <c r="F323" s="173">
        <f>'I) Dépenses thématiques'!P323</f>
        <v>-4.0000000000000027</v>
      </c>
      <c r="G323" s="217">
        <f>SUM(D323:F323)</f>
        <v>20.027360279161098</v>
      </c>
      <c r="H323" s="221"/>
      <c r="I323" s="47">
        <f>SUM(I5:I322)</f>
        <v>0</v>
      </c>
      <c r="J323" s="26">
        <f>G323+H323</f>
        <v>20.027360279161098</v>
      </c>
      <c r="L323" s="17"/>
      <c r="M323" s="17"/>
    </row>
  </sheetData>
  <sheetProtection sheet="1" objects="1" scenarios="1"/>
  <mergeCells count="9">
    <mergeCell ref="C3:C4"/>
    <mergeCell ref="B3:B4"/>
    <mergeCell ref="A3:A4"/>
    <mergeCell ref="J3:J4"/>
    <mergeCell ref="I3:I4"/>
    <mergeCell ref="G3:G4"/>
    <mergeCell ref="F3:F4"/>
    <mergeCell ref="E3:E4"/>
    <mergeCell ref="D3:D4"/>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325"/>
  <sheetViews>
    <sheetView workbookViewId="0"/>
  </sheetViews>
  <sheetFormatPr baseColWidth="10" defaultColWidth="10.75" defaultRowHeight="15" x14ac:dyDescent="0.25"/>
  <cols>
    <col min="1" max="1" width="7.25" style="18" customWidth="1"/>
    <col min="2" max="2" width="18" style="18" customWidth="1"/>
    <col min="3" max="4" width="9.25" style="18" customWidth="1"/>
    <col min="5" max="5" width="11.625" style="18" customWidth="1"/>
    <col min="6" max="6" width="11" style="18" customWidth="1"/>
    <col min="7" max="7" width="10.375" style="18" customWidth="1"/>
    <col min="8" max="8" width="12.25" style="18" customWidth="1"/>
    <col min="9" max="9" width="10" style="18" customWidth="1"/>
    <col min="10" max="10" width="12.875" style="18" customWidth="1"/>
    <col min="11" max="14" width="12.125" style="18" customWidth="1"/>
    <col min="15" max="17" width="8.125" style="18" customWidth="1"/>
    <col min="18" max="16384" width="10.75" style="18"/>
  </cols>
  <sheetData>
    <row r="1" spans="1:25" s="54" customFormat="1" ht="20.25" customHeight="1" x14ac:dyDescent="0.25">
      <c r="A1" s="65" t="s">
        <v>5</v>
      </c>
      <c r="B1" s="53"/>
      <c r="C1" s="100"/>
      <c r="D1" s="100"/>
      <c r="E1" s="100"/>
      <c r="F1" s="100"/>
      <c r="G1" s="100"/>
      <c r="H1" s="100"/>
      <c r="I1" s="100"/>
      <c r="J1" s="100"/>
      <c r="L1" s="78"/>
      <c r="N1" s="18"/>
      <c r="O1" s="18"/>
      <c r="P1" s="18"/>
      <c r="Q1" s="18"/>
      <c r="R1" s="18"/>
      <c r="Y1" s="18"/>
    </row>
    <row r="3" spans="1:25" ht="45" customHeight="1" x14ac:dyDescent="0.25">
      <c r="A3" s="497" t="s">
        <v>51</v>
      </c>
      <c r="B3" s="497" t="s">
        <v>121</v>
      </c>
      <c r="C3" s="497" t="s">
        <v>416</v>
      </c>
      <c r="D3" s="497" t="s">
        <v>118</v>
      </c>
      <c r="E3" s="497" t="s">
        <v>372</v>
      </c>
      <c r="F3" s="497" t="s">
        <v>414</v>
      </c>
      <c r="G3" s="497" t="s">
        <v>415</v>
      </c>
      <c r="H3" s="497" t="s">
        <v>456</v>
      </c>
      <c r="I3" s="180" t="s">
        <v>180</v>
      </c>
      <c r="J3" s="497" t="s">
        <v>520</v>
      </c>
    </row>
    <row r="4" spans="1:25" x14ac:dyDescent="0.25">
      <c r="A4" s="499"/>
      <c r="B4" s="499"/>
      <c r="C4" s="499"/>
      <c r="D4" s="499"/>
      <c r="E4" s="498"/>
      <c r="F4" s="498"/>
      <c r="G4" s="498"/>
      <c r="H4" s="498"/>
      <c r="I4" s="225">
        <f>Paramètres!B44</f>
        <v>-5.5</v>
      </c>
      <c r="J4" s="498"/>
    </row>
    <row r="5" spans="1:25" x14ac:dyDescent="0.25">
      <c r="A5" s="57">
        <f>'A) Base RI'!A7</f>
        <v>5401</v>
      </c>
      <c r="B5" s="123" t="str">
        <f>'A) Base RI'!B7</f>
        <v>Aigle</v>
      </c>
      <c r="C5" s="134">
        <f>'B) D RI'!U7</f>
        <v>260845.44622222218</v>
      </c>
      <c r="D5" s="216">
        <f>'E) Fact soc'!G11/C5</f>
        <v>17.640090331104268</v>
      </c>
      <c r="E5" s="216">
        <f>'H) Péréquation directe'!I16/'H) Péréquation directe'!C16</f>
        <v>-11.341059928041412</v>
      </c>
      <c r="F5" s="213">
        <f>'I) Dépenses thématiques'!P5</f>
        <v>-8.1596859554425283</v>
      </c>
      <c r="G5" s="163">
        <f>SUM(D5:F5)</f>
        <v>-1.8606555523796722</v>
      </c>
      <c r="H5" s="213">
        <f>G5-F5</f>
        <v>6.2990304030628561</v>
      </c>
      <c r="I5" s="216">
        <f>IF(H5&lt;I$4,H5-I$4,0)</f>
        <v>0</v>
      </c>
      <c r="J5" s="148">
        <f t="shared" ref="J5:J60" si="0">-I5*C5</f>
        <v>0</v>
      </c>
    </row>
    <row r="6" spans="1:25" x14ac:dyDescent="0.25">
      <c r="A6" s="61">
        <f>'A) Base RI'!A8</f>
        <v>5402</v>
      </c>
      <c r="B6" s="124" t="str">
        <f>'A) Base RI'!B8</f>
        <v>Bex</v>
      </c>
      <c r="C6" s="135">
        <f>'B) D RI'!U8</f>
        <v>175890.90239436619</v>
      </c>
      <c r="D6" s="219">
        <f>'E) Fact soc'!G12/C6</f>
        <v>19.595288080936147</v>
      </c>
      <c r="E6" s="219">
        <f>'H) Péréquation directe'!I17/'H) Péréquation directe'!C17</f>
        <v>-15.125645576897453</v>
      </c>
      <c r="F6" s="214">
        <f>'I) Dépenses thématiques'!P6</f>
        <v>-10.266218778206509</v>
      </c>
      <c r="G6" s="167">
        <f t="shared" ref="G6:G61" si="1">SUM(D6:F6)</f>
        <v>-5.7965762741678155</v>
      </c>
      <c r="H6" s="214">
        <f t="shared" ref="H6:H61" si="2">G6-F6</f>
        <v>4.4696425040386938</v>
      </c>
      <c r="I6" s="219">
        <f t="shared" ref="I6:I61" si="3">IF(H6&lt;I$4,H6-I$4,0)</f>
        <v>0</v>
      </c>
      <c r="J6" s="75">
        <f t="shared" si="0"/>
        <v>0</v>
      </c>
    </row>
    <row r="7" spans="1:25" x14ac:dyDescent="0.25">
      <c r="A7" s="61">
        <f>'A) Base RI'!A9</f>
        <v>5403</v>
      </c>
      <c r="B7" s="124" t="str">
        <f>'A) Base RI'!B9</f>
        <v>Chessel</v>
      </c>
      <c r="C7" s="135">
        <f>'B) D RI'!U9</f>
        <v>8284.5784210526326</v>
      </c>
      <c r="D7" s="219">
        <f>'E) Fact soc'!G13/C7</f>
        <v>16.208435373869172</v>
      </c>
      <c r="E7" s="219">
        <f>'H) Péréquation directe'!I18/'H) Péréquation directe'!C18</f>
        <v>-11.175882198519917</v>
      </c>
      <c r="F7" s="214">
        <f>'I) Dépenses thématiques'!P7</f>
        <v>-5.2021068909042718</v>
      </c>
      <c r="G7" s="167">
        <f t="shared" si="1"/>
        <v>-0.16955371555501664</v>
      </c>
      <c r="H7" s="214">
        <f t="shared" si="2"/>
        <v>5.0325531753492552</v>
      </c>
      <c r="I7" s="219">
        <f t="shared" si="3"/>
        <v>0</v>
      </c>
      <c r="J7" s="75">
        <f t="shared" si="0"/>
        <v>0</v>
      </c>
    </row>
    <row r="8" spans="1:25" x14ac:dyDescent="0.25">
      <c r="A8" s="61">
        <f>'A) Base RI'!A10</f>
        <v>5404</v>
      </c>
      <c r="B8" s="124" t="str">
        <f>'A) Base RI'!B10</f>
        <v>Corbeyrier</v>
      </c>
      <c r="C8" s="135">
        <f>'B) D RI'!U10</f>
        <v>9966.1885714285709</v>
      </c>
      <c r="D8" s="219">
        <f>'E) Fact soc'!G14/C8</f>
        <v>19.144452760531561</v>
      </c>
      <c r="E8" s="219">
        <f>'H) Péréquation directe'!I19/'H) Péréquation directe'!C19</f>
        <v>-3.2619643903676576</v>
      </c>
      <c r="F8" s="214">
        <f>'I) Dépenses thématiques'!P8</f>
        <v>-20.887596038866345</v>
      </c>
      <c r="G8" s="167">
        <f t="shared" si="1"/>
        <v>-5.0051076687024416</v>
      </c>
      <c r="H8" s="214">
        <f t="shared" si="2"/>
        <v>15.882488370163903</v>
      </c>
      <c r="I8" s="219">
        <f t="shared" si="3"/>
        <v>0</v>
      </c>
      <c r="J8" s="75">
        <f t="shared" si="0"/>
        <v>0</v>
      </c>
    </row>
    <row r="9" spans="1:25" x14ac:dyDescent="0.25">
      <c r="A9" s="61">
        <f>'A) Base RI'!A11</f>
        <v>5405</v>
      </c>
      <c r="B9" s="124" t="str">
        <f>'A) Base RI'!B11</f>
        <v>Gryon</v>
      </c>
      <c r="C9" s="135">
        <f>'B) D RI'!U11</f>
        <v>72189.140533333324</v>
      </c>
      <c r="D9" s="219">
        <f>'E) Fact soc'!G15/C9</f>
        <v>19.902465834379583</v>
      </c>
      <c r="E9" s="219">
        <f>'H) Péréquation directe'!I20/'H) Péréquation directe'!C20</f>
        <v>15.812399491341154</v>
      </c>
      <c r="F9" s="214">
        <f>'I) Dépenses thématiques'!P9</f>
        <v>-7.1562011960341367</v>
      </c>
      <c r="G9" s="167">
        <f t="shared" si="1"/>
        <v>28.558664129686601</v>
      </c>
      <c r="H9" s="214">
        <f t="shared" si="2"/>
        <v>35.714865325720737</v>
      </c>
      <c r="I9" s="219">
        <f t="shared" si="3"/>
        <v>0</v>
      </c>
      <c r="J9" s="75">
        <f t="shared" si="0"/>
        <v>0</v>
      </c>
    </row>
    <row r="10" spans="1:25" x14ac:dyDescent="0.25">
      <c r="A10" s="61">
        <f>'A) Base RI'!A12</f>
        <v>5406</v>
      </c>
      <c r="B10" s="124" t="str">
        <f>'A) Base RI'!B12</f>
        <v>Lavey-Morcles</v>
      </c>
      <c r="C10" s="135">
        <f>'B) D RI'!U12</f>
        <v>19831.448851570964</v>
      </c>
      <c r="D10" s="219">
        <f>'E) Fact soc'!G16/C10</f>
        <v>16.49162367019758</v>
      </c>
      <c r="E10" s="219">
        <f>'H) Péréquation directe'!I21/'H) Péréquation directe'!C21</f>
        <v>-5.9927684385693825</v>
      </c>
      <c r="F10" s="214">
        <f>'I) Dépenses thématiques'!P10</f>
        <v>-4.1289520418547578</v>
      </c>
      <c r="G10" s="167">
        <f t="shared" si="1"/>
        <v>6.3699031897734404</v>
      </c>
      <c r="H10" s="214">
        <f t="shared" si="2"/>
        <v>10.498855231628198</v>
      </c>
      <c r="I10" s="219">
        <f t="shared" si="3"/>
        <v>0</v>
      </c>
      <c r="J10" s="75">
        <f t="shared" si="0"/>
        <v>0</v>
      </c>
    </row>
    <row r="11" spans="1:25" x14ac:dyDescent="0.25">
      <c r="A11" s="61">
        <f>'A) Base RI'!A13</f>
        <v>5407</v>
      </c>
      <c r="B11" s="124" t="str">
        <f>'A) Base RI'!B13</f>
        <v>Leysin</v>
      </c>
      <c r="C11" s="135">
        <f>'B) D RI'!U13</f>
        <v>102799.09089743589</v>
      </c>
      <c r="D11" s="219">
        <f>'E) Fact soc'!G17/C11</f>
        <v>18.19053900858815</v>
      </c>
      <c r="E11" s="219">
        <f>'H) Péréquation directe'!I22/'H) Péréquation directe'!C22</f>
        <v>-13.14001459114894</v>
      </c>
      <c r="F11" s="214">
        <f>'I) Dépenses thématiques'!P11</f>
        <v>-12.910969320615513</v>
      </c>
      <c r="G11" s="167">
        <f t="shared" si="1"/>
        <v>-7.8604449031763028</v>
      </c>
      <c r="H11" s="214">
        <f t="shared" si="2"/>
        <v>5.0505244174392097</v>
      </c>
      <c r="I11" s="219">
        <f t="shared" si="3"/>
        <v>0</v>
      </c>
      <c r="J11" s="75">
        <f t="shared" si="0"/>
        <v>0</v>
      </c>
      <c r="L11" s="38"/>
    </row>
    <row r="12" spans="1:25" x14ac:dyDescent="0.25">
      <c r="A12" s="61">
        <f>'A) Base RI'!A14</f>
        <v>5408</v>
      </c>
      <c r="B12" s="124" t="str">
        <f>'A) Base RI'!B14</f>
        <v>Noville</v>
      </c>
      <c r="C12" s="135">
        <f>'B) D RI'!U14</f>
        <v>34745.229256900217</v>
      </c>
      <c r="D12" s="219">
        <f>'E) Fact soc'!G18/C12</f>
        <v>18.482721897600243</v>
      </c>
      <c r="E12" s="219">
        <f>'H) Péréquation directe'!I23/'H) Péréquation directe'!C23</f>
        <v>8.1965484528690773</v>
      </c>
      <c r="F12" s="214">
        <f>'I) Dépenses thématiques'!P12</f>
        <v>-2.5997795996899336</v>
      </c>
      <c r="G12" s="167">
        <f t="shared" si="1"/>
        <v>24.079490750779385</v>
      </c>
      <c r="H12" s="214">
        <f t="shared" si="2"/>
        <v>26.67927035046932</v>
      </c>
      <c r="I12" s="219">
        <f t="shared" si="3"/>
        <v>0</v>
      </c>
      <c r="J12" s="75">
        <f t="shared" si="0"/>
        <v>0</v>
      </c>
    </row>
    <row r="13" spans="1:25" x14ac:dyDescent="0.25">
      <c r="A13" s="61">
        <f>'A) Base RI'!A15</f>
        <v>5409</v>
      </c>
      <c r="B13" s="124" t="str">
        <f>'A) Base RI'!B15</f>
        <v>Ollon</v>
      </c>
      <c r="C13" s="135">
        <f>'B) D RI'!U15</f>
        <v>592476.91795248864</v>
      </c>
      <c r="D13" s="219">
        <f>'E) Fact soc'!G19/C13</f>
        <v>37.229030414699693</v>
      </c>
      <c r="E13" s="219">
        <f>'H) Péréquation directe'!I24/'H) Péréquation directe'!C24</f>
        <v>12.274942951826102</v>
      </c>
      <c r="F13" s="214">
        <f>'I) Dépenses thématiques'!P13</f>
        <v>-1.5916133515927808</v>
      </c>
      <c r="G13" s="167">
        <f t="shared" si="1"/>
        <v>47.912360014933014</v>
      </c>
      <c r="H13" s="214">
        <f t="shared" si="2"/>
        <v>49.503973366525798</v>
      </c>
      <c r="I13" s="219">
        <f t="shared" si="3"/>
        <v>0</v>
      </c>
      <c r="J13" s="75">
        <f t="shared" si="0"/>
        <v>0</v>
      </c>
    </row>
    <row r="14" spans="1:25" x14ac:dyDescent="0.25">
      <c r="A14" s="61">
        <f>'A) Base RI'!A16</f>
        <v>5410</v>
      </c>
      <c r="B14" s="124" t="str">
        <f>'A) Base RI'!B16</f>
        <v>Ormont-Dessous</v>
      </c>
      <c r="C14" s="135">
        <f>'B) D RI'!U16</f>
        <v>35234.198174097655</v>
      </c>
      <c r="D14" s="219">
        <f>'E) Fact soc'!G20/C14</f>
        <v>19.017778719615784</v>
      </c>
      <c r="E14" s="219">
        <f>'H) Péréquation directe'!I25/'H) Péréquation directe'!C25</f>
        <v>5.062961119996281</v>
      </c>
      <c r="F14" s="214">
        <f>'I) Dépenses thématiques'!P14</f>
        <v>-22.176080521604892</v>
      </c>
      <c r="G14" s="167">
        <f t="shared" si="1"/>
        <v>1.9046593180071731</v>
      </c>
      <c r="H14" s="214">
        <f t="shared" si="2"/>
        <v>24.080739839612065</v>
      </c>
      <c r="I14" s="219">
        <f t="shared" si="3"/>
        <v>0</v>
      </c>
      <c r="J14" s="75">
        <f t="shared" si="0"/>
        <v>0</v>
      </c>
    </row>
    <row r="15" spans="1:25" x14ac:dyDescent="0.25">
      <c r="A15" s="61">
        <f>'A) Base RI'!A17</f>
        <v>5411</v>
      </c>
      <c r="B15" s="124" t="str">
        <f>'A) Base RI'!B17</f>
        <v>Ormont-Dessus</v>
      </c>
      <c r="C15" s="135">
        <f>'B) D RI'!U17</f>
        <v>71790.213859649128</v>
      </c>
      <c r="D15" s="219">
        <f>'E) Fact soc'!G21/C15</f>
        <v>17.959909874948131</v>
      </c>
      <c r="E15" s="219">
        <f>'H) Péréquation directe'!I26/'H) Péréquation directe'!C26</f>
        <v>14.790126293216101</v>
      </c>
      <c r="F15" s="214">
        <f>'I) Dépenses thématiques'!P15</f>
        <v>-11.221457408192645</v>
      </c>
      <c r="G15" s="167">
        <f t="shared" si="1"/>
        <v>21.528578759971584</v>
      </c>
      <c r="H15" s="214">
        <f t="shared" si="2"/>
        <v>32.750036168164229</v>
      </c>
      <c r="I15" s="219">
        <f t="shared" si="3"/>
        <v>0</v>
      </c>
      <c r="J15" s="75">
        <f t="shared" si="0"/>
        <v>0</v>
      </c>
    </row>
    <row r="16" spans="1:25" x14ac:dyDescent="0.25">
      <c r="A16" s="61">
        <f>'A) Base RI'!A18</f>
        <v>5412</v>
      </c>
      <c r="B16" s="124" t="str">
        <f>'A) Base RI'!B18</f>
        <v>Rennaz</v>
      </c>
      <c r="C16" s="135">
        <f>'B) D RI'!U18</f>
        <v>26501.739703703701</v>
      </c>
      <c r="D16" s="219">
        <f>'E) Fact soc'!G22/C16</f>
        <v>17.84292049630573</v>
      </c>
      <c r="E16" s="219">
        <f>'H) Péréquation directe'!I27/'H) Péréquation directe'!C27</f>
        <v>8.3163126417188948</v>
      </c>
      <c r="F16" s="214">
        <f>'I) Dépenses thématiques'!P16</f>
        <v>0</v>
      </c>
      <c r="G16" s="167">
        <f t="shared" si="1"/>
        <v>26.159233138024625</v>
      </c>
      <c r="H16" s="214">
        <f t="shared" si="2"/>
        <v>26.159233138024625</v>
      </c>
      <c r="I16" s="219">
        <f t="shared" si="3"/>
        <v>0</v>
      </c>
      <c r="J16" s="75">
        <f t="shared" si="0"/>
        <v>0</v>
      </c>
    </row>
    <row r="17" spans="1:10" x14ac:dyDescent="0.25">
      <c r="A17" s="61">
        <f>'A) Base RI'!A19</f>
        <v>5413</v>
      </c>
      <c r="B17" s="124" t="str">
        <f>'A) Base RI'!B19</f>
        <v>Roche</v>
      </c>
      <c r="C17" s="135">
        <f>'B) D RI'!U19</f>
        <v>34861.221617647054</v>
      </c>
      <c r="D17" s="219">
        <f>'E) Fact soc'!G23/C17</f>
        <v>19.265911748409444</v>
      </c>
      <c r="E17" s="219">
        <f>'H) Péréquation directe'!I28/'H) Péréquation directe'!C28</f>
        <v>-5.6814158196071585</v>
      </c>
      <c r="F17" s="214">
        <f>'I) Dépenses thématiques'!P17</f>
        <v>-0.58879281587782561</v>
      </c>
      <c r="G17" s="167">
        <f t="shared" si="1"/>
        <v>12.99570311292446</v>
      </c>
      <c r="H17" s="214">
        <f t="shared" si="2"/>
        <v>13.584495928802285</v>
      </c>
      <c r="I17" s="219">
        <f t="shared" si="3"/>
        <v>0</v>
      </c>
      <c r="J17" s="75">
        <f t="shared" si="0"/>
        <v>0</v>
      </c>
    </row>
    <row r="18" spans="1:10" x14ac:dyDescent="0.25">
      <c r="A18" s="61">
        <f>'A) Base RI'!A20</f>
        <v>5414</v>
      </c>
      <c r="B18" s="124" t="str">
        <f>'A) Base RI'!B20</f>
        <v>Villeneuve</v>
      </c>
      <c r="C18" s="135">
        <f>'B) D RI'!U20</f>
        <v>168009.32057971013</v>
      </c>
      <c r="D18" s="219">
        <f>'E) Fact soc'!G24/C18</f>
        <v>19.869294905758128</v>
      </c>
      <c r="E18" s="219">
        <f>'H) Péréquation directe'!I29/'H) Péréquation directe'!C29</f>
        <v>-1.3813634885212209</v>
      </c>
      <c r="F18" s="214">
        <f>'I) Dépenses thématiques'!P18</f>
        <v>-6.1478890473615806</v>
      </c>
      <c r="G18" s="167">
        <f t="shared" si="1"/>
        <v>12.340042369875327</v>
      </c>
      <c r="H18" s="214">
        <f t="shared" si="2"/>
        <v>18.487931417236908</v>
      </c>
      <c r="I18" s="219">
        <f t="shared" si="3"/>
        <v>0</v>
      </c>
      <c r="J18" s="75">
        <f t="shared" si="0"/>
        <v>0</v>
      </c>
    </row>
    <row r="19" spans="1:10" x14ac:dyDescent="0.25">
      <c r="A19" s="61">
        <f>'A) Base RI'!A21</f>
        <v>5415</v>
      </c>
      <c r="B19" s="124" t="str">
        <f>'A) Base RI'!B21</f>
        <v>Yvorne</v>
      </c>
      <c r="C19" s="135">
        <f>'B) D RI'!U21</f>
        <v>43055.973722627736</v>
      </c>
      <c r="D19" s="219">
        <f>'E) Fact soc'!G25/C19</f>
        <v>16.13657011795982</v>
      </c>
      <c r="E19" s="219">
        <f>'H) Péréquation directe'!I30/'H) Péréquation directe'!C30</f>
        <v>15.083340423026547</v>
      </c>
      <c r="F19" s="214">
        <f>'I) Dépenses thématiques'!P19</f>
        <v>-4.1564257302920238</v>
      </c>
      <c r="G19" s="167">
        <f t="shared" si="1"/>
        <v>27.063484810694344</v>
      </c>
      <c r="H19" s="214">
        <f t="shared" si="2"/>
        <v>31.219910540986369</v>
      </c>
      <c r="I19" s="219">
        <f t="shared" si="3"/>
        <v>0</v>
      </c>
      <c r="J19" s="75">
        <f t="shared" si="0"/>
        <v>0</v>
      </c>
    </row>
    <row r="20" spans="1:10" x14ac:dyDescent="0.25">
      <c r="A20" s="61">
        <f>'A) Base RI'!A22</f>
        <v>5421</v>
      </c>
      <c r="B20" s="124" t="str">
        <f>'A) Base RI'!B22</f>
        <v>Apples</v>
      </c>
      <c r="C20" s="135">
        <f>'B) D RI'!U22</f>
        <v>57391.691408450701</v>
      </c>
      <c r="D20" s="219">
        <f>'E) Fact soc'!G26/C20</f>
        <v>19.647121425882233</v>
      </c>
      <c r="E20" s="219">
        <f>'H) Péréquation directe'!I31/'H) Péréquation directe'!C31</f>
        <v>13.85270012562372</v>
      </c>
      <c r="F20" s="214">
        <f>'I) Dépenses thématiques'!P20</f>
        <v>-3.1639477805133502</v>
      </c>
      <c r="G20" s="167">
        <f t="shared" si="1"/>
        <v>30.335873770992603</v>
      </c>
      <c r="H20" s="214">
        <f t="shared" si="2"/>
        <v>33.499821551505953</v>
      </c>
      <c r="I20" s="219">
        <f t="shared" si="3"/>
        <v>0</v>
      </c>
      <c r="J20" s="75">
        <f t="shared" si="0"/>
        <v>0</v>
      </c>
    </row>
    <row r="21" spans="1:10" x14ac:dyDescent="0.25">
      <c r="A21" s="61">
        <f>'A) Base RI'!A23</f>
        <v>5422</v>
      </c>
      <c r="B21" s="124" t="str">
        <f>'A) Base RI'!B23</f>
        <v>Aubonne</v>
      </c>
      <c r="C21" s="135">
        <f>'B) D RI'!U23</f>
        <v>231550.9032352941</v>
      </c>
      <c r="D21" s="219">
        <f>'E) Fact soc'!G27/C21</f>
        <v>22.206375441373897</v>
      </c>
      <c r="E21" s="219">
        <f>'H) Péréquation directe'!I32/'H) Péréquation directe'!C32</f>
        <v>14.207101855760477</v>
      </c>
      <c r="F21" s="214">
        <f>'I) Dépenses thématiques'!P21</f>
        <v>-0.23326404494512956</v>
      </c>
      <c r="G21" s="167">
        <f t="shared" si="1"/>
        <v>36.180213252189247</v>
      </c>
      <c r="H21" s="214">
        <f t="shared" si="2"/>
        <v>36.413477297134378</v>
      </c>
      <c r="I21" s="219">
        <f t="shared" si="3"/>
        <v>0</v>
      </c>
      <c r="J21" s="75">
        <f t="shared" si="0"/>
        <v>0</v>
      </c>
    </row>
    <row r="22" spans="1:10" x14ac:dyDescent="0.25">
      <c r="A22" s="61">
        <f>'A) Base RI'!A24</f>
        <v>5423</v>
      </c>
      <c r="B22" s="124" t="str">
        <f>'A) Base RI'!B24</f>
        <v>Ballens</v>
      </c>
      <c r="C22" s="135">
        <f>'B) D RI'!U24</f>
        <v>19761.871884057968</v>
      </c>
      <c r="D22" s="219">
        <f>'E) Fact soc'!G28/C22</f>
        <v>17.177054921642956</v>
      </c>
      <c r="E22" s="219">
        <f>'H) Péréquation directe'!I33/'H) Péréquation directe'!C33</f>
        <v>13.600623872742654</v>
      </c>
      <c r="F22" s="214">
        <f>'I) Dépenses thématiques'!P22</f>
        <v>-2.8300672703252001</v>
      </c>
      <c r="G22" s="167">
        <f t="shared" si="1"/>
        <v>27.947611524060406</v>
      </c>
      <c r="H22" s="214">
        <f t="shared" si="2"/>
        <v>30.777678794385608</v>
      </c>
      <c r="I22" s="219">
        <f t="shared" si="3"/>
        <v>0</v>
      </c>
      <c r="J22" s="75">
        <f t="shared" si="0"/>
        <v>0</v>
      </c>
    </row>
    <row r="23" spans="1:10" x14ac:dyDescent="0.25">
      <c r="A23" s="61">
        <f>'A) Base RI'!A25</f>
        <v>5424</v>
      </c>
      <c r="B23" s="124" t="str">
        <f>'A) Base RI'!B25</f>
        <v>Berolle</v>
      </c>
      <c r="C23" s="135">
        <f>'B) D RI'!U25</f>
        <v>9360.1262337662338</v>
      </c>
      <c r="D23" s="219">
        <f>'E) Fact soc'!G29/C23</f>
        <v>17.147003765825417</v>
      </c>
      <c r="E23" s="219">
        <f>'H) Péréquation directe'!I34/'H) Péréquation directe'!C34</f>
        <v>6.8911768190958327</v>
      </c>
      <c r="F23" s="214">
        <f>'I) Dépenses thématiques'!P23</f>
        <v>-4.5812269703991211</v>
      </c>
      <c r="G23" s="167">
        <f t="shared" si="1"/>
        <v>19.456953614522128</v>
      </c>
      <c r="H23" s="214">
        <f t="shared" si="2"/>
        <v>24.03818058492125</v>
      </c>
      <c r="I23" s="219">
        <f t="shared" si="3"/>
        <v>0</v>
      </c>
      <c r="J23" s="75">
        <f t="shared" si="0"/>
        <v>0</v>
      </c>
    </row>
    <row r="24" spans="1:10" x14ac:dyDescent="0.25">
      <c r="A24" s="61">
        <f>'A) Base RI'!A26</f>
        <v>5425</v>
      </c>
      <c r="B24" s="124" t="str">
        <f>'A) Base RI'!B26</f>
        <v>Bière</v>
      </c>
      <c r="C24" s="135">
        <f>'B) D RI'!U26</f>
        <v>40787.403970588231</v>
      </c>
      <c r="D24" s="219">
        <f>'E) Fact soc'!G30/C24</f>
        <v>17.178870468657475</v>
      </c>
      <c r="E24" s="219">
        <f>'H) Péréquation directe'!I35/'H) Péréquation directe'!C35</f>
        <v>-0.70781052795307353</v>
      </c>
      <c r="F24" s="214">
        <f>'I) Dépenses thématiques'!P24</f>
        <v>-9.8150182881795658</v>
      </c>
      <c r="G24" s="167">
        <f t="shared" si="1"/>
        <v>6.6560416525248343</v>
      </c>
      <c r="H24" s="214">
        <f t="shared" si="2"/>
        <v>16.4710599407044</v>
      </c>
      <c r="I24" s="219">
        <f t="shared" si="3"/>
        <v>0</v>
      </c>
      <c r="J24" s="75">
        <f t="shared" si="0"/>
        <v>0</v>
      </c>
    </row>
    <row r="25" spans="1:10" x14ac:dyDescent="0.25">
      <c r="A25" s="61">
        <f>'A) Base RI'!A27</f>
        <v>5426</v>
      </c>
      <c r="B25" s="124" t="str">
        <f>'A) Base RI'!B27</f>
        <v>Bougy-Villars</v>
      </c>
      <c r="C25" s="135">
        <f>'B) D RI'!U27</f>
        <v>42113.452258064506</v>
      </c>
      <c r="D25" s="219">
        <f>'E) Fact soc'!G31/C25</f>
        <v>24.710209006881275</v>
      </c>
      <c r="E25" s="219">
        <f>'H) Péréquation directe'!I36/'H) Péréquation directe'!C36</f>
        <v>17.151922200776767</v>
      </c>
      <c r="F25" s="214">
        <f>'I) Dépenses thématiques'!P25</f>
        <v>0</v>
      </c>
      <c r="G25" s="167">
        <f t="shared" si="1"/>
        <v>41.862131207658038</v>
      </c>
      <c r="H25" s="214">
        <f t="shared" si="2"/>
        <v>41.862131207658038</v>
      </c>
      <c r="I25" s="219">
        <f t="shared" si="3"/>
        <v>0</v>
      </c>
      <c r="J25" s="75">
        <f t="shared" si="0"/>
        <v>0</v>
      </c>
    </row>
    <row r="26" spans="1:10" x14ac:dyDescent="0.25">
      <c r="A26" s="61">
        <f>'A) Base RI'!A28</f>
        <v>5427</v>
      </c>
      <c r="B26" s="124" t="str">
        <f>'A) Base RI'!B28</f>
        <v>Féchy</v>
      </c>
      <c r="C26" s="135">
        <f>'B) D RI'!U28</f>
        <v>64357.078870192301</v>
      </c>
      <c r="D26" s="219">
        <f>'E) Fact soc'!G32/C26</f>
        <v>21.411113814117332</v>
      </c>
      <c r="E26" s="219">
        <f>'H) Péréquation directe'!I37/'H) Péréquation directe'!C37</f>
        <v>17.01486674714883</v>
      </c>
      <c r="F26" s="214">
        <f>'I) Dépenses thématiques'!P26</f>
        <v>0</v>
      </c>
      <c r="G26" s="167">
        <f t="shared" si="1"/>
        <v>38.425980561266158</v>
      </c>
      <c r="H26" s="214">
        <f t="shared" si="2"/>
        <v>38.425980561266158</v>
      </c>
      <c r="I26" s="219">
        <f t="shared" si="3"/>
        <v>0</v>
      </c>
      <c r="J26" s="75">
        <f t="shared" si="0"/>
        <v>0</v>
      </c>
    </row>
    <row r="27" spans="1:10" x14ac:dyDescent="0.25">
      <c r="A27" s="61">
        <f>'A) Base RI'!A29</f>
        <v>5428</v>
      </c>
      <c r="B27" s="124" t="str">
        <f>'A) Base RI'!B29</f>
        <v>Gimel</v>
      </c>
      <c r="C27" s="135">
        <f>'B) D RI'!U29</f>
        <v>57546.053752913758</v>
      </c>
      <c r="D27" s="219">
        <f>'E) Fact soc'!G33/C27</f>
        <v>19.065157051371546</v>
      </c>
      <c r="E27" s="219">
        <f>'H) Péréquation directe'!I38/'H) Péréquation directe'!C38</f>
        <v>2.2472581100693323</v>
      </c>
      <c r="F27" s="214">
        <f>'I) Dépenses thématiques'!P27</f>
        <v>-5.5073516644471354</v>
      </c>
      <c r="G27" s="167">
        <f t="shared" si="1"/>
        <v>15.805063496993743</v>
      </c>
      <c r="H27" s="214">
        <f t="shared" si="2"/>
        <v>21.312415161440878</v>
      </c>
      <c r="I27" s="219">
        <f t="shared" si="3"/>
        <v>0</v>
      </c>
      <c r="J27" s="75">
        <f t="shared" si="0"/>
        <v>0</v>
      </c>
    </row>
    <row r="28" spans="1:10" x14ac:dyDescent="0.25">
      <c r="A28" s="61">
        <f>'A) Base RI'!A30</f>
        <v>5429</v>
      </c>
      <c r="B28" s="124" t="str">
        <f>'A) Base RI'!B30</f>
        <v>Longirod</v>
      </c>
      <c r="C28" s="135">
        <f>'B) D RI'!U30</f>
        <v>13645.142716049384</v>
      </c>
      <c r="D28" s="219">
        <f>'E) Fact soc'!G34/C28</f>
        <v>16.899914399217359</v>
      </c>
      <c r="E28" s="219">
        <f>'H) Péréquation directe'!I39/'H) Péréquation directe'!C39</f>
        <v>2.5986795177459774</v>
      </c>
      <c r="F28" s="214">
        <f>'I) Dépenses thématiques'!P28</f>
        <v>-10.277315122570645</v>
      </c>
      <c r="G28" s="167">
        <f t="shared" si="1"/>
        <v>9.2212787943926919</v>
      </c>
      <c r="H28" s="214">
        <f t="shared" si="2"/>
        <v>19.498593916963337</v>
      </c>
      <c r="I28" s="219">
        <f t="shared" si="3"/>
        <v>0</v>
      </c>
      <c r="J28" s="75">
        <f t="shared" si="0"/>
        <v>0</v>
      </c>
    </row>
    <row r="29" spans="1:10" x14ac:dyDescent="0.25">
      <c r="A29" s="61">
        <f>'A) Base RI'!A31</f>
        <v>5430</v>
      </c>
      <c r="B29" s="124" t="str">
        <f>'A) Base RI'!B31</f>
        <v>Marchissy</v>
      </c>
      <c r="C29" s="135">
        <f>'B) D RI'!U31</f>
        <v>12901.686543209877</v>
      </c>
      <c r="D29" s="219">
        <f>'E) Fact soc'!G35/C29</f>
        <v>21.964087729111572</v>
      </c>
      <c r="E29" s="219">
        <f>'H) Péréquation directe'!I40/'H) Péréquation directe'!C40</f>
        <v>1.6176853876166728</v>
      </c>
      <c r="F29" s="214">
        <f>'I) Dépenses thématiques'!P29</f>
        <v>-17.346106568703366</v>
      </c>
      <c r="G29" s="167">
        <f t="shared" si="1"/>
        <v>6.2356665480248772</v>
      </c>
      <c r="H29" s="214">
        <f t="shared" si="2"/>
        <v>23.581773116728243</v>
      </c>
      <c r="I29" s="219">
        <f t="shared" si="3"/>
        <v>0</v>
      </c>
      <c r="J29" s="75">
        <f t="shared" si="0"/>
        <v>0</v>
      </c>
    </row>
    <row r="30" spans="1:10" x14ac:dyDescent="0.25">
      <c r="A30" s="61">
        <f>'A) Base RI'!A32</f>
        <v>5431</v>
      </c>
      <c r="B30" s="124" t="str">
        <f>'A) Base RI'!B32</f>
        <v>Mollens</v>
      </c>
      <c r="C30" s="135">
        <f>'B) D RI'!U32</f>
        <v>8965.3154054054066</v>
      </c>
      <c r="D30" s="219">
        <f>'E) Fact soc'!G36/C30</f>
        <v>16.456629340975528</v>
      </c>
      <c r="E30" s="219">
        <f>'H) Péréquation directe'!I41/'H) Péréquation directe'!C41</f>
        <v>5.8658259505212182</v>
      </c>
      <c r="F30" s="214">
        <f>'I) Dépenses thématiques'!P30</f>
        <v>-4.9314835519472835</v>
      </c>
      <c r="G30" s="167">
        <f t="shared" si="1"/>
        <v>17.39097173954946</v>
      </c>
      <c r="H30" s="214">
        <f t="shared" si="2"/>
        <v>22.322455291496745</v>
      </c>
      <c r="I30" s="219">
        <f t="shared" si="3"/>
        <v>0</v>
      </c>
      <c r="J30" s="75">
        <f t="shared" si="0"/>
        <v>0</v>
      </c>
    </row>
    <row r="31" spans="1:10" x14ac:dyDescent="0.25">
      <c r="A31" s="61">
        <f>'A) Base RI'!A33</f>
        <v>5432</v>
      </c>
      <c r="B31" s="124" t="str">
        <f>'A) Base RI'!B33</f>
        <v>Montherod</v>
      </c>
      <c r="C31" s="135">
        <f>'B) D RI'!U33</f>
        <v>18938.674054054052</v>
      </c>
      <c r="D31" s="219">
        <f>'E) Fact soc'!G37/C31</f>
        <v>18.887532360525469</v>
      </c>
      <c r="E31" s="219">
        <f>'H) Péréquation directe'!I42/'H) Péréquation directe'!C42</f>
        <v>11.57577510591293</v>
      </c>
      <c r="F31" s="214">
        <f>'I) Dépenses thématiques'!P31</f>
        <v>0</v>
      </c>
      <c r="G31" s="167">
        <f t="shared" si="1"/>
        <v>30.463307466438401</v>
      </c>
      <c r="H31" s="214">
        <f t="shared" si="2"/>
        <v>30.463307466438401</v>
      </c>
      <c r="I31" s="219">
        <f t="shared" si="3"/>
        <v>0</v>
      </c>
      <c r="J31" s="75">
        <f t="shared" si="0"/>
        <v>0</v>
      </c>
    </row>
    <row r="32" spans="1:10" x14ac:dyDescent="0.25">
      <c r="A32" s="61">
        <f>'A) Base RI'!A34</f>
        <v>5434</v>
      </c>
      <c r="B32" s="124" t="str">
        <f>'A) Base RI'!B34</f>
        <v>Saint-George</v>
      </c>
      <c r="C32" s="135">
        <f>'B) D RI'!U34</f>
        <v>33015.772116788328</v>
      </c>
      <c r="D32" s="219">
        <f>'E) Fact soc'!G38/C32</f>
        <v>18.479056340079079</v>
      </c>
      <c r="E32" s="219">
        <f>'H) Péréquation directe'!I43/'H) Péréquation directe'!C43</f>
        <v>10.906237249111348</v>
      </c>
      <c r="F32" s="214">
        <f>'I) Dépenses thématiques'!P32</f>
        <v>-4.1297646029006172</v>
      </c>
      <c r="G32" s="167">
        <f t="shared" si="1"/>
        <v>25.255528986289807</v>
      </c>
      <c r="H32" s="214">
        <f t="shared" si="2"/>
        <v>29.385293589190425</v>
      </c>
      <c r="I32" s="219">
        <f t="shared" si="3"/>
        <v>0</v>
      </c>
      <c r="J32" s="75">
        <f t="shared" si="0"/>
        <v>0</v>
      </c>
    </row>
    <row r="33" spans="1:10" x14ac:dyDescent="0.25">
      <c r="A33" s="61">
        <f>'A) Base RI'!A35</f>
        <v>5435</v>
      </c>
      <c r="B33" s="124" t="str">
        <f>'A) Base RI'!B35</f>
        <v>Saint-Livres</v>
      </c>
      <c r="C33" s="135">
        <f>'B) D RI'!U35</f>
        <v>24335.25550724638</v>
      </c>
      <c r="D33" s="219">
        <f>'E) Fact soc'!G39/C33</f>
        <v>14.981091586717652</v>
      </c>
      <c r="E33" s="219">
        <f>'H) Péréquation directe'!I44/'H) Péréquation directe'!C44</f>
        <v>10.32310123810435</v>
      </c>
      <c r="F33" s="214">
        <f>'I) Dépenses thématiques'!P33</f>
        <v>-1.058992117766858</v>
      </c>
      <c r="G33" s="167">
        <f t="shared" si="1"/>
        <v>24.245200707055144</v>
      </c>
      <c r="H33" s="214">
        <f t="shared" si="2"/>
        <v>25.304192824822003</v>
      </c>
      <c r="I33" s="219">
        <f t="shared" si="3"/>
        <v>0</v>
      </c>
      <c r="J33" s="75">
        <f t="shared" si="0"/>
        <v>0</v>
      </c>
    </row>
    <row r="34" spans="1:10" x14ac:dyDescent="0.25">
      <c r="A34" s="61">
        <f>'A) Base RI'!A36</f>
        <v>5436</v>
      </c>
      <c r="B34" s="124" t="str">
        <f>'A) Base RI'!B36</f>
        <v>Saint-Oyens</v>
      </c>
      <c r="C34" s="135">
        <f>'B) D RI'!U36</f>
        <v>9937.7678395061721</v>
      </c>
      <c r="D34" s="219">
        <f>'E) Fact soc'!G40/C34</f>
        <v>18.251719460129866</v>
      </c>
      <c r="E34" s="219">
        <f>'H) Péréquation directe'!I45/'H) Péréquation directe'!C45</f>
        <v>1.6277061573701901</v>
      </c>
      <c r="F34" s="214">
        <f>'I) Dépenses thématiques'!P34</f>
        <v>-6.367014985901319</v>
      </c>
      <c r="G34" s="167">
        <f t="shared" si="1"/>
        <v>13.512410631598739</v>
      </c>
      <c r="H34" s="214">
        <f t="shared" si="2"/>
        <v>19.879425617500058</v>
      </c>
      <c r="I34" s="219">
        <f t="shared" si="3"/>
        <v>0</v>
      </c>
      <c r="J34" s="75">
        <f t="shared" si="0"/>
        <v>0</v>
      </c>
    </row>
    <row r="35" spans="1:10" x14ac:dyDescent="0.25">
      <c r="A35" s="61">
        <f>'A) Base RI'!A37</f>
        <v>5437</v>
      </c>
      <c r="B35" s="124" t="str">
        <f>'A) Base RI'!B37</f>
        <v>Saubraz</v>
      </c>
      <c r="C35" s="135">
        <f>'B) D RI'!U37</f>
        <v>9144.65614457831</v>
      </c>
      <c r="D35" s="219">
        <f>'E) Fact soc'!G41/C35</f>
        <v>27.952642476819978</v>
      </c>
      <c r="E35" s="219">
        <f>'H) Péréquation directe'!I46/'H) Péréquation directe'!C46</f>
        <v>-9.4530188548110523</v>
      </c>
      <c r="F35" s="214">
        <f>'I) Dépenses thématiques'!P35</f>
        <v>-5.6524435839979246</v>
      </c>
      <c r="G35" s="167">
        <f t="shared" si="1"/>
        <v>12.847180038011</v>
      </c>
      <c r="H35" s="214">
        <f t="shared" si="2"/>
        <v>18.499623622008926</v>
      </c>
      <c r="I35" s="219">
        <f t="shared" si="3"/>
        <v>0</v>
      </c>
      <c r="J35" s="75">
        <f t="shared" si="0"/>
        <v>0</v>
      </c>
    </row>
    <row r="36" spans="1:10" x14ac:dyDescent="0.25">
      <c r="A36" s="61">
        <f>'A) Base RI'!A38</f>
        <v>5451</v>
      </c>
      <c r="B36" s="124" t="str">
        <f>'A) Base RI'!B38</f>
        <v>Avenches</v>
      </c>
      <c r="C36" s="135">
        <f>'B) D RI'!U38</f>
        <v>102028.81651960785</v>
      </c>
      <c r="D36" s="219">
        <f>'E) Fact soc'!G42/C36</f>
        <v>18.700405701652546</v>
      </c>
      <c r="E36" s="219">
        <f>'H) Péréquation directe'!I47/'H) Péréquation directe'!C47</f>
        <v>-8.3315132800861438</v>
      </c>
      <c r="F36" s="214">
        <f>'I) Dépenses thématiques'!P36</f>
        <v>-15.338802324976042</v>
      </c>
      <c r="G36" s="167">
        <f t="shared" si="1"/>
        <v>-4.9699099034096399</v>
      </c>
      <c r="H36" s="214">
        <f t="shared" si="2"/>
        <v>10.368892421566402</v>
      </c>
      <c r="I36" s="219">
        <f t="shared" si="3"/>
        <v>0</v>
      </c>
      <c r="J36" s="75">
        <f t="shared" si="0"/>
        <v>0</v>
      </c>
    </row>
    <row r="37" spans="1:10" x14ac:dyDescent="0.25">
      <c r="A37" s="61">
        <f>'A) Base RI'!A39</f>
        <v>5456</v>
      </c>
      <c r="B37" s="124" t="str">
        <f>'A) Base RI'!B39</f>
        <v>Cudrefin</v>
      </c>
      <c r="C37" s="135">
        <f>'B) D RI'!U39</f>
        <v>45272.368813559326</v>
      </c>
      <c r="D37" s="219">
        <f>'E) Fact soc'!G43/C37</f>
        <v>22.854685251606135</v>
      </c>
      <c r="E37" s="219">
        <f>'H) Péréquation directe'!I48/'H) Péréquation directe'!C48</f>
        <v>5.9744068064565381</v>
      </c>
      <c r="F37" s="214">
        <f>'I) Dépenses thématiques'!P37</f>
        <v>-5.8278705955339207</v>
      </c>
      <c r="G37" s="167">
        <f t="shared" si="1"/>
        <v>23.001221462528754</v>
      </c>
      <c r="H37" s="214">
        <f t="shared" si="2"/>
        <v>28.829092058062674</v>
      </c>
      <c r="I37" s="219">
        <f t="shared" si="3"/>
        <v>0</v>
      </c>
      <c r="J37" s="75">
        <f t="shared" si="0"/>
        <v>0</v>
      </c>
    </row>
    <row r="38" spans="1:10" x14ac:dyDescent="0.25">
      <c r="A38" s="61">
        <f>'A) Base RI'!A40</f>
        <v>5458</v>
      </c>
      <c r="B38" s="124" t="str">
        <f>'A) Base RI'!B40</f>
        <v>Faoug</v>
      </c>
      <c r="C38" s="135">
        <f>'B) D RI'!U40</f>
        <v>28143.986721311474</v>
      </c>
      <c r="D38" s="219">
        <f>'E) Fact soc'!G44/C38</f>
        <v>17.5753073669073</v>
      </c>
      <c r="E38" s="219">
        <f>'H) Péréquation directe'!I49/'H) Péréquation directe'!C49</f>
        <v>10.721898689610169</v>
      </c>
      <c r="F38" s="214">
        <f>'I) Dépenses thématiques'!P38</f>
        <v>-4.0287114842803122</v>
      </c>
      <c r="G38" s="167">
        <f t="shared" si="1"/>
        <v>24.268494572237156</v>
      </c>
      <c r="H38" s="214">
        <f t="shared" si="2"/>
        <v>28.297206056517467</v>
      </c>
      <c r="I38" s="219">
        <f t="shared" si="3"/>
        <v>0</v>
      </c>
      <c r="J38" s="75">
        <f t="shared" si="0"/>
        <v>0</v>
      </c>
    </row>
    <row r="39" spans="1:10" x14ac:dyDescent="0.25">
      <c r="A39" s="61">
        <f>'A) Base RI'!A41</f>
        <v>5464</v>
      </c>
      <c r="B39" s="124" t="str">
        <f>'A) Base RI'!B41</f>
        <v>Vully-les-Lacs</v>
      </c>
      <c r="C39" s="135">
        <f>'B) D RI'!U41</f>
        <v>96865.968557213928</v>
      </c>
      <c r="D39" s="219">
        <f>'E) Fact soc'!G45/C39</f>
        <v>18.214455965183657</v>
      </c>
      <c r="E39" s="219">
        <f>'H) Péréquation directe'!I50/'H) Péréquation directe'!C50</f>
        <v>6.0798505488086754</v>
      </c>
      <c r="F39" s="214">
        <f>'I) Dépenses thématiques'!P39</f>
        <v>-4.5629812433398111</v>
      </c>
      <c r="G39" s="167">
        <f t="shared" si="1"/>
        <v>19.731325270652519</v>
      </c>
      <c r="H39" s="214">
        <f t="shared" si="2"/>
        <v>24.294306513992332</v>
      </c>
      <c r="I39" s="219">
        <f t="shared" si="3"/>
        <v>0</v>
      </c>
      <c r="J39" s="75">
        <f t="shared" si="0"/>
        <v>0</v>
      </c>
    </row>
    <row r="40" spans="1:10" x14ac:dyDescent="0.25">
      <c r="A40" s="61">
        <f>'A) Base RI'!A42</f>
        <v>5471</v>
      </c>
      <c r="B40" s="124" t="str">
        <f>'A) Base RI'!B42</f>
        <v>Bettens</v>
      </c>
      <c r="C40" s="135">
        <f>'B) D RI'!U42</f>
        <v>18168.257063492067</v>
      </c>
      <c r="D40" s="219">
        <f>'E) Fact soc'!G46/C40</f>
        <v>17.872496944361071</v>
      </c>
      <c r="E40" s="219">
        <f>'H) Péréquation directe'!I51/'H) Péréquation directe'!C51</f>
        <v>8.8793384280942451</v>
      </c>
      <c r="F40" s="214">
        <f>'I) Dépenses thématiques'!P40</f>
        <v>0</v>
      </c>
      <c r="G40" s="167">
        <f t="shared" si="1"/>
        <v>26.751835372455318</v>
      </c>
      <c r="H40" s="214">
        <f t="shared" si="2"/>
        <v>26.751835372455318</v>
      </c>
      <c r="I40" s="219">
        <f t="shared" si="3"/>
        <v>0</v>
      </c>
      <c r="J40" s="75">
        <f t="shared" si="0"/>
        <v>0</v>
      </c>
    </row>
    <row r="41" spans="1:10" x14ac:dyDescent="0.25">
      <c r="A41" s="61">
        <f>'A) Base RI'!A43</f>
        <v>5472</v>
      </c>
      <c r="B41" s="124" t="str">
        <f>'A) Base RI'!B43</f>
        <v>Bournens</v>
      </c>
      <c r="C41" s="135">
        <f>'B) D RI'!U43</f>
        <v>13213.617875</v>
      </c>
      <c r="D41" s="219">
        <f>'E) Fact soc'!G47/C41</f>
        <v>18.226097307529656</v>
      </c>
      <c r="E41" s="219">
        <f>'H) Péréquation directe'!I52/'H) Péréquation directe'!C52</f>
        <v>9.8049912536564499</v>
      </c>
      <c r="F41" s="214">
        <f>'I) Dépenses thématiques'!P41</f>
        <v>-2.0106808756711909</v>
      </c>
      <c r="G41" s="167">
        <f t="shared" si="1"/>
        <v>26.020407685514915</v>
      </c>
      <c r="H41" s="214">
        <f t="shared" si="2"/>
        <v>28.031088561186106</v>
      </c>
      <c r="I41" s="219">
        <f t="shared" si="3"/>
        <v>0</v>
      </c>
      <c r="J41" s="75">
        <f t="shared" si="0"/>
        <v>0</v>
      </c>
    </row>
    <row r="42" spans="1:10" x14ac:dyDescent="0.25">
      <c r="A42" s="61">
        <f>'A) Base RI'!A44</f>
        <v>5473</v>
      </c>
      <c r="B42" s="124" t="str">
        <f>'A) Base RI'!B44</f>
        <v>Boussens</v>
      </c>
      <c r="C42" s="135">
        <f>'B) D RI'!U44</f>
        <v>33007.750579710155</v>
      </c>
      <c r="D42" s="219">
        <f>'E) Fact soc'!G48/C42</f>
        <v>14.969500452416584</v>
      </c>
      <c r="E42" s="219">
        <f>'H) Péréquation directe'!I53/'H) Péréquation directe'!C53</f>
        <v>10.578066032429858</v>
      </c>
      <c r="F42" s="214">
        <f>'I) Dépenses thématiques'!P42</f>
        <v>0</v>
      </c>
      <c r="G42" s="167">
        <f t="shared" si="1"/>
        <v>25.547566484846442</v>
      </c>
      <c r="H42" s="214">
        <f t="shared" si="2"/>
        <v>25.547566484846442</v>
      </c>
      <c r="I42" s="219">
        <f t="shared" si="3"/>
        <v>0</v>
      </c>
      <c r="J42" s="75">
        <f t="shared" si="0"/>
        <v>0</v>
      </c>
    </row>
    <row r="43" spans="1:10" x14ac:dyDescent="0.25">
      <c r="A43" s="61">
        <f>'A) Base RI'!A45</f>
        <v>5474</v>
      </c>
      <c r="B43" s="124" t="str">
        <f>'A) Base RI'!B45</f>
        <v>La Chaux (Cossonay)</v>
      </c>
      <c r="C43" s="135">
        <f>'B) D RI'!U45</f>
        <v>12690.44829004329</v>
      </c>
      <c r="D43" s="219">
        <f>'E) Fact soc'!G49/C43</f>
        <v>13.78852009638887</v>
      </c>
      <c r="E43" s="219">
        <f>'H) Péréquation directe'!I54/'H) Péréquation directe'!C54</f>
        <v>4.6596880738323039</v>
      </c>
      <c r="F43" s="214">
        <f>'I) Dépenses thématiques'!P43</f>
        <v>-8.6578989190540714</v>
      </c>
      <c r="G43" s="167">
        <f t="shared" si="1"/>
        <v>9.7903092511671037</v>
      </c>
      <c r="H43" s="214">
        <f t="shared" si="2"/>
        <v>18.448208170221175</v>
      </c>
      <c r="I43" s="219">
        <f t="shared" si="3"/>
        <v>0</v>
      </c>
      <c r="J43" s="75">
        <f t="shared" si="0"/>
        <v>0</v>
      </c>
    </row>
    <row r="44" spans="1:10" x14ac:dyDescent="0.25">
      <c r="A44" s="61">
        <f>'A) Base RI'!A46</f>
        <v>5475</v>
      </c>
      <c r="B44" s="124" t="str">
        <f>'A) Base RI'!B46</f>
        <v>Chavannes-le-Veyron</v>
      </c>
      <c r="C44" s="135">
        <f>'B) D RI'!U46</f>
        <v>2750.1545454545449</v>
      </c>
      <c r="D44" s="219">
        <f>'E) Fact soc'!G50/C44</f>
        <v>15.033628930174567</v>
      </c>
      <c r="E44" s="219">
        <f>'H) Péréquation directe'!I55/'H) Péréquation directe'!C55</f>
        <v>-7.1377102821245924</v>
      </c>
      <c r="F44" s="214">
        <f>'I) Dépenses thématiques'!P44</f>
        <v>-23.565155196845765</v>
      </c>
      <c r="G44" s="167">
        <f t="shared" si="1"/>
        <v>-15.669236548795791</v>
      </c>
      <c r="H44" s="214">
        <f t="shared" si="2"/>
        <v>7.8959186480499746</v>
      </c>
      <c r="I44" s="219">
        <f t="shared" si="3"/>
        <v>0</v>
      </c>
      <c r="J44" s="75">
        <f t="shared" si="0"/>
        <v>0</v>
      </c>
    </row>
    <row r="45" spans="1:10" x14ac:dyDescent="0.25">
      <c r="A45" s="61">
        <f>'A) Base RI'!A47</f>
        <v>5476</v>
      </c>
      <c r="B45" s="124" t="str">
        <f>'A) Base RI'!B47</f>
        <v>Chevilly</v>
      </c>
      <c r="C45" s="135">
        <f>'B) D RI'!U47</f>
        <v>7887.6179729729729</v>
      </c>
      <c r="D45" s="219">
        <f>'E) Fact soc'!G51/C45</f>
        <v>19.257058574323359</v>
      </c>
      <c r="E45" s="219">
        <f>'H) Péréquation directe'!I56/'H) Péréquation directe'!C56</f>
        <v>2.2285742634110761</v>
      </c>
      <c r="F45" s="214">
        <f>'I) Dépenses thématiques'!P45</f>
        <v>-4.6030233657628861</v>
      </c>
      <c r="G45" s="167">
        <f t="shared" si="1"/>
        <v>16.882609471971548</v>
      </c>
      <c r="H45" s="214">
        <f t="shared" si="2"/>
        <v>21.485632837734435</v>
      </c>
      <c r="I45" s="219">
        <f t="shared" si="3"/>
        <v>0</v>
      </c>
      <c r="J45" s="75">
        <f t="shared" si="0"/>
        <v>0</v>
      </c>
    </row>
    <row r="46" spans="1:10" x14ac:dyDescent="0.25">
      <c r="A46" s="61">
        <f>'A) Base RI'!A48</f>
        <v>5477</v>
      </c>
      <c r="B46" s="124" t="str">
        <f>'A) Base RI'!B48</f>
        <v>Cossonay</v>
      </c>
      <c r="C46" s="135">
        <f>'B) D RI'!U48</f>
        <v>120589.74256854257</v>
      </c>
      <c r="D46" s="219">
        <f>'E) Fact soc'!G52/C46</f>
        <v>17.581820596484114</v>
      </c>
      <c r="E46" s="219">
        <f>'H) Péréquation directe'!I57/'H) Péréquation directe'!C57</f>
        <v>3.2229794680990596</v>
      </c>
      <c r="F46" s="214">
        <f>'I) Dépenses thématiques'!P46</f>
        <v>-5.3791315948364522</v>
      </c>
      <c r="G46" s="167">
        <f t="shared" si="1"/>
        <v>15.425668469746721</v>
      </c>
      <c r="H46" s="214">
        <f t="shared" si="2"/>
        <v>20.804800064583173</v>
      </c>
      <c r="I46" s="219">
        <f t="shared" si="3"/>
        <v>0</v>
      </c>
      <c r="J46" s="75">
        <f t="shared" si="0"/>
        <v>0</v>
      </c>
    </row>
    <row r="47" spans="1:10" x14ac:dyDescent="0.25">
      <c r="A47" s="61">
        <f>'A) Base RI'!A49</f>
        <v>5478</v>
      </c>
      <c r="B47" s="124" t="str">
        <f>'A) Base RI'!B49</f>
        <v>Cottens</v>
      </c>
      <c r="C47" s="135">
        <f>'B) D RI'!U49</f>
        <v>15464.23347222222</v>
      </c>
      <c r="D47" s="219">
        <f>'E) Fact soc'!G53/C47</f>
        <v>15.258436883910187</v>
      </c>
      <c r="E47" s="219">
        <f>'H) Péréquation directe'!I58/'H) Péréquation directe'!C58</f>
        <v>8.5692477140807028</v>
      </c>
      <c r="F47" s="214">
        <f>'I) Dépenses thématiques'!P47</f>
        <v>-0.61339310738139519</v>
      </c>
      <c r="G47" s="167">
        <f t="shared" si="1"/>
        <v>23.214291490609494</v>
      </c>
      <c r="H47" s="214">
        <f t="shared" si="2"/>
        <v>23.827684597990888</v>
      </c>
      <c r="I47" s="219">
        <f t="shared" si="3"/>
        <v>0</v>
      </c>
      <c r="J47" s="75">
        <f t="shared" si="0"/>
        <v>0</v>
      </c>
    </row>
    <row r="48" spans="1:10" x14ac:dyDescent="0.25">
      <c r="A48" s="61">
        <f>'A) Base RI'!A50</f>
        <v>5479</v>
      </c>
      <c r="B48" s="124" t="str">
        <f>'A) Base RI'!B50</f>
        <v>Cuarnens</v>
      </c>
      <c r="C48" s="135">
        <f>'B) D RI'!U50</f>
        <v>11805.525064935064</v>
      </c>
      <c r="D48" s="219">
        <f>'E) Fact soc'!G54/C48</f>
        <v>15.050713243943292</v>
      </c>
      <c r="E48" s="219">
        <f>'H) Péréquation directe'!I59/'H) Péréquation directe'!C59</f>
        <v>0.1350937185497553</v>
      </c>
      <c r="F48" s="214">
        <f>'I) Dépenses thématiques'!P48</f>
        <v>-15.553110692645777</v>
      </c>
      <c r="G48" s="167">
        <f t="shared" si="1"/>
        <v>-0.3673037301527291</v>
      </c>
      <c r="H48" s="214">
        <f t="shared" si="2"/>
        <v>15.185806962493048</v>
      </c>
      <c r="I48" s="219">
        <f t="shared" si="3"/>
        <v>0</v>
      </c>
      <c r="J48" s="75">
        <f t="shared" si="0"/>
        <v>0</v>
      </c>
    </row>
    <row r="49" spans="1:10" x14ac:dyDescent="0.25">
      <c r="A49" s="61">
        <f>'A) Base RI'!A51</f>
        <v>5480</v>
      </c>
      <c r="B49" s="124" t="str">
        <f>'A) Base RI'!B51</f>
        <v>Daillens</v>
      </c>
      <c r="C49" s="135">
        <f>'B) D RI'!U51</f>
        <v>42113.849718309852</v>
      </c>
      <c r="D49" s="219">
        <f>'E) Fact soc'!G55/C49</f>
        <v>18.539286141179684</v>
      </c>
      <c r="E49" s="219">
        <f>'H) Péréquation directe'!I60/'H) Péréquation directe'!C60</f>
        <v>16.280905932942893</v>
      </c>
      <c r="F49" s="214">
        <f>'I) Dépenses thématiques'!P49</f>
        <v>-4.2534895289600509</v>
      </c>
      <c r="G49" s="167">
        <f t="shared" si="1"/>
        <v>30.566702545162521</v>
      </c>
      <c r="H49" s="214">
        <f t="shared" si="2"/>
        <v>34.820192074122573</v>
      </c>
      <c r="I49" s="219">
        <f t="shared" si="3"/>
        <v>0</v>
      </c>
      <c r="J49" s="75">
        <f t="shared" si="0"/>
        <v>0</v>
      </c>
    </row>
    <row r="50" spans="1:10" x14ac:dyDescent="0.25">
      <c r="A50" s="61">
        <f>'A) Base RI'!A52</f>
        <v>5481</v>
      </c>
      <c r="B50" s="124" t="str">
        <f>'A) Base RI'!B52</f>
        <v>Dizy</v>
      </c>
      <c r="C50" s="135">
        <f>'B) D RI'!U52</f>
        <v>8240.9954054054051</v>
      </c>
      <c r="D50" s="219">
        <f>'E) Fact soc'!G56/C50</f>
        <v>15.808912315725571</v>
      </c>
      <c r="E50" s="219">
        <f>'H) Péréquation directe'!I61/'H) Péréquation directe'!C61</f>
        <v>12.136413511007239</v>
      </c>
      <c r="F50" s="214">
        <f>'I) Dépenses thématiques'!P50</f>
        <v>-1.4734133332761712</v>
      </c>
      <c r="G50" s="167">
        <f t="shared" si="1"/>
        <v>26.471912493456642</v>
      </c>
      <c r="H50" s="214">
        <f t="shared" si="2"/>
        <v>27.945325826732812</v>
      </c>
      <c r="I50" s="219">
        <f t="shared" si="3"/>
        <v>0</v>
      </c>
      <c r="J50" s="75">
        <f t="shared" si="0"/>
        <v>0</v>
      </c>
    </row>
    <row r="51" spans="1:10" x14ac:dyDescent="0.25">
      <c r="A51" s="61">
        <f>'A) Base RI'!A53</f>
        <v>5482</v>
      </c>
      <c r="B51" s="124" t="str">
        <f>'A) Base RI'!B53</f>
        <v>Eclépens</v>
      </c>
      <c r="C51" s="135">
        <f>'B) D RI'!U53</f>
        <v>64551.928043478263</v>
      </c>
      <c r="D51" s="219">
        <f>'E) Fact soc'!G57/C51</f>
        <v>17.717361777854311</v>
      </c>
      <c r="E51" s="219">
        <f>'H) Péréquation directe'!I62/'H) Péréquation directe'!C62</f>
        <v>16.672528701734006</v>
      </c>
      <c r="F51" s="214">
        <f>'I) Dépenses thématiques'!P51</f>
        <v>-0.16785972384664616</v>
      </c>
      <c r="G51" s="167">
        <f t="shared" si="1"/>
        <v>34.22203075574167</v>
      </c>
      <c r="H51" s="214">
        <f t="shared" si="2"/>
        <v>34.389890479588317</v>
      </c>
      <c r="I51" s="219">
        <f t="shared" si="3"/>
        <v>0</v>
      </c>
      <c r="J51" s="75">
        <f t="shared" si="0"/>
        <v>0</v>
      </c>
    </row>
    <row r="52" spans="1:10" x14ac:dyDescent="0.25">
      <c r="A52" s="61">
        <f>'A) Base RI'!A54</f>
        <v>5483</v>
      </c>
      <c r="B52" s="124" t="str">
        <f>'A) Base RI'!B54</f>
        <v>Ferreyres</v>
      </c>
      <c r="C52" s="135">
        <f>'B) D RI'!U54</f>
        <v>9097.5578947368413</v>
      </c>
      <c r="D52" s="219">
        <f>'E) Fact soc'!G58/C52</f>
        <v>15.834898306885679</v>
      </c>
      <c r="E52" s="219">
        <f>'H) Péréquation directe'!I63/'H) Péréquation directe'!C63</f>
        <v>3.5768489520050464</v>
      </c>
      <c r="F52" s="214">
        <f>'I) Dépenses thématiques'!P52</f>
        <v>-1.8765768940520591</v>
      </c>
      <c r="G52" s="167">
        <f t="shared" si="1"/>
        <v>17.535170364838663</v>
      </c>
      <c r="H52" s="214">
        <f t="shared" si="2"/>
        <v>19.411747258890721</v>
      </c>
      <c r="I52" s="219">
        <f t="shared" si="3"/>
        <v>0</v>
      </c>
      <c r="J52" s="75">
        <f t="shared" si="0"/>
        <v>0</v>
      </c>
    </row>
    <row r="53" spans="1:10" x14ac:dyDescent="0.25">
      <c r="A53" s="61">
        <f>'A) Base RI'!A55</f>
        <v>5484</v>
      </c>
      <c r="B53" s="124" t="str">
        <f>'A) Base RI'!B55</f>
        <v>Gollion</v>
      </c>
      <c r="C53" s="135">
        <f>'B) D RI'!U55</f>
        <v>23163.007162162161</v>
      </c>
      <c r="D53" s="219">
        <f>'E) Fact soc'!G59/C53</f>
        <v>19.671580196186454</v>
      </c>
      <c r="E53" s="219">
        <f>'H) Péréquation directe'!I64/'H) Péréquation directe'!C64</f>
        <v>1.4528300141115091</v>
      </c>
      <c r="F53" s="214">
        <f>'I) Dépenses thématiques'!P53</f>
        <v>-6.5072903934280841</v>
      </c>
      <c r="G53" s="167">
        <f t="shared" si="1"/>
        <v>14.617119816869879</v>
      </c>
      <c r="H53" s="214">
        <f t="shared" si="2"/>
        <v>21.124410210297963</v>
      </c>
      <c r="I53" s="219">
        <f t="shared" si="3"/>
        <v>0</v>
      </c>
      <c r="J53" s="75">
        <f t="shared" si="0"/>
        <v>0</v>
      </c>
    </row>
    <row r="54" spans="1:10" x14ac:dyDescent="0.25">
      <c r="A54" s="61">
        <f>'A) Base RI'!A56</f>
        <v>5485</v>
      </c>
      <c r="B54" s="124" t="str">
        <f>'A) Base RI'!B56</f>
        <v>Grancy</v>
      </c>
      <c r="C54" s="135">
        <f>'B) D RI'!U56</f>
        <v>17298.355857142858</v>
      </c>
      <c r="D54" s="219">
        <f>'E) Fact soc'!G60/C54</f>
        <v>16.222859342397562</v>
      </c>
      <c r="E54" s="219">
        <f>'H) Péréquation directe'!I65/'H) Péréquation directe'!C65</f>
        <v>16.224291199792017</v>
      </c>
      <c r="F54" s="214">
        <f>'I) Dépenses thématiques'!P54</f>
        <v>-2.9638174228390133</v>
      </c>
      <c r="G54" s="167">
        <f t="shared" si="1"/>
        <v>29.483333119350561</v>
      </c>
      <c r="H54" s="214">
        <f t="shared" si="2"/>
        <v>32.447150542189576</v>
      </c>
      <c r="I54" s="219">
        <f t="shared" si="3"/>
        <v>0</v>
      </c>
      <c r="J54" s="75">
        <f t="shared" si="0"/>
        <v>0</v>
      </c>
    </row>
    <row r="55" spans="1:10" x14ac:dyDescent="0.25">
      <c r="A55" s="61">
        <f>'A) Base RI'!A57</f>
        <v>5486</v>
      </c>
      <c r="B55" s="124" t="str">
        <f>'A) Base RI'!B57</f>
        <v>L'Isle</v>
      </c>
      <c r="C55" s="135">
        <f>'B) D RI'!U57</f>
        <v>27212.445657894736</v>
      </c>
      <c r="D55" s="219">
        <f>'E) Fact soc'!G61/C55</f>
        <v>24.205620123969915</v>
      </c>
      <c r="E55" s="219">
        <f>'H) Péréquation directe'!I66/'H) Péréquation directe'!C66</f>
        <v>-0.5899038084522229</v>
      </c>
      <c r="F55" s="214">
        <f>'I) Dépenses thématiques'!P55</f>
        <v>-12.618157427613021</v>
      </c>
      <c r="G55" s="167">
        <f t="shared" si="1"/>
        <v>10.99755888790467</v>
      </c>
      <c r="H55" s="214">
        <f t="shared" si="2"/>
        <v>23.615716315517691</v>
      </c>
      <c r="I55" s="219">
        <f t="shared" si="3"/>
        <v>0</v>
      </c>
      <c r="J55" s="75">
        <f t="shared" si="0"/>
        <v>0</v>
      </c>
    </row>
    <row r="56" spans="1:10" x14ac:dyDescent="0.25">
      <c r="A56" s="61">
        <f>'A) Base RI'!A58</f>
        <v>5487</v>
      </c>
      <c r="B56" s="124" t="str">
        <f>'A) Base RI'!B58</f>
        <v>Lussery-Villars</v>
      </c>
      <c r="C56" s="135">
        <f>'B) D RI'!U58</f>
        <v>11872.69955882353</v>
      </c>
      <c r="D56" s="219">
        <f>'E) Fact soc'!G62/C56</f>
        <v>16.350326657165908</v>
      </c>
      <c r="E56" s="219">
        <f>'H) Péréquation directe'!I67/'H) Péréquation directe'!C67</f>
        <v>4.7694436144872752</v>
      </c>
      <c r="F56" s="214">
        <f>'I) Dépenses thématiques'!P56</f>
        <v>-3.857391271360763</v>
      </c>
      <c r="G56" s="167">
        <f t="shared" si="1"/>
        <v>17.26237900029242</v>
      </c>
      <c r="H56" s="214">
        <f t="shared" si="2"/>
        <v>21.119770271653181</v>
      </c>
      <c r="I56" s="219">
        <f t="shared" si="3"/>
        <v>0</v>
      </c>
      <c r="J56" s="75">
        <f t="shared" si="0"/>
        <v>0</v>
      </c>
    </row>
    <row r="57" spans="1:10" x14ac:dyDescent="0.25">
      <c r="A57" s="61">
        <f>'A) Base RI'!A59</f>
        <v>5488</v>
      </c>
      <c r="B57" s="124" t="str">
        <f>'A) Base RI'!B59</f>
        <v>Mauraz</v>
      </c>
      <c r="C57" s="135">
        <f>'B) D RI'!U59</f>
        <v>1417.5255405405405</v>
      </c>
      <c r="D57" s="219">
        <f>'E) Fact soc'!G63/C57</f>
        <v>14.370166215682488</v>
      </c>
      <c r="E57" s="219">
        <f>'H) Péréquation directe'!I68/'H) Péréquation directe'!C68</f>
        <v>4.0041004745765427</v>
      </c>
      <c r="F57" s="214">
        <f>'I) Dépenses thématiques'!P57</f>
        <v>-3.2943172147084288</v>
      </c>
      <c r="G57" s="167">
        <f t="shared" si="1"/>
        <v>15.079949475550603</v>
      </c>
      <c r="H57" s="214">
        <f t="shared" si="2"/>
        <v>18.374266690259031</v>
      </c>
      <c r="I57" s="219">
        <f t="shared" si="3"/>
        <v>0</v>
      </c>
      <c r="J57" s="75">
        <f t="shared" si="0"/>
        <v>0</v>
      </c>
    </row>
    <row r="58" spans="1:10" x14ac:dyDescent="0.25">
      <c r="A58" s="61">
        <f>'A) Base RI'!A60</f>
        <v>5489</v>
      </c>
      <c r="B58" s="124" t="str">
        <f>'A) Base RI'!B60</f>
        <v>Mex</v>
      </c>
      <c r="C58" s="135">
        <f>'B) D RI'!U60</f>
        <v>37121.285573770496</v>
      </c>
      <c r="D58" s="219">
        <f>'E) Fact soc'!G64/C58</f>
        <v>16.252257822158704</v>
      </c>
      <c r="E58" s="219">
        <f>'H) Péréquation directe'!I69/'H) Péréquation directe'!C69</f>
        <v>16.682424907289835</v>
      </c>
      <c r="F58" s="214">
        <f>'I) Dépenses thématiques'!P58</f>
        <v>-0.17766432501595397</v>
      </c>
      <c r="G58" s="167">
        <f t="shared" si="1"/>
        <v>32.757018404432586</v>
      </c>
      <c r="H58" s="214">
        <f t="shared" si="2"/>
        <v>32.934682729448539</v>
      </c>
      <c r="I58" s="219">
        <f t="shared" si="3"/>
        <v>0</v>
      </c>
      <c r="J58" s="75">
        <f t="shared" si="0"/>
        <v>0</v>
      </c>
    </row>
    <row r="59" spans="1:10" x14ac:dyDescent="0.25">
      <c r="A59" s="61">
        <f>'A) Base RI'!A61</f>
        <v>5490</v>
      </c>
      <c r="B59" s="124" t="str">
        <f>'A) Base RI'!B61</f>
        <v>Moiry</v>
      </c>
      <c r="C59" s="135">
        <f>'B) D RI'!U61</f>
        <v>7321.727037037037</v>
      </c>
      <c r="D59" s="219">
        <f>'E) Fact soc'!G65/C59</f>
        <v>17.891678267357403</v>
      </c>
      <c r="E59" s="219">
        <f>'H) Péréquation directe'!I70/'H) Péréquation directe'!C70</f>
        <v>-4.4267854473132138</v>
      </c>
      <c r="F59" s="214">
        <f>'I) Dépenses thématiques'!P59</f>
        <v>-2.410526162099845</v>
      </c>
      <c r="G59" s="167">
        <f t="shared" si="1"/>
        <v>11.054366657944342</v>
      </c>
      <c r="H59" s="214">
        <f t="shared" si="2"/>
        <v>13.464892820044188</v>
      </c>
      <c r="I59" s="219">
        <f t="shared" si="3"/>
        <v>0</v>
      </c>
      <c r="J59" s="75">
        <f t="shared" si="0"/>
        <v>0</v>
      </c>
    </row>
    <row r="60" spans="1:10" x14ac:dyDescent="0.25">
      <c r="A60" s="61">
        <f>'A) Base RI'!A62</f>
        <v>5491</v>
      </c>
      <c r="B60" s="124" t="str">
        <f>'A) Base RI'!B62</f>
        <v>Mont-la-Ville</v>
      </c>
      <c r="C60" s="135">
        <f>'B) D RI'!U62</f>
        <v>8599.6809210526335</v>
      </c>
      <c r="D60" s="219">
        <f>'E) Fact soc'!G66/C60</f>
        <v>18.8607368955157</v>
      </c>
      <c r="E60" s="219">
        <f>'H) Péréquation directe'!I71/'H) Péréquation directe'!C71</f>
        <v>-7.4538885675509432</v>
      </c>
      <c r="F60" s="214">
        <f>'I) Dépenses thématiques'!P60</f>
        <v>-12.828994139173622</v>
      </c>
      <c r="G60" s="167">
        <f t="shared" si="1"/>
        <v>-1.4221458112088659</v>
      </c>
      <c r="H60" s="214">
        <f t="shared" si="2"/>
        <v>11.406848327964756</v>
      </c>
      <c r="I60" s="219">
        <f t="shared" si="3"/>
        <v>0</v>
      </c>
      <c r="J60" s="75">
        <f t="shared" si="0"/>
        <v>0</v>
      </c>
    </row>
    <row r="61" spans="1:10" x14ac:dyDescent="0.25">
      <c r="A61" s="61">
        <f>'A) Base RI'!A63</f>
        <v>5492</v>
      </c>
      <c r="B61" s="124" t="str">
        <f>'A) Base RI'!B63</f>
        <v>Montricher</v>
      </c>
      <c r="C61" s="135">
        <f>'B) D RI'!U63</f>
        <v>187025.79406249998</v>
      </c>
      <c r="D61" s="219">
        <f>'E) Fact soc'!G67/C61</f>
        <v>34.815277870551938</v>
      </c>
      <c r="E61" s="219">
        <f>'H) Péréquation directe'!I72/'H) Péréquation directe'!C72</f>
        <v>17.635347236838292</v>
      </c>
      <c r="F61" s="214">
        <f>'I) Dépenses thématiques'!P61</f>
        <v>-2.2564112374604135</v>
      </c>
      <c r="G61" s="167">
        <f t="shared" si="1"/>
        <v>50.194213869929818</v>
      </c>
      <c r="H61" s="214">
        <f t="shared" si="2"/>
        <v>52.450625107390231</v>
      </c>
      <c r="I61" s="219">
        <f t="shared" si="3"/>
        <v>0</v>
      </c>
      <c r="J61" s="75">
        <f t="shared" ref="J61:J115" si="4">-I61*C61</f>
        <v>0</v>
      </c>
    </row>
    <row r="62" spans="1:10" x14ac:dyDescent="0.25">
      <c r="A62" s="61">
        <f>'A) Base RI'!A64</f>
        <v>5493</v>
      </c>
      <c r="B62" s="124" t="str">
        <f>'A) Base RI'!B64</f>
        <v>Orny</v>
      </c>
      <c r="C62" s="135">
        <f>'B) D RI'!U64</f>
        <v>10614.324773445733</v>
      </c>
      <c r="D62" s="219">
        <f>'E) Fact soc'!G68/C62</f>
        <v>16.905799953528152</v>
      </c>
      <c r="E62" s="219">
        <f>'H) Péréquation directe'!I73/'H) Péréquation directe'!C73</f>
        <v>3.5206376469754326</v>
      </c>
      <c r="F62" s="214">
        <f>'I) Dépenses thématiques'!P62</f>
        <v>-4.9483249630809967</v>
      </c>
      <c r="G62" s="167">
        <f t="shared" ref="G62:G116" si="5">SUM(D62:F62)</f>
        <v>15.478112637422591</v>
      </c>
      <c r="H62" s="214">
        <f t="shared" ref="H62:H116" si="6">G62-F62</f>
        <v>20.426437600503586</v>
      </c>
      <c r="I62" s="219">
        <f t="shared" ref="I62:I116" si="7">IF(H62&lt;I$4,H62-I$4,0)</f>
        <v>0</v>
      </c>
      <c r="J62" s="75">
        <f t="shared" si="4"/>
        <v>0</v>
      </c>
    </row>
    <row r="63" spans="1:10" x14ac:dyDescent="0.25">
      <c r="A63" s="61">
        <f>'A) Base RI'!A65</f>
        <v>5494</v>
      </c>
      <c r="B63" s="124" t="str">
        <f>'A) Base RI'!B65</f>
        <v>Pampigny</v>
      </c>
      <c r="C63" s="135">
        <f>'B) D RI'!U65</f>
        <v>33982.091568253971</v>
      </c>
      <c r="D63" s="219">
        <f>'E) Fact soc'!G69/C63</f>
        <v>16.872314732033178</v>
      </c>
      <c r="E63" s="219">
        <f>'H) Péréquation directe'!I74/'H) Péréquation directe'!C74</f>
        <v>4.4030887075083021</v>
      </c>
      <c r="F63" s="214">
        <f>'I) Dépenses thématiques'!P63</f>
        <v>-9.0787935720525912</v>
      </c>
      <c r="G63" s="167">
        <f t="shared" si="5"/>
        <v>12.19660986748889</v>
      </c>
      <c r="H63" s="214">
        <f t="shared" si="6"/>
        <v>21.275403439541481</v>
      </c>
      <c r="I63" s="219">
        <f t="shared" si="7"/>
        <v>0</v>
      </c>
      <c r="J63" s="75">
        <f t="shared" si="4"/>
        <v>0</v>
      </c>
    </row>
    <row r="64" spans="1:10" x14ac:dyDescent="0.25">
      <c r="A64" s="61">
        <f>'A) Base RI'!A66</f>
        <v>5495</v>
      </c>
      <c r="B64" s="124" t="str">
        <f>'A) Base RI'!B66</f>
        <v>Penthalaz</v>
      </c>
      <c r="C64" s="135">
        <f>'B) D RI'!U66</f>
        <v>96162.321351351362</v>
      </c>
      <c r="D64" s="219">
        <f>'E) Fact soc'!G70/C64</f>
        <v>16.733032583787349</v>
      </c>
      <c r="E64" s="219">
        <f>'H) Péréquation directe'!I75/'H) Péréquation directe'!C75</f>
        <v>-1.229070142765023</v>
      </c>
      <c r="F64" s="214">
        <f>'I) Dépenses thématiques'!P64</f>
        <v>-4.1200226104265036</v>
      </c>
      <c r="G64" s="167">
        <f t="shared" si="5"/>
        <v>11.383939830595821</v>
      </c>
      <c r="H64" s="214">
        <f t="shared" si="6"/>
        <v>15.503962441022324</v>
      </c>
      <c r="I64" s="219">
        <f t="shared" si="7"/>
        <v>0</v>
      </c>
      <c r="J64" s="75">
        <f t="shared" si="4"/>
        <v>0</v>
      </c>
    </row>
    <row r="65" spans="1:10" x14ac:dyDescent="0.25">
      <c r="A65" s="61">
        <f>'A) Base RI'!A67</f>
        <v>5496</v>
      </c>
      <c r="B65" s="124" t="str">
        <f>'A) Base RI'!B67</f>
        <v>Penthaz</v>
      </c>
      <c r="C65" s="135">
        <f>'B) D RI'!U67</f>
        <v>56906.521408450702</v>
      </c>
      <c r="D65" s="219">
        <f>'E) Fact soc'!G71/C65</f>
        <v>16.241592677258211</v>
      </c>
      <c r="E65" s="219">
        <f>'H) Péréquation directe'!I76/'H) Péréquation directe'!C76</f>
        <v>7.4183021073563049</v>
      </c>
      <c r="F65" s="214">
        <f>'I) Dépenses thématiques'!P65</f>
        <v>-3.0930742049476367</v>
      </c>
      <c r="G65" s="167">
        <f t="shared" si="5"/>
        <v>20.566820579666878</v>
      </c>
      <c r="H65" s="214">
        <f t="shared" si="6"/>
        <v>23.659894784614515</v>
      </c>
      <c r="I65" s="219">
        <f t="shared" si="7"/>
        <v>0</v>
      </c>
      <c r="J65" s="75">
        <f t="shared" si="4"/>
        <v>0</v>
      </c>
    </row>
    <row r="66" spans="1:10" x14ac:dyDescent="0.25">
      <c r="A66" s="61">
        <f>'A) Base RI'!A68</f>
        <v>5497</v>
      </c>
      <c r="B66" s="124" t="str">
        <f>'A) Base RI'!B68</f>
        <v>Pompaples</v>
      </c>
      <c r="C66" s="135">
        <f>'B) D RI'!U68</f>
        <v>22227.212272727276</v>
      </c>
      <c r="D66" s="219">
        <f>'E) Fact soc'!G72/C66</f>
        <v>19.527954947500511</v>
      </c>
      <c r="E66" s="219">
        <f>'H) Péréquation directe'!I77/'H) Péréquation directe'!C77</f>
        <v>3.7413363321428994</v>
      </c>
      <c r="F66" s="214">
        <f>'I) Dépenses thématiques'!P66</f>
        <v>-7.6381178220393533</v>
      </c>
      <c r="G66" s="167">
        <f t="shared" si="5"/>
        <v>15.631173457604058</v>
      </c>
      <c r="H66" s="214">
        <f t="shared" si="6"/>
        <v>23.269291279643411</v>
      </c>
      <c r="I66" s="219">
        <f t="shared" si="7"/>
        <v>0</v>
      </c>
      <c r="J66" s="75">
        <f t="shared" si="4"/>
        <v>0</v>
      </c>
    </row>
    <row r="67" spans="1:10" x14ac:dyDescent="0.25">
      <c r="A67" s="61">
        <f>'A) Base RI'!A69</f>
        <v>5498</v>
      </c>
      <c r="B67" s="124" t="str">
        <f>'A) Base RI'!B69</f>
        <v>La Sarraz</v>
      </c>
      <c r="C67" s="135">
        <f>'B) D RI'!U69</f>
        <v>72104.13</v>
      </c>
      <c r="D67" s="219">
        <f>'E) Fact soc'!G73/C67</f>
        <v>16.323869907828833</v>
      </c>
      <c r="E67" s="219">
        <f>'H) Péréquation directe'!I78/'H) Péréquation directe'!C78</f>
        <v>0.69392347310148972</v>
      </c>
      <c r="F67" s="214">
        <f>'I) Dépenses thématiques'!P67</f>
        <v>-7.254059545663738</v>
      </c>
      <c r="G67" s="167">
        <f t="shared" si="5"/>
        <v>9.7637338352665832</v>
      </c>
      <c r="H67" s="214">
        <f t="shared" si="6"/>
        <v>17.017793380930321</v>
      </c>
      <c r="I67" s="219">
        <f t="shared" si="7"/>
        <v>0</v>
      </c>
      <c r="J67" s="75">
        <f t="shared" si="4"/>
        <v>0</v>
      </c>
    </row>
    <row r="68" spans="1:10" x14ac:dyDescent="0.25">
      <c r="A68" s="61">
        <f>'A) Base RI'!A70</f>
        <v>5499</v>
      </c>
      <c r="B68" s="124" t="str">
        <f>'A) Base RI'!B70</f>
        <v>Senarclens</v>
      </c>
      <c r="C68" s="135">
        <f>'B) D RI'!U70</f>
        <v>21697.695620437953</v>
      </c>
      <c r="D68" s="219">
        <f>'E) Fact soc'!G74/C68</f>
        <v>17.135748609762953</v>
      </c>
      <c r="E68" s="219">
        <f>'H) Péréquation directe'!I79/'H) Péréquation directe'!C79</f>
        <v>16.432844913193801</v>
      </c>
      <c r="F68" s="214">
        <f>'I) Dépenses thématiques'!P68</f>
        <v>0</v>
      </c>
      <c r="G68" s="167">
        <f t="shared" si="5"/>
        <v>33.568593522956753</v>
      </c>
      <c r="H68" s="214">
        <f t="shared" si="6"/>
        <v>33.568593522956753</v>
      </c>
      <c r="I68" s="219">
        <f t="shared" si="7"/>
        <v>0</v>
      </c>
      <c r="J68" s="75">
        <f t="shared" si="4"/>
        <v>0</v>
      </c>
    </row>
    <row r="69" spans="1:10" x14ac:dyDescent="0.25">
      <c r="A69" s="61">
        <f>'A) Base RI'!A71</f>
        <v>5500</v>
      </c>
      <c r="B69" s="124" t="str">
        <f>'A) Base RI'!B71</f>
        <v>Sévery</v>
      </c>
      <c r="C69" s="135">
        <f>'B) D RI'!U71</f>
        <v>6767.1525657894736</v>
      </c>
      <c r="D69" s="219">
        <f>'E) Fact soc'!G75/C69</f>
        <v>17.472448866458048</v>
      </c>
      <c r="E69" s="219">
        <f>'H) Péréquation directe'!I80/'H) Péréquation directe'!C80</f>
        <v>3.8735128730070763</v>
      </c>
      <c r="F69" s="214">
        <f>'I) Dépenses thématiques'!P69</f>
        <v>-3.9918610170361593</v>
      </c>
      <c r="G69" s="167">
        <f t="shared" si="5"/>
        <v>17.354100722428967</v>
      </c>
      <c r="H69" s="214">
        <f t="shared" si="6"/>
        <v>21.345961739465125</v>
      </c>
      <c r="I69" s="219">
        <f t="shared" si="7"/>
        <v>0</v>
      </c>
      <c r="J69" s="75">
        <f t="shared" si="4"/>
        <v>0</v>
      </c>
    </row>
    <row r="70" spans="1:10" x14ac:dyDescent="0.25">
      <c r="A70" s="61">
        <f>'A) Base RI'!A72</f>
        <v>5501</v>
      </c>
      <c r="B70" s="124" t="str">
        <f>'A) Base RI'!B72</f>
        <v>Sullens</v>
      </c>
      <c r="C70" s="135">
        <f>'B) D RI'!U72</f>
        <v>35887.851857142865</v>
      </c>
      <c r="D70" s="219">
        <f>'E) Fact soc'!G76/C70</f>
        <v>17.38570669525177</v>
      </c>
      <c r="E70" s="219">
        <f>'H) Péréquation directe'!I81/'H) Péréquation directe'!C81</f>
        <v>13.515148810264332</v>
      </c>
      <c r="F70" s="214">
        <f>'I) Dépenses thématiques'!P70</f>
        <v>-0.31089250048269412</v>
      </c>
      <c r="G70" s="167">
        <f t="shared" si="5"/>
        <v>30.589963005033407</v>
      </c>
      <c r="H70" s="214">
        <f t="shared" si="6"/>
        <v>30.900855505516102</v>
      </c>
      <c r="I70" s="219">
        <f t="shared" si="7"/>
        <v>0</v>
      </c>
      <c r="J70" s="75">
        <f t="shared" si="4"/>
        <v>0</v>
      </c>
    </row>
    <row r="71" spans="1:10" x14ac:dyDescent="0.25">
      <c r="A71" s="61">
        <f>'A) Base RI'!A73</f>
        <v>5503</v>
      </c>
      <c r="B71" s="124" t="str">
        <f>'A) Base RI'!B73</f>
        <v>Vufflens-la-Ville</v>
      </c>
      <c r="C71" s="135">
        <f>'B) D RI'!U73</f>
        <v>61379.446318407958</v>
      </c>
      <c r="D71" s="219">
        <f>'E) Fact soc'!G77/C71</f>
        <v>19.53997327705434</v>
      </c>
      <c r="E71" s="219">
        <f>'H) Péréquation directe'!I82/'H) Péréquation directe'!C82</f>
        <v>15.658384647394874</v>
      </c>
      <c r="F71" s="214">
        <f>'I) Dépenses thématiques'!P71</f>
        <v>0</v>
      </c>
      <c r="G71" s="167">
        <f t="shared" si="5"/>
        <v>35.198357924449212</v>
      </c>
      <c r="H71" s="214">
        <f t="shared" si="6"/>
        <v>35.198357924449212</v>
      </c>
      <c r="I71" s="219">
        <f t="shared" si="7"/>
        <v>0</v>
      </c>
      <c r="J71" s="75">
        <f t="shared" si="4"/>
        <v>0</v>
      </c>
    </row>
    <row r="72" spans="1:10" x14ac:dyDescent="0.25">
      <c r="A72" s="61">
        <f>'A) Base RI'!A74</f>
        <v>5511</v>
      </c>
      <c r="B72" s="124" t="str">
        <f>'A) Base RI'!B74</f>
        <v>Assens</v>
      </c>
      <c r="C72" s="135">
        <f>'B) D RI'!U74</f>
        <v>41422.612571428566</v>
      </c>
      <c r="D72" s="219">
        <f>'E) Fact soc'!G78/C72</f>
        <v>16.217678848258107</v>
      </c>
      <c r="E72" s="219">
        <f>'H) Péréquation directe'!I83/'H) Péréquation directe'!C83</f>
        <v>14.170066395857122</v>
      </c>
      <c r="F72" s="214">
        <f>'I) Dépenses thématiques'!P72</f>
        <v>-4.2254073093343907</v>
      </c>
      <c r="G72" s="167">
        <f t="shared" si="5"/>
        <v>26.16233793478084</v>
      </c>
      <c r="H72" s="214">
        <f t="shared" si="6"/>
        <v>30.38774524411523</v>
      </c>
      <c r="I72" s="219">
        <f t="shared" si="7"/>
        <v>0</v>
      </c>
      <c r="J72" s="75">
        <f t="shared" si="4"/>
        <v>0</v>
      </c>
    </row>
    <row r="73" spans="1:10" x14ac:dyDescent="0.25">
      <c r="A73" s="61">
        <f>'A) Base RI'!A75</f>
        <v>5512</v>
      </c>
      <c r="B73" s="124" t="str">
        <f>'A) Base RI'!B75</f>
        <v>Bercher</v>
      </c>
      <c r="C73" s="135">
        <f>'B) D RI'!U75</f>
        <v>32079.191772151898</v>
      </c>
      <c r="D73" s="219">
        <f>'E) Fact soc'!G79/C73</f>
        <v>16.849140454336304</v>
      </c>
      <c r="E73" s="219">
        <f>'H) Péréquation directe'!I84/'H) Péréquation directe'!C84</f>
        <v>-0.1245356301962891</v>
      </c>
      <c r="F73" s="214">
        <f>'I) Dépenses thématiques'!P73</f>
        <v>-4.8113668920157631</v>
      </c>
      <c r="G73" s="167">
        <f t="shared" si="5"/>
        <v>11.913237932124254</v>
      </c>
      <c r="H73" s="214">
        <f t="shared" si="6"/>
        <v>16.724604824140016</v>
      </c>
      <c r="I73" s="219">
        <f t="shared" si="7"/>
        <v>0</v>
      </c>
      <c r="J73" s="75">
        <f t="shared" si="4"/>
        <v>0</v>
      </c>
    </row>
    <row r="74" spans="1:10" x14ac:dyDescent="0.25">
      <c r="A74" s="61">
        <f>'A) Base RI'!A76</f>
        <v>5513</v>
      </c>
      <c r="B74" s="124" t="str">
        <f>'A) Base RI'!B76</f>
        <v>Bioley-Orjulaz</v>
      </c>
      <c r="C74" s="135">
        <f>'B) D RI'!U76</f>
        <v>24024.471515151512</v>
      </c>
      <c r="D74" s="219">
        <f>'E) Fact soc'!G80/C74</f>
        <v>17.466356696005356</v>
      </c>
      <c r="E74" s="219">
        <f>'H) Péréquation directe'!I85/'H) Péréquation directe'!C85</f>
        <v>16.549717938803148</v>
      </c>
      <c r="F74" s="214">
        <f>'I) Dépenses thématiques'!P74</f>
        <v>-1.056535252783213</v>
      </c>
      <c r="G74" s="167">
        <f t="shared" si="5"/>
        <v>32.959539382025291</v>
      </c>
      <c r="H74" s="214">
        <f t="shared" si="6"/>
        <v>34.016074634808504</v>
      </c>
      <c r="I74" s="219">
        <f t="shared" si="7"/>
        <v>0</v>
      </c>
      <c r="J74" s="75">
        <f t="shared" si="4"/>
        <v>0</v>
      </c>
    </row>
    <row r="75" spans="1:10" x14ac:dyDescent="0.25">
      <c r="A75" s="61">
        <f>'A) Base RI'!A77</f>
        <v>5514</v>
      </c>
      <c r="B75" s="124" t="str">
        <f>'A) Base RI'!B77</f>
        <v>Bottens</v>
      </c>
      <c r="C75" s="135">
        <f>'B) D RI'!U77</f>
        <v>38346.680434782604</v>
      </c>
      <c r="D75" s="219">
        <f>'E) Fact soc'!G81/C75</f>
        <v>18.304272200594848</v>
      </c>
      <c r="E75" s="219">
        <f>'H) Péréquation directe'!I86/'H) Péréquation directe'!C86</f>
        <v>6.575410759614944</v>
      </c>
      <c r="F75" s="214">
        <f>'I) Dépenses thématiques'!P75</f>
        <v>-0.87771642871389177</v>
      </c>
      <c r="G75" s="167">
        <f t="shared" si="5"/>
        <v>24.001966531495899</v>
      </c>
      <c r="H75" s="214">
        <f t="shared" si="6"/>
        <v>24.879682960209792</v>
      </c>
      <c r="I75" s="219">
        <f t="shared" si="7"/>
        <v>0</v>
      </c>
      <c r="J75" s="75">
        <f t="shared" si="4"/>
        <v>0</v>
      </c>
    </row>
    <row r="76" spans="1:10" x14ac:dyDescent="0.25">
      <c r="A76" s="61">
        <f>'A) Base RI'!A78</f>
        <v>5515</v>
      </c>
      <c r="B76" s="124" t="str">
        <f>'A) Base RI'!B78</f>
        <v>Bretigny-sur-Morrens</v>
      </c>
      <c r="C76" s="135">
        <f>'B) D RI'!U78</f>
        <v>24345.34643835617</v>
      </c>
      <c r="D76" s="219">
        <f>'E) Fact soc'!G82/C76</f>
        <v>17.068218189036749</v>
      </c>
      <c r="E76" s="219">
        <f>'H) Péréquation directe'!I87/'H) Péréquation directe'!C87</f>
        <v>6.1746935023559271</v>
      </c>
      <c r="F76" s="214">
        <f>'I) Dépenses thématiques'!P76</f>
        <v>-3.2852357504819296</v>
      </c>
      <c r="G76" s="167">
        <f t="shared" si="5"/>
        <v>19.957675940910747</v>
      </c>
      <c r="H76" s="214">
        <f t="shared" si="6"/>
        <v>23.242911691392678</v>
      </c>
      <c r="I76" s="219">
        <f t="shared" si="7"/>
        <v>0</v>
      </c>
      <c r="J76" s="75">
        <f t="shared" si="4"/>
        <v>0</v>
      </c>
    </row>
    <row r="77" spans="1:10" x14ac:dyDescent="0.25">
      <c r="A77" s="61">
        <f>'A) Base RI'!A79</f>
        <v>5516</v>
      </c>
      <c r="B77" s="124" t="str">
        <f>'A) Base RI'!B79</f>
        <v>Cugy</v>
      </c>
      <c r="C77" s="135">
        <f>'B) D RI'!U79</f>
        <v>104935.17701492537</v>
      </c>
      <c r="D77" s="219">
        <f>'E) Fact soc'!G83/C77</f>
        <v>17.438963773952171</v>
      </c>
      <c r="E77" s="219">
        <f>'H) Péréquation directe'!I88/'H) Péréquation directe'!C88</f>
        <v>9.1582917951125289</v>
      </c>
      <c r="F77" s="214">
        <f>'I) Dépenses thématiques'!P77</f>
        <v>-2.1297140481310093</v>
      </c>
      <c r="G77" s="167">
        <f t="shared" si="5"/>
        <v>24.46754152093369</v>
      </c>
      <c r="H77" s="214">
        <f t="shared" si="6"/>
        <v>26.5972555690647</v>
      </c>
      <c r="I77" s="219">
        <f t="shared" si="7"/>
        <v>0</v>
      </c>
      <c r="J77" s="75">
        <f t="shared" si="4"/>
        <v>0</v>
      </c>
    </row>
    <row r="78" spans="1:10" x14ac:dyDescent="0.25">
      <c r="A78" s="61">
        <f>'A) Base RI'!A80</f>
        <v>5518</v>
      </c>
      <c r="B78" s="124" t="str">
        <f>'A) Base RI'!B80</f>
        <v>Echallens</v>
      </c>
      <c r="C78" s="135">
        <f>'B) D RI'!U80</f>
        <v>181423.1631081081</v>
      </c>
      <c r="D78" s="219">
        <f>'E) Fact soc'!G84/C78</f>
        <v>16.282132990251956</v>
      </c>
      <c r="E78" s="219">
        <f>'H) Péréquation directe'!I89/'H) Péréquation directe'!C89</f>
        <v>-0.89472248294086243</v>
      </c>
      <c r="F78" s="214">
        <f>'I) Dépenses thématiques'!P78</f>
        <v>-4.4917086379953544</v>
      </c>
      <c r="G78" s="167">
        <f t="shared" si="5"/>
        <v>10.89570186931574</v>
      </c>
      <c r="H78" s="214">
        <f t="shared" si="6"/>
        <v>15.387410507311095</v>
      </c>
      <c r="I78" s="219">
        <f t="shared" si="7"/>
        <v>0</v>
      </c>
      <c r="J78" s="75">
        <f t="shared" si="4"/>
        <v>0</v>
      </c>
    </row>
    <row r="79" spans="1:10" x14ac:dyDescent="0.25">
      <c r="A79" s="61">
        <f>'A) Base RI'!A81</f>
        <v>5520</v>
      </c>
      <c r="B79" s="124" t="str">
        <f>'A) Base RI'!B81</f>
        <v>Essertines-sur-Yverdon</v>
      </c>
      <c r="C79" s="135">
        <f>'B) D RI'!U81</f>
        <v>28021.579589041095</v>
      </c>
      <c r="D79" s="219">
        <f>'E) Fact soc'!G85/C79</f>
        <v>15.956631027872659</v>
      </c>
      <c r="E79" s="219">
        <f>'H) Péréquation directe'!I90/'H) Péréquation directe'!C90</f>
        <v>5.1644602697452537</v>
      </c>
      <c r="F79" s="214">
        <f>'I) Dépenses thématiques'!P79</f>
        <v>-4.1122116015341463</v>
      </c>
      <c r="G79" s="167">
        <f t="shared" si="5"/>
        <v>17.008879696083767</v>
      </c>
      <c r="H79" s="214">
        <f t="shared" si="6"/>
        <v>21.121091297617912</v>
      </c>
      <c r="I79" s="219">
        <f t="shared" si="7"/>
        <v>0</v>
      </c>
      <c r="J79" s="75">
        <f t="shared" si="4"/>
        <v>0</v>
      </c>
    </row>
    <row r="80" spans="1:10" x14ac:dyDescent="0.25">
      <c r="A80" s="61">
        <f>'A) Base RI'!A82</f>
        <v>5521</v>
      </c>
      <c r="B80" s="124" t="str">
        <f>'A) Base RI'!B82</f>
        <v>Etagnières</v>
      </c>
      <c r="C80" s="135">
        <f>'B) D RI'!U82</f>
        <v>42327.784109589047</v>
      </c>
      <c r="D80" s="219">
        <f>'E) Fact soc'!G86/C80</f>
        <v>15.347512676647549</v>
      </c>
      <c r="E80" s="219">
        <f>'H) Péréquation directe'!I91/'H) Péréquation directe'!C91</f>
        <v>11.118687823654847</v>
      </c>
      <c r="F80" s="214">
        <f>'I) Dépenses thématiques'!P80</f>
        <v>0</v>
      </c>
      <c r="G80" s="167">
        <f t="shared" si="5"/>
        <v>26.466200500302396</v>
      </c>
      <c r="H80" s="214">
        <f t="shared" si="6"/>
        <v>26.466200500302396</v>
      </c>
      <c r="I80" s="219">
        <f t="shared" si="7"/>
        <v>0</v>
      </c>
      <c r="J80" s="75">
        <f t="shared" si="4"/>
        <v>0</v>
      </c>
    </row>
    <row r="81" spans="1:10" x14ac:dyDescent="0.25">
      <c r="A81" s="61">
        <f>'A) Base RI'!A83</f>
        <v>5522</v>
      </c>
      <c r="B81" s="124" t="str">
        <f>'A) Base RI'!B83</f>
        <v>Fey</v>
      </c>
      <c r="C81" s="135">
        <f>'B) D RI'!U83</f>
        <v>18218.5124</v>
      </c>
      <c r="D81" s="219">
        <f>'E) Fact soc'!G87/C81</f>
        <v>16.382121099551053</v>
      </c>
      <c r="E81" s="219">
        <f>'H) Péréquation directe'!I92/'H) Péréquation directe'!C92</f>
        <v>3.3940598406983513</v>
      </c>
      <c r="F81" s="214">
        <f>'I) Dépenses thématiques'!P81</f>
        <v>-6.6769605220197334</v>
      </c>
      <c r="G81" s="167">
        <f t="shared" si="5"/>
        <v>13.09922041822967</v>
      </c>
      <c r="H81" s="214">
        <f t="shared" si="6"/>
        <v>19.776180940249404</v>
      </c>
      <c r="I81" s="219">
        <f t="shared" si="7"/>
        <v>0</v>
      </c>
      <c r="J81" s="75">
        <f t="shared" si="4"/>
        <v>0</v>
      </c>
    </row>
    <row r="82" spans="1:10" x14ac:dyDescent="0.25">
      <c r="A82" s="61">
        <f>'A) Base RI'!A84</f>
        <v>5523</v>
      </c>
      <c r="B82" s="124" t="str">
        <f>'A) Base RI'!B84</f>
        <v>Froideville</v>
      </c>
      <c r="C82" s="135">
        <f>'B) D RI'!U84</f>
        <v>77819.657763157898</v>
      </c>
      <c r="D82" s="219">
        <f>'E) Fact soc'!G88/C82</f>
        <v>17.737949916269212</v>
      </c>
      <c r="E82" s="219">
        <f>'H) Péréquation directe'!I93/'H) Péréquation directe'!C93</f>
        <v>2.6688235610924833</v>
      </c>
      <c r="F82" s="214">
        <f>'I) Dépenses thématiques'!P82</f>
        <v>-2.4865948488943914</v>
      </c>
      <c r="G82" s="167">
        <f t="shared" si="5"/>
        <v>17.920178628467305</v>
      </c>
      <c r="H82" s="214">
        <f t="shared" si="6"/>
        <v>20.406773477361696</v>
      </c>
      <c r="I82" s="219">
        <f t="shared" si="7"/>
        <v>0</v>
      </c>
      <c r="J82" s="75">
        <f t="shared" si="4"/>
        <v>0</v>
      </c>
    </row>
    <row r="83" spans="1:10" x14ac:dyDescent="0.25">
      <c r="A83" s="61">
        <f>'A) Base RI'!A85</f>
        <v>5527</v>
      </c>
      <c r="B83" s="124" t="str">
        <f>'A) Base RI'!B85</f>
        <v>Morrens</v>
      </c>
      <c r="C83" s="135">
        <f>'B) D RI'!U85</f>
        <v>36998.677183098589</v>
      </c>
      <c r="D83" s="219">
        <f>'E) Fact soc'!G89/C83</f>
        <v>17.818786807401551</v>
      </c>
      <c r="E83" s="219">
        <f>'H) Péréquation directe'!I94/'H) Péréquation directe'!C94</f>
        <v>10.409434085075032</v>
      </c>
      <c r="F83" s="214">
        <f>'I) Dépenses thématiques'!P83</f>
        <v>-0.35756056302662476</v>
      </c>
      <c r="G83" s="167">
        <f t="shared" si="5"/>
        <v>27.870660329449962</v>
      </c>
      <c r="H83" s="214">
        <f t="shared" si="6"/>
        <v>28.228220892476585</v>
      </c>
      <c r="I83" s="219">
        <f t="shared" si="7"/>
        <v>0</v>
      </c>
      <c r="J83" s="75">
        <f t="shared" si="4"/>
        <v>0</v>
      </c>
    </row>
    <row r="84" spans="1:10" x14ac:dyDescent="0.25">
      <c r="A84" s="61">
        <f>'A) Base RI'!A86</f>
        <v>5529</v>
      </c>
      <c r="B84" s="124" t="str">
        <f>'A) Base RI'!B86</f>
        <v>Oulens-sous-Echallens</v>
      </c>
      <c r="C84" s="135">
        <f>'B) D RI'!U86</f>
        <v>16830.940140845072</v>
      </c>
      <c r="D84" s="219">
        <f>'E) Fact soc'!G90/C84</f>
        <v>19.333163784504325</v>
      </c>
      <c r="E84" s="219">
        <f>'H) Péréquation directe'!I95/'H) Péréquation directe'!C95</f>
        <v>7.7644012382163901</v>
      </c>
      <c r="F84" s="214">
        <f>'I) Dépenses thématiques'!P84</f>
        <v>-7.2360631666463799</v>
      </c>
      <c r="G84" s="167">
        <f t="shared" si="5"/>
        <v>19.861501856074334</v>
      </c>
      <c r="H84" s="214">
        <f t="shared" si="6"/>
        <v>27.097565022720715</v>
      </c>
      <c r="I84" s="219">
        <f t="shared" si="7"/>
        <v>0</v>
      </c>
      <c r="J84" s="75">
        <f t="shared" si="4"/>
        <v>0</v>
      </c>
    </row>
    <row r="85" spans="1:10" x14ac:dyDescent="0.25">
      <c r="A85" s="61">
        <f>'A) Base RI'!A87</f>
        <v>5530</v>
      </c>
      <c r="B85" s="124" t="str">
        <f>'A) Base RI'!B87</f>
        <v>Pailly</v>
      </c>
      <c r="C85" s="135">
        <f>'B) D RI'!U87</f>
        <v>15988.116172043008</v>
      </c>
      <c r="D85" s="219">
        <f>'E) Fact soc'!G91/C85</f>
        <v>15.933596811946783</v>
      </c>
      <c r="E85" s="219">
        <f>'H) Péréquation directe'!I96/'H) Péréquation directe'!C96</f>
        <v>4.3365733714027765</v>
      </c>
      <c r="F85" s="214">
        <f>'I) Dépenses thématiques'!P85</f>
        <v>-18.341053687936139</v>
      </c>
      <c r="G85" s="167">
        <f t="shared" si="5"/>
        <v>1.929116495413421</v>
      </c>
      <c r="H85" s="214">
        <f t="shared" si="6"/>
        <v>20.27017018334956</v>
      </c>
      <c r="I85" s="219">
        <f t="shared" si="7"/>
        <v>0</v>
      </c>
      <c r="J85" s="75">
        <f t="shared" si="4"/>
        <v>0</v>
      </c>
    </row>
    <row r="86" spans="1:10" x14ac:dyDescent="0.25">
      <c r="A86" s="61">
        <f>'A) Base RI'!A88</f>
        <v>5531</v>
      </c>
      <c r="B86" s="124" t="str">
        <f>'A) Base RI'!B88</f>
        <v>Penthéréaz</v>
      </c>
      <c r="C86" s="135">
        <f>'B) D RI'!U88</f>
        <v>11628.696923076923</v>
      </c>
      <c r="D86" s="219">
        <f>'E) Fact soc'!G92/C86</f>
        <v>17.339880726984966</v>
      </c>
      <c r="E86" s="219">
        <f>'H) Péréquation directe'!I97/'H) Péréquation directe'!C97</f>
        <v>4.063884343103469</v>
      </c>
      <c r="F86" s="214">
        <f>'I) Dépenses thématiques'!P86</f>
        <v>-3.8576920024931507</v>
      </c>
      <c r="G86" s="167">
        <f t="shared" si="5"/>
        <v>17.54607306759528</v>
      </c>
      <c r="H86" s="214">
        <f t="shared" si="6"/>
        <v>21.403765070088433</v>
      </c>
      <c r="I86" s="219">
        <f t="shared" si="7"/>
        <v>0</v>
      </c>
      <c r="J86" s="75">
        <f t="shared" si="4"/>
        <v>0</v>
      </c>
    </row>
    <row r="87" spans="1:10" x14ac:dyDescent="0.25">
      <c r="A87" s="61">
        <f>'A) Base RI'!A89</f>
        <v>5533</v>
      </c>
      <c r="B87" s="124" t="str">
        <f>'A) Base RI'!B89</f>
        <v>Poliez-Pittet</v>
      </c>
      <c r="C87" s="135">
        <f>'B) D RI'!U89</f>
        <v>21286.915727699528</v>
      </c>
      <c r="D87" s="219">
        <f>'E) Fact soc'!G93/C87</f>
        <v>16.280558990295816</v>
      </c>
      <c r="E87" s="219">
        <f>'H) Péréquation directe'!I98/'H) Péréquation directe'!C98</f>
        <v>1.2612409198670147</v>
      </c>
      <c r="F87" s="214">
        <f>'I) Dépenses thématiques'!P87</f>
        <v>-5.259927913808391</v>
      </c>
      <c r="G87" s="167">
        <f t="shared" si="5"/>
        <v>12.28187199635444</v>
      </c>
      <c r="H87" s="214">
        <f t="shared" si="6"/>
        <v>17.54179991016283</v>
      </c>
      <c r="I87" s="219">
        <f t="shared" si="7"/>
        <v>0</v>
      </c>
      <c r="J87" s="75">
        <f t="shared" si="4"/>
        <v>0</v>
      </c>
    </row>
    <row r="88" spans="1:10" x14ac:dyDescent="0.25">
      <c r="A88" s="61">
        <f>'A) Base RI'!A90</f>
        <v>5534</v>
      </c>
      <c r="B88" s="124" t="str">
        <f>'A) Base RI'!B90</f>
        <v>Rueyres</v>
      </c>
      <c r="C88" s="135">
        <f>'B) D RI'!U90</f>
        <v>8123.1504109589041</v>
      </c>
      <c r="D88" s="219">
        <f>'E) Fact soc'!G94/C88</f>
        <v>20.7601599218156</v>
      </c>
      <c r="E88" s="219">
        <f>'H) Péréquation directe'!I99/'H) Péréquation directe'!C99</f>
        <v>6.291869422611776</v>
      </c>
      <c r="F88" s="214">
        <f>'I) Dépenses thématiques'!P88</f>
        <v>-3.4542766347314959</v>
      </c>
      <c r="G88" s="167">
        <f t="shared" si="5"/>
        <v>23.597752709695879</v>
      </c>
      <c r="H88" s="214">
        <f t="shared" si="6"/>
        <v>27.052029344427375</v>
      </c>
      <c r="I88" s="219">
        <f t="shared" si="7"/>
        <v>0</v>
      </c>
      <c r="J88" s="75">
        <f t="shared" si="4"/>
        <v>0</v>
      </c>
    </row>
    <row r="89" spans="1:10" x14ac:dyDescent="0.25">
      <c r="A89" s="61">
        <f>'A) Base RI'!A91</f>
        <v>5535</v>
      </c>
      <c r="B89" s="124" t="str">
        <f>'A) Base RI'!B91</f>
        <v>Saint-Barthélemy</v>
      </c>
      <c r="C89" s="135">
        <f>'B) D RI'!U91</f>
        <v>21652.779733333333</v>
      </c>
      <c r="D89" s="219">
        <f>'E) Fact soc'!G95/C89</f>
        <v>15.044183832807773</v>
      </c>
      <c r="E89" s="219">
        <f>'H) Péréquation directe'!I100/'H) Péréquation directe'!C100</f>
        <v>2.0384859421028385</v>
      </c>
      <c r="F89" s="214">
        <f>'I) Dépenses thématiques'!P89</f>
        <v>-2.3294060417794875</v>
      </c>
      <c r="G89" s="167">
        <f t="shared" si="5"/>
        <v>14.753263733131126</v>
      </c>
      <c r="H89" s="214">
        <f t="shared" si="6"/>
        <v>17.082669774910613</v>
      </c>
      <c r="I89" s="219">
        <f t="shared" si="7"/>
        <v>0</v>
      </c>
      <c r="J89" s="75">
        <f t="shared" si="4"/>
        <v>0</v>
      </c>
    </row>
    <row r="90" spans="1:10" x14ac:dyDescent="0.25">
      <c r="A90" s="61">
        <f>'A) Base RI'!A92</f>
        <v>5537</v>
      </c>
      <c r="B90" s="124" t="str">
        <f>'A) Base RI'!B92</f>
        <v>Villars-le-Terroir</v>
      </c>
      <c r="C90" s="135">
        <f>'B) D RI'!U92</f>
        <v>28181.728767123288</v>
      </c>
      <c r="D90" s="219">
        <f>'E) Fact soc'!G96/C90</f>
        <v>16.381714210783947</v>
      </c>
      <c r="E90" s="219">
        <f>'H) Péréquation directe'!I101/'H) Péréquation directe'!C101</f>
        <v>1.8739528473934304</v>
      </c>
      <c r="F90" s="214">
        <f>'I) Dépenses thématiques'!P90</f>
        <v>-0.3647833887199759</v>
      </c>
      <c r="G90" s="167">
        <f t="shared" si="5"/>
        <v>17.890883669457402</v>
      </c>
      <c r="H90" s="214">
        <f t="shared" si="6"/>
        <v>18.255667058177377</v>
      </c>
      <c r="I90" s="219">
        <f t="shared" si="7"/>
        <v>0</v>
      </c>
      <c r="J90" s="75">
        <f t="shared" si="4"/>
        <v>0</v>
      </c>
    </row>
    <row r="91" spans="1:10" x14ac:dyDescent="0.25">
      <c r="A91" s="61">
        <f>'A) Base RI'!A93</f>
        <v>5539</v>
      </c>
      <c r="B91" s="124" t="str">
        <f>'A) Base RI'!B93</f>
        <v>Vuarrens</v>
      </c>
      <c r="C91" s="135">
        <f>'B) D RI'!U93</f>
        <v>22756.172933333331</v>
      </c>
      <c r="D91" s="219">
        <f>'E) Fact soc'!G97/C91</f>
        <v>16.849647504794621</v>
      </c>
      <c r="E91" s="219">
        <f>'H) Péréquation directe'!I102/'H) Péréquation directe'!C102</f>
        <v>-3.3075837351632944</v>
      </c>
      <c r="F91" s="214">
        <f>'I) Dépenses thématiques'!P91</f>
        <v>-4.1096736522246724</v>
      </c>
      <c r="G91" s="167">
        <f t="shared" si="5"/>
        <v>9.4323901174066549</v>
      </c>
      <c r="H91" s="214">
        <f t="shared" si="6"/>
        <v>13.542063769631326</v>
      </c>
      <c r="I91" s="219">
        <f t="shared" si="7"/>
        <v>0</v>
      </c>
      <c r="J91" s="75">
        <f t="shared" si="4"/>
        <v>0</v>
      </c>
    </row>
    <row r="92" spans="1:10" x14ac:dyDescent="0.25">
      <c r="A92" s="61">
        <f>'A) Base RI'!A94</f>
        <v>5540</v>
      </c>
      <c r="B92" s="124" t="str">
        <f>'A) Base RI'!B94</f>
        <v>Montilliez</v>
      </c>
      <c r="C92" s="135">
        <f>'B) D RI'!U94</f>
        <v>47199.265101351346</v>
      </c>
      <c r="D92" s="219">
        <f>'E) Fact soc'!G98/C92</f>
        <v>16.575968462315753</v>
      </c>
      <c r="E92" s="219">
        <f>'H) Péréquation directe'!I103/'H) Péréquation directe'!C103</f>
        <v>2.0867615157559895E-2</v>
      </c>
      <c r="F92" s="214">
        <f>'I) Dépenses thématiques'!P92</f>
        <v>-23.308282044008347</v>
      </c>
      <c r="G92" s="167">
        <f>SUM(D92:F92)</f>
        <v>-6.7114459665350346</v>
      </c>
      <c r="H92" s="214">
        <f>G92-F92</f>
        <v>16.596836077473313</v>
      </c>
      <c r="I92" s="219">
        <f t="shared" si="7"/>
        <v>0</v>
      </c>
      <c r="J92" s="75">
        <f>-I92*C92</f>
        <v>0</v>
      </c>
    </row>
    <row r="93" spans="1:10" x14ac:dyDescent="0.25">
      <c r="A93" s="61">
        <f>'A) Base RI'!A95</f>
        <v>5541</v>
      </c>
      <c r="B93" s="124" t="str">
        <f>'A) Base RI'!B95</f>
        <v>Goumoëns</v>
      </c>
      <c r="C93" s="135">
        <f>'B) D RI'!U95</f>
        <v>35607.690389610398</v>
      </c>
      <c r="D93" s="219">
        <f>'E) Fact soc'!G99/C93</f>
        <v>16.182706267952533</v>
      </c>
      <c r="E93" s="219">
        <f>'H) Péréquation directe'!I104/'H) Péréquation directe'!C104</f>
        <v>8.2771949441753261</v>
      </c>
      <c r="F93" s="214">
        <f>'I) Dépenses thématiques'!P93</f>
        <v>-0.8878993057266501</v>
      </c>
      <c r="G93" s="167">
        <f>SUM(D93:F93)</f>
        <v>23.572001906401212</v>
      </c>
      <c r="H93" s="214">
        <f>G93-F93</f>
        <v>24.459901212127861</v>
      </c>
      <c r="I93" s="219">
        <f t="shared" si="7"/>
        <v>0</v>
      </c>
      <c r="J93" s="75">
        <f>-I93*C93</f>
        <v>0</v>
      </c>
    </row>
    <row r="94" spans="1:10" x14ac:dyDescent="0.25">
      <c r="A94" s="61">
        <f>'A) Base RI'!A96</f>
        <v>5551</v>
      </c>
      <c r="B94" s="124" t="str">
        <f>'A) Base RI'!B96</f>
        <v>Bonvillars</v>
      </c>
      <c r="C94" s="135">
        <f>'B) D RI'!U96</f>
        <v>15988.430935064936</v>
      </c>
      <c r="D94" s="219">
        <f>'E) Fact soc'!G100/C94</f>
        <v>15.677504320646765</v>
      </c>
      <c r="E94" s="219">
        <f>'H) Péréquation directe'!I105/'H) Péréquation directe'!C105</f>
        <v>10.77801532845692</v>
      </c>
      <c r="F94" s="214">
        <f>'I) Dépenses thématiques'!P94</f>
        <v>-8.8924285218154573</v>
      </c>
      <c r="G94" s="167">
        <f t="shared" si="5"/>
        <v>17.563091127288228</v>
      </c>
      <c r="H94" s="214">
        <f t="shared" si="6"/>
        <v>26.455519649103685</v>
      </c>
      <c r="I94" s="219">
        <f t="shared" si="7"/>
        <v>0</v>
      </c>
      <c r="J94" s="75">
        <f t="shared" si="4"/>
        <v>0</v>
      </c>
    </row>
    <row r="95" spans="1:10" x14ac:dyDescent="0.25">
      <c r="A95" s="61">
        <f>'A) Base RI'!A97</f>
        <v>5552</v>
      </c>
      <c r="B95" s="124" t="str">
        <f>'A) Base RI'!B97</f>
        <v>Bullet</v>
      </c>
      <c r="C95" s="135">
        <f>'B) D RI'!U97</f>
        <v>15525.607571428574</v>
      </c>
      <c r="D95" s="219">
        <f>'E) Fact soc'!G101/C95</f>
        <v>21.765169243537304</v>
      </c>
      <c r="E95" s="219">
        <f>'H) Péréquation directe'!I106/'H) Péréquation directe'!C106</f>
        <v>0.9290584688367205</v>
      </c>
      <c r="F95" s="214">
        <f>'I) Dépenses thématiques'!P95</f>
        <v>-11.671681906664698</v>
      </c>
      <c r="G95" s="167">
        <f t="shared" si="5"/>
        <v>11.022545805709328</v>
      </c>
      <c r="H95" s="214">
        <f t="shared" si="6"/>
        <v>22.694227712374026</v>
      </c>
      <c r="I95" s="219">
        <f t="shared" si="7"/>
        <v>0</v>
      </c>
      <c r="J95" s="75">
        <f t="shared" si="4"/>
        <v>0</v>
      </c>
    </row>
    <row r="96" spans="1:10" x14ac:dyDescent="0.25">
      <c r="A96" s="61">
        <f>'A) Base RI'!A98</f>
        <v>5553</v>
      </c>
      <c r="B96" s="124" t="str">
        <f>'A) Base RI'!B98</f>
        <v>Champagne</v>
      </c>
      <c r="C96" s="135">
        <f>'B) D RI'!U98</f>
        <v>55334.370317460314</v>
      </c>
      <c r="D96" s="219">
        <f>'E) Fact soc'!G102/C96</f>
        <v>17.101849148601019</v>
      </c>
      <c r="E96" s="219">
        <f>'H) Péréquation directe'!I107/'H) Péréquation directe'!C107</f>
        <v>16.400927206246948</v>
      </c>
      <c r="F96" s="214">
        <f>'I) Dépenses thématiques'!P96</f>
        <v>-2.6001397536912889</v>
      </c>
      <c r="G96" s="167">
        <f t="shared" si="5"/>
        <v>30.902636601156679</v>
      </c>
      <c r="H96" s="214">
        <f t="shared" si="6"/>
        <v>33.502776354847967</v>
      </c>
      <c r="I96" s="219">
        <f t="shared" si="7"/>
        <v>0</v>
      </c>
      <c r="J96" s="75">
        <f t="shared" si="4"/>
        <v>0</v>
      </c>
    </row>
    <row r="97" spans="1:10" x14ac:dyDescent="0.25">
      <c r="A97" s="61">
        <f>'A) Base RI'!A99</f>
        <v>5554</v>
      </c>
      <c r="B97" s="124" t="str">
        <f>'A) Base RI'!B99</f>
        <v>Concise</v>
      </c>
      <c r="C97" s="135">
        <f>'B) D RI'!U99</f>
        <v>29691.100933333331</v>
      </c>
      <c r="D97" s="219">
        <f>'E) Fact soc'!G103/C97</f>
        <v>19.131123053133454</v>
      </c>
      <c r="E97" s="219">
        <f>'H) Péréquation directe'!I108/'H) Péréquation directe'!C108</f>
        <v>6.3226293650476153</v>
      </c>
      <c r="F97" s="214">
        <f>'I) Dépenses thématiques'!P97</f>
        <v>-3.5485818620605385</v>
      </c>
      <c r="G97" s="167">
        <f t="shared" si="5"/>
        <v>21.905170556120531</v>
      </c>
      <c r="H97" s="214">
        <f t="shared" si="6"/>
        <v>25.453752418181068</v>
      </c>
      <c r="I97" s="219">
        <f t="shared" si="7"/>
        <v>0</v>
      </c>
      <c r="J97" s="75">
        <f t="shared" si="4"/>
        <v>0</v>
      </c>
    </row>
    <row r="98" spans="1:10" x14ac:dyDescent="0.25">
      <c r="A98" s="61">
        <f>'A) Base RI'!A100</f>
        <v>5555</v>
      </c>
      <c r="B98" s="124" t="str">
        <f>'A) Base RI'!B100</f>
        <v>Corcelles-près-Concise</v>
      </c>
      <c r="C98" s="135">
        <f>'B) D RI'!U100</f>
        <v>9762.6867605633779</v>
      </c>
      <c r="D98" s="219">
        <f>'E) Fact soc'!G104/C98</f>
        <v>18.117587995902422</v>
      </c>
      <c r="E98" s="219">
        <f>'H) Péréquation directe'!I109/'H) Péréquation directe'!C109</f>
        <v>4.9298661450182086</v>
      </c>
      <c r="F98" s="214">
        <f>'I) Dépenses thématiques'!P98</f>
        <v>-11.072471110638114</v>
      </c>
      <c r="G98" s="167">
        <f t="shared" si="5"/>
        <v>11.974983030282518</v>
      </c>
      <c r="H98" s="214">
        <f t="shared" si="6"/>
        <v>23.047454140920632</v>
      </c>
      <c r="I98" s="219">
        <f t="shared" si="7"/>
        <v>0</v>
      </c>
      <c r="J98" s="75">
        <f t="shared" si="4"/>
        <v>0</v>
      </c>
    </row>
    <row r="99" spans="1:10" x14ac:dyDescent="0.25">
      <c r="A99" s="61">
        <f>'A) Base RI'!A101</f>
        <v>5556</v>
      </c>
      <c r="B99" s="124" t="str">
        <f>'A) Base RI'!B101</f>
        <v>Fiez</v>
      </c>
      <c r="C99" s="135">
        <f>'B) D RI'!U101</f>
        <v>10799.932053140095</v>
      </c>
      <c r="D99" s="219">
        <f>'E) Fact soc'!G105/C99</f>
        <v>16.583347269266095</v>
      </c>
      <c r="E99" s="219">
        <f>'H) Péréquation directe'!I110/'H) Péréquation directe'!C110</f>
        <v>1.3644011686338759</v>
      </c>
      <c r="F99" s="214">
        <f>'I) Dépenses thématiques'!P99</f>
        <v>-5.3993142717939477</v>
      </c>
      <c r="G99" s="167">
        <f t="shared" si="5"/>
        <v>12.548434166106023</v>
      </c>
      <c r="H99" s="214">
        <f t="shared" si="6"/>
        <v>17.947748437899971</v>
      </c>
      <c r="I99" s="219">
        <f t="shared" si="7"/>
        <v>0</v>
      </c>
      <c r="J99" s="75">
        <f t="shared" si="4"/>
        <v>0</v>
      </c>
    </row>
    <row r="100" spans="1:10" x14ac:dyDescent="0.25">
      <c r="A100" s="61">
        <f>'A) Base RI'!A102</f>
        <v>5557</v>
      </c>
      <c r="B100" s="124" t="str">
        <f>'A) Base RI'!B102</f>
        <v>Fontaines-sur-Grandson</v>
      </c>
      <c r="C100" s="135">
        <f>'B) D RI'!U102</f>
        <v>4200.6523188405799</v>
      </c>
      <c r="D100" s="219">
        <f>'E) Fact soc'!G106/C100</f>
        <v>16.439346033544453</v>
      </c>
      <c r="E100" s="219">
        <f>'H) Péréquation directe'!I111/'H) Péréquation directe'!C111</f>
        <v>-4.6379389639792983</v>
      </c>
      <c r="F100" s="214">
        <f>'I) Dépenses thématiques'!P100</f>
        <v>-6.0388405454178127</v>
      </c>
      <c r="G100" s="167">
        <f t="shared" si="5"/>
        <v>5.7625665241473421</v>
      </c>
      <c r="H100" s="214">
        <f t="shared" si="6"/>
        <v>11.801407069565155</v>
      </c>
      <c r="I100" s="219">
        <f t="shared" si="7"/>
        <v>0</v>
      </c>
      <c r="J100" s="75">
        <f t="shared" si="4"/>
        <v>0</v>
      </c>
    </row>
    <row r="101" spans="1:10" x14ac:dyDescent="0.25">
      <c r="A101" s="61">
        <f>'A) Base RI'!A103</f>
        <v>5559</v>
      </c>
      <c r="B101" s="124" t="str">
        <f>'A) Base RI'!B103</f>
        <v>Giez</v>
      </c>
      <c r="C101" s="135">
        <f>'B) D RI'!U103</f>
        <v>17998.483636363639</v>
      </c>
      <c r="D101" s="219">
        <f>'E) Fact soc'!G107/C101</f>
        <v>14.893369458258681</v>
      </c>
      <c r="E101" s="219">
        <f>'H) Péréquation directe'!I112/'H) Péréquation directe'!C112</f>
        <v>16.35094577948886</v>
      </c>
      <c r="F101" s="214">
        <f>'I) Dépenses thématiques'!P101</f>
        <v>0</v>
      </c>
      <c r="G101" s="167">
        <f t="shared" si="5"/>
        <v>31.244315237747543</v>
      </c>
      <c r="H101" s="214">
        <f t="shared" si="6"/>
        <v>31.244315237747543</v>
      </c>
      <c r="I101" s="219">
        <f t="shared" si="7"/>
        <v>0</v>
      </c>
      <c r="J101" s="75">
        <f t="shared" si="4"/>
        <v>0</v>
      </c>
    </row>
    <row r="102" spans="1:10" x14ac:dyDescent="0.25">
      <c r="A102" s="61">
        <f>'A) Base RI'!A104</f>
        <v>5560</v>
      </c>
      <c r="B102" s="124" t="str">
        <f>'A) Base RI'!B104</f>
        <v>Grandevent</v>
      </c>
      <c r="C102" s="135">
        <f>'B) D RI'!U104</f>
        <v>6396.1444117647052</v>
      </c>
      <c r="D102" s="219">
        <f>'E) Fact soc'!G108/C102</f>
        <v>16.810718522676623</v>
      </c>
      <c r="E102" s="219">
        <f>'H) Péréquation directe'!I113/'H) Péréquation directe'!C113</f>
        <v>4.1889995835037546</v>
      </c>
      <c r="F102" s="214">
        <f>'I) Dépenses thématiques'!P102</f>
        <v>-1.9994345653512973</v>
      </c>
      <c r="G102" s="167">
        <f t="shared" si="5"/>
        <v>19.000283540829081</v>
      </c>
      <c r="H102" s="214">
        <f t="shared" si="6"/>
        <v>20.999718106180378</v>
      </c>
      <c r="I102" s="219">
        <f t="shared" si="7"/>
        <v>0</v>
      </c>
      <c r="J102" s="75">
        <f t="shared" si="4"/>
        <v>0</v>
      </c>
    </row>
    <row r="103" spans="1:10" x14ac:dyDescent="0.25">
      <c r="A103" s="61">
        <f>'A) Base RI'!A105</f>
        <v>5561</v>
      </c>
      <c r="B103" s="124" t="str">
        <f>'A) Base RI'!B105</f>
        <v>Grandson</v>
      </c>
      <c r="C103" s="135">
        <f>'B) D RI'!U105</f>
        <v>106507.86840579711</v>
      </c>
      <c r="D103" s="219">
        <f>'E) Fact soc'!G109/C103</f>
        <v>18.588482258664584</v>
      </c>
      <c r="E103" s="219">
        <f>'H) Péréquation directe'!I114/'H) Péréquation directe'!C114</f>
        <v>2.9646678531911728</v>
      </c>
      <c r="F103" s="214">
        <f>'I) Dépenses thématiques'!P103</f>
        <v>-6.8007093128148917</v>
      </c>
      <c r="G103" s="167">
        <f t="shared" si="5"/>
        <v>14.752440799040865</v>
      </c>
      <c r="H103" s="214">
        <f t="shared" si="6"/>
        <v>21.553150111855757</v>
      </c>
      <c r="I103" s="219">
        <f t="shared" si="7"/>
        <v>0</v>
      </c>
      <c r="J103" s="75">
        <f t="shared" si="4"/>
        <v>0</v>
      </c>
    </row>
    <row r="104" spans="1:10" x14ac:dyDescent="0.25">
      <c r="A104" s="61">
        <f>'A) Base RI'!A106</f>
        <v>5562</v>
      </c>
      <c r="B104" s="124" t="str">
        <f>'A) Base RI'!B106</f>
        <v>Mauborget</v>
      </c>
      <c r="C104" s="135">
        <f>'B) D RI'!U106</f>
        <v>3916.9319285714282</v>
      </c>
      <c r="D104" s="219">
        <f>'E) Fact soc'!G110/C104</f>
        <v>15.596061913530697</v>
      </c>
      <c r="E104" s="219">
        <f>'H) Péréquation directe'!I115/'H) Péréquation directe'!C115</f>
        <v>9.1422572651324874</v>
      </c>
      <c r="F104" s="214">
        <f>'I) Dépenses thématiques'!P104</f>
        <v>-3.6990765305339068</v>
      </c>
      <c r="G104" s="167">
        <f t="shared" si="5"/>
        <v>21.039242648129274</v>
      </c>
      <c r="H104" s="214">
        <f t="shared" si="6"/>
        <v>24.738319178663183</v>
      </c>
      <c r="I104" s="219">
        <f t="shared" si="7"/>
        <v>0</v>
      </c>
      <c r="J104" s="75">
        <f t="shared" si="4"/>
        <v>0</v>
      </c>
    </row>
    <row r="105" spans="1:10" x14ac:dyDescent="0.25">
      <c r="A105" s="61">
        <f>'A) Base RI'!A107</f>
        <v>5563</v>
      </c>
      <c r="B105" s="124" t="str">
        <f>'A) Base RI'!B107</f>
        <v>Mutrux</v>
      </c>
      <c r="C105" s="135">
        <f>'B) D RI'!U107</f>
        <v>4102.2142675159239</v>
      </c>
      <c r="D105" s="219">
        <f>'E) Fact soc'!G111/C105</f>
        <v>15.902472816479907</v>
      </c>
      <c r="E105" s="219">
        <f>'H) Péréquation directe'!I116/'H) Péréquation directe'!C116</f>
        <v>-0.57183471741775072</v>
      </c>
      <c r="F105" s="214">
        <f>'I) Dépenses thématiques'!P105</f>
        <v>-4.7600129847541375</v>
      </c>
      <c r="G105" s="167">
        <f t="shared" si="5"/>
        <v>10.570625114308019</v>
      </c>
      <c r="H105" s="214">
        <f t="shared" si="6"/>
        <v>15.330638099062156</v>
      </c>
      <c r="I105" s="219">
        <f t="shared" si="7"/>
        <v>0</v>
      </c>
      <c r="J105" s="75">
        <f t="shared" si="4"/>
        <v>0</v>
      </c>
    </row>
    <row r="106" spans="1:10" x14ac:dyDescent="0.25">
      <c r="A106" s="61">
        <f>'A) Base RI'!A108</f>
        <v>5564</v>
      </c>
      <c r="B106" s="124" t="str">
        <f>'A) Base RI'!B108</f>
        <v>Novalles</v>
      </c>
      <c r="C106" s="135">
        <f>'B) D RI'!U108</f>
        <v>2120.1975328947365</v>
      </c>
      <c r="D106" s="219">
        <f>'E) Fact soc'!G112/C106</f>
        <v>14.370166215682488</v>
      </c>
      <c r="E106" s="219">
        <f>'H) Péréquation directe'!I117/'H) Péréquation directe'!C117</f>
        <v>-11.516283148697028</v>
      </c>
      <c r="F106" s="214">
        <f>'I) Dépenses thématiques'!P106</f>
        <v>-3.131139839633585</v>
      </c>
      <c r="G106" s="167">
        <f t="shared" si="5"/>
        <v>-0.27725677264812454</v>
      </c>
      <c r="H106" s="214">
        <f t="shared" si="6"/>
        <v>2.8538830669854605</v>
      </c>
      <c r="I106" s="219">
        <f t="shared" si="7"/>
        <v>0</v>
      </c>
      <c r="J106" s="75">
        <f t="shared" si="4"/>
        <v>0</v>
      </c>
    </row>
    <row r="107" spans="1:10" x14ac:dyDescent="0.25">
      <c r="A107" s="61">
        <f>'A) Base RI'!A109</f>
        <v>5565</v>
      </c>
      <c r="B107" s="124" t="str">
        <f>'A) Base RI'!B109</f>
        <v>Onnens</v>
      </c>
      <c r="C107" s="135">
        <f>'B) D RI'!U109</f>
        <v>22453.434769230771</v>
      </c>
      <c r="D107" s="219">
        <f>'E) Fact soc'!G113/C107</f>
        <v>16.250687634074218</v>
      </c>
      <c r="E107" s="219">
        <f>'H) Péréquation directe'!I118/'H) Péréquation directe'!C118</f>
        <v>16.316929493170576</v>
      </c>
      <c r="F107" s="214">
        <f>'I) Dépenses thématiques'!P107</f>
        <v>-0.42891562450853188</v>
      </c>
      <c r="G107" s="167">
        <f t="shared" si="5"/>
        <v>32.138701502736261</v>
      </c>
      <c r="H107" s="214">
        <f t="shared" si="6"/>
        <v>32.567617127244795</v>
      </c>
      <c r="I107" s="219">
        <f t="shared" si="7"/>
        <v>0</v>
      </c>
      <c r="J107" s="75">
        <f t="shared" si="4"/>
        <v>0</v>
      </c>
    </row>
    <row r="108" spans="1:10" x14ac:dyDescent="0.25">
      <c r="A108" s="61">
        <f>'A) Base RI'!A110</f>
        <v>5566</v>
      </c>
      <c r="B108" s="124" t="str">
        <f>'A) Base RI'!B110</f>
        <v>Provence</v>
      </c>
      <c r="C108" s="135">
        <f>'B) D RI'!U110</f>
        <v>7814.1319753086409</v>
      </c>
      <c r="D108" s="219">
        <f>'E) Fact soc'!G114/C108</f>
        <v>16.978575577644275</v>
      </c>
      <c r="E108" s="219">
        <f>'H) Péréquation directe'!I119/'H) Péréquation directe'!C119</f>
        <v>-16.384006521305576</v>
      </c>
      <c r="F108" s="214">
        <f>'I) Dépenses thématiques'!P108</f>
        <v>-25.098358488331783</v>
      </c>
      <c r="G108" s="167">
        <f t="shared" si="5"/>
        <v>-24.503789431993084</v>
      </c>
      <c r="H108" s="214">
        <f t="shared" si="6"/>
        <v>0.59456905633869894</v>
      </c>
      <c r="I108" s="219">
        <f t="shared" si="7"/>
        <v>0</v>
      </c>
      <c r="J108" s="75">
        <f t="shared" si="4"/>
        <v>0</v>
      </c>
    </row>
    <row r="109" spans="1:10" x14ac:dyDescent="0.25">
      <c r="A109" s="61">
        <f>'A) Base RI'!A111</f>
        <v>5568</v>
      </c>
      <c r="B109" s="124" t="str">
        <f>'A) Base RI'!B111</f>
        <v>Sainte-Croix</v>
      </c>
      <c r="C109" s="135">
        <f>'B) D RI'!U111</f>
        <v>93435.029714285716</v>
      </c>
      <c r="D109" s="219">
        <f>'E) Fact soc'!G115/C109</f>
        <v>24.230837987472302</v>
      </c>
      <c r="E109" s="219">
        <f>'H) Péréquation directe'!I120/'H) Péréquation directe'!C120</f>
        <v>-23.179339321309172</v>
      </c>
      <c r="F109" s="214">
        <f>'I) Dépenses thématiques'!P109</f>
        <v>-12.114166496058921</v>
      </c>
      <c r="G109" s="167">
        <f t="shared" si="5"/>
        <v>-11.062667829895791</v>
      </c>
      <c r="H109" s="214">
        <f t="shared" si="6"/>
        <v>1.0514986661631305</v>
      </c>
      <c r="I109" s="219">
        <f t="shared" si="7"/>
        <v>0</v>
      </c>
      <c r="J109" s="75">
        <f t="shared" si="4"/>
        <v>0</v>
      </c>
    </row>
    <row r="110" spans="1:10" x14ac:dyDescent="0.25">
      <c r="A110" s="61">
        <f>'A) Base RI'!A112</f>
        <v>5571</v>
      </c>
      <c r="B110" s="124" t="str">
        <f>'A) Base RI'!B112</f>
        <v>Tévenon</v>
      </c>
      <c r="C110" s="135">
        <f>'B) D RI'!U112</f>
        <v>20766.182465753427</v>
      </c>
      <c r="D110" s="219">
        <f>'E) Fact soc'!G116/C110</f>
        <v>17.555308940354209</v>
      </c>
      <c r="E110" s="219">
        <f>'H) Péréquation directe'!I121/'H) Péréquation directe'!C121</f>
        <v>-0.29227466153267367</v>
      </c>
      <c r="F110" s="214">
        <f>'I) Dépenses thématiques'!P110</f>
        <v>-2.8957806776598507</v>
      </c>
      <c r="G110" s="167">
        <f t="shared" si="5"/>
        <v>14.367253601161686</v>
      </c>
      <c r="H110" s="214">
        <f t="shared" si="6"/>
        <v>17.263034278821536</v>
      </c>
      <c r="I110" s="219">
        <f t="shared" si="7"/>
        <v>0</v>
      </c>
      <c r="J110" s="75">
        <f t="shared" si="4"/>
        <v>0</v>
      </c>
    </row>
    <row r="111" spans="1:10" x14ac:dyDescent="0.25">
      <c r="A111" s="61">
        <f>'A) Base RI'!A113</f>
        <v>5581</v>
      </c>
      <c r="B111" s="124" t="str">
        <f>'A) Base RI'!B113</f>
        <v>Belmont-sur-Lausanne</v>
      </c>
      <c r="C111" s="135">
        <f>'B) D RI'!U113</f>
        <v>173034.35179856114</v>
      </c>
      <c r="D111" s="219">
        <f>'E) Fact soc'!G117/C111</f>
        <v>16.710488936522523</v>
      </c>
      <c r="E111" s="219">
        <f>'H) Péréquation directe'!I122/'H) Péréquation directe'!C122</f>
        <v>12.191610234529163</v>
      </c>
      <c r="F111" s="214">
        <f>'I) Dépenses thématiques'!P111</f>
        <v>-3.607512513798008</v>
      </c>
      <c r="G111" s="167">
        <f t="shared" si="5"/>
        <v>25.294586657253681</v>
      </c>
      <c r="H111" s="214">
        <f t="shared" si="6"/>
        <v>28.902099171051688</v>
      </c>
      <c r="I111" s="219">
        <f t="shared" si="7"/>
        <v>0</v>
      </c>
      <c r="J111" s="75">
        <f t="shared" si="4"/>
        <v>0</v>
      </c>
    </row>
    <row r="112" spans="1:10" x14ac:dyDescent="0.25">
      <c r="A112" s="61">
        <f>'A) Base RI'!A114</f>
        <v>5582</v>
      </c>
      <c r="B112" s="124" t="str">
        <f>'A) Base RI'!B114</f>
        <v>Cheseaux-sur-Lausanne</v>
      </c>
      <c r="C112" s="135">
        <f>'B) D RI'!U114</f>
        <v>165346.44872483221</v>
      </c>
      <c r="D112" s="219">
        <f>'E) Fact soc'!G118/C112</f>
        <v>17.76672437783947</v>
      </c>
      <c r="E112" s="219">
        <f>'H) Péréquation directe'!I123/'H) Péréquation directe'!C123</f>
        <v>6.8675052732821795</v>
      </c>
      <c r="F112" s="214">
        <f>'I) Dépenses thématiques'!P112</f>
        <v>-1.2982763865934455</v>
      </c>
      <c r="G112" s="167">
        <f t="shared" si="5"/>
        <v>23.335953264528204</v>
      </c>
      <c r="H112" s="214">
        <f t="shared" si="6"/>
        <v>24.63422965112165</v>
      </c>
      <c r="I112" s="219">
        <f t="shared" si="7"/>
        <v>0</v>
      </c>
      <c r="J112" s="75">
        <f t="shared" si="4"/>
        <v>0</v>
      </c>
    </row>
    <row r="113" spans="1:10" x14ac:dyDescent="0.25">
      <c r="A113" s="61">
        <f>'A) Base RI'!A115</f>
        <v>5583</v>
      </c>
      <c r="B113" s="124" t="str">
        <f>'A) Base RI'!B115</f>
        <v>Crissier</v>
      </c>
      <c r="C113" s="135">
        <f>'B) D RI'!U115</f>
        <v>323925.7196923077</v>
      </c>
      <c r="D113" s="219">
        <f>'E) Fact soc'!G119/C113</f>
        <v>17.924755339058429</v>
      </c>
      <c r="E113" s="219">
        <f>'H) Péréquation directe'!I124/'H) Péréquation directe'!C124</f>
        <v>8.0654413609477658</v>
      </c>
      <c r="F113" s="214">
        <f>'I) Dépenses thématiques'!P113</f>
        <v>-5.6240526855895689</v>
      </c>
      <c r="G113" s="167">
        <f t="shared" si="5"/>
        <v>20.366144014416626</v>
      </c>
      <c r="H113" s="214">
        <f t="shared" si="6"/>
        <v>25.990196700006194</v>
      </c>
      <c r="I113" s="219">
        <f t="shared" si="7"/>
        <v>0</v>
      </c>
      <c r="J113" s="75">
        <f t="shared" si="4"/>
        <v>0</v>
      </c>
    </row>
    <row r="114" spans="1:10" x14ac:dyDescent="0.25">
      <c r="A114" s="61">
        <f>'A) Base RI'!A116</f>
        <v>5584</v>
      </c>
      <c r="B114" s="124" t="str">
        <f>'A) Base RI'!B116</f>
        <v>Epalinges</v>
      </c>
      <c r="C114" s="135">
        <f>'B) D RI'!U116</f>
        <v>455923.60696969699</v>
      </c>
      <c r="D114" s="219">
        <f>'E) Fact soc'!G120/C114</f>
        <v>18.034021266098918</v>
      </c>
      <c r="E114" s="219">
        <f>'H) Péréquation directe'!I125/'H) Péréquation directe'!C125</f>
        <v>9.0296683161962381</v>
      </c>
      <c r="F114" s="214">
        <f>'I) Dépenses thématiques'!P114</f>
        <v>-5.7351526023243871</v>
      </c>
      <c r="G114" s="167">
        <f t="shared" si="5"/>
        <v>21.328536979970767</v>
      </c>
      <c r="H114" s="214">
        <f t="shared" si="6"/>
        <v>27.063689582295154</v>
      </c>
      <c r="I114" s="219">
        <f t="shared" si="7"/>
        <v>0</v>
      </c>
      <c r="J114" s="75">
        <f t="shared" si="4"/>
        <v>0</v>
      </c>
    </row>
    <row r="115" spans="1:10" x14ac:dyDescent="0.25">
      <c r="A115" s="61">
        <f>'A) Base RI'!A117</f>
        <v>5585</v>
      </c>
      <c r="B115" s="124" t="str">
        <f>'A) Base RI'!B117</f>
        <v>Jouxtens-Mézery</v>
      </c>
      <c r="C115" s="135">
        <f>'B) D RI'!U117</f>
        <v>159177.88018867921</v>
      </c>
      <c r="D115" s="219">
        <f>'E) Fact soc'!G121/C115</f>
        <v>25.501350435109977</v>
      </c>
      <c r="E115" s="219">
        <f>'H) Péréquation directe'!I126/'H) Péréquation directe'!C126</f>
        <v>16.502757707931025</v>
      </c>
      <c r="F115" s="214">
        <f>'I) Dépenses thématiques'!P115</f>
        <v>0</v>
      </c>
      <c r="G115" s="167">
        <f t="shared" si="5"/>
        <v>42.004108143041002</v>
      </c>
      <c r="H115" s="214">
        <f t="shared" si="6"/>
        <v>42.004108143041002</v>
      </c>
      <c r="I115" s="219">
        <f t="shared" si="7"/>
        <v>0</v>
      </c>
      <c r="J115" s="75">
        <f t="shared" si="4"/>
        <v>0</v>
      </c>
    </row>
    <row r="116" spans="1:10" x14ac:dyDescent="0.25">
      <c r="A116" s="61">
        <f>'A) Base RI'!A118</f>
        <v>5586</v>
      </c>
      <c r="B116" s="124" t="str">
        <f>'A) Base RI'!B118</f>
        <v>Lausanne</v>
      </c>
      <c r="C116" s="135">
        <f>'B) D RI'!U118</f>
        <v>5897479.10464135</v>
      </c>
      <c r="D116" s="219">
        <f>'E) Fact soc'!G122/C116</f>
        <v>17.294699114226582</v>
      </c>
      <c r="E116" s="219">
        <f>'H) Péréquation directe'!I127/'H) Péréquation directe'!C127</f>
        <v>-4.2851377029413014</v>
      </c>
      <c r="F116" s="214">
        <f>'I) Dépenses thématiques'!P116</f>
        <v>-7.1986506430597199</v>
      </c>
      <c r="G116" s="167">
        <f t="shared" si="5"/>
        <v>5.8109107682255594</v>
      </c>
      <c r="H116" s="214">
        <f t="shared" si="6"/>
        <v>13.009561411285279</v>
      </c>
      <c r="I116" s="219">
        <f t="shared" si="7"/>
        <v>0</v>
      </c>
      <c r="J116" s="75">
        <f t="shared" ref="J116:J169" si="8">-I116*C116</f>
        <v>0</v>
      </c>
    </row>
    <row r="117" spans="1:10" x14ac:dyDescent="0.25">
      <c r="A117" s="61">
        <f>'A) Base RI'!A119</f>
        <v>5587</v>
      </c>
      <c r="B117" s="124" t="str">
        <f>'A) Base RI'!B119</f>
        <v>Le Mont-sur-Lausanne</v>
      </c>
      <c r="C117" s="135">
        <f>'B) D RI'!U119</f>
        <v>380449.00348888891</v>
      </c>
      <c r="D117" s="219">
        <f>'E) Fact soc'!G123/C117</f>
        <v>18.650265545861327</v>
      </c>
      <c r="E117" s="219">
        <f>'H) Péréquation directe'!I128/'H) Péréquation directe'!C128</f>
        <v>10.26131618063306</v>
      </c>
      <c r="F117" s="214">
        <f>'I) Dépenses thématiques'!P117</f>
        <v>-5.7039742783893024</v>
      </c>
      <c r="G117" s="167">
        <f t="shared" ref="G117:G170" si="9">SUM(D117:F117)</f>
        <v>23.207607448105083</v>
      </c>
      <c r="H117" s="214">
        <f t="shared" ref="H117:H170" si="10">G117-F117</f>
        <v>28.911581726494386</v>
      </c>
      <c r="I117" s="219">
        <f t="shared" ref="I117:I170" si="11">IF(H117&lt;I$4,H117-I$4,0)</f>
        <v>0</v>
      </c>
      <c r="J117" s="75">
        <f t="shared" si="8"/>
        <v>0</v>
      </c>
    </row>
    <row r="118" spans="1:10" x14ac:dyDescent="0.25">
      <c r="A118" s="61">
        <f>'A) Base RI'!A120</f>
        <v>5588</v>
      </c>
      <c r="B118" s="124" t="str">
        <f>'A) Base RI'!B120</f>
        <v>Paudex</v>
      </c>
      <c r="C118" s="135">
        <f>'B) D RI'!U120</f>
        <v>152789.79231126595</v>
      </c>
      <c r="D118" s="219">
        <f>'E) Fact soc'!G124/C118</f>
        <v>24.504519044213577</v>
      </c>
      <c r="E118" s="219">
        <f>'H) Péréquation directe'!I129/'H) Péréquation directe'!C129</f>
        <v>16.273576776537485</v>
      </c>
      <c r="F118" s="214">
        <f>'I) Dépenses thématiques'!P118</f>
        <v>0</v>
      </c>
      <c r="G118" s="167">
        <f t="shared" si="9"/>
        <v>40.778095820751062</v>
      </c>
      <c r="H118" s="214">
        <f t="shared" si="10"/>
        <v>40.778095820751062</v>
      </c>
      <c r="I118" s="219">
        <f t="shared" si="11"/>
        <v>0</v>
      </c>
      <c r="J118" s="75">
        <f t="shared" si="8"/>
        <v>0</v>
      </c>
    </row>
    <row r="119" spans="1:10" x14ac:dyDescent="0.25">
      <c r="A119" s="61">
        <f>'A) Base RI'!A121</f>
        <v>5589</v>
      </c>
      <c r="B119" s="124" t="str">
        <f>'A) Base RI'!B121</f>
        <v>Prilly</v>
      </c>
      <c r="C119" s="135">
        <f>'B) D RI'!U121</f>
        <v>462414.97306122456</v>
      </c>
      <c r="D119" s="219">
        <f>'E) Fact soc'!G125/C119</f>
        <v>18.137865536632727</v>
      </c>
      <c r="E119" s="219">
        <f>'H) Péréquation directe'!I130/'H) Péréquation directe'!C130</f>
        <v>2.0415187692044516</v>
      </c>
      <c r="F119" s="214">
        <f>'I) Dépenses thématiques'!P119</f>
        <v>-5.6559323543185549</v>
      </c>
      <c r="G119" s="167">
        <f t="shared" si="9"/>
        <v>14.523451951518624</v>
      </c>
      <c r="H119" s="214">
        <f t="shared" si="10"/>
        <v>20.179384305837178</v>
      </c>
      <c r="I119" s="219">
        <f t="shared" si="11"/>
        <v>0</v>
      </c>
      <c r="J119" s="75">
        <f t="shared" si="8"/>
        <v>0</v>
      </c>
    </row>
    <row r="120" spans="1:10" x14ac:dyDescent="0.25">
      <c r="A120" s="61">
        <f>'A) Base RI'!A122</f>
        <v>5590</v>
      </c>
      <c r="B120" s="124" t="str">
        <f>'A) Base RI'!B122</f>
        <v>Pully</v>
      </c>
      <c r="C120" s="135">
        <f>'B) D RI'!U122</f>
        <v>1366683.426371882</v>
      </c>
      <c r="D120" s="219">
        <f>'E) Fact soc'!G126/C120</f>
        <v>23.968291355149219</v>
      </c>
      <c r="E120" s="219">
        <f>'H) Péréquation directe'!I131/'H) Péréquation directe'!C131</f>
        <v>8.1257615843325208</v>
      </c>
      <c r="F120" s="214">
        <f>'I) Dépenses thématiques'!P120</f>
        <v>-1.8249750400823332</v>
      </c>
      <c r="G120" s="167">
        <f t="shared" si="9"/>
        <v>30.269077899399409</v>
      </c>
      <c r="H120" s="214">
        <f t="shared" si="10"/>
        <v>32.094052939481742</v>
      </c>
      <c r="I120" s="219">
        <f t="shared" si="11"/>
        <v>0</v>
      </c>
      <c r="J120" s="75">
        <f t="shared" si="8"/>
        <v>0</v>
      </c>
    </row>
    <row r="121" spans="1:10" x14ac:dyDescent="0.25">
      <c r="A121" s="61">
        <f>'A) Base RI'!A123</f>
        <v>5591</v>
      </c>
      <c r="B121" s="124" t="str">
        <f>'A) Base RI'!B123</f>
        <v>Renens</v>
      </c>
      <c r="C121" s="135">
        <f>'B) D RI'!U123</f>
        <v>546895.28569608741</v>
      </c>
      <c r="D121" s="219">
        <f>'E) Fact soc'!G127/C121</f>
        <v>16.510195057785879</v>
      </c>
      <c r="E121" s="219">
        <f>'H) Péréquation directe'!I132/'H) Péréquation directe'!C132</f>
        <v>-24.649861058954833</v>
      </c>
      <c r="F121" s="214">
        <f>'I) Dépenses thématiques'!P121</f>
        <v>-9.14786251866858</v>
      </c>
      <c r="G121" s="167">
        <f t="shared" si="9"/>
        <v>-17.287528519837537</v>
      </c>
      <c r="H121" s="214">
        <f t="shared" si="10"/>
        <v>-8.1396660011689566</v>
      </c>
      <c r="I121" s="219">
        <f t="shared" si="11"/>
        <v>-2.6396660011689566</v>
      </c>
      <c r="J121" s="75">
        <f t="shared" si="8"/>
        <v>1443620.8918515451</v>
      </c>
    </row>
    <row r="122" spans="1:10" x14ac:dyDescent="0.25">
      <c r="A122" s="61">
        <f>'A) Base RI'!A124</f>
        <v>5592</v>
      </c>
      <c r="B122" s="124" t="str">
        <f>'A) Base RI'!B124</f>
        <v>Romanel-sur-Lausanne</v>
      </c>
      <c r="C122" s="135">
        <f>'B) D RI'!U124</f>
        <v>110273.83828571429</v>
      </c>
      <c r="D122" s="219">
        <f>'E) Fact soc'!G128/C122</f>
        <v>18.87698793990992</v>
      </c>
      <c r="E122" s="219">
        <f>'H) Péréquation directe'!I133/'H) Péréquation directe'!C133</f>
        <v>3.3866120019957435</v>
      </c>
      <c r="F122" s="214">
        <f>'I) Dépenses thématiques'!P122</f>
        <v>-1.7052925025763677</v>
      </c>
      <c r="G122" s="167">
        <f t="shared" si="9"/>
        <v>20.558307439329297</v>
      </c>
      <c r="H122" s="214">
        <f t="shared" si="10"/>
        <v>22.263599941905664</v>
      </c>
      <c r="I122" s="219">
        <f t="shared" si="11"/>
        <v>0</v>
      </c>
      <c r="J122" s="75">
        <f t="shared" si="8"/>
        <v>0</v>
      </c>
    </row>
    <row r="123" spans="1:10" x14ac:dyDescent="0.25">
      <c r="A123" s="61">
        <f>'A) Base RI'!A125</f>
        <v>5601</v>
      </c>
      <c r="B123" s="124" t="str">
        <f>'A) Base RI'!B125</f>
        <v>Chexbres</v>
      </c>
      <c r="C123" s="135">
        <f>'B) D RI'!U125</f>
        <v>104474.96078125002</v>
      </c>
      <c r="D123" s="219">
        <f>'E) Fact soc'!G129/C123</f>
        <v>17.49040955018398</v>
      </c>
      <c r="E123" s="219">
        <f>'H) Péréquation directe'!I134/'H) Péréquation directe'!C134</f>
        <v>13.503604669164243</v>
      </c>
      <c r="F123" s="214">
        <f>'I) Dépenses thématiques'!P123</f>
        <v>-1.436950165105634</v>
      </c>
      <c r="G123" s="167">
        <f t="shared" si="9"/>
        <v>29.557064054242588</v>
      </c>
      <c r="H123" s="214">
        <f t="shared" si="10"/>
        <v>30.994014219348223</v>
      </c>
      <c r="I123" s="219">
        <f t="shared" si="11"/>
        <v>0</v>
      </c>
      <c r="J123" s="75">
        <f t="shared" si="8"/>
        <v>0</v>
      </c>
    </row>
    <row r="124" spans="1:10" x14ac:dyDescent="0.25">
      <c r="A124" s="61">
        <f>'A) Base RI'!A126</f>
        <v>5604</v>
      </c>
      <c r="B124" s="124" t="str">
        <f>'A) Base RI'!B126</f>
        <v>Forel (Lavaux)</v>
      </c>
      <c r="C124" s="135">
        <f>'B) D RI'!U126</f>
        <v>65514.699852941172</v>
      </c>
      <c r="D124" s="219">
        <f>'E) Fact soc'!G130/C124</f>
        <v>16.524463118771543</v>
      </c>
      <c r="E124" s="219">
        <f>'H) Péréquation directe'!I135/'H) Péréquation directe'!C135</f>
        <v>4.0990694329165169</v>
      </c>
      <c r="F124" s="214">
        <f>'I) Dépenses thématiques'!P124</f>
        <v>-4.4376504877184137</v>
      </c>
      <c r="G124" s="167">
        <f t="shared" si="9"/>
        <v>16.185882063969643</v>
      </c>
      <c r="H124" s="214">
        <f t="shared" si="10"/>
        <v>20.623532551688058</v>
      </c>
      <c r="I124" s="219">
        <f t="shared" si="11"/>
        <v>0</v>
      </c>
      <c r="J124" s="75">
        <f t="shared" si="8"/>
        <v>0</v>
      </c>
    </row>
    <row r="125" spans="1:10" x14ac:dyDescent="0.25">
      <c r="A125" s="61">
        <f>'A) Base RI'!A127</f>
        <v>5606</v>
      </c>
      <c r="B125" s="124" t="str">
        <f>'A) Base RI'!B127</f>
        <v>Lutry</v>
      </c>
      <c r="C125" s="135">
        <f>'B) D RI'!U127</f>
        <v>742470.65823979594</v>
      </c>
      <c r="D125" s="219">
        <f>'E) Fact soc'!G131/C125</f>
        <v>24.054142922518189</v>
      </c>
      <c r="E125" s="219">
        <f>'H) Péréquation directe'!I136/'H) Péréquation directe'!C136</f>
        <v>11.256699206778583</v>
      </c>
      <c r="F125" s="214">
        <f>'I) Dépenses thématiques'!P125</f>
        <v>-2.7092922556067123</v>
      </c>
      <c r="G125" s="167">
        <f t="shared" si="9"/>
        <v>32.601549873690061</v>
      </c>
      <c r="H125" s="214">
        <f t="shared" si="10"/>
        <v>35.310842129296773</v>
      </c>
      <c r="I125" s="219">
        <f t="shared" si="11"/>
        <v>0</v>
      </c>
      <c r="J125" s="75">
        <f t="shared" si="8"/>
        <v>0</v>
      </c>
    </row>
    <row r="126" spans="1:10" x14ac:dyDescent="0.25">
      <c r="A126" s="61">
        <f>'A) Base RI'!A128</f>
        <v>5607</v>
      </c>
      <c r="B126" s="124" t="str">
        <f>'A) Base RI'!B128</f>
        <v>Puidoux</v>
      </c>
      <c r="C126" s="135">
        <f>'B) D RI'!U128</f>
        <v>100862.46201406649</v>
      </c>
      <c r="D126" s="219">
        <f>'E) Fact soc'!G132/C126</f>
        <v>16.928092374217258</v>
      </c>
      <c r="E126" s="219">
        <f>'H) Péréquation directe'!I137/'H) Péréquation directe'!C137</f>
        <v>6.7842073171151922</v>
      </c>
      <c r="F126" s="214">
        <f>'I) Dépenses thématiques'!P126</f>
        <v>-5.6288500092726723</v>
      </c>
      <c r="G126" s="167">
        <f t="shared" si="9"/>
        <v>18.083449682059779</v>
      </c>
      <c r="H126" s="214">
        <f t="shared" si="10"/>
        <v>23.712299691332451</v>
      </c>
      <c r="I126" s="219">
        <f t="shared" si="11"/>
        <v>0</v>
      </c>
      <c r="J126" s="75">
        <f t="shared" si="8"/>
        <v>0</v>
      </c>
    </row>
    <row r="127" spans="1:10" x14ac:dyDescent="0.25">
      <c r="A127" s="61">
        <f>'A) Base RI'!A129</f>
        <v>5609</v>
      </c>
      <c r="B127" s="124" t="str">
        <f>'A) Base RI'!B129</f>
        <v>Rivaz</v>
      </c>
      <c r="C127" s="135">
        <f>'B) D RI'!U129</f>
        <v>16122.244409448818</v>
      </c>
      <c r="D127" s="219">
        <f>'E) Fact soc'!G133/C127</f>
        <v>17.554550703112248</v>
      </c>
      <c r="E127" s="219">
        <f>'H) Péréquation directe'!I138/'H) Péréquation directe'!C138</f>
        <v>16.28002002820957</v>
      </c>
      <c r="F127" s="214">
        <f>'I) Dépenses thématiques'!P127</f>
        <v>-1.6872156022030276</v>
      </c>
      <c r="G127" s="167">
        <f t="shared" si="9"/>
        <v>32.147355129118793</v>
      </c>
      <c r="H127" s="214">
        <f t="shared" si="10"/>
        <v>33.834570731321818</v>
      </c>
      <c r="I127" s="219">
        <f t="shared" si="11"/>
        <v>0</v>
      </c>
      <c r="J127" s="75">
        <f t="shared" si="8"/>
        <v>0</v>
      </c>
    </row>
    <row r="128" spans="1:10" x14ac:dyDescent="0.25">
      <c r="A128" s="61">
        <f>'A) Base RI'!A130</f>
        <v>5610</v>
      </c>
      <c r="B128" s="124" t="str">
        <f>'A) Base RI'!B130</f>
        <v>St-Saphorin (Lavaux)</v>
      </c>
      <c r="C128" s="135">
        <f>'B) D RI'!U130</f>
        <v>20974.487096774192</v>
      </c>
      <c r="D128" s="219">
        <f>'E) Fact soc'!G134/C128</f>
        <v>15.607935457915486</v>
      </c>
      <c r="E128" s="219">
        <f>'H) Péréquation directe'!I139/'H) Péréquation directe'!C139</f>
        <v>16.682838108192652</v>
      </c>
      <c r="F128" s="214">
        <f>'I) Dépenses thématiques'!P128</f>
        <v>-2.0638628881884995</v>
      </c>
      <c r="G128" s="167">
        <f t="shared" si="9"/>
        <v>30.226910677919637</v>
      </c>
      <c r="H128" s="214">
        <f t="shared" si="10"/>
        <v>32.290773566108136</v>
      </c>
      <c r="I128" s="219">
        <f t="shared" si="11"/>
        <v>0</v>
      </c>
      <c r="J128" s="75">
        <f t="shared" si="8"/>
        <v>0</v>
      </c>
    </row>
    <row r="129" spans="1:10" x14ac:dyDescent="0.25">
      <c r="A129" s="61">
        <f>'A) Base RI'!A131</f>
        <v>5611</v>
      </c>
      <c r="B129" s="124" t="str">
        <f>'A) Base RI'!B131</f>
        <v>Savigny</v>
      </c>
      <c r="C129" s="135">
        <f>'B) D RI'!U131</f>
        <v>130312.40671641791</v>
      </c>
      <c r="D129" s="219">
        <f>'E) Fact soc'!G135/C129</f>
        <v>17.726185615674897</v>
      </c>
      <c r="E129" s="219">
        <f>'H) Péréquation directe'!I140/'H) Péréquation directe'!C140</f>
        <v>9.3653853493609454</v>
      </c>
      <c r="F129" s="214">
        <f>'I) Dépenses thématiques'!P129</f>
        <v>-4.139061092033276</v>
      </c>
      <c r="G129" s="167">
        <f t="shared" si="9"/>
        <v>22.952509873002565</v>
      </c>
      <c r="H129" s="214">
        <f t="shared" si="10"/>
        <v>27.091570965035842</v>
      </c>
      <c r="I129" s="219">
        <f t="shared" si="11"/>
        <v>0</v>
      </c>
      <c r="J129" s="75">
        <f t="shared" si="8"/>
        <v>0</v>
      </c>
    </row>
    <row r="130" spans="1:10" x14ac:dyDescent="0.25">
      <c r="A130" s="61">
        <f>'A) Base RI'!A132</f>
        <v>5613</v>
      </c>
      <c r="B130" s="124" t="str">
        <f>'A) Base RI'!B132</f>
        <v>Bourg-en-Lavaux</v>
      </c>
      <c r="C130" s="135">
        <f>'B) D RI'!U132</f>
        <v>295658.88923497271</v>
      </c>
      <c r="D130" s="219">
        <f>'E) Fact soc'!G136/C130</f>
        <v>19.245992627061355</v>
      </c>
      <c r="E130" s="219">
        <f>'H) Péréquation directe'!I141/'H) Péréquation directe'!C141</f>
        <v>11.910823812124885</v>
      </c>
      <c r="F130" s="214">
        <f>'I) Dépenses thématiques'!P130</f>
        <v>-0.82380222569120509</v>
      </c>
      <c r="G130" s="167">
        <f t="shared" si="9"/>
        <v>30.333014213495034</v>
      </c>
      <c r="H130" s="214">
        <f t="shared" si="10"/>
        <v>31.15681643918624</v>
      </c>
      <c r="I130" s="219">
        <f t="shared" si="11"/>
        <v>0</v>
      </c>
      <c r="J130" s="75">
        <f t="shared" si="8"/>
        <v>0</v>
      </c>
    </row>
    <row r="131" spans="1:10" x14ac:dyDescent="0.25">
      <c r="A131" s="61">
        <f>'A) Base RI'!A133</f>
        <v>5621</v>
      </c>
      <c r="B131" s="124" t="str">
        <f>'A) Base RI'!B133</f>
        <v>Aclens</v>
      </c>
      <c r="C131" s="135">
        <f>'B) D RI'!U133</f>
        <v>33759.339076246331</v>
      </c>
      <c r="D131" s="219">
        <f>'E) Fact soc'!G137/C131</f>
        <v>20.444481513691464</v>
      </c>
      <c r="E131" s="219">
        <f>'H) Péréquation directe'!I142/'H) Péréquation directe'!C142</f>
        <v>16.860185040075876</v>
      </c>
      <c r="F131" s="214">
        <f>'I) Dépenses thématiques'!P131</f>
        <v>0</v>
      </c>
      <c r="G131" s="167">
        <f t="shared" si="9"/>
        <v>37.304666553767341</v>
      </c>
      <c r="H131" s="214">
        <f t="shared" si="10"/>
        <v>37.304666553767341</v>
      </c>
      <c r="I131" s="219">
        <f t="shared" si="11"/>
        <v>0</v>
      </c>
      <c r="J131" s="75">
        <f t="shared" si="8"/>
        <v>0</v>
      </c>
    </row>
    <row r="132" spans="1:10" x14ac:dyDescent="0.25">
      <c r="A132" s="61">
        <f>'A) Base RI'!A134</f>
        <v>5622</v>
      </c>
      <c r="B132" s="124" t="str">
        <f>'A) Base RI'!B134</f>
        <v>Bremblens</v>
      </c>
      <c r="C132" s="135">
        <f>'B) D RI'!U134</f>
        <v>28126.288636363635</v>
      </c>
      <c r="D132" s="219">
        <f>'E) Fact soc'!G138/C132</f>
        <v>15.718553523644641</v>
      </c>
      <c r="E132" s="219">
        <f>'H) Péréquation directe'!I143/'H) Péréquation directe'!C143</f>
        <v>16.691494257938412</v>
      </c>
      <c r="F132" s="214">
        <f>'I) Dépenses thématiques'!P132</f>
        <v>-0.40382699332841415</v>
      </c>
      <c r="G132" s="167">
        <f t="shared" si="9"/>
        <v>32.006220788254637</v>
      </c>
      <c r="H132" s="214">
        <f t="shared" si="10"/>
        <v>32.410047781583053</v>
      </c>
      <c r="I132" s="219">
        <f t="shared" si="11"/>
        <v>0</v>
      </c>
      <c r="J132" s="75">
        <f t="shared" si="8"/>
        <v>0</v>
      </c>
    </row>
    <row r="133" spans="1:10" x14ac:dyDescent="0.25">
      <c r="A133" s="61">
        <f>'A) Base RI'!A135</f>
        <v>5623</v>
      </c>
      <c r="B133" s="124" t="str">
        <f>'A) Base RI'!B135</f>
        <v>Buchillon</v>
      </c>
      <c r="C133" s="135">
        <f>'B) D RI'!U135</f>
        <v>86045.549622641513</v>
      </c>
      <c r="D133" s="219">
        <f>'E) Fact soc'!G139/C133</f>
        <v>29.538741166166421</v>
      </c>
      <c r="E133" s="219">
        <f>'H) Péréquation directe'!I144/'H) Péréquation directe'!C144</f>
        <v>17.46440414206025</v>
      </c>
      <c r="F133" s="214">
        <f>'I) Dépenses thématiques'!P133</f>
        <v>0</v>
      </c>
      <c r="G133" s="167">
        <f t="shared" si="9"/>
        <v>47.003145308226671</v>
      </c>
      <c r="H133" s="214">
        <f t="shared" si="10"/>
        <v>47.003145308226671</v>
      </c>
      <c r="I133" s="219">
        <f t="shared" si="11"/>
        <v>0</v>
      </c>
      <c r="J133" s="75">
        <f t="shared" si="8"/>
        <v>0</v>
      </c>
    </row>
    <row r="134" spans="1:10" x14ac:dyDescent="0.25">
      <c r="A134" s="61">
        <f>'A) Base RI'!A136</f>
        <v>5624</v>
      </c>
      <c r="B134" s="124" t="str">
        <f>'A) Base RI'!B136</f>
        <v>Bussigny</v>
      </c>
      <c r="C134" s="135">
        <f>'B) D RI'!U136</f>
        <v>312174.83774193545</v>
      </c>
      <c r="D134" s="219">
        <f>'E) Fact soc'!G140/C134</f>
        <v>22.7620186114404</v>
      </c>
      <c r="E134" s="219">
        <f>'H) Péréquation directe'!I145/'H) Péréquation directe'!C145</f>
        <v>4.4033290141303736</v>
      </c>
      <c r="F134" s="214">
        <f>'I) Dépenses thématiques'!P134</f>
        <v>-3.0940919993389477</v>
      </c>
      <c r="G134" s="167">
        <f t="shared" si="9"/>
        <v>24.071255626231828</v>
      </c>
      <c r="H134" s="214">
        <f t="shared" si="10"/>
        <v>27.165347625570774</v>
      </c>
      <c r="I134" s="219">
        <f t="shared" si="11"/>
        <v>0</v>
      </c>
      <c r="J134" s="75">
        <f t="shared" si="8"/>
        <v>0</v>
      </c>
    </row>
    <row r="135" spans="1:10" x14ac:dyDescent="0.25">
      <c r="A135" s="61">
        <f>'A) Base RI'!A137</f>
        <v>5625</v>
      </c>
      <c r="B135" s="124" t="str">
        <f>'A) Base RI'!B137</f>
        <v>Bussy-Chardonney</v>
      </c>
      <c r="C135" s="135">
        <f>'B) D RI'!U137</f>
        <v>16172.617200854704</v>
      </c>
      <c r="D135" s="219">
        <f>'E) Fact soc'!G141/C135</f>
        <v>17.561229811577935</v>
      </c>
      <c r="E135" s="219">
        <f>'H) Péréquation directe'!I146/'H) Péréquation directe'!C146</f>
        <v>15.774662191334043</v>
      </c>
      <c r="F135" s="214">
        <f>'I) Dépenses thématiques'!P135</f>
        <v>-0.47193031791845974</v>
      </c>
      <c r="G135" s="167">
        <f t="shared" si="9"/>
        <v>32.863961684993519</v>
      </c>
      <c r="H135" s="214">
        <f t="shared" si="10"/>
        <v>33.335892002911976</v>
      </c>
      <c r="I135" s="219">
        <f t="shared" si="11"/>
        <v>0</v>
      </c>
      <c r="J135" s="75">
        <f t="shared" si="8"/>
        <v>0</v>
      </c>
    </row>
    <row r="136" spans="1:10" x14ac:dyDescent="0.25">
      <c r="A136" s="61">
        <f>'A) Base RI'!A138</f>
        <v>5627</v>
      </c>
      <c r="B136" s="124" t="str">
        <f>'A) Base RI'!B138</f>
        <v>Chavannes-près-Renens</v>
      </c>
      <c r="C136" s="135">
        <f>'B) D RI'!U138</f>
        <v>162511.92244725736</v>
      </c>
      <c r="D136" s="219">
        <f>'E) Fact soc'!G142/C136</f>
        <v>16.337636018421236</v>
      </c>
      <c r="E136" s="219">
        <f>'H) Péréquation directe'!I147/'H) Péréquation directe'!C147</f>
        <v>-25.46681686629239</v>
      </c>
      <c r="F136" s="214">
        <f>'I) Dépenses thématiques'!P136</f>
        <v>-7.3474001986235571</v>
      </c>
      <c r="G136" s="167">
        <f t="shared" si="9"/>
        <v>-16.476581046494712</v>
      </c>
      <c r="H136" s="214">
        <f t="shared" si="10"/>
        <v>-9.1291808478711545</v>
      </c>
      <c r="I136" s="219">
        <f t="shared" si="11"/>
        <v>-3.6291808478711545</v>
      </c>
      <c r="J136" s="75">
        <f t="shared" si="8"/>
        <v>589785.15649630874</v>
      </c>
    </row>
    <row r="137" spans="1:10" x14ac:dyDescent="0.25">
      <c r="A137" s="61">
        <f>'A) Base RI'!A139</f>
        <v>5628</v>
      </c>
      <c r="B137" s="124" t="str">
        <f>'A) Base RI'!B139</f>
        <v>Chigny</v>
      </c>
      <c r="C137" s="135">
        <f>'B) D RI'!U139</f>
        <v>19064.278346774194</v>
      </c>
      <c r="D137" s="219">
        <f>'E) Fact soc'!G143/C137</f>
        <v>15.215551015062891</v>
      </c>
      <c r="E137" s="219">
        <f>'H) Péréquation directe'!I148/'H) Péréquation directe'!C148</f>
        <v>16.743398117780071</v>
      </c>
      <c r="F137" s="214">
        <f>'I) Dépenses thématiques'!P137</f>
        <v>0</v>
      </c>
      <c r="G137" s="167">
        <f t="shared" si="9"/>
        <v>31.95894913284296</v>
      </c>
      <c r="H137" s="214">
        <f t="shared" si="10"/>
        <v>31.95894913284296</v>
      </c>
      <c r="I137" s="219">
        <f t="shared" si="11"/>
        <v>0</v>
      </c>
      <c r="J137" s="75">
        <f t="shared" si="8"/>
        <v>0</v>
      </c>
    </row>
    <row r="138" spans="1:10" x14ac:dyDescent="0.25">
      <c r="A138" s="61">
        <f>'A) Base RI'!A140</f>
        <v>5629</v>
      </c>
      <c r="B138" s="124" t="str">
        <f>'A) Base RI'!B140</f>
        <v>Clarmont</v>
      </c>
      <c r="C138" s="135">
        <f>'B) D RI'!U140</f>
        <v>7581.8990666666659</v>
      </c>
      <c r="D138" s="219">
        <f>'E) Fact soc'!G144/C138</f>
        <v>15.770606910901098</v>
      </c>
      <c r="E138" s="219">
        <f>'H) Péréquation directe'!I149/'H) Péréquation directe'!C149</f>
        <v>16.401436607532201</v>
      </c>
      <c r="F138" s="214">
        <f>'I) Dépenses thématiques'!P138</f>
        <v>-6.4607222738971135</v>
      </c>
      <c r="G138" s="167">
        <f t="shared" si="9"/>
        <v>25.711321244536187</v>
      </c>
      <c r="H138" s="214">
        <f t="shared" si="10"/>
        <v>32.172043518433298</v>
      </c>
      <c r="I138" s="219">
        <f t="shared" si="11"/>
        <v>0</v>
      </c>
      <c r="J138" s="75">
        <f t="shared" si="8"/>
        <v>0</v>
      </c>
    </row>
    <row r="139" spans="1:10" x14ac:dyDescent="0.25">
      <c r="A139" s="61">
        <f>'A) Base RI'!A141</f>
        <v>5631</v>
      </c>
      <c r="B139" s="124" t="str">
        <f>'A) Base RI'!B141</f>
        <v>Denens</v>
      </c>
      <c r="C139" s="135">
        <f>'B) D RI'!U141</f>
        <v>34218.35955882354</v>
      </c>
      <c r="D139" s="219">
        <f>'E) Fact soc'!G145/C139</f>
        <v>22.37976189863296</v>
      </c>
      <c r="E139" s="219">
        <f>'H) Péréquation directe'!I150/'H) Péréquation directe'!C150</f>
        <v>16.424888363273535</v>
      </c>
      <c r="F139" s="214">
        <f>'I) Dépenses thématiques'!P139</f>
        <v>0</v>
      </c>
      <c r="G139" s="167">
        <f t="shared" si="9"/>
        <v>38.804650261906495</v>
      </c>
      <c r="H139" s="214">
        <f t="shared" si="10"/>
        <v>38.804650261906495</v>
      </c>
      <c r="I139" s="219">
        <f t="shared" si="11"/>
        <v>0</v>
      </c>
      <c r="J139" s="75">
        <f t="shared" si="8"/>
        <v>0</v>
      </c>
    </row>
    <row r="140" spans="1:10" x14ac:dyDescent="0.25">
      <c r="A140" s="61">
        <f>'A) Base RI'!A142</f>
        <v>5632</v>
      </c>
      <c r="B140" s="124" t="str">
        <f>'A) Base RI'!B142</f>
        <v>Denges</v>
      </c>
      <c r="C140" s="135">
        <f>'B) D RI'!U142</f>
        <v>70599.599193548376</v>
      </c>
      <c r="D140" s="219">
        <f>'E) Fact soc'!G146/C140</f>
        <v>16.422467668595562</v>
      </c>
      <c r="E140" s="219">
        <f>'H) Péréquation directe'!I151/'H) Péréquation directe'!C151</f>
        <v>13.585891878554223</v>
      </c>
      <c r="F140" s="214">
        <f>'I) Dépenses thématiques'!P140</f>
        <v>-0.29159013977509379</v>
      </c>
      <c r="G140" s="167">
        <f t="shared" si="9"/>
        <v>29.716769407374695</v>
      </c>
      <c r="H140" s="214">
        <f t="shared" si="10"/>
        <v>30.008359547149787</v>
      </c>
      <c r="I140" s="219">
        <f t="shared" si="11"/>
        <v>0</v>
      </c>
      <c r="J140" s="75">
        <f t="shared" si="8"/>
        <v>0</v>
      </c>
    </row>
    <row r="141" spans="1:10" x14ac:dyDescent="0.25">
      <c r="A141" s="61">
        <f>'A) Base RI'!A143</f>
        <v>5633</v>
      </c>
      <c r="B141" s="124" t="str">
        <f>'A) Base RI'!B143</f>
        <v>Echandens</v>
      </c>
      <c r="C141" s="135">
        <f>'B) D RI'!U143</f>
        <v>123013.45645161292</v>
      </c>
      <c r="D141" s="219">
        <f>'E) Fact soc'!G147/C141</f>
        <v>17.109573876604138</v>
      </c>
      <c r="E141" s="219">
        <f>'H) Péréquation directe'!I152/'H) Péréquation directe'!C152</f>
        <v>13.091891018342707</v>
      </c>
      <c r="F141" s="214">
        <f>'I) Dépenses thématiques'!P141</f>
        <v>-3.2423170038497648</v>
      </c>
      <c r="G141" s="167">
        <f t="shared" si="9"/>
        <v>26.959147891097082</v>
      </c>
      <c r="H141" s="214">
        <f t="shared" si="10"/>
        <v>30.201464894946845</v>
      </c>
      <c r="I141" s="219">
        <f t="shared" si="11"/>
        <v>0</v>
      </c>
      <c r="J141" s="75">
        <f t="shared" si="8"/>
        <v>0</v>
      </c>
    </row>
    <row r="142" spans="1:10" x14ac:dyDescent="0.25">
      <c r="A142" s="61">
        <f>'A) Base RI'!A144</f>
        <v>5634</v>
      </c>
      <c r="B142" s="124" t="str">
        <f>'A) Base RI'!B144</f>
        <v>Echichens</v>
      </c>
      <c r="C142" s="135">
        <f>'B) D RI'!U144</f>
        <v>121660.2017647059</v>
      </c>
      <c r="D142" s="219">
        <f>'E) Fact soc'!G148/C142</f>
        <v>16.444837113304029</v>
      </c>
      <c r="E142" s="219">
        <f>'H) Péréquation directe'!I153/'H) Péréquation directe'!C153</f>
        <v>13.16284553863921</v>
      </c>
      <c r="F142" s="214">
        <f>'I) Dépenses thématiques'!P142</f>
        <v>0</v>
      </c>
      <c r="G142" s="167">
        <f t="shared" si="9"/>
        <v>29.607682651943239</v>
      </c>
      <c r="H142" s="214">
        <f t="shared" si="10"/>
        <v>29.607682651943239</v>
      </c>
      <c r="I142" s="219">
        <f t="shared" si="11"/>
        <v>0</v>
      </c>
      <c r="J142" s="75">
        <f t="shared" si="8"/>
        <v>0</v>
      </c>
    </row>
    <row r="143" spans="1:10" x14ac:dyDescent="0.25">
      <c r="A143" s="61">
        <f>'A) Base RI'!A145</f>
        <v>5635</v>
      </c>
      <c r="B143" s="124" t="str">
        <f>'A) Base RI'!B145</f>
        <v>Ecublens</v>
      </c>
      <c r="C143" s="135">
        <f>'B) D RI'!U145</f>
        <v>470087.75038200343</v>
      </c>
      <c r="D143" s="219">
        <f>'E) Fact soc'!G149/C143</f>
        <v>16.605643547619003</v>
      </c>
      <c r="E143" s="219">
        <f>'H) Péréquation directe'!I154/'H) Péréquation directe'!C154</f>
        <v>1.524462350021393</v>
      </c>
      <c r="F143" s="214">
        <f>'I) Dépenses thématiques'!P143</f>
        <v>-5.1089289925136292</v>
      </c>
      <c r="G143" s="167">
        <f t="shared" si="9"/>
        <v>13.021176905126769</v>
      </c>
      <c r="H143" s="214">
        <f t="shared" si="10"/>
        <v>18.130105897640398</v>
      </c>
      <c r="I143" s="219">
        <f t="shared" si="11"/>
        <v>0</v>
      </c>
      <c r="J143" s="75">
        <f t="shared" si="8"/>
        <v>0</v>
      </c>
    </row>
    <row r="144" spans="1:10" x14ac:dyDescent="0.25">
      <c r="A144" s="61">
        <f>'A) Base RI'!A146</f>
        <v>5636</v>
      </c>
      <c r="B144" s="124" t="str">
        <f>'A) Base RI'!B146</f>
        <v>Etoy</v>
      </c>
      <c r="C144" s="135">
        <f>'B) D RI'!U146</f>
        <v>158779.04229508198</v>
      </c>
      <c r="D144" s="219">
        <f>'E) Fact soc'!G150/C144</f>
        <v>17.255526955852353</v>
      </c>
      <c r="E144" s="219">
        <f>'H) Péréquation directe'!I155/'H) Péréquation directe'!C155</f>
        <v>13.651121710466807</v>
      </c>
      <c r="F144" s="214">
        <f>'I) Dépenses thématiques'!P144</f>
        <v>0</v>
      </c>
      <c r="G144" s="167">
        <f t="shared" si="9"/>
        <v>30.90664866631916</v>
      </c>
      <c r="H144" s="214">
        <f t="shared" si="10"/>
        <v>30.90664866631916</v>
      </c>
      <c r="I144" s="219">
        <f t="shared" si="11"/>
        <v>0</v>
      </c>
      <c r="J144" s="75">
        <f t="shared" si="8"/>
        <v>0</v>
      </c>
    </row>
    <row r="145" spans="1:10" x14ac:dyDescent="0.25">
      <c r="A145" s="61">
        <f>'A) Base RI'!A147</f>
        <v>5637</v>
      </c>
      <c r="B145" s="124" t="str">
        <f>'A) Base RI'!B147</f>
        <v>Lavigny</v>
      </c>
      <c r="C145" s="135">
        <f>'B) D RI'!U147</f>
        <v>31075.388277404931</v>
      </c>
      <c r="D145" s="219">
        <f>'E) Fact soc'!G151/C145</f>
        <v>20.723129314249647</v>
      </c>
      <c r="E145" s="219">
        <f>'H) Péréquation directe'!I156/'H) Péréquation directe'!C156</f>
        <v>7.0394904073851805</v>
      </c>
      <c r="F145" s="214">
        <f>'I) Dépenses thématiques'!P145</f>
        <v>-7.3486270439624297</v>
      </c>
      <c r="G145" s="167">
        <f t="shared" si="9"/>
        <v>20.413992677672397</v>
      </c>
      <c r="H145" s="214">
        <f t="shared" si="10"/>
        <v>27.762619721634827</v>
      </c>
      <c r="I145" s="219">
        <f t="shared" si="11"/>
        <v>0</v>
      </c>
      <c r="J145" s="75">
        <f t="shared" si="8"/>
        <v>0</v>
      </c>
    </row>
    <row r="146" spans="1:10" x14ac:dyDescent="0.25">
      <c r="A146" s="61">
        <f>'A) Base RI'!A148</f>
        <v>5638</v>
      </c>
      <c r="B146" s="124" t="str">
        <f>'A) Base RI'!B148</f>
        <v>Lonay</v>
      </c>
      <c r="C146" s="135">
        <f>'B) D RI'!U148</f>
        <v>152475.57054545457</v>
      </c>
      <c r="D146" s="219">
        <f>'E) Fact soc'!G152/C146</f>
        <v>21.722266746448735</v>
      </c>
      <c r="E146" s="219">
        <f>'H) Péréquation directe'!I157/'H) Péréquation directe'!C157</f>
        <v>14.219913359970908</v>
      </c>
      <c r="F146" s="214">
        <f>'I) Dépenses thématiques'!P146</f>
        <v>-1.3685170525154264</v>
      </c>
      <c r="G146" s="167">
        <f t="shared" si="9"/>
        <v>34.573663053904212</v>
      </c>
      <c r="H146" s="214">
        <f t="shared" si="10"/>
        <v>35.942180106419642</v>
      </c>
      <c r="I146" s="219">
        <f t="shared" si="11"/>
        <v>0</v>
      </c>
      <c r="J146" s="75">
        <f t="shared" si="8"/>
        <v>0</v>
      </c>
    </row>
    <row r="147" spans="1:10" x14ac:dyDescent="0.25">
      <c r="A147" s="61">
        <f>'A) Base RI'!A149</f>
        <v>5639</v>
      </c>
      <c r="B147" s="124" t="str">
        <f>'A) Base RI'!B149</f>
        <v>Lully</v>
      </c>
      <c r="C147" s="135">
        <f>'B) D RI'!U149</f>
        <v>42318.428360655736</v>
      </c>
      <c r="D147" s="219">
        <f>'E) Fact soc'!G153/C147</f>
        <v>17.82289073103534</v>
      </c>
      <c r="E147" s="219">
        <f>'H) Péréquation directe'!I158/'H) Péréquation directe'!C158</f>
        <v>16.704796286850623</v>
      </c>
      <c r="F147" s="214">
        <f>'I) Dépenses thématiques'!P147</f>
        <v>-2.3678539532019576</v>
      </c>
      <c r="G147" s="167">
        <f t="shared" si="9"/>
        <v>32.159833064684008</v>
      </c>
      <c r="H147" s="214">
        <f t="shared" si="10"/>
        <v>34.527687017885967</v>
      </c>
      <c r="I147" s="219">
        <f t="shared" si="11"/>
        <v>0</v>
      </c>
      <c r="J147" s="75">
        <f t="shared" si="8"/>
        <v>0</v>
      </c>
    </row>
    <row r="148" spans="1:10" x14ac:dyDescent="0.25">
      <c r="A148" s="61">
        <f>'A) Base RI'!A150</f>
        <v>5640</v>
      </c>
      <c r="B148" s="124" t="str">
        <f>'A) Base RI'!B150</f>
        <v>Lussy-sur-Morges</v>
      </c>
      <c r="C148" s="135">
        <f>'B) D RI'!U150</f>
        <v>45310.844393939391</v>
      </c>
      <c r="D148" s="219">
        <f>'E) Fact soc'!G154/C148</f>
        <v>21.560112694875475</v>
      </c>
      <c r="E148" s="219">
        <f>'H) Péréquation directe'!I159/'H) Péréquation directe'!C159</f>
        <v>16.956933016301036</v>
      </c>
      <c r="F148" s="214">
        <f>'I) Dépenses thématiques'!P148</f>
        <v>0</v>
      </c>
      <c r="G148" s="167">
        <f t="shared" si="9"/>
        <v>38.517045711176507</v>
      </c>
      <c r="H148" s="214">
        <f t="shared" si="10"/>
        <v>38.517045711176507</v>
      </c>
      <c r="I148" s="219">
        <f t="shared" si="11"/>
        <v>0</v>
      </c>
      <c r="J148" s="75">
        <f t="shared" si="8"/>
        <v>0</v>
      </c>
    </row>
    <row r="149" spans="1:10" x14ac:dyDescent="0.25">
      <c r="A149" s="61">
        <f>'A) Base RI'!A151</f>
        <v>5642</v>
      </c>
      <c r="B149" s="124" t="str">
        <f>'A) Base RI'!B151</f>
        <v>Morges</v>
      </c>
      <c r="C149" s="135">
        <f>'B) D RI'!U151</f>
        <v>715380.13065693423</v>
      </c>
      <c r="D149" s="219">
        <f>'E) Fact soc'!G155/C149</f>
        <v>19.210625073297301</v>
      </c>
      <c r="E149" s="219">
        <f>'H) Péréquation directe'!I160/'H) Péréquation directe'!C160</f>
        <v>4.0932820595644905</v>
      </c>
      <c r="F149" s="214">
        <f>'I) Dépenses thématiques'!P149</f>
        <v>-1.7004324318543551</v>
      </c>
      <c r="G149" s="167">
        <f t="shared" si="9"/>
        <v>21.603474701007435</v>
      </c>
      <c r="H149" s="214">
        <f t="shared" si="10"/>
        <v>23.303907132861791</v>
      </c>
      <c r="I149" s="219">
        <f t="shared" si="11"/>
        <v>0</v>
      </c>
      <c r="J149" s="75">
        <f t="shared" si="8"/>
        <v>0</v>
      </c>
    </row>
    <row r="150" spans="1:10" x14ac:dyDescent="0.25">
      <c r="A150" s="61">
        <f>'A) Base RI'!A152</f>
        <v>5643</v>
      </c>
      <c r="B150" s="124" t="str">
        <f>'A) Base RI'!B152</f>
        <v>Préverenges</v>
      </c>
      <c r="C150" s="135">
        <f>'B) D RI'!U152</f>
        <v>249793.53640625</v>
      </c>
      <c r="D150" s="219">
        <f>'E) Fact soc'!G156/C150</f>
        <v>16.209176870677588</v>
      </c>
      <c r="E150" s="219">
        <f>'H) Péréquation directe'!I161/'H) Péréquation directe'!C161</f>
        <v>10.731672621358936</v>
      </c>
      <c r="F150" s="214">
        <f>'I) Dépenses thématiques'!P150</f>
        <v>0</v>
      </c>
      <c r="G150" s="167">
        <f t="shared" si="9"/>
        <v>26.940849492036524</v>
      </c>
      <c r="H150" s="214">
        <f t="shared" si="10"/>
        <v>26.940849492036524</v>
      </c>
      <c r="I150" s="219">
        <f t="shared" si="11"/>
        <v>0</v>
      </c>
      <c r="J150" s="75">
        <f t="shared" si="8"/>
        <v>0</v>
      </c>
    </row>
    <row r="151" spans="1:10" x14ac:dyDescent="0.25">
      <c r="A151" s="61">
        <f>'A) Base RI'!A153</f>
        <v>5644</v>
      </c>
      <c r="B151" s="124" t="str">
        <f>'A) Base RI'!B153</f>
        <v>Reverolle</v>
      </c>
      <c r="C151" s="135">
        <f>'B) D RI'!U153</f>
        <v>15594.857631578949</v>
      </c>
      <c r="D151" s="219">
        <f>'E) Fact soc'!G157/C151</f>
        <v>17.639877373336532</v>
      </c>
      <c r="E151" s="219">
        <f>'H) Péréquation directe'!I162/'H) Péréquation directe'!C162</f>
        <v>16.044760260822656</v>
      </c>
      <c r="F151" s="214">
        <f>'I) Dépenses thématiques'!P151</f>
        <v>-4.5986156799240865</v>
      </c>
      <c r="G151" s="167">
        <f t="shared" si="9"/>
        <v>29.0860219542351</v>
      </c>
      <c r="H151" s="214">
        <f t="shared" si="10"/>
        <v>33.684637634159188</v>
      </c>
      <c r="I151" s="219">
        <f t="shared" si="11"/>
        <v>0</v>
      </c>
      <c r="J151" s="75">
        <f t="shared" si="8"/>
        <v>0</v>
      </c>
    </row>
    <row r="152" spans="1:10" x14ac:dyDescent="0.25">
      <c r="A152" s="61">
        <f>'A) Base RI'!A154</f>
        <v>5645</v>
      </c>
      <c r="B152" s="124" t="str">
        <f>'A) Base RI'!B154</f>
        <v>Romanel-sur-Morges</v>
      </c>
      <c r="C152" s="135">
        <f>'B) D RI'!U154</f>
        <v>25378.60526785714</v>
      </c>
      <c r="D152" s="219">
        <f>'E) Fact soc'!G158/C152</f>
        <v>15.892735595622211</v>
      </c>
      <c r="E152" s="219">
        <f>'H) Péréquation directe'!I163/'H) Péréquation directe'!C163</f>
        <v>16.69669786484949</v>
      </c>
      <c r="F152" s="214">
        <f>'I) Dépenses thématiques'!P152</f>
        <v>0</v>
      </c>
      <c r="G152" s="167">
        <f t="shared" si="9"/>
        <v>32.589433460471703</v>
      </c>
      <c r="H152" s="214">
        <f t="shared" si="10"/>
        <v>32.589433460471703</v>
      </c>
      <c r="I152" s="219">
        <f t="shared" si="11"/>
        <v>0</v>
      </c>
      <c r="J152" s="75">
        <f t="shared" si="8"/>
        <v>0</v>
      </c>
    </row>
    <row r="153" spans="1:10" x14ac:dyDescent="0.25">
      <c r="A153" s="61">
        <f>'A) Base RI'!A155</f>
        <v>5646</v>
      </c>
      <c r="B153" s="124" t="str">
        <f>'A) Base RI'!B155</f>
        <v>Saint-Prex</v>
      </c>
      <c r="C153" s="135">
        <f>'B) D RI'!U155</f>
        <v>307317.64145454549</v>
      </c>
      <c r="D153" s="219">
        <f>'E) Fact soc'!G159/C153</f>
        <v>19.632602720614479</v>
      </c>
      <c r="E153" s="219">
        <f>'H) Péréquation directe'!I164/'H) Péréquation directe'!C164</f>
        <v>11.524916039967573</v>
      </c>
      <c r="F153" s="214">
        <f>'I) Dépenses thématiques'!P153</f>
        <v>0</v>
      </c>
      <c r="G153" s="167">
        <f t="shared" si="9"/>
        <v>31.15751876058205</v>
      </c>
      <c r="H153" s="214">
        <f t="shared" si="10"/>
        <v>31.15751876058205</v>
      </c>
      <c r="I153" s="219">
        <f t="shared" si="11"/>
        <v>0</v>
      </c>
      <c r="J153" s="75">
        <f t="shared" si="8"/>
        <v>0</v>
      </c>
    </row>
    <row r="154" spans="1:10" x14ac:dyDescent="0.25">
      <c r="A154" s="61">
        <f>'A) Base RI'!A156</f>
        <v>5648</v>
      </c>
      <c r="B154" s="124" t="str">
        <f>'A) Base RI'!B156</f>
        <v>Saint-Sulpice</v>
      </c>
      <c r="C154" s="135">
        <f>'B) D RI'!U156</f>
        <v>307335.61263636366</v>
      </c>
      <c r="D154" s="219">
        <f>'E) Fact soc'!G160/C154</f>
        <v>23.582655367795194</v>
      </c>
      <c r="E154" s="219">
        <f>'H) Péréquation directe'!I165/'H) Péréquation directe'!C165</f>
        <v>13.910142547074631</v>
      </c>
      <c r="F154" s="214">
        <f>'I) Dépenses thématiques'!P154</f>
        <v>-0.47415360828409975</v>
      </c>
      <c r="G154" s="167">
        <f t="shared" si="9"/>
        <v>37.018644306585728</v>
      </c>
      <c r="H154" s="214">
        <f t="shared" si="10"/>
        <v>37.492797914869826</v>
      </c>
      <c r="I154" s="219">
        <f t="shared" si="11"/>
        <v>0</v>
      </c>
      <c r="J154" s="75">
        <f t="shared" si="8"/>
        <v>0</v>
      </c>
    </row>
    <row r="155" spans="1:10" x14ac:dyDescent="0.25">
      <c r="A155" s="61">
        <f>'A) Base RI'!A157</f>
        <v>5649</v>
      </c>
      <c r="B155" s="124" t="str">
        <f>'A) Base RI'!B157</f>
        <v>Tolochenaz</v>
      </c>
      <c r="C155" s="135">
        <f>'B) D RI'!U157</f>
        <v>109360.12415384616</v>
      </c>
      <c r="D155" s="219">
        <f>'E) Fact soc'!G161/C155</f>
        <v>18.571472120435601</v>
      </c>
      <c r="E155" s="219">
        <f>'H) Péréquation directe'!I166/'H) Péréquation directe'!C166</f>
        <v>14.78704920868017</v>
      </c>
      <c r="F155" s="214">
        <f>'I) Dépenses thématiques'!P155</f>
        <v>-0.68008260448639235</v>
      </c>
      <c r="G155" s="167">
        <f t="shared" si="9"/>
        <v>32.67843872462938</v>
      </c>
      <c r="H155" s="214">
        <f t="shared" si="10"/>
        <v>33.358521329115774</v>
      </c>
      <c r="I155" s="219">
        <f t="shared" si="11"/>
        <v>0</v>
      </c>
      <c r="J155" s="75">
        <f t="shared" si="8"/>
        <v>0</v>
      </c>
    </row>
    <row r="156" spans="1:10" x14ac:dyDescent="0.25">
      <c r="A156" s="61">
        <f>'A) Base RI'!A158</f>
        <v>5650</v>
      </c>
      <c r="B156" s="124" t="str">
        <f>'A) Base RI'!B158</f>
        <v>Vaux-sur-Morges</v>
      </c>
      <c r="C156" s="135">
        <f>'B) D RI'!U158</f>
        <v>185061.46846153846</v>
      </c>
      <c r="D156" s="219">
        <f>'E) Fact soc'!G162/C156</f>
        <v>29.478235153962867</v>
      </c>
      <c r="E156" s="219">
        <f>'H) Péréquation directe'!I167/'H) Péréquation directe'!C167</f>
        <v>18.215166741969025</v>
      </c>
      <c r="F156" s="214">
        <f>'I) Dépenses thématiques'!P156</f>
        <v>0</v>
      </c>
      <c r="G156" s="167">
        <f t="shared" si="9"/>
        <v>47.693401895931892</v>
      </c>
      <c r="H156" s="214">
        <f t="shared" si="10"/>
        <v>47.693401895931892</v>
      </c>
      <c r="I156" s="219">
        <f t="shared" si="11"/>
        <v>0</v>
      </c>
      <c r="J156" s="75">
        <f t="shared" si="8"/>
        <v>0</v>
      </c>
    </row>
    <row r="157" spans="1:10" x14ac:dyDescent="0.25">
      <c r="A157" s="61">
        <f>'A) Base RI'!A159</f>
        <v>5651</v>
      </c>
      <c r="B157" s="124" t="str">
        <f>'A) Base RI'!B159</f>
        <v>Villars-Sainte-Croix</v>
      </c>
      <c r="C157" s="135">
        <f>'B) D RI'!U159</f>
        <v>37823.297796610175</v>
      </c>
      <c r="D157" s="219">
        <f>'E) Fact soc'!G163/C157</f>
        <v>21.332481913696558</v>
      </c>
      <c r="E157" s="219">
        <f>'H) Péréquation directe'!I168/'H) Péréquation directe'!C168</f>
        <v>16.634847745159057</v>
      </c>
      <c r="F157" s="214">
        <f>'I) Dépenses thématiques'!P157</f>
        <v>0</v>
      </c>
      <c r="G157" s="167">
        <f t="shared" si="9"/>
        <v>37.967329658855618</v>
      </c>
      <c r="H157" s="214">
        <f t="shared" si="10"/>
        <v>37.967329658855618</v>
      </c>
      <c r="I157" s="219">
        <f t="shared" si="11"/>
        <v>0</v>
      </c>
      <c r="J157" s="75">
        <f t="shared" si="8"/>
        <v>0</v>
      </c>
    </row>
    <row r="158" spans="1:10" x14ac:dyDescent="0.25">
      <c r="A158" s="61">
        <f>'A) Base RI'!A160</f>
        <v>5652</v>
      </c>
      <c r="B158" s="124" t="str">
        <f>'A) Base RI'!B160</f>
        <v>Villars-sous-Yens</v>
      </c>
      <c r="C158" s="135">
        <f>'B) D RI'!U160</f>
        <v>23640.281403508772</v>
      </c>
      <c r="D158" s="219">
        <f>'E) Fact soc'!G164/C158</f>
        <v>15.567608814474838</v>
      </c>
      <c r="E158" s="219">
        <f>'H) Péréquation directe'!I169/'H) Péréquation directe'!C169</f>
        <v>15.193340060532707</v>
      </c>
      <c r="F158" s="214">
        <f>'I) Dépenses thématiques'!P158</f>
        <v>-5.3666010386143892</v>
      </c>
      <c r="G158" s="167">
        <f t="shared" si="9"/>
        <v>25.394347836393152</v>
      </c>
      <c r="H158" s="214">
        <f t="shared" si="10"/>
        <v>30.760948875007543</v>
      </c>
      <c r="I158" s="219">
        <f t="shared" si="11"/>
        <v>0</v>
      </c>
      <c r="J158" s="75">
        <f t="shared" si="8"/>
        <v>0</v>
      </c>
    </row>
    <row r="159" spans="1:10" x14ac:dyDescent="0.25">
      <c r="A159" s="61">
        <f>'A) Base RI'!A161</f>
        <v>5653</v>
      </c>
      <c r="B159" s="124" t="str">
        <f>'A) Base RI'!B161</f>
        <v>Vufflens-le-Château</v>
      </c>
      <c r="C159" s="135">
        <f>'B) D RI'!U161</f>
        <v>59809.956818181818</v>
      </c>
      <c r="D159" s="219">
        <f>'E) Fact soc'!G165/C159</f>
        <v>19.576193892147817</v>
      </c>
      <c r="E159" s="219">
        <f>'H) Péréquation directe'!I170/'H) Péréquation directe'!C170</f>
        <v>16.990922455682878</v>
      </c>
      <c r="F159" s="214">
        <f>'I) Dépenses thématiques'!P159</f>
        <v>0</v>
      </c>
      <c r="G159" s="167">
        <f t="shared" si="9"/>
        <v>36.567116347830691</v>
      </c>
      <c r="H159" s="214">
        <f t="shared" si="10"/>
        <v>36.567116347830691</v>
      </c>
      <c r="I159" s="219">
        <f t="shared" si="11"/>
        <v>0</v>
      </c>
      <c r="J159" s="75">
        <f t="shared" si="8"/>
        <v>0</v>
      </c>
    </row>
    <row r="160" spans="1:10" x14ac:dyDescent="0.25">
      <c r="A160" s="61">
        <f>'A) Base RI'!A162</f>
        <v>5654</v>
      </c>
      <c r="B160" s="124" t="str">
        <f>'A) Base RI'!B162</f>
        <v>Vullierens</v>
      </c>
      <c r="C160" s="135">
        <f>'B) D RI'!U162</f>
        <v>16948.890394736845</v>
      </c>
      <c r="D160" s="219">
        <f>'E) Fact soc'!G166/C160</f>
        <v>18.354739743927819</v>
      </c>
      <c r="E160" s="219">
        <f>'H) Péréquation directe'!I171/'H) Péréquation directe'!C171</f>
        <v>11.577703747482301</v>
      </c>
      <c r="F160" s="214">
        <f>'I) Dépenses thématiques'!P160</f>
        <v>-6.8924951913503554</v>
      </c>
      <c r="G160" s="167">
        <f t="shared" si="9"/>
        <v>23.039948300059763</v>
      </c>
      <c r="H160" s="214">
        <f t="shared" si="10"/>
        <v>29.932443491410119</v>
      </c>
      <c r="I160" s="219">
        <f t="shared" si="11"/>
        <v>0</v>
      </c>
      <c r="J160" s="75">
        <f t="shared" si="8"/>
        <v>0</v>
      </c>
    </row>
    <row r="161" spans="1:10" x14ac:dyDescent="0.25">
      <c r="A161" s="61">
        <f>'A) Base RI'!A163</f>
        <v>5655</v>
      </c>
      <c r="B161" s="124" t="str">
        <f>'A) Base RI'!B163</f>
        <v>Yens</v>
      </c>
      <c r="C161" s="135">
        <f>'B) D RI'!U163</f>
        <v>68107.282191780832</v>
      </c>
      <c r="D161" s="219">
        <f>'E) Fact soc'!G167/C161</f>
        <v>20.482292505317879</v>
      </c>
      <c r="E161" s="219">
        <f>'H) Péréquation directe'!I172/'H) Péréquation directe'!C172</f>
        <v>14.97665828746767</v>
      </c>
      <c r="F161" s="214">
        <f>'I) Dépenses thématiques'!P161</f>
        <v>0</v>
      </c>
      <c r="G161" s="167">
        <f t="shared" si="9"/>
        <v>35.458950792785551</v>
      </c>
      <c r="H161" s="214">
        <f t="shared" si="10"/>
        <v>35.458950792785551</v>
      </c>
      <c r="I161" s="219">
        <f t="shared" si="11"/>
        <v>0</v>
      </c>
      <c r="J161" s="75">
        <f t="shared" si="8"/>
        <v>0</v>
      </c>
    </row>
    <row r="162" spans="1:10" x14ac:dyDescent="0.25">
      <c r="A162" s="61">
        <f>'A) Base RI'!A164</f>
        <v>5661</v>
      </c>
      <c r="B162" s="124" t="str">
        <f>'A) Base RI'!B164</f>
        <v>Boulens</v>
      </c>
      <c r="C162" s="135">
        <f>'B) D RI'!U164</f>
        <v>7277.4751898734185</v>
      </c>
      <c r="D162" s="219">
        <f>'E) Fact soc'!G168/C162</f>
        <v>16.96823278502092</v>
      </c>
      <c r="E162" s="219">
        <f>'H) Péréquation directe'!I173/'H) Péréquation directe'!C173</f>
        <v>-9.4699880991761347</v>
      </c>
      <c r="F162" s="214">
        <f>'I) Dépenses thématiques'!P162</f>
        <v>-6.1802533912423021</v>
      </c>
      <c r="G162" s="167">
        <f t="shared" si="9"/>
        <v>1.317991294602483</v>
      </c>
      <c r="H162" s="214">
        <f t="shared" si="10"/>
        <v>7.4982446858447851</v>
      </c>
      <c r="I162" s="219">
        <f t="shared" si="11"/>
        <v>0</v>
      </c>
      <c r="J162" s="75">
        <f t="shared" si="8"/>
        <v>0</v>
      </c>
    </row>
    <row r="163" spans="1:10" x14ac:dyDescent="0.25">
      <c r="A163" s="61">
        <f>'A) Base RI'!A165</f>
        <v>5662</v>
      </c>
      <c r="B163" s="124" t="str">
        <f>'A) Base RI'!B165</f>
        <v>Brenles</v>
      </c>
      <c r="C163" s="135">
        <f>'B) D RI'!U165</f>
        <v>4680.0413390313388</v>
      </c>
      <c r="D163" s="219">
        <f>'E) Fact soc'!G169/C163</f>
        <v>16.205203425370371</v>
      </c>
      <c r="E163" s="219">
        <f>'H) Péréquation directe'!I174/'H) Péréquation directe'!C174</f>
        <v>7.1620179541090128</v>
      </c>
      <c r="F163" s="214">
        <f>'I) Dépenses thématiques'!P163</f>
        <v>-1.421438481390972</v>
      </c>
      <c r="G163" s="167">
        <f t="shared" si="9"/>
        <v>21.94578289808841</v>
      </c>
      <c r="H163" s="214">
        <f t="shared" si="10"/>
        <v>23.367221379479382</v>
      </c>
      <c r="I163" s="219">
        <f t="shared" si="11"/>
        <v>0</v>
      </c>
      <c r="J163" s="75">
        <f t="shared" si="8"/>
        <v>0</v>
      </c>
    </row>
    <row r="164" spans="1:10" x14ac:dyDescent="0.25">
      <c r="A164" s="61">
        <f>'A) Base RI'!A166</f>
        <v>5663</v>
      </c>
      <c r="B164" s="124" t="str">
        <f>'A) Base RI'!B166</f>
        <v>Bussy-sur-Moudon</v>
      </c>
      <c r="C164" s="135">
        <f>'B) D RI'!U166</f>
        <v>4999.1039999999994</v>
      </c>
      <c r="D164" s="219">
        <f>'E) Fact soc'!G170/C164</f>
        <v>20.523998982514307</v>
      </c>
      <c r="E164" s="219">
        <f>'H) Péréquation directe'!I175/'H) Péréquation directe'!C175</f>
        <v>-3.9593732960784456</v>
      </c>
      <c r="F164" s="214">
        <f>'I) Dépenses thématiques'!P164</f>
        <v>-6.7634850712264862</v>
      </c>
      <c r="G164" s="167">
        <f t="shared" si="9"/>
        <v>9.8011406152093734</v>
      </c>
      <c r="H164" s="214">
        <f t="shared" si="10"/>
        <v>16.564625686435861</v>
      </c>
      <c r="I164" s="219">
        <f t="shared" si="11"/>
        <v>0</v>
      </c>
      <c r="J164" s="75">
        <f t="shared" si="8"/>
        <v>0</v>
      </c>
    </row>
    <row r="165" spans="1:10" x14ac:dyDescent="0.25">
      <c r="A165" s="61">
        <f>'A) Base RI'!A167</f>
        <v>5665</v>
      </c>
      <c r="B165" s="124" t="str">
        <f>'A) Base RI'!B167</f>
        <v>Chavannes-sur-Moudon</v>
      </c>
      <c r="C165" s="135">
        <f>'B) D RI'!U167</f>
        <v>4834.5158333333329</v>
      </c>
      <c r="D165" s="219">
        <f>'E) Fact soc'!G171/C165</f>
        <v>14.370166215682488</v>
      </c>
      <c r="E165" s="219">
        <f>'H) Péréquation directe'!I176/'H) Péréquation directe'!C176</f>
        <v>-7.1561001268929365</v>
      </c>
      <c r="F165" s="214">
        <f>'I) Dépenses thématiques'!P165</f>
        <v>-3.8703088769254617</v>
      </c>
      <c r="G165" s="167">
        <f t="shared" si="9"/>
        <v>3.3437572118640899</v>
      </c>
      <c r="H165" s="214">
        <f t="shared" si="10"/>
        <v>7.2140660887895516</v>
      </c>
      <c r="I165" s="219">
        <f t="shared" si="11"/>
        <v>0</v>
      </c>
      <c r="J165" s="75">
        <f t="shared" si="8"/>
        <v>0</v>
      </c>
    </row>
    <row r="166" spans="1:10" x14ac:dyDescent="0.25">
      <c r="A166" s="61">
        <f>'A) Base RI'!A168</f>
        <v>5666</v>
      </c>
      <c r="B166" s="124" t="str">
        <f>'A) Base RI'!B168</f>
        <v>Chesalles-sur-Moudon</v>
      </c>
      <c r="C166" s="135">
        <f>'B) D RI'!U168</f>
        <v>3561.2682666666665</v>
      </c>
      <c r="D166" s="219">
        <f>'E) Fact soc'!G172/C166</f>
        <v>15.041015705557106</v>
      </c>
      <c r="E166" s="219">
        <f>'H) Péréquation directe'!I177/'H) Péréquation directe'!C177</f>
        <v>-10.153468083119568</v>
      </c>
      <c r="F166" s="214">
        <f>'I) Dépenses thématiques'!P166</f>
        <v>0</v>
      </c>
      <c r="G166" s="167">
        <f t="shared" si="9"/>
        <v>4.8875476224375376</v>
      </c>
      <c r="H166" s="214">
        <f t="shared" si="10"/>
        <v>4.8875476224375376</v>
      </c>
      <c r="I166" s="219">
        <f t="shared" si="11"/>
        <v>0</v>
      </c>
      <c r="J166" s="75">
        <f t="shared" si="8"/>
        <v>0</v>
      </c>
    </row>
    <row r="167" spans="1:10" x14ac:dyDescent="0.25">
      <c r="A167" s="61">
        <f>'A) Base RI'!A169</f>
        <v>5668</v>
      </c>
      <c r="B167" s="124" t="str">
        <f>'A) Base RI'!B169</f>
        <v>Cremin</v>
      </c>
      <c r="C167" s="135">
        <f>'B) D RI'!U169</f>
        <v>902.96818181818162</v>
      </c>
      <c r="D167" s="219">
        <f>'E) Fact soc'!G173/C167</f>
        <v>14.370166215682488</v>
      </c>
      <c r="E167" s="219">
        <f>'H) Péréquation directe'!I178/'H) Péréquation directe'!C178</f>
        <v>-30.371554406880527</v>
      </c>
      <c r="F167" s="214">
        <f>'I) Dépenses thématiques'!P167</f>
        <v>0</v>
      </c>
      <c r="G167" s="167">
        <f t="shared" si="9"/>
        <v>-16.001388191198039</v>
      </c>
      <c r="H167" s="214">
        <f t="shared" si="10"/>
        <v>-16.001388191198039</v>
      </c>
      <c r="I167" s="219">
        <f t="shared" si="11"/>
        <v>-10.501388191198039</v>
      </c>
      <c r="J167" s="75">
        <f t="shared" si="8"/>
        <v>9482.4194015730172</v>
      </c>
    </row>
    <row r="168" spans="1:10" x14ac:dyDescent="0.25">
      <c r="A168" s="61">
        <f>'A) Base RI'!A170</f>
        <v>5669</v>
      </c>
      <c r="B168" s="124" t="str">
        <f>'A) Base RI'!B170</f>
        <v>Curtilles</v>
      </c>
      <c r="C168" s="135">
        <f>'B) D RI'!U170</f>
        <v>8707.7998611111107</v>
      </c>
      <c r="D168" s="219">
        <f>'E) Fact soc'!G174/C168</f>
        <v>19.313725517297758</v>
      </c>
      <c r="E168" s="219">
        <f>'H) Péréquation directe'!I179/'H) Péréquation directe'!C179</f>
        <v>3.4478306865334787</v>
      </c>
      <c r="F168" s="214">
        <f>'I) Dépenses thématiques'!P168</f>
        <v>-1.0961900165295635</v>
      </c>
      <c r="G168" s="167">
        <f t="shared" si="9"/>
        <v>21.665366187301672</v>
      </c>
      <c r="H168" s="214">
        <f t="shared" si="10"/>
        <v>22.761556203831233</v>
      </c>
      <c r="I168" s="219">
        <f t="shared" si="11"/>
        <v>0</v>
      </c>
      <c r="J168" s="75">
        <f t="shared" si="8"/>
        <v>0</v>
      </c>
    </row>
    <row r="169" spans="1:10" x14ac:dyDescent="0.25">
      <c r="A169" s="61">
        <f>'A) Base RI'!A171</f>
        <v>5671</v>
      </c>
      <c r="B169" s="124" t="str">
        <f>'A) Base RI'!B171</f>
        <v>Dompierre</v>
      </c>
      <c r="C169" s="135">
        <f>'B) D RI'!U171</f>
        <v>6226.6947500000006</v>
      </c>
      <c r="D169" s="219">
        <f>'E) Fact soc'!G175/C169</f>
        <v>19.32530714337932</v>
      </c>
      <c r="E169" s="219">
        <f>'H) Péréquation directe'!I180/'H) Péréquation directe'!C180</f>
        <v>-4.0329424524382347</v>
      </c>
      <c r="F169" s="214">
        <f>'I) Dépenses thématiques'!P169</f>
        <v>-10.602183651255395</v>
      </c>
      <c r="G169" s="167">
        <f t="shared" si="9"/>
        <v>4.6901810396856902</v>
      </c>
      <c r="H169" s="214">
        <f t="shared" si="10"/>
        <v>15.292364690941085</v>
      </c>
      <c r="I169" s="219">
        <f t="shared" si="11"/>
        <v>0</v>
      </c>
      <c r="J169" s="75">
        <f t="shared" si="8"/>
        <v>0</v>
      </c>
    </row>
    <row r="170" spans="1:10" x14ac:dyDescent="0.25">
      <c r="A170" s="61">
        <f>'A) Base RI'!A172</f>
        <v>5672</v>
      </c>
      <c r="B170" s="124" t="str">
        <f>'A) Base RI'!B172</f>
        <v>Forel-sur-Lucens</v>
      </c>
      <c r="C170" s="135">
        <f>'B) D RI'!U172</f>
        <v>4324.9200666666666</v>
      </c>
      <c r="D170" s="219">
        <f>'E) Fact soc'!G176/C170</f>
        <v>14.370166215682488</v>
      </c>
      <c r="E170" s="219">
        <f>'H) Péréquation directe'!I181/'H) Péréquation directe'!C181</f>
        <v>2.5845232174501249</v>
      </c>
      <c r="F170" s="214">
        <f>'I) Dépenses thématiques'!P170</f>
        <v>0</v>
      </c>
      <c r="G170" s="167">
        <f t="shared" si="9"/>
        <v>16.954689433132614</v>
      </c>
      <c r="H170" s="214">
        <f t="shared" si="10"/>
        <v>16.954689433132614</v>
      </c>
      <c r="I170" s="219">
        <f t="shared" si="11"/>
        <v>0</v>
      </c>
      <c r="J170" s="75">
        <f t="shared" ref="J170:J225" si="12">-I170*C170</f>
        <v>0</v>
      </c>
    </row>
    <row r="171" spans="1:10" x14ac:dyDescent="0.25">
      <c r="A171" s="61">
        <f>'A) Base RI'!A173</f>
        <v>5673</v>
      </c>
      <c r="B171" s="124" t="str">
        <f>'A) Base RI'!B173</f>
        <v>Hermenches</v>
      </c>
      <c r="C171" s="135">
        <f>'B) D RI'!U173</f>
        <v>8854.2944888888887</v>
      </c>
      <c r="D171" s="219">
        <f>'E) Fact soc'!G177/C171</f>
        <v>17.834154796420204</v>
      </c>
      <c r="E171" s="219">
        <f>'H) Péréquation directe'!I182/'H) Péréquation directe'!C182</f>
        <v>-5.5172258935078586</v>
      </c>
      <c r="F171" s="214">
        <f>'I) Dépenses thématiques'!P171</f>
        <v>-6.7417798811356011</v>
      </c>
      <c r="G171" s="167">
        <f t="shared" ref="G171:G226" si="13">SUM(D171:F171)</f>
        <v>5.5751490217767437</v>
      </c>
      <c r="H171" s="214">
        <f t="shared" ref="H171:H226" si="14">G171-F171</f>
        <v>12.316928902912345</v>
      </c>
      <c r="I171" s="219">
        <f t="shared" ref="I171:I226" si="15">IF(H171&lt;I$4,H171-I$4,0)</f>
        <v>0</v>
      </c>
      <c r="J171" s="75">
        <f t="shared" si="12"/>
        <v>0</v>
      </c>
    </row>
    <row r="172" spans="1:10" x14ac:dyDescent="0.25">
      <c r="A172" s="61">
        <f>'A) Base RI'!A174</f>
        <v>5674</v>
      </c>
      <c r="B172" s="124" t="str">
        <f>'A) Base RI'!B174</f>
        <v>Lovatens</v>
      </c>
      <c r="C172" s="135">
        <f>'B) D RI'!U174</f>
        <v>3347.4317333333333</v>
      </c>
      <c r="D172" s="219">
        <f>'E) Fact soc'!G178/C172</f>
        <v>14.698328247804387</v>
      </c>
      <c r="E172" s="219">
        <f>'H) Péréquation directe'!I183/'H) Péréquation directe'!C183</f>
        <v>-7.6313379991629882</v>
      </c>
      <c r="F172" s="214">
        <f>'I) Dépenses thématiques'!P172</f>
        <v>-3.6148046603196691</v>
      </c>
      <c r="G172" s="167">
        <f t="shared" si="13"/>
        <v>3.4521855883217296</v>
      </c>
      <c r="H172" s="214">
        <f t="shared" si="14"/>
        <v>7.0669902486413987</v>
      </c>
      <c r="I172" s="219">
        <f t="shared" si="15"/>
        <v>0</v>
      </c>
      <c r="J172" s="75">
        <f t="shared" si="12"/>
        <v>0</v>
      </c>
    </row>
    <row r="173" spans="1:10" x14ac:dyDescent="0.25">
      <c r="A173" s="61">
        <f>'A) Base RI'!A175</f>
        <v>5675</v>
      </c>
      <c r="B173" s="124" t="str">
        <f>'A) Base RI'!B175</f>
        <v>Lucens</v>
      </c>
      <c r="C173" s="135">
        <f>'B) D RI'!U175</f>
        <v>76574.855468319569</v>
      </c>
      <c r="D173" s="219">
        <f>'E) Fact soc'!G179/C173</f>
        <v>20.110520308572116</v>
      </c>
      <c r="E173" s="219">
        <f>'H) Péréquation directe'!I184/'H) Péréquation directe'!C184</f>
        <v>-8.793870713071076</v>
      </c>
      <c r="F173" s="214">
        <f>'I) Dépenses thématiques'!P173</f>
        <v>-4.0387800785769645</v>
      </c>
      <c r="G173" s="167">
        <f t="shared" si="13"/>
        <v>7.2778695169240759</v>
      </c>
      <c r="H173" s="214">
        <f t="shared" si="14"/>
        <v>11.31664959550104</v>
      </c>
      <c r="I173" s="219">
        <f t="shared" si="15"/>
        <v>0</v>
      </c>
      <c r="J173" s="75">
        <f t="shared" si="12"/>
        <v>0</v>
      </c>
    </row>
    <row r="174" spans="1:10" x14ac:dyDescent="0.25">
      <c r="A174" s="61">
        <f>'A) Base RI'!A176</f>
        <v>5678</v>
      </c>
      <c r="B174" s="124" t="str">
        <f>'A) Base RI'!B176</f>
        <v>Moudon</v>
      </c>
      <c r="C174" s="135">
        <f>'B) D RI'!U176</f>
        <v>122060.45639999998</v>
      </c>
      <c r="D174" s="219">
        <f>'E) Fact soc'!G180/C174</f>
        <v>17.592624713715761</v>
      </c>
      <c r="E174" s="219">
        <f>'H) Péréquation directe'!I185/'H) Péréquation directe'!C185</f>
        <v>-23.622093385426254</v>
      </c>
      <c r="F174" s="214">
        <f>'I) Dépenses thématiques'!P174</f>
        <v>-9.5523963201467943</v>
      </c>
      <c r="G174" s="167">
        <f t="shared" si="13"/>
        <v>-15.581864991857287</v>
      </c>
      <c r="H174" s="214">
        <f t="shared" si="14"/>
        <v>-6.0294686717104931</v>
      </c>
      <c r="I174" s="219">
        <f t="shared" si="15"/>
        <v>-0.52946867171049306</v>
      </c>
      <c r="J174" s="75">
        <f t="shared" si="12"/>
        <v>64627.187718484543</v>
      </c>
    </row>
    <row r="175" spans="1:10" x14ac:dyDescent="0.25">
      <c r="A175" s="61">
        <f>'A) Base RI'!A177</f>
        <v>5680</v>
      </c>
      <c r="B175" s="124" t="str">
        <f>'A) Base RI'!B177</f>
        <v>Ogens</v>
      </c>
      <c r="C175" s="135">
        <f>'B) D RI'!U177</f>
        <v>8163.3689316239324</v>
      </c>
      <c r="D175" s="219">
        <f>'E) Fact soc'!G181/C175</f>
        <v>15.18487887361904</v>
      </c>
      <c r="E175" s="219">
        <f>'H) Péréquation directe'!I186/'H) Péréquation directe'!C186</f>
        <v>2.6603855005681978</v>
      </c>
      <c r="F175" s="214">
        <f>'I) Dépenses thématiques'!P175</f>
        <v>0</v>
      </c>
      <c r="G175" s="167">
        <f t="shared" si="13"/>
        <v>17.845264374187238</v>
      </c>
      <c r="H175" s="214">
        <f t="shared" si="14"/>
        <v>17.845264374187238</v>
      </c>
      <c r="I175" s="219">
        <f t="shared" si="15"/>
        <v>0</v>
      </c>
      <c r="J175" s="75">
        <f t="shared" si="12"/>
        <v>0</v>
      </c>
    </row>
    <row r="176" spans="1:10" x14ac:dyDescent="0.25">
      <c r="A176" s="61">
        <f>'A) Base RI'!A178</f>
        <v>5683</v>
      </c>
      <c r="B176" s="124" t="str">
        <f>'A) Base RI'!B178</f>
        <v>Prévonloup</v>
      </c>
      <c r="C176" s="135">
        <f>'B) D RI'!U178</f>
        <v>3618.5018918918922</v>
      </c>
      <c r="D176" s="219">
        <f>'E) Fact soc'!G182/C176</f>
        <v>16.486663658218248</v>
      </c>
      <c r="E176" s="219">
        <f>'H) Péréquation directe'!I187/'H) Péréquation directe'!C187</f>
        <v>-9.6015092607020858</v>
      </c>
      <c r="F176" s="214">
        <f>'I) Dépenses thématiques'!P176</f>
        <v>-4.7198952784179857</v>
      </c>
      <c r="G176" s="167">
        <f t="shared" si="13"/>
        <v>2.1652591190981765</v>
      </c>
      <c r="H176" s="214">
        <f t="shared" si="14"/>
        <v>6.8851543975161622</v>
      </c>
      <c r="I176" s="219">
        <f t="shared" si="15"/>
        <v>0</v>
      </c>
      <c r="J176" s="75">
        <f t="shared" si="12"/>
        <v>0</v>
      </c>
    </row>
    <row r="177" spans="1:10" x14ac:dyDescent="0.25">
      <c r="A177" s="61">
        <f>'A) Base RI'!A179</f>
        <v>5684</v>
      </c>
      <c r="B177" s="124" t="str">
        <f>'A) Base RI'!B179</f>
        <v>Rossenges</v>
      </c>
      <c r="C177" s="135">
        <f>'B) D RI'!U179</f>
        <v>2611.7396666666664</v>
      </c>
      <c r="D177" s="219">
        <f>'E) Fact soc'!G183/C177</f>
        <v>14.370166215682488</v>
      </c>
      <c r="E177" s="219">
        <f>'H) Péréquation directe'!I188/'H) Péréquation directe'!C188</f>
        <v>14.800243969699494</v>
      </c>
      <c r="F177" s="214">
        <f>'I) Dépenses thématiques'!P177</f>
        <v>0</v>
      </c>
      <c r="G177" s="167">
        <f t="shared" si="13"/>
        <v>29.170410185381982</v>
      </c>
      <c r="H177" s="214">
        <f t="shared" si="14"/>
        <v>29.170410185381982</v>
      </c>
      <c r="I177" s="219">
        <f t="shared" si="15"/>
        <v>0</v>
      </c>
      <c r="J177" s="75">
        <f t="shared" si="12"/>
        <v>0</v>
      </c>
    </row>
    <row r="178" spans="1:10" x14ac:dyDescent="0.25">
      <c r="A178" s="61">
        <f>'A) Base RI'!A180</f>
        <v>5686</v>
      </c>
      <c r="B178" s="124" t="str">
        <f>'A) Base RI'!B180</f>
        <v>Sarzens</v>
      </c>
      <c r="C178" s="135">
        <f>'B) D RI'!U180</f>
        <v>1857.3194594594593</v>
      </c>
      <c r="D178" s="219">
        <f>'E) Fact soc'!G184/C178</f>
        <v>19.119928005486511</v>
      </c>
      <c r="E178" s="219">
        <f>'H) Péréquation directe'!I189/'H) Péréquation directe'!C189</f>
        <v>-4.9208837921399047</v>
      </c>
      <c r="F178" s="214">
        <f>'I) Dépenses thématiques'!P178</f>
        <v>0</v>
      </c>
      <c r="G178" s="167">
        <f t="shared" si="13"/>
        <v>14.199044213346607</v>
      </c>
      <c r="H178" s="214">
        <f t="shared" si="14"/>
        <v>14.199044213346607</v>
      </c>
      <c r="I178" s="219">
        <f t="shared" si="15"/>
        <v>0</v>
      </c>
      <c r="J178" s="75">
        <f t="shared" si="12"/>
        <v>0</v>
      </c>
    </row>
    <row r="179" spans="1:10" x14ac:dyDescent="0.25">
      <c r="A179" s="61">
        <f>'A) Base RI'!A181</f>
        <v>5688</v>
      </c>
      <c r="B179" s="124" t="str">
        <f>'A) Base RI'!B181</f>
        <v>Syens</v>
      </c>
      <c r="C179" s="135">
        <f>'B) D RI'!U181</f>
        <v>5385.636772486775</v>
      </c>
      <c r="D179" s="219">
        <f>'E) Fact soc'!G185/C179</f>
        <v>16.99504152703263</v>
      </c>
      <c r="E179" s="219">
        <f>'H) Péréquation directe'!I190/'H) Péréquation directe'!C190</f>
        <v>13.074028349251503</v>
      </c>
      <c r="F179" s="214">
        <f>'I) Dépenses thématiques'!P179</f>
        <v>-1.3779237776679454</v>
      </c>
      <c r="G179" s="167">
        <f t="shared" si="13"/>
        <v>28.691146098616187</v>
      </c>
      <c r="H179" s="214">
        <f t="shared" si="14"/>
        <v>30.069069876284132</v>
      </c>
      <c r="I179" s="219">
        <f t="shared" si="15"/>
        <v>0</v>
      </c>
      <c r="J179" s="75">
        <f t="shared" si="12"/>
        <v>0</v>
      </c>
    </row>
    <row r="180" spans="1:10" x14ac:dyDescent="0.25">
      <c r="A180" s="61">
        <f>'A) Base RI'!A182</f>
        <v>5690</v>
      </c>
      <c r="B180" s="124" t="str">
        <f>'A) Base RI'!B182</f>
        <v>Villars-le-Comte</v>
      </c>
      <c r="C180" s="135">
        <f>'B) D RI'!U182</f>
        <v>3468.3659210526316</v>
      </c>
      <c r="D180" s="219">
        <f>'E) Fact soc'!G186/C180</f>
        <v>16.305263363091623</v>
      </c>
      <c r="E180" s="219">
        <f>'H) Péréquation directe'!I191/'H) Péréquation directe'!C191</f>
        <v>-6.1628327367442077</v>
      </c>
      <c r="F180" s="214">
        <f>'I) Dépenses thématiques'!P180</f>
        <v>-0.46737809657406088</v>
      </c>
      <c r="G180" s="167">
        <f t="shared" si="13"/>
        <v>9.6750525297733549</v>
      </c>
      <c r="H180" s="214">
        <f t="shared" si="14"/>
        <v>10.142430626347416</v>
      </c>
      <c r="I180" s="219">
        <f t="shared" si="15"/>
        <v>0</v>
      </c>
      <c r="J180" s="75">
        <f t="shared" si="12"/>
        <v>0</v>
      </c>
    </row>
    <row r="181" spans="1:10" x14ac:dyDescent="0.25">
      <c r="A181" s="61">
        <f>'A) Base RI'!A183</f>
        <v>5692</v>
      </c>
      <c r="B181" s="124" t="str">
        <f>'A) Base RI'!B183</f>
        <v>Vucherens</v>
      </c>
      <c r="C181" s="135">
        <f>'B) D RI'!U183</f>
        <v>15125.888354430383</v>
      </c>
      <c r="D181" s="219">
        <f>'E) Fact soc'!G187/C181</f>
        <v>17.0527448549804</v>
      </c>
      <c r="E181" s="219">
        <f>'H) Péréquation directe'!I192/'H) Péréquation directe'!C192</f>
        <v>0.88453301784847616</v>
      </c>
      <c r="F181" s="214">
        <f>'I) Dépenses thématiques'!P181</f>
        <v>-4.2407165109239973</v>
      </c>
      <c r="G181" s="167">
        <f t="shared" si="13"/>
        <v>13.696561361904878</v>
      </c>
      <c r="H181" s="214">
        <f t="shared" si="14"/>
        <v>17.937277872828876</v>
      </c>
      <c r="I181" s="219">
        <f t="shared" si="15"/>
        <v>0</v>
      </c>
      <c r="J181" s="75">
        <f t="shared" si="12"/>
        <v>0</v>
      </c>
    </row>
    <row r="182" spans="1:10" x14ac:dyDescent="0.25">
      <c r="A182" s="61">
        <f>'A) Base RI'!A184</f>
        <v>5693</v>
      </c>
      <c r="B182" s="124" t="str">
        <f>'A) Base RI'!B184</f>
        <v>Montanaire</v>
      </c>
      <c r="C182" s="135">
        <f>'B) D RI'!U184</f>
        <v>62987.795555555575</v>
      </c>
      <c r="D182" s="219">
        <f>'E) Fact soc'!G188/C182</f>
        <v>17.420152063028997</v>
      </c>
      <c r="E182" s="219">
        <f>'H) Péréquation directe'!I193/'H) Péréquation directe'!C193</f>
        <v>-4.8526173784448074</v>
      </c>
      <c r="F182" s="214">
        <f>'I) Dépenses thématiques'!P182</f>
        <v>-6.9024195535482598</v>
      </c>
      <c r="G182" s="167">
        <f>SUM(D182:F182)</f>
        <v>5.6651151310359289</v>
      </c>
      <c r="H182" s="214">
        <f>G182-F182</f>
        <v>12.567534684584189</v>
      </c>
      <c r="I182" s="219">
        <f t="shared" si="15"/>
        <v>0</v>
      </c>
      <c r="J182" s="75">
        <f>-I182*C182</f>
        <v>0</v>
      </c>
    </row>
    <row r="183" spans="1:10" x14ac:dyDescent="0.25">
      <c r="A183" s="61">
        <f>'A) Base RI'!A185</f>
        <v>5701</v>
      </c>
      <c r="B183" s="124" t="str">
        <f>'A) Base RI'!B185</f>
        <v>Arnex-sur-Nyon</v>
      </c>
      <c r="C183" s="135">
        <f>'B) D RI'!U185</f>
        <v>14386.456307692306</v>
      </c>
      <c r="D183" s="219">
        <f>'E) Fact soc'!G189/C183</f>
        <v>19.787144768979246</v>
      </c>
      <c r="E183" s="219">
        <f>'H) Péréquation directe'!I194/'H) Péréquation directe'!C194</f>
        <v>16.944322402500546</v>
      </c>
      <c r="F183" s="214">
        <f>'I) Dépenses thématiques'!P183</f>
        <v>0</v>
      </c>
      <c r="G183" s="167">
        <f>SUM(D183:F183)</f>
        <v>36.731467171479792</v>
      </c>
      <c r="H183" s="214">
        <f>G183-F183</f>
        <v>36.731467171479792</v>
      </c>
      <c r="I183" s="219">
        <f t="shared" si="15"/>
        <v>0</v>
      </c>
      <c r="J183" s="75">
        <f>-I183*C183</f>
        <v>0</v>
      </c>
    </row>
    <row r="184" spans="1:10" x14ac:dyDescent="0.25">
      <c r="A184" s="61">
        <f>'A) Base RI'!A186</f>
        <v>5702</v>
      </c>
      <c r="B184" s="124" t="str">
        <f>'A) Base RI'!B186</f>
        <v>Arzier-Le Muids</v>
      </c>
      <c r="C184" s="135">
        <f>'B) D RI'!U186</f>
        <v>137336.67807291666</v>
      </c>
      <c r="D184" s="219">
        <f>'E) Fact soc'!G190/C184</f>
        <v>17.571685767266196</v>
      </c>
      <c r="E184" s="219">
        <f>'H) Péréquation directe'!I195/'H) Péréquation directe'!C195</f>
        <v>13.970281775283743</v>
      </c>
      <c r="F184" s="214">
        <f>'I) Dépenses thématiques'!P184</f>
        <v>-1.9343857843833794</v>
      </c>
      <c r="G184" s="167">
        <f t="shared" si="13"/>
        <v>29.60758175816656</v>
      </c>
      <c r="H184" s="214">
        <f t="shared" si="14"/>
        <v>31.541967542549941</v>
      </c>
      <c r="I184" s="219">
        <f t="shared" si="15"/>
        <v>0</v>
      </c>
      <c r="J184" s="75">
        <f t="shared" si="12"/>
        <v>0</v>
      </c>
    </row>
    <row r="185" spans="1:10" x14ac:dyDescent="0.25">
      <c r="A185" s="61">
        <f>'A) Base RI'!A187</f>
        <v>5703</v>
      </c>
      <c r="B185" s="124" t="str">
        <f>'A) Base RI'!B187</f>
        <v>Bassins</v>
      </c>
      <c r="C185" s="135">
        <f>'B) D RI'!U187</f>
        <v>51617.647746478862</v>
      </c>
      <c r="D185" s="219">
        <f>'E) Fact soc'!G191/C185</f>
        <v>16.620102915053341</v>
      </c>
      <c r="E185" s="219">
        <f>'H) Péréquation directe'!I196/'H) Péréquation directe'!C196</f>
        <v>12.107936321374089</v>
      </c>
      <c r="F185" s="214">
        <f>'I) Dépenses thématiques'!P185</f>
        <v>-6.527979098858486</v>
      </c>
      <c r="G185" s="167">
        <f t="shared" si="13"/>
        <v>22.20006013756894</v>
      </c>
      <c r="H185" s="214">
        <f t="shared" si="14"/>
        <v>28.728039236427428</v>
      </c>
      <c r="I185" s="219">
        <f t="shared" si="15"/>
        <v>0</v>
      </c>
      <c r="J185" s="75">
        <f t="shared" si="12"/>
        <v>0</v>
      </c>
    </row>
    <row r="186" spans="1:10" x14ac:dyDescent="0.25">
      <c r="A186" s="61">
        <f>'A) Base RI'!A188</f>
        <v>5704</v>
      </c>
      <c r="B186" s="124" t="str">
        <f>'A) Base RI'!B188</f>
        <v>Begnins</v>
      </c>
      <c r="C186" s="135">
        <f>'B) D RI'!U188</f>
        <v>109192.54039800997</v>
      </c>
      <c r="D186" s="219">
        <f>'E) Fact soc'!G192/C186</f>
        <v>34.122473426471352</v>
      </c>
      <c r="E186" s="219">
        <f>'H) Péréquation directe'!I197/'H) Péréquation directe'!C197</f>
        <v>14.920425244027999</v>
      </c>
      <c r="F186" s="214">
        <f>'I) Dépenses thématiques'!P186</f>
        <v>0</v>
      </c>
      <c r="G186" s="167">
        <f t="shared" si="13"/>
        <v>49.042898670499355</v>
      </c>
      <c r="H186" s="214">
        <f t="shared" si="14"/>
        <v>49.042898670499355</v>
      </c>
      <c r="I186" s="219">
        <f t="shared" si="15"/>
        <v>0</v>
      </c>
      <c r="J186" s="75">
        <f t="shared" si="12"/>
        <v>0</v>
      </c>
    </row>
    <row r="187" spans="1:10" x14ac:dyDescent="0.25">
      <c r="A187" s="61">
        <f>'A) Base RI'!A189</f>
        <v>5705</v>
      </c>
      <c r="B187" s="124" t="str">
        <f>'A) Base RI'!B189</f>
        <v>Bogis-Bossey</v>
      </c>
      <c r="C187" s="135">
        <f>'B) D RI'!U189</f>
        <v>49393.857499999991</v>
      </c>
      <c r="D187" s="219">
        <f>'E) Fact soc'!G193/C187</f>
        <v>19.383531659850867</v>
      </c>
      <c r="E187" s="219">
        <f>'H) Péréquation directe'!I198/'H) Péréquation directe'!C198</f>
        <v>16.780381462665073</v>
      </c>
      <c r="F187" s="214">
        <f>'I) Dépenses thématiques'!P187</f>
        <v>0</v>
      </c>
      <c r="G187" s="167">
        <f t="shared" si="13"/>
        <v>36.163913122515936</v>
      </c>
      <c r="H187" s="214">
        <f t="shared" si="14"/>
        <v>36.163913122515936</v>
      </c>
      <c r="I187" s="219">
        <f t="shared" si="15"/>
        <v>0</v>
      </c>
      <c r="J187" s="75">
        <f t="shared" si="12"/>
        <v>0</v>
      </c>
    </row>
    <row r="188" spans="1:10" x14ac:dyDescent="0.25">
      <c r="A188" s="61">
        <f>'A) Base RI'!A190</f>
        <v>5706</v>
      </c>
      <c r="B188" s="124" t="str">
        <f>'A) Base RI'!B190</f>
        <v>Borex</v>
      </c>
      <c r="C188" s="135">
        <f>'B) D RI'!U190</f>
        <v>61064.931696969696</v>
      </c>
      <c r="D188" s="219">
        <f>'E) Fact soc'!G194/C188</f>
        <v>21.381169640403691</v>
      </c>
      <c r="E188" s="219">
        <f>'H) Péréquation directe'!I199/'H) Péréquation directe'!C199</f>
        <v>16.552868496283057</v>
      </c>
      <c r="F188" s="214">
        <f>'I) Dépenses thématiques'!P188</f>
        <v>0</v>
      </c>
      <c r="G188" s="167">
        <f t="shared" si="13"/>
        <v>37.934038136686752</v>
      </c>
      <c r="H188" s="214">
        <f t="shared" si="14"/>
        <v>37.934038136686752</v>
      </c>
      <c r="I188" s="219">
        <f t="shared" si="15"/>
        <v>0</v>
      </c>
      <c r="J188" s="75">
        <f t="shared" si="12"/>
        <v>0</v>
      </c>
    </row>
    <row r="189" spans="1:10" x14ac:dyDescent="0.25">
      <c r="A189" s="61">
        <f>'A) Base RI'!A191</f>
        <v>5707</v>
      </c>
      <c r="B189" s="124" t="str">
        <f>'A) Base RI'!B191</f>
        <v>Chavannes-de-Bogis</v>
      </c>
      <c r="C189" s="135">
        <f>'B) D RI'!U191</f>
        <v>90099.169661016946</v>
      </c>
      <c r="D189" s="219">
        <f>'E) Fact soc'!G195/C189</f>
        <v>21.717865100799184</v>
      </c>
      <c r="E189" s="219">
        <f>'H) Péréquation directe'!I200/'H) Péréquation directe'!C200</f>
        <v>16.56889290965216</v>
      </c>
      <c r="F189" s="214">
        <f>'I) Dépenses thématiques'!P189</f>
        <v>0</v>
      </c>
      <c r="G189" s="167">
        <f t="shared" si="13"/>
        <v>38.286758010451344</v>
      </c>
      <c r="H189" s="214">
        <f t="shared" si="14"/>
        <v>38.286758010451344</v>
      </c>
      <c r="I189" s="219">
        <f t="shared" si="15"/>
        <v>0</v>
      </c>
      <c r="J189" s="75">
        <f t="shared" si="12"/>
        <v>0</v>
      </c>
    </row>
    <row r="190" spans="1:10" x14ac:dyDescent="0.25">
      <c r="A190" s="61">
        <f>'A) Base RI'!A192</f>
        <v>5708</v>
      </c>
      <c r="B190" s="124" t="str">
        <f>'A) Base RI'!B192</f>
        <v>Chavannes-des-Bois</v>
      </c>
      <c r="C190" s="135">
        <f>'B) D RI'!U192</f>
        <v>61956.418196721308</v>
      </c>
      <c r="D190" s="219">
        <f>'E) Fact soc'!G196/C190</f>
        <v>23.126862883746934</v>
      </c>
      <c r="E190" s="219">
        <f>'H) Péréquation directe'!I201/'H) Péréquation directe'!C201</f>
        <v>17.03755485699967</v>
      </c>
      <c r="F190" s="214">
        <f>'I) Dépenses thématiques'!P190</f>
        <v>0</v>
      </c>
      <c r="G190" s="167">
        <f t="shared" si="13"/>
        <v>40.1644177407466</v>
      </c>
      <c r="H190" s="214">
        <f t="shared" si="14"/>
        <v>40.1644177407466</v>
      </c>
      <c r="I190" s="219">
        <f t="shared" si="15"/>
        <v>0</v>
      </c>
      <c r="J190" s="75">
        <f t="shared" si="12"/>
        <v>0</v>
      </c>
    </row>
    <row r="191" spans="1:10" x14ac:dyDescent="0.25">
      <c r="A191" s="61">
        <f>'A) Base RI'!A193</f>
        <v>5709</v>
      </c>
      <c r="B191" s="124" t="str">
        <f>'A) Base RI'!B193</f>
        <v>Chéserex</v>
      </c>
      <c r="C191" s="135">
        <f>'B) D RI'!U193</f>
        <v>139220.21615384615</v>
      </c>
      <c r="D191" s="219">
        <f>'E) Fact soc'!G197/C191</f>
        <v>24.589031989467145</v>
      </c>
      <c r="E191" s="219">
        <f>'H) Péréquation directe'!I202/'H) Péréquation directe'!C202</f>
        <v>16.949105090955566</v>
      </c>
      <c r="F191" s="214">
        <f>'I) Dépenses thématiques'!P191</f>
        <v>0</v>
      </c>
      <c r="G191" s="167">
        <f t="shared" si="13"/>
        <v>41.538137080422715</v>
      </c>
      <c r="H191" s="214">
        <f t="shared" si="14"/>
        <v>41.538137080422715</v>
      </c>
      <c r="I191" s="219">
        <f t="shared" si="15"/>
        <v>0</v>
      </c>
      <c r="J191" s="75">
        <f t="shared" si="12"/>
        <v>0</v>
      </c>
    </row>
    <row r="192" spans="1:10" x14ac:dyDescent="0.25">
      <c r="A192" s="61">
        <f>'A) Base RI'!A194</f>
        <v>5710</v>
      </c>
      <c r="B192" s="124" t="str">
        <f>'A) Base RI'!B194</f>
        <v>Coinsins</v>
      </c>
      <c r="C192" s="135">
        <f>'B) D RI'!U194</f>
        <v>112738.70512195122</v>
      </c>
      <c r="D192" s="219">
        <f>'E) Fact soc'!G198/C192</f>
        <v>28.029780144271765</v>
      </c>
      <c r="E192" s="219">
        <f>'H) Péréquation directe'!I203/'H) Péréquation directe'!C203</f>
        <v>17.771640302795539</v>
      </c>
      <c r="F192" s="214">
        <f>'I) Dépenses thématiques'!P192</f>
        <v>0</v>
      </c>
      <c r="G192" s="167">
        <f t="shared" si="13"/>
        <v>45.801420447067301</v>
      </c>
      <c r="H192" s="214">
        <f t="shared" si="14"/>
        <v>45.801420447067301</v>
      </c>
      <c r="I192" s="219">
        <f t="shared" si="15"/>
        <v>0</v>
      </c>
      <c r="J192" s="75">
        <f t="shared" si="12"/>
        <v>0</v>
      </c>
    </row>
    <row r="193" spans="1:10" x14ac:dyDescent="0.25">
      <c r="A193" s="61">
        <f>'A) Base RI'!A195</f>
        <v>5711</v>
      </c>
      <c r="B193" s="124" t="str">
        <f>'A) Base RI'!B195</f>
        <v>Commugny</v>
      </c>
      <c r="C193" s="135">
        <f>'B) D RI'!U195</f>
        <v>236913.245596817</v>
      </c>
      <c r="D193" s="219">
        <f>'E) Fact soc'!G199/C193</f>
        <v>23.749359801386472</v>
      </c>
      <c r="E193" s="219">
        <f>'H) Péréquation directe'!I204/'H) Péréquation directe'!C204</f>
        <v>15.190610912622869</v>
      </c>
      <c r="F193" s="214">
        <f>'I) Dépenses thématiques'!P193</f>
        <v>0</v>
      </c>
      <c r="G193" s="167">
        <f t="shared" si="13"/>
        <v>38.939970714009341</v>
      </c>
      <c r="H193" s="214">
        <f t="shared" si="14"/>
        <v>38.939970714009341</v>
      </c>
      <c r="I193" s="219">
        <f t="shared" si="15"/>
        <v>0</v>
      </c>
      <c r="J193" s="75">
        <f t="shared" si="12"/>
        <v>0</v>
      </c>
    </row>
    <row r="194" spans="1:10" x14ac:dyDescent="0.25">
      <c r="A194" s="61">
        <f>'A) Base RI'!A196</f>
        <v>5712</v>
      </c>
      <c r="B194" s="124" t="str">
        <f>'A) Base RI'!B196</f>
        <v>Coppet</v>
      </c>
      <c r="C194" s="135">
        <f>'B) D RI'!U196</f>
        <v>309642.37182389939</v>
      </c>
      <c r="D194" s="219">
        <f>'E) Fact soc'!G200/C194</f>
        <v>26.748320492087586</v>
      </c>
      <c r="E194" s="219">
        <f>'H) Péréquation directe'!I205/'H) Péréquation directe'!C205</f>
        <v>15.30270283968424</v>
      </c>
      <c r="F194" s="214">
        <f>'I) Dépenses thématiques'!P194</f>
        <v>0</v>
      </c>
      <c r="G194" s="167">
        <f t="shared" si="13"/>
        <v>42.05102333177183</v>
      </c>
      <c r="H194" s="214">
        <f t="shared" si="14"/>
        <v>42.05102333177183</v>
      </c>
      <c r="I194" s="219">
        <f t="shared" si="15"/>
        <v>0</v>
      </c>
      <c r="J194" s="75">
        <f t="shared" si="12"/>
        <v>0</v>
      </c>
    </row>
    <row r="195" spans="1:10" x14ac:dyDescent="0.25">
      <c r="A195" s="61">
        <f>'A) Base RI'!A197</f>
        <v>5713</v>
      </c>
      <c r="B195" s="124" t="str">
        <f>'A) Base RI'!B197</f>
        <v>Crans-près-Céligny</v>
      </c>
      <c r="C195" s="135">
        <f>'B) D RI'!U197</f>
        <v>259331.62150943396</v>
      </c>
      <c r="D195" s="219">
        <f>'E) Fact soc'!G201/C195</f>
        <v>27.586759442225208</v>
      </c>
      <c r="E195" s="219">
        <f>'H) Péréquation directe'!I206/'H) Péréquation directe'!C206</f>
        <v>16.031604733889608</v>
      </c>
      <c r="F195" s="214">
        <f>'I) Dépenses thématiques'!P195</f>
        <v>0</v>
      </c>
      <c r="G195" s="167">
        <f t="shared" si="13"/>
        <v>43.618364176114817</v>
      </c>
      <c r="H195" s="214">
        <f t="shared" si="14"/>
        <v>43.618364176114817</v>
      </c>
      <c r="I195" s="219">
        <f t="shared" si="15"/>
        <v>0</v>
      </c>
      <c r="J195" s="75">
        <f t="shared" si="12"/>
        <v>0</v>
      </c>
    </row>
    <row r="196" spans="1:10" x14ac:dyDescent="0.25">
      <c r="A196" s="61">
        <f>'A) Base RI'!A198</f>
        <v>5714</v>
      </c>
      <c r="B196" s="124" t="str">
        <f>'A) Base RI'!B198</f>
        <v>Crassier</v>
      </c>
      <c r="C196" s="135">
        <f>'B) D RI'!U198</f>
        <v>74990.560937499991</v>
      </c>
      <c r="D196" s="219">
        <f>'E) Fact soc'!G202/C196</f>
        <v>19.599771726969564</v>
      </c>
      <c r="E196" s="219">
        <f>'H) Péréquation directe'!I207/'H) Péréquation directe'!C207</f>
        <v>16.39593346456304</v>
      </c>
      <c r="F196" s="214">
        <f>'I) Dépenses thématiques'!P196</f>
        <v>0</v>
      </c>
      <c r="G196" s="167">
        <f t="shared" si="13"/>
        <v>35.995705191532608</v>
      </c>
      <c r="H196" s="214">
        <f t="shared" si="14"/>
        <v>35.995705191532608</v>
      </c>
      <c r="I196" s="219">
        <f t="shared" si="15"/>
        <v>0</v>
      </c>
      <c r="J196" s="75">
        <f t="shared" si="12"/>
        <v>0</v>
      </c>
    </row>
    <row r="197" spans="1:10" x14ac:dyDescent="0.25">
      <c r="A197" s="61">
        <f>'A) Base RI'!A199</f>
        <v>5715</v>
      </c>
      <c r="B197" s="124" t="str">
        <f>'A) Base RI'!B199</f>
        <v>Duillier</v>
      </c>
      <c r="C197" s="135">
        <f>'B) D RI'!U199</f>
        <v>58313.27166666666</v>
      </c>
      <c r="D197" s="219">
        <f>'E) Fact soc'!G203/C197</f>
        <v>20.731741994897146</v>
      </c>
      <c r="E197" s="219">
        <f>'H) Péréquation directe'!I208/'H) Péréquation directe'!C208</f>
        <v>16.759704740794533</v>
      </c>
      <c r="F197" s="214">
        <f>'I) Dépenses thématiques'!P197</f>
        <v>0</v>
      </c>
      <c r="G197" s="167">
        <f t="shared" si="13"/>
        <v>37.491446735691682</v>
      </c>
      <c r="H197" s="214">
        <f t="shared" si="14"/>
        <v>37.491446735691682</v>
      </c>
      <c r="I197" s="219">
        <f t="shared" si="15"/>
        <v>0</v>
      </c>
      <c r="J197" s="75">
        <f t="shared" si="12"/>
        <v>0</v>
      </c>
    </row>
    <row r="198" spans="1:10" x14ac:dyDescent="0.25">
      <c r="A198" s="61">
        <f>'A) Base RI'!A200</f>
        <v>5716</v>
      </c>
      <c r="B198" s="124" t="str">
        <f>'A) Base RI'!B200</f>
        <v>Eysins</v>
      </c>
      <c r="C198" s="135">
        <f>'B) D RI'!U200</f>
        <v>124360.51655737706</v>
      </c>
      <c r="D198" s="219">
        <f>'E) Fact soc'!G204/C198</f>
        <v>24.16742818551937</v>
      </c>
      <c r="E198" s="219">
        <f>'H) Péréquation directe'!I209/'H) Péréquation directe'!C209</f>
        <v>16.031501508661165</v>
      </c>
      <c r="F198" s="214">
        <f>'I) Dépenses thématiques'!P198</f>
        <v>0</v>
      </c>
      <c r="G198" s="167">
        <f t="shared" si="13"/>
        <v>40.198929694180535</v>
      </c>
      <c r="H198" s="214">
        <f t="shared" si="14"/>
        <v>40.198929694180535</v>
      </c>
      <c r="I198" s="219">
        <f t="shared" si="15"/>
        <v>0</v>
      </c>
      <c r="J198" s="75">
        <f t="shared" si="12"/>
        <v>0</v>
      </c>
    </row>
    <row r="199" spans="1:10" x14ac:dyDescent="0.25">
      <c r="A199" s="61">
        <f>'A) Base RI'!A201</f>
        <v>5717</v>
      </c>
      <c r="B199" s="124" t="str">
        <f>'A) Base RI'!B201</f>
        <v>Founex</v>
      </c>
      <c r="C199" s="135">
        <f>'B) D RI'!U201</f>
        <v>345595.68736842106</v>
      </c>
      <c r="D199" s="219">
        <f>'E) Fact soc'!G205/C199</f>
        <v>26.784148674239248</v>
      </c>
      <c r="E199" s="219">
        <f>'H) Péréquation directe'!I210/'H) Péréquation directe'!C210</f>
        <v>14.914104928597268</v>
      </c>
      <c r="F199" s="214">
        <f>'I) Dépenses thématiques'!P199</f>
        <v>0</v>
      </c>
      <c r="G199" s="167">
        <f t="shared" si="13"/>
        <v>41.698253602836516</v>
      </c>
      <c r="H199" s="214">
        <f t="shared" si="14"/>
        <v>41.698253602836516</v>
      </c>
      <c r="I199" s="219">
        <f t="shared" si="15"/>
        <v>0</v>
      </c>
      <c r="J199" s="75">
        <f t="shared" si="12"/>
        <v>0</v>
      </c>
    </row>
    <row r="200" spans="1:10" x14ac:dyDescent="0.25">
      <c r="A200" s="61">
        <f>'A) Base RI'!A202</f>
        <v>5718</v>
      </c>
      <c r="B200" s="124" t="str">
        <f>'A) Base RI'!B202</f>
        <v>Genolier</v>
      </c>
      <c r="C200" s="135">
        <f>'B) D RI'!U202</f>
        <v>147563.83054545455</v>
      </c>
      <c r="D200" s="219">
        <f>'E) Fact soc'!G206/C200</f>
        <v>23.040249870619192</v>
      </c>
      <c r="E200" s="219">
        <f>'H) Péréquation directe'!I211/'H) Péréquation directe'!C211</f>
        <v>15.359401201641495</v>
      </c>
      <c r="F200" s="214">
        <f>'I) Dépenses thématiques'!P200</f>
        <v>-1.4263572327187319E-2</v>
      </c>
      <c r="G200" s="167">
        <f t="shared" si="13"/>
        <v>38.385387499933501</v>
      </c>
      <c r="H200" s="214">
        <f t="shared" si="14"/>
        <v>38.399651072260689</v>
      </c>
      <c r="I200" s="219">
        <f t="shared" si="15"/>
        <v>0</v>
      </c>
      <c r="J200" s="75">
        <f t="shared" si="12"/>
        <v>0</v>
      </c>
    </row>
    <row r="201" spans="1:10" x14ac:dyDescent="0.25">
      <c r="A201" s="61">
        <f>'A) Base RI'!A203</f>
        <v>5719</v>
      </c>
      <c r="B201" s="124" t="str">
        <f>'A) Base RI'!B203</f>
        <v>Gingins</v>
      </c>
      <c r="C201" s="135">
        <f>'B) D RI'!U203</f>
        <v>96514.726140350875</v>
      </c>
      <c r="D201" s="219">
        <f>'E) Fact soc'!G207/C201</f>
        <v>23.320496067297288</v>
      </c>
      <c r="E201" s="219">
        <f>'H) Péréquation directe'!I212/'H) Péréquation directe'!C212</f>
        <v>16.476194215765055</v>
      </c>
      <c r="F201" s="214">
        <f>'I) Dépenses thématiques'!P201</f>
        <v>0</v>
      </c>
      <c r="G201" s="167">
        <f t="shared" si="13"/>
        <v>39.796690283062347</v>
      </c>
      <c r="H201" s="214">
        <f t="shared" si="14"/>
        <v>39.796690283062347</v>
      </c>
      <c r="I201" s="219">
        <f t="shared" si="15"/>
        <v>0</v>
      </c>
      <c r="J201" s="75">
        <f t="shared" si="12"/>
        <v>0</v>
      </c>
    </row>
    <row r="202" spans="1:10" x14ac:dyDescent="0.25">
      <c r="A202" s="61">
        <f>'A) Base RI'!A204</f>
        <v>5720</v>
      </c>
      <c r="B202" s="124" t="str">
        <f>'A) Base RI'!B204</f>
        <v>Givrins</v>
      </c>
      <c r="C202" s="135">
        <f>'B) D RI'!U204</f>
        <v>81037.865428051009</v>
      </c>
      <c r="D202" s="219">
        <f>'E) Fact soc'!G208/C202</f>
        <v>25.95052506858956</v>
      </c>
      <c r="E202" s="219">
        <f>'H) Péréquation directe'!I213/'H) Péréquation directe'!C213</f>
        <v>17.11065596165075</v>
      </c>
      <c r="F202" s="214">
        <f>'I) Dépenses thématiques'!P202</f>
        <v>-0.43878713294403499</v>
      </c>
      <c r="G202" s="167">
        <f t="shared" si="13"/>
        <v>42.62239389729627</v>
      </c>
      <c r="H202" s="214">
        <f t="shared" si="14"/>
        <v>43.061181030240306</v>
      </c>
      <c r="I202" s="219">
        <f t="shared" si="15"/>
        <v>0</v>
      </c>
      <c r="J202" s="75">
        <f t="shared" si="12"/>
        <v>0</v>
      </c>
    </row>
    <row r="203" spans="1:10" x14ac:dyDescent="0.25">
      <c r="A203" s="61">
        <f>'A) Base RI'!A205</f>
        <v>5721</v>
      </c>
      <c r="B203" s="124" t="str">
        <f>'A) Base RI'!B205</f>
        <v>Gland</v>
      </c>
      <c r="C203" s="135">
        <f>'B) D RI'!U205</f>
        <v>556574.85335272714</v>
      </c>
      <c r="D203" s="219">
        <f>'E) Fact soc'!G209/C203</f>
        <v>22.108984856255006</v>
      </c>
      <c r="E203" s="219">
        <f>'H) Péréquation directe'!I214/'H) Péréquation directe'!C214</f>
        <v>5.3055259464961901</v>
      </c>
      <c r="F203" s="214">
        <f>'I) Dépenses thématiques'!P203</f>
        <v>0</v>
      </c>
      <c r="G203" s="167">
        <f t="shared" si="13"/>
        <v>27.414510802751195</v>
      </c>
      <c r="H203" s="214">
        <f t="shared" si="14"/>
        <v>27.414510802751195</v>
      </c>
      <c r="I203" s="219">
        <f t="shared" si="15"/>
        <v>0</v>
      </c>
      <c r="J203" s="75">
        <f t="shared" si="12"/>
        <v>0</v>
      </c>
    </row>
    <row r="204" spans="1:10" x14ac:dyDescent="0.25">
      <c r="A204" s="61">
        <f>'A) Base RI'!A206</f>
        <v>5722</v>
      </c>
      <c r="B204" s="124" t="str">
        <f>'A) Base RI'!B206</f>
        <v>Grens</v>
      </c>
      <c r="C204" s="135">
        <f>'B) D RI'!U206</f>
        <v>25010.62</v>
      </c>
      <c r="D204" s="219">
        <f>'E) Fact soc'!G210/C204</f>
        <v>17.719091693978537</v>
      </c>
      <c r="E204" s="219">
        <f>'H) Péréquation directe'!I215/'H) Péréquation directe'!C215</f>
        <v>16.891850433903961</v>
      </c>
      <c r="F204" s="214">
        <f>'I) Dépenses thématiques'!P204</f>
        <v>0</v>
      </c>
      <c r="G204" s="167">
        <f t="shared" si="13"/>
        <v>34.610942127882495</v>
      </c>
      <c r="H204" s="214">
        <f t="shared" si="14"/>
        <v>34.610942127882495</v>
      </c>
      <c r="I204" s="219">
        <f t="shared" si="15"/>
        <v>0</v>
      </c>
      <c r="J204" s="75">
        <f t="shared" si="12"/>
        <v>0</v>
      </c>
    </row>
    <row r="205" spans="1:10" x14ac:dyDescent="0.25">
      <c r="A205" s="61">
        <f>'A) Base RI'!A207</f>
        <v>5723</v>
      </c>
      <c r="B205" s="124" t="str">
        <f>'A) Base RI'!B207</f>
        <v>Mies</v>
      </c>
      <c r="C205" s="135">
        <f>'B) D RI'!U207</f>
        <v>265838.70510204078</v>
      </c>
      <c r="D205" s="219">
        <f>'E) Fact soc'!G211/C205</f>
        <v>27.780865813955117</v>
      </c>
      <c r="E205" s="219">
        <f>'H) Péréquation directe'!I216/'H) Péréquation directe'!C216</f>
        <v>16.426474683332202</v>
      </c>
      <c r="F205" s="214">
        <f>'I) Dépenses thématiques'!P205</f>
        <v>0</v>
      </c>
      <c r="G205" s="167">
        <f t="shared" si="13"/>
        <v>44.207340497287319</v>
      </c>
      <c r="H205" s="214">
        <f t="shared" si="14"/>
        <v>44.207340497287319</v>
      </c>
      <c r="I205" s="219">
        <f t="shared" si="15"/>
        <v>0</v>
      </c>
      <c r="J205" s="75">
        <f t="shared" si="12"/>
        <v>0</v>
      </c>
    </row>
    <row r="206" spans="1:10" x14ac:dyDescent="0.25">
      <c r="A206" s="61">
        <f>'A) Base RI'!A208</f>
        <v>5724</v>
      </c>
      <c r="B206" s="124" t="str">
        <f>'A) Base RI'!B208</f>
        <v>Nyon</v>
      </c>
      <c r="C206" s="135">
        <f>'B) D RI'!U208</f>
        <v>1373447.3453593946</v>
      </c>
      <c r="D206" s="219">
        <f>'E) Fact soc'!G212/C206</f>
        <v>20.892413124051387</v>
      </c>
      <c r="E206" s="219">
        <f>'H) Péréquation directe'!I217/'H) Péréquation directe'!C217</f>
        <v>6.9254238089160065</v>
      </c>
      <c r="F206" s="214">
        <f>'I) Dépenses thématiques'!P206</f>
        <v>-0.24913201715275249</v>
      </c>
      <c r="G206" s="167">
        <f t="shared" si="13"/>
        <v>27.568704915814642</v>
      </c>
      <c r="H206" s="214">
        <f t="shared" si="14"/>
        <v>27.817836932967396</v>
      </c>
      <c r="I206" s="219">
        <f t="shared" si="15"/>
        <v>0</v>
      </c>
      <c r="J206" s="75">
        <f t="shared" si="12"/>
        <v>0</v>
      </c>
    </row>
    <row r="207" spans="1:10" x14ac:dyDescent="0.25">
      <c r="A207" s="61">
        <f>'A) Base RI'!A209</f>
        <v>5725</v>
      </c>
      <c r="B207" s="124" t="str">
        <f>'A) Base RI'!B209</f>
        <v>Prangins</v>
      </c>
      <c r="C207" s="135">
        <f>'B) D RI'!U209</f>
        <v>279071.20818877552</v>
      </c>
      <c r="D207" s="219">
        <f>'E) Fact soc'!G213/C207</f>
        <v>21.950305953220383</v>
      </c>
      <c r="E207" s="219">
        <f>'H) Péréquation directe'!I218/'H) Péréquation directe'!C218</f>
        <v>13.52462372805023</v>
      </c>
      <c r="F207" s="214">
        <f>'I) Dépenses thématiques'!P207</f>
        <v>0</v>
      </c>
      <c r="G207" s="167">
        <f t="shared" si="13"/>
        <v>35.474929681270609</v>
      </c>
      <c r="H207" s="214">
        <f t="shared" si="14"/>
        <v>35.474929681270609</v>
      </c>
      <c r="I207" s="219">
        <f t="shared" si="15"/>
        <v>0</v>
      </c>
      <c r="J207" s="75">
        <f t="shared" si="12"/>
        <v>0</v>
      </c>
    </row>
    <row r="208" spans="1:10" x14ac:dyDescent="0.25">
      <c r="A208" s="61">
        <f>'A) Base RI'!A210</f>
        <v>5726</v>
      </c>
      <c r="B208" s="124" t="str">
        <f>'A) Base RI'!B210</f>
        <v>La Rippe</v>
      </c>
      <c r="C208" s="135">
        <f>'B) D RI'!U210</f>
        <v>60430.074769230778</v>
      </c>
      <c r="D208" s="219">
        <f>'E) Fact soc'!G214/C208</f>
        <v>17.672484817174766</v>
      </c>
      <c r="E208" s="219">
        <f>'H) Péréquation directe'!I219/'H) Péréquation directe'!C219</f>
        <v>16.256049111749199</v>
      </c>
      <c r="F208" s="214">
        <f>'I) Dépenses thématiques'!P208</f>
        <v>-8.8834178232151482E-3</v>
      </c>
      <c r="G208" s="167">
        <f t="shared" si="13"/>
        <v>33.919650511100755</v>
      </c>
      <c r="H208" s="214">
        <f t="shared" si="14"/>
        <v>33.928533928923969</v>
      </c>
      <c r="I208" s="219">
        <f t="shared" si="15"/>
        <v>0</v>
      </c>
      <c r="J208" s="75">
        <f t="shared" si="12"/>
        <v>0</v>
      </c>
    </row>
    <row r="209" spans="1:10" x14ac:dyDescent="0.25">
      <c r="A209" s="61">
        <f>'A) Base RI'!A211</f>
        <v>5727</v>
      </c>
      <c r="B209" s="124" t="str">
        <f>'A) Base RI'!B211</f>
        <v>Saint-Cergue</v>
      </c>
      <c r="C209" s="135">
        <f>'B) D RI'!U211</f>
        <v>92384.571565656559</v>
      </c>
      <c r="D209" s="219">
        <f>'E) Fact soc'!G215/C209</f>
        <v>18.190293473069655</v>
      </c>
      <c r="E209" s="219">
        <f>'H) Péréquation directe'!I220/'H) Péréquation directe'!C220</f>
        <v>9.7881561484888877</v>
      </c>
      <c r="F209" s="214">
        <f>'I) Dépenses thématiques'!P209</f>
        <v>-1.8368931935660056</v>
      </c>
      <c r="G209" s="167">
        <f t="shared" si="13"/>
        <v>26.141556427992537</v>
      </c>
      <c r="H209" s="214">
        <f t="shared" si="14"/>
        <v>27.978449621558543</v>
      </c>
      <c r="I209" s="219">
        <f t="shared" si="15"/>
        <v>0</v>
      </c>
      <c r="J209" s="75">
        <f t="shared" si="12"/>
        <v>0</v>
      </c>
    </row>
    <row r="210" spans="1:10" x14ac:dyDescent="0.25">
      <c r="A210" s="61">
        <f>'A) Base RI'!A212</f>
        <v>5728</v>
      </c>
      <c r="B210" s="124" t="str">
        <f>'A) Base RI'!B212</f>
        <v>Signy-Avenex</v>
      </c>
      <c r="C210" s="135">
        <f>'B) D RI'!U212</f>
        <v>31185.312142857143</v>
      </c>
      <c r="D210" s="219">
        <f>'E) Fact soc'!G216/C210</f>
        <v>21.559155117748269</v>
      </c>
      <c r="E210" s="219">
        <f>'H) Péréquation directe'!I221/'H) Péréquation directe'!C221</f>
        <v>16.875440571859283</v>
      </c>
      <c r="F210" s="214">
        <f>'I) Dépenses thématiques'!P210</f>
        <v>0</v>
      </c>
      <c r="G210" s="167">
        <f t="shared" si="13"/>
        <v>38.434595689607548</v>
      </c>
      <c r="H210" s="214">
        <f t="shared" si="14"/>
        <v>38.434595689607548</v>
      </c>
      <c r="I210" s="219">
        <f t="shared" si="15"/>
        <v>0</v>
      </c>
      <c r="J210" s="75">
        <f t="shared" si="12"/>
        <v>0</v>
      </c>
    </row>
    <row r="211" spans="1:10" x14ac:dyDescent="0.25">
      <c r="A211" s="61">
        <f>'A) Base RI'!A213</f>
        <v>5729</v>
      </c>
      <c r="B211" s="124" t="str">
        <f>'A) Base RI'!B213</f>
        <v>Tannay</v>
      </c>
      <c r="C211" s="135">
        <f>'B) D RI'!U213</f>
        <v>138438.0717486339</v>
      </c>
      <c r="D211" s="219">
        <f>'E) Fact soc'!G217/C211</f>
        <v>25.041482353618555</v>
      </c>
      <c r="E211" s="219">
        <f>'H) Péréquation directe'!I222/'H) Péréquation directe'!C222</f>
        <v>16.237059565626083</v>
      </c>
      <c r="F211" s="214">
        <f>'I) Dépenses thématiques'!P211</f>
        <v>0</v>
      </c>
      <c r="G211" s="167">
        <f t="shared" si="13"/>
        <v>41.278541919244638</v>
      </c>
      <c r="H211" s="214">
        <f t="shared" si="14"/>
        <v>41.278541919244638</v>
      </c>
      <c r="I211" s="219">
        <f t="shared" si="15"/>
        <v>0</v>
      </c>
      <c r="J211" s="75">
        <f t="shared" si="12"/>
        <v>0</v>
      </c>
    </row>
    <row r="212" spans="1:10" x14ac:dyDescent="0.25">
      <c r="A212" s="61">
        <f>'A) Base RI'!A214</f>
        <v>5730</v>
      </c>
      <c r="B212" s="124" t="str">
        <f>'A) Base RI'!B214</f>
        <v>Trélex</v>
      </c>
      <c r="C212" s="135">
        <f>'B) D RI'!U214</f>
        <v>149022.17830188677</v>
      </c>
      <c r="D212" s="219">
        <f>'E) Fact soc'!G218/C212</f>
        <v>24.18785269450753</v>
      </c>
      <c r="E212" s="219">
        <f>'H) Péréquation directe'!I223/'H) Péréquation directe'!C223</f>
        <v>16.452083084332667</v>
      </c>
      <c r="F212" s="214">
        <f>'I) Dépenses thématiques'!P212</f>
        <v>0</v>
      </c>
      <c r="G212" s="167">
        <f t="shared" si="13"/>
        <v>40.639935778840197</v>
      </c>
      <c r="H212" s="214">
        <f t="shared" si="14"/>
        <v>40.639935778840197</v>
      </c>
      <c r="I212" s="219">
        <f t="shared" si="15"/>
        <v>0</v>
      </c>
      <c r="J212" s="75">
        <f t="shared" si="12"/>
        <v>0</v>
      </c>
    </row>
    <row r="213" spans="1:10" x14ac:dyDescent="0.25">
      <c r="A213" s="61">
        <f>'A) Base RI'!A215</f>
        <v>5731</v>
      </c>
      <c r="B213" s="124" t="str">
        <f>'A) Base RI'!B215</f>
        <v>Le Vaud</v>
      </c>
      <c r="C213" s="135">
        <f>'B) D RI'!U215</f>
        <v>46449.882799999999</v>
      </c>
      <c r="D213" s="219">
        <f>'E) Fact soc'!G219/C213</f>
        <v>17.625605000126527</v>
      </c>
      <c r="E213" s="219">
        <f>'H) Péréquation directe'!I224/'H) Péréquation directe'!C224</f>
        <v>10.802470396523129</v>
      </c>
      <c r="F213" s="214">
        <f>'I) Dépenses thématiques'!P213</f>
        <v>-3.4430423616853938</v>
      </c>
      <c r="G213" s="167">
        <f t="shared" si="13"/>
        <v>24.98503303496426</v>
      </c>
      <c r="H213" s="214">
        <f t="shared" si="14"/>
        <v>28.428075396649653</v>
      </c>
      <c r="I213" s="219">
        <f t="shared" si="15"/>
        <v>0</v>
      </c>
      <c r="J213" s="75">
        <f t="shared" si="12"/>
        <v>0</v>
      </c>
    </row>
    <row r="214" spans="1:10" x14ac:dyDescent="0.25">
      <c r="A214" s="61">
        <f>'A) Base RI'!A216</f>
        <v>5732</v>
      </c>
      <c r="B214" s="124" t="str">
        <f>'A) Base RI'!B216</f>
        <v>Vich</v>
      </c>
      <c r="C214" s="135">
        <f>'B) D RI'!U216</f>
        <v>57292.894852941186</v>
      </c>
      <c r="D214" s="219">
        <f>'E) Fact soc'!G220/C214</f>
        <v>23.711307003122698</v>
      </c>
      <c r="E214" s="219">
        <f>'H) Péréquation directe'!I225/'H) Péréquation directe'!C225</f>
        <v>16.877522237077812</v>
      </c>
      <c r="F214" s="214">
        <f>'I) Dépenses thématiques'!P214</f>
        <v>0</v>
      </c>
      <c r="G214" s="167">
        <f t="shared" si="13"/>
        <v>40.588829240200511</v>
      </c>
      <c r="H214" s="214">
        <f t="shared" si="14"/>
        <v>40.588829240200511</v>
      </c>
      <c r="I214" s="219">
        <f t="shared" si="15"/>
        <v>0</v>
      </c>
      <c r="J214" s="75">
        <f t="shared" si="12"/>
        <v>0</v>
      </c>
    </row>
    <row r="215" spans="1:10" x14ac:dyDescent="0.25">
      <c r="A215" s="61">
        <f>'A) Base RI'!A217</f>
        <v>5741</v>
      </c>
      <c r="B215" s="124" t="str">
        <f>'A) Base RI'!B217</f>
        <v>L'Abergement</v>
      </c>
      <c r="C215" s="135">
        <f>'B) D RI'!U217</f>
        <v>6994.8889917695487</v>
      </c>
      <c r="D215" s="219">
        <f>'E) Fact soc'!G221/C215</f>
        <v>16.682185751522006</v>
      </c>
      <c r="E215" s="219">
        <f>'H) Péréquation directe'!I226/'H) Péréquation directe'!C226</f>
        <v>0.35998102120303838</v>
      </c>
      <c r="F215" s="214">
        <f>'I) Dépenses thématiques'!P215</f>
        <v>-11.7540242643797</v>
      </c>
      <c r="G215" s="167">
        <f t="shared" si="13"/>
        <v>5.2881425083453433</v>
      </c>
      <c r="H215" s="214">
        <f t="shared" si="14"/>
        <v>17.042166772725043</v>
      </c>
      <c r="I215" s="219">
        <f t="shared" si="15"/>
        <v>0</v>
      </c>
      <c r="J215" s="75">
        <f t="shared" si="12"/>
        <v>0</v>
      </c>
    </row>
    <row r="216" spans="1:10" x14ac:dyDescent="0.25">
      <c r="A216" s="61">
        <f>'A) Base RI'!A218</f>
        <v>5742</v>
      </c>
      <c r="B216" s="124" t="str">
        <f>'A) Base RI'!B218</f>
        <v>Agiez</v>
      </c>
      <c r="C216" s="135">
        <f>'B) D RI'!U218</f>
        <v>9274.0430263157905</v>
      </c>
      <c r="D216" s="219">
        <f>'E) Fact soc'!G222/C216</f>
        <v>14.789988507745621</v>
      </c>
      <c r="E216" s="219">
        <f>'H) Péréquation directe'!I227/'H) Péréquation directe'!C227</f>
        <v>4.8917415825933714</v>
      </c>
      <c r="F216" s="214">
        <f>'I) Dépenses thématiques'!P216</f>
        <v>-3.0565707832485645</v>
      </c>
      <c r="G216" s="167">
        <f t="shared" si="13"/>
        <v>16.625159307090428</v>
      </c>
      <c r="H216" s="214">
        <f t="shared" si="14"/>
        <v>19.681730090338991</v>
      </c>
      <c r="I216" s="219">
        <f t="shared" si="15"/>
        <v>0</v>
      </c>
      <c r="J216" s="75">
        <f t="shared" si="12"/>
        <v>0</v>
      </c>
    </row>
    <row r="217" spans="1:10" x14ac:dyDescent="0.25">
      <c r="A217" s="61">
        <f>'A) Base RI'!A219</f>
        <v>5743</v>
      </c>
      <c r="B217" s="124" t="str">
        <f>'A) Base RI'!B219</f>
        <v>Arnex-sur-Orbe</v>
      </c>
      <c r="C217" s="135">
        <f>'B) D RI'!U219</f>
        <v>17348.834349315071</v>
      </c>
      <c r="D217" s="219">
        <f>'E) Fact soc'!G223/C217</f>
        <v>16.794590482645447</v>
      </c>
      <c r="E217" s="219">
        <f>'H) Péréquation directe'!I228/'H) Péréquation directe'!C228</f>
        <v>2.8082136486618636</v>
      </c>
      <c r="F217" s="214">
        <f>'I) Dépenses thématiques'!P217</f>
        <v>-3.0116503094045703</v>
      </c>
      <c r="G217" s="167">
        <f t="shared" si="13"/>
        <v>16.59115382190274</v>
      </c>
      <c r="H217" s="214">
        <f t="shared" si="14"/>
        <v>19.602804131307309</v>
      </c>
      <c r="I217" s="219">
        <f t="shared" si="15"/>
        <v>0</v>
      </c>
      <c r="J217" s="75">
        <f t="shared" si="12"/>
        <v>0</v>
      </c>
    </row>
    <row r="218" spans="1:10" x14ac:dyDescent="0.25">
      <c r="A218" s="61">
        <f>'A) Base RI'!A220</f>
        <v>5744</v>
      </c>
      <c r="B218" s="124" t="str">
        <f>'A) Base RI'!B220</f>
        <v>Ballaigues</v>
      </c>
      <c r="C218" s="135">
        <f>'B) D RI'!U220</f>
        <v>53212.458333333336</v>
      </c>
      <c r="D218" s="219">
        <f>'E) Fact soc'!G224/C218</f>
        <v>19.498290597582404</v>
      </c>
      <c r="E218" s="219">
        <f>'H) Péréquation directe'!I229/'H) Péréquation directe'!C229</f>
        <v>16.180867151523113</v>
      </c>
      <c r="F218" s="214">
        <f>'I) Dépenses thématiques'!P218</f>
        <v>-7.6433300634193744</v>
      </c>
      <c r="G218" s="167">
        <f t="shared" si="13"/>
        <v>28.03582768568614</v>
      </c>
      <c r="H218" s="214">
        <f t="shared" si="14"/>
        <v>35.679157749105514</v>
      </c>
      <c r="I218" s="219">
        <f t="shared" si="15"/>
        <v>0</v>
      </c>
      <c r="J218" s="75">
        <f t="shared" si="12"/>
        <v>0</v>
      </c>
    </row>
    <row r="219" spans="1:10" x14ac:dyDescent="0.25">
      <c r="A219" s="61">
        <f>'A) Base RI'!A221</f>
        <v>5745</v>
      </c>
      <c r="B219" s="124" t="str">
        <f>'A) Base RI'!B221</f>
        <v>Baulmes</v>
      </c>
      <c r="C219" s="135">
        <f>'B) D RI'!U221</f>
        <v>27522.151666666668</v>
      </c>
      <c r="D219" s="219">
        <f>'E) Fact soc'!G225/C219</f>
        <v>17.73915026616643</v>
      </c>
      <c r="E219" s="219">
        <f>'H) Péréquation directe'!I230/'H) Péréquation directe'!C230</f>
        <v>-0.99743959746424526</v>
      </c>
      <c r="F219" s="214">
        <f>'I) Dépenses thématiques'!P219</f>
        <v>-10.959842585569474</v>
      </c>
      <c r="G219" s="167">
        <f t="shared" si="13"/>
        <v>5.7818680831327089</v>
      </c>
      <c r="H219" s="214">
        <f t="shared" si="14"/>
        <v>16.741710668702183</v>
      </c>
      <c r="I219" s="219">
        <f t="shared" si="15"/>
        <v>0</v>
      </c>
      <c r="J219" s="75">
        <f t="shared" si="12"/>
        <v>0</v>
      </c>
    </row>
    <row r="220" spans="1:10" x14ac:dyDescent="0.25">
      <c r="A220" s="61">
        <f>'A) Base RI'!A222</f>
        <v>5746</v>
      </c>
      <c r="B220" s="124" t="str">
        <f>'A) Base RI'!B222</f>
        <v>Bavois</v>
      </c>
      <c r="C220" s="135">
        <f>'B) D RI'!U222</f>
        <v>23930.083584474884</v>
      </c>
      <c r="D220" s="219">
        <f>'E) Fact soc'!G226/C220</f>
        <v>17.207571056343014</v>
      </c>
      <c r="E220" s="219">
        <f>'H) Péréquation directe'!I231/'H) Péréquation directe'!C231</f>
        <v>-0.48211961172545864</v>
      </c>
      <c r="F220" s="214">
        <f>'I) Dépenses thématiques'!P220</f>
        <v>-7.4187298645265196</v>
      </c>
      <c r="G220" s="167">
        <f t="shared" si="13"/>
        <v>9.3067215800910361</v>
      </c>
      <c r="H220" s="214">
        <f t="shared" si="14"/>
        <v>16.725451444617555</v>
      </c>
      <c r="I220" s="219">
        <f t="shared" si="15"/>
        <v>0</v>
      </c>
      <c r="J220" s="75">
        <f t="shared" si="12"/>
        <v>0</v>
      </c>
    </row>
    <row r="221" spans="1:10" x14ac:dyDescent="0.25">
      <c r="A221" s="61">
        <f>'A) Base RI'!A223</f>
        <v>5747</v>
      </c>
      <c r="B221" s="124" t="str">
        <f>'A) Base RI'!B223</f>
        <v>Bofflens</v>
      </c>
      <c r="C221" s="135">
        <f>'B) D RI'!U223</f>
        <v>5183.441884057971</v>
      </c>
      <c r="D221" s="219">
        <f>'E) Fact soc'!G227/C221</f>
        <v>15.694488963683655</v>
      </c>
      <c r="E221" s="219">
        <f>'H) Péréquation directe'!I232/'H) Péréquation directe'!C232</f>
        <v>4.052483467435458</v>
      </c>
      <c r="F221" s="214">
        <f>'I) Dépenses thématiques'!P221</f>
        <v>-1.5524703984762973</v>
      </c>
      <c r="G221" s="167">
        <f t="shared" si="13"/>
        <v>18.194502032642813</v>
      </c>
      <c r="H221" s="214">
        <f t="shared" si="14"/>
        <v>19.746972431119111</v>
      </c>
      <c r="I221" s="219">
        <f t="shared" si="15"/>
        <v>0</v>
      </c>
      <c r="J221" s="75">
        <f t="shared" si="12"/>
        <v>0</v>
      </c>
    </row>
    <row r="222" spans="1:10" x14ac:dyDescent="0.25">
      <c r="A222" s="61">
        <f>'A) Base RI'!A224</f>
        <v>5748</v>
      </c>
      <c r="B222" s="124" t="str">
        <f>'A) Base RI'!B224</f>
        <v>Bretonnières</v>
      </c>
      <c r="C222" s="135">
        <f>'B) D RI'!U224</f>
        <v>6140.8540277777784</v>
      </c>
      <c r="D222" s="219">
        <f>'E) Fact soc'!G228/C222</f>
        <v>18.612474351026218</v>
      </c>
      <c r="E222" s="219">
        <f>'H) Péréquation directe'!I233/'H) Péréquation directe'!C233</f>
        <v>-1.8664561019683761</v>
      </c>
      <c r="F222" s="214">
        <f>'I) Dépenses thématiques'!P222</f>
        <v>-7.5055402302636489</v>
      </c>
      <c r="G222" s="167">
        <f t="shared" si="13"/>
        <v>9.2404780187941959</v>
      </c>
      <c r="H222" s="214">
        <f t="shared" si="14"/>
        <v>16.746018249057844</v>
      </c>
      <c r="I222" s="219">
        <f t="shared" si="15"/>
        <v>0</v>
      </c>
      <c r="J222" s="75">
        <f t="shared" si="12"/>
        <v>0</v>
      </c>
    </row>
    <row r="223" spans="1:10" x14ac:dyDescent="0.25">
      <c r="A223" s="61">
        <f>'A) Base RI'!A225</f>
        <v>5749</v>
      </c>
      <c r="B223" s="124" t="str">
        <f>'A) Base RI'!B225</f>
        <v>Chavornay</v>
      </c>
      <c r="C223" s="135">
        <f>'B) D RI'!U225</f>
        <v>110381.46250000001</v>
      </c>
      <c r="D223" s="219">
        <f>'E) Fact soc'!G229/C223</f>
        <v>16.974826939397758</v>
      </c>
      <c r="E223" s="219">
        <f>'H) Péréquation directe'!I234/'H) Péréquation directe'!C234</f>
        <v>-7.1168172374358649</v>
      </c>
      <c r="F223" s="214">
        <f>'I) Dépenses thématiques'!P223</f>
        <v>-3.7279512303904041</v>
      </c>
      <c r="G223" s="167">
        <f t="shared" si="13"/>
        <v>6.1300584715714894</v>
      </c>
      <c r="H223" s="214">
        <f t="shared" si="14"/>
        <v>9.858009701961894</v>
      </c>
      <c r="I223" s="219">
        <f t="shared" si="15"/>
        <v>0</v>
      </c>
      <c r="J223" s="75">
        <f t="shared" si="12"/>
        <v>0</v>
      </c>
    </row>
    <row r="224" spans="1:10" x14ac:dyDescent="0.25">
      <c r="A224" s="61">
        <f>'A) Base RI'!A226</f>
        <v>5750</v>
      </c>
      <c r="B224" s="124" t="str">
        <f>'A) Base RI'!B226</f>
        <v>Les Clées</v>
      </c>
      <c r="C224" s="135">
        <f>'B) D RI'!U226</f>
        <v>4366.1146666666664</v>
      </c>
      <c r="D224" s="219">
        <f>'E) Fact soc'!G230/C224</f>
        <v>15.69928614107153</v>
      </c>
      <c r="E224" s="219">
        <f>'H) Péréquation directe'!I235/'H) Péréquation directe'!C235</f>
        <v>-7.5807610387645994</v>
      </c>
      <c r="F224" s="214">
        <f>'I) Dépenses thématiques'!P224</f>
        <v>-6.7588475206577048</v>
      </c>
      <c r="G224" s="167">
        <f t="shared" si="13"/>
        <v>1.3596775816492261</v>
      </c>
      <c r="H224" s="214">
        <f t="shared" si="14"/>
        <v>8.1185251023069309</v>
      </c>
      <c r="I224" s="219">
        <f t="shared" si="15"/>
        <v>0</v>
      </c>
      <c r="J224" s="75">
        <f t="shared" si="12"/>
        <v>0</v>
      </c>
    </row>
    <row r="225" spans="1:10" x14ac:dyDescent="0.25">
      <c r="A225" s="61">
        <f>'A) Base RI'!A227</f>
        <v>5751</v>
      </c>
      <c r="B225" s="124" t="str">
        <f>'A) Base RI'!B227</f>
        <v>Corcelles-sur-Chavornay</v>
      </c>
      <c r="C225" s="135">
        <f>'B) D RI'!U227</f>
        <v>8804.0960526315775</v>
      </c>
      <c r="D225" s="219">
        <f>'E) Fact soc'!G231/C225</f>
        <v>18.630163468755331</v>
      </c>
      <c r="E225" s="219">
        <f>'H) Péréquation directe'!I236/'H) Péréquation directe'!C236</f>
        <v>-2.5650322001575461</v>
      </c>
      <c r="F225" s="214">
        <f>'I) Dépenses thématiques'!P225</f>
        <v>-7.2541236203808017</v>
      </c>
      <c r="G225" s="167">
        <f t="shared" si="13"/>
        <v>8.8110076482169823</v>
      </c>
      <c r="H225" s="214">
        <f t="shared" si="14"/>
        <v>16.065131268597785</v>
      </c>
      <c r="I225" s="219">
        <f t="shared" si="15"/>
        <v>0</v>
      </c>
      <c r="J225" s="75">
        <f t="shared" si="12"/>
        <v>0</v>
      </c>
    </row>
    <row r="226" spans="1:10" x14ac:dyDescent="0.25">
      <c r="A226" s="61">
        <f>'A) Base RI'!A228</f>
        <v>5752</v>
      </c>
      <c r="B226" s="124" t="str">
        <f>'A) Base RI'!B228</f>
        <v>Croy</v>
      </c>
      <c r="C226" s="135">
        <f>'B) D RI'!U228</f>
        <v>14303.968204633204</v>
      </c>
      <c r="D226" s="219">
        <f>'E) Fact soc'!G232/C226</f>
        <v>17.38805183891937</v>
      </c>
      <c r="E226" s="219">
        <f>'H) Péréquation directe'!I237/'H) Péréquation directe'!C237</f>
        <v>15.701008368103039</v>
      </c>
      <c r="F226" s="214">
        <f>'I) Dépenses thématiques'!P226</f>
        <v>-20.077882336672388</v>
      </c>
      <c r="G226" s="167">
        <f t="shared" si="13"/>
        <v>13.011177870350025</v>
      </c>
      <c r="H226" s="214">
        <f t="shared" si="14"/>
        <v>33.089060207022413</v>
      </c>
      <c r="I226" s="219">
        <f t="shared" si="15"/>
        <v>0</v>
      </c>
      <c r="J226" s="75">
        <f t="shared" ref="J226:J272" si="16">-I226*C226</f>
        <v>0</v>
      </c>
    </row>
    <row r="227" spans="1:10" x14ac:dyDescent="0.25">
      <c r="A227" s="61">
        <f>'A) Base RI'!A229</f>
        <v>5754</v>
      </c>
      <c r="B227" s="124" t="str">
        <f>'A) Base RI'!B229</f>
        <v>Juriens</v>
      </c>
      <c r="C227" s="135">
        <f>'B) D RI'!U229</f>
        <v>6475.8115189873415</v>
      </c>
      <c r="D227" s="219">
        <f>'E) Fact soc'!G233/C227</f>
        <v>17.282628992695077</v>
      </c>
      <c r="E227" s="219">
        <f>'H) Péréquation directe'!I238/'H) Péréquation directe'!C238</f>
        <v>-11.806635434887818</v>
      </c>
      <c r="F227" s="214">
        <f>'I) Dépenses thématiques'!P227</f>
        <v>-5.0842527604602079</v>
      </c>
      <c r="G227" s="167">
        <f t="shared" ref="G227:G273" si="17">SUM(D227:F227)</f>
        <v>0.39174079734705103</v>
      </c>
      <c r="H227" s="214">
        <f t="shared" ref="H227:H273" si="18">G227-F227</f>
        <v>5.4759935578072589</v>
      </c>
      <c r="I227" s="219">
        <f t="shared" ref="I227:I273" si="19">IF(H227&lt;I$4,H227-I$4,0)</f>
        <v>0</v>
      </c>
      <c r="J227" s="75">
        <f t="shared" si="16"/>
        <v>0</v>
      </c>
    </row>
    <row r="228" spans="1:10" x14ac:dyDescent="0.25">
      <c r="A228" s="61">
        <f>'A) Base RI'!A230</f>
        <v>5755</v>
      </c>
      <c r="B228" s="124" t="str">
        <f>'A) Base RI'!B230</f>
        <v>Lignerolle</v>
      </c>
      <c r="C228" s="135">
        <f>'B) D RI'!U230</f>
        <v>8871.4906525573169</v>
      </c>
      <c r="D228" s="219">
        <f>'E) Fact soc'!G234/C228</f>
        <v>19.07783278893881</v>
      </c>
      <c r="E228" s="219">
        <f>'H) Péréquation directe'!I239/'H) Péréquation directe'!C239</f>
        <v>-10.3719841451188</v>
      </c>
      <c r="F228" s="214">
        <f>'I) Dépenses thématiques'!P228</f>
        <v>-32.315636677760985</v>
      </c>
      <c r="G228" s="167">
        <f t="shared" si="17"/>
        <v>-23.609788033940973</v>
      </c>
      <c r="H228" s="214">
        <f t="shared" si="18"/>
        <v>8.705848643820012</v>
      </c>
      <c r="I228" s="219">
        <f t="shared" si="19"/>
        <v>0</v>
      </c>
      <c r="J228" s="75">
        <f t="shared" si="16"/>
        <v>0</v>
      </c>
    </row>
    <row r="229" spans="1:10" x14ac:dyDescent="0.25">
      <c r="A229" s="61">
        <f>'A) Base RI'!A231</f>
        <v>5756</v>
      </c>
      <c r="B229" s="124" t="str">
        <f>'A) Base RI'!B231</f>
        <v>Montcherand</v>
      </c>
      <c r="C229" s="135">
        <f>'B) D RI'!U231</f>
        <v>14808.245169082125</v>
      </c>
      <c r="D229" s="219">
        <f>'E) Fact soc'!G235/C229</f>
        <v>16.642865621704413</v>
      </c>
      <c r="E229" s="219">
        <f>'H) Péréquation directe'!I240/'H) Péréquation directe'!C240</f>
        <v>7.8155986664446662</v>
      </c>
      <c r="F229" s="214">
        <f>'I) Dépenses thématiques'!P229</f>
        <v>-3.9384629493561381</v>
      </c>
      <c r="G229" s="167">
        <f t="shared" si="17"/>
        <v>20.520001338792945</v>
      </c>
      <c r="H229" s="214">
        <f t="shared" si="18"/>
        <v>24.458464288149081</v>
      </c>
      <c r="I229" s="219">
        <f t="shared" si="19"/>
        <v>0</v>
      </c>
      <c r="J229" s="75">
        <f t="shared" si="16"/>
        <v>0</v>
      </c>
    </row>
    <row r="230" spans="1:10" x14ac:dyDescent="0.25">
      <c r="A230" s="61">
        <f>'A) Base RI'!A232</f>
        <v>5757</v>
      </c>
      <c r="B230" s="124" t="str">
        <f>'A) Base RI'!B232</f>
        <v>Orbe</v>
      </c>
      <c r="C230" s="135">
        <f>'B) D RI'!U232</f>
        <v>210430.38166666671</v>
      </c>
      <c r="D230" s="219">
        <f>'E) Fact soc'!G236/C230</f>
        <v>20.231875871058694</v>
      </c>
      <c r="E230" s="219">
        <f>'H) Péréquation directe'!I241/'H) Péréquation directe'!C241</f>
        <v>-3.2717724949449964</v>
      </c>
      <c r="F230" s="214">
        <f>'I) Dépenses thématiques'!P230</f>
        <v>-8.0605996084410911</v>
      </c>
      <c r="G230" s="167">
        <f t="shared" si="17"/>
        <v>8.8995037676726056</v>
      </c>
      <c r="H230" s="214">
        <f t="shared" si="18"/>
        <v>16.960103376113697</v>
      </c>
      <c r="I230" s="219">
        <f t="shared" si="19"/>
        <v>0</v>
      </c>
      <c r="J230" s="75">
        <f t="shared" si="16"/>
        <v>0</v>
      </c>
    </row>
    <row r="231" spans="1:10" x14ac:dyDescent="0.25">
      <c r="A231" s="61">
        <f>'A) Base RI'!A233</f>
        <v>5758</v>
      </c>
      <c r="B231" s="124" t="str">
        <f>'A) Base RI'!B233</f>
        <v>La Praz</v>
      </c>
      <c r="C231" s="135">
        <f>'B) D RI'!U233</f>
        <v>3864.2083668005353</v>
      </c>
      <c r="D231" s="219">
        <f>'E) Fact soc'!G237/C231</f>
        <v>16.007157392024641</v>
      </c>
      <c r="E231" s="219">
        <f>'H) Péréquation directe'!I242/'H) Péréquation directe'!C242</f>
        <v>-7.7033632499376283</v>
      </c>
      <c r="F231" s="214">
        <f>'I) Dépenses thématiques'!P231</f>
        <v>-8.5707231619010642</v>
      </c>
      <c r="G231" s="167">
        <f t="shared" si="17"/>
        <v>-0.26692901981405015</v>
      </c>
      <c r="H231" s="214">
        <f t="shared" si="18"/>
        <v>8.3037941420870141</v>
      </c>
      <c r="I231" s="219">
        <f t="shared" si="19"/>
        <v>0</v>
      </c>
      <c r="J231" s="75">
        <f t="shared" si="16"/>
        <v>0</v>
      </c>
    </row>
    <row r="232" spans="1:10" x14ac:dyDescent="0.25">
      <c r="A232" s="61">
        <f>'A) Base RI'!A234</f>
        <v>5759</v>
      </c>
      <c r="B232" s="124" t="str">
        <f>'A) Base RI'!B234</f>
        <v>Premier</v>
      </c>
      <c r="C232" s="135">
        <f>'B) D RI'!U234</f>
        <v>4558.7250617283944</v>
      </c>
      <c r="D232" s="219">
        <f>'E) Fact soc'!G238/C232</f>
        <v>16.660445813294697</v>
      </c>
      <c r="E232" s="219">
        <f>'H) Péréquation directe'!I243/'H) Péréquation directe'!C243</f>
        <v>-5.6314475534759181</v>
      </c>
      <c r="F232" s="214">
        <f>'I) Dépenses thématiques'!P232</f>
        <v>-9.4383864115541076</v>
      </c>
      <c r="G232" s="167">
        <f t="shared" si="17"/>
        <v>1.5906118482646701</v>
      </c>
      <c r="H232" s="214">
        <f t="shared" si="18"/>
        <v>11.028998259818778</v>
      </c>
      <c r="I232" s="219">
        <f t="shared" si="19"/>
        <v>0</v>
      </c>
      <c r="J232" s="75">
        <f t="shared" si="16"/>
        <v>0</v>
      </c>
    </row>
    <row r="233" spans="1:10" x14ac:dyDescent="0.25">
      <c r="A233" s="61">
        <f>'A) Base RI'!A235</f>
        <v>5760</v>
      </c>
      <c r="B233" s="124" t="str">
        <f>'A) Base RI'!B235</f>
        <v>Rances</v>
      </c>
      <c r="C233" s="135">
        <f>'B) D RI'!U235</f>
        <v>11470.274871794873</v>
      </c>
      <c r="D233" s="219">
        <f>'E) Fact soc'!G239/C233</f>
        <v>16.569058158718658</v>
      </c>
      <c r="E233" s="219">
        <f>'H) Péréquation directe'!I244/'H) Péréquation directe'!C244</f>
        <v>-3.617947006573885</v>
      </c>
      <c r="F233" s="214">
        <f>'I) Dépenses thématiques'!P233</f>
        <v>-13.831812048040762</v>
      </c>
      <c r="G233" s="167">
        <f t="shared" si="17"/>
        <v>-0.88070089589598943</v>
      </c>
      <c r="H233" s="214">
        <f t="shared" si="18"/>
        <v>12.951111152144772</v>
      </c>
      <c r="I233" s="219">
        <f t="shared" si="19"/>
        <v>0</v>
      </c>
      <c r="J233" s="75">
        <f t="shared" si="16"/>
        <v>0</v>
      </c>
    </row>
    <row r="234" spans="1:10" x14ac:dyDescent="0.25">
      <c r="A234" s="61">
        <f>'A) Base RI'!A236</f>
        <v>5761</v>
      </c>
      <c r="B234" s="124" t="str">
        <f>'A) Base RI'!B236</f>
        <v>Romainmôtier-Envy</v>
      </c>
      <c r="C234" s="135">
        <f>'B) D RI'!U236</f>
        <v>11347.35572368421</v>
      </c>
      <c r="D234" s="219">
        <f>'E) Fact soc'!G240/C234</f>
        <v>18.136025508416971</v>
      </c>
      <c r="E234" s="219">
        <f>'H) Péréquation directe'!I245/'H) Péréquation directe'!C245</f>
        <v>-9.4870646779978376</v>
      </c>
      <c r="F234" s="214">
        <f>'I) Dépenses thématiques'!P234</f>
        <v>-6.250324713336461</v>
      </c>
      <c r="G234" s="167">
        <f t="shared" si="17"/>
        <v>2.3986361170826722</v>
      </c>
      <c r="H234" s="214">
        <f t="shared" si="18"/>
        <v>8.6489608304191332</v>
      </c>
      <c r="I234" s="219">
        <f t="shared" si="19"/>
        <v>0</v>
      </c>
      <c r="J234" s="75">
        <f t="shared" si="16"/>
        <v>0</v>
      </c>
    </row>
    <row r="235" spans="1:10" x14ac:dyDescent="0.25">
      <c r="A235" s="61">
        <f>'A) Base RI'!A237</f>
        <v>5762</v>
      </c>
      <c r="B235" s="124" t="str">
        <f>'A) Base RI'!B237</f>
        <v>Sergey</v>
      </c>
      <c r="C235" s="135">
        <f>'B) D RI'!U237</f>
        <v>3104.8092592592593</v>
      </c>
      <c r="D235" s="219">
        <f>'E) Fact soc'!G241/C235</f>
        <v>14.771176357058142</v>
      </c>
      <c r="E235" s="219">
        <f>'H) Péréquation directe'!I246/'H) Péréquation directe'!C246</f>
        <v>-12.807264238534502</v>
      </c>
      <c r="F235" s="214">
        <f>'I) Dépenses thématiques'!P235</f>
        <v>-2.3148542177666855</v>
      </c>
      <c r="G235" s="167">
        <f t="shared" si="17"/>
        <v>-0.35094209924304609</v>
      </c>
      <c r="H235" s="214">
        <f t="shared" si="18"/>
        <v>1.9639121185236394</v>
      </c>
      <c r="I235" s="219">
        <f t="shared" si="19"/>
        <v>0</v>
      </c>
      <c r="J235" s="75">
        <f t="shared" si="16"/>
        <v>0</v>
      </c>
    </row>
    <row r="236" spans="1:10" x14ac:dyDescent="0.25">
      <c r="A236" s="61">
        <f>'A) Base RI'!A238</f>
        <v>5763</v>
      </c>
      <c r="B236" s="124" t="str">
        <f>'A) Base RI'!B238</f>
        <v>Valeyres-sous-Rances</v>
      </c>
      <c r="C236" s="135">
        <f>'B) D RI'!U238</f>
        <v>16129.151764705883</v>
      </c>
      <c r="D236" s="219">
        <f>'E) Fact soc'!G242/C236</f>
        <v>17.926989341715373</v>
      </c>
      <c r="E236" s="219">
        <f>'H) Péréquation directe'!I247/'H) Péréquation directe'!C247</f>
        <v>3.3525640136067123</v>
      </c>
      <c r="F236" s="214">
        <f>'I) Dépenses thématiques'!P236</f>
        <v>-7.1445048476879167</v>
      </c>
      <c r="G236" s="167">
        <f t="shared" si="17"/>
        <v>14.135048507634171</v>
      </c>
      <c r="H236" s="214">
        <f t="shared" si="18"/>
        <v>21.279553355322086</v>
      </c>
      <c r="I236" s="219">
        <f t="shared" si="19"/>
        <v>0</v>
      </c>
      <c r="J236" s="75">
        <f t="shared" si="16"/>
        <v>0</v>
      </c>
    </row>
    <row r="237" spans="1:10" x14ac:dyDescent="0.25">
      <c r="A237" s="61">
        <f>'A) Base RI'!A239</f>
        <v>5764</v>
      </c>
      <c r="B237" s="124" t="str">
        <f>'A) Base RI'!B239</f>
        <v>Vallorbe</v>
      </c>
      <c r="C237" s="135">
        <f>'B) D RI'!U239</f>
        <v>84393.993513513502</v>
      </c>
      <c r="D237" s="219">
        <f>'E) Fact soc'!G243/C237</f>
        <v>25.21042210253669</v>
      </c>
      <c r="E237" s="219">
        <f>'H) Péréquation directe'!I248/'H) Péréquation directe'!C248</f>
        <v>-14.021076384845243</v>
      </c>
      <c r="F237" s="214">
        <f>'I) Dépenses thématiques'!P237</f>
        <v>-17.773596494854349</v>
      </c>
      <c r="G237" s="167">
        <f t="shared" si="17"/>
        <v>-6.584250777162902</v>
      </c>
      <c r="H237" s="214">
        <f t="shared" si="18"/>
        <v>11.189345717691447</v>
      </c>
      <c r="I237" s="219">
        <f t="shared" si="19"/>
        <v>0</v>
      </c>
      <c r="J237" s="75">
        <f t="shared" si="16"/>
        <v>0</v>
      </c>
    </row>
    <row r="238" spans="1:10" x14ac:dyDescent="0.25">
      <c r="A238" s="61">
        <f>'A) Base RI'!A240</f>
        <v>5765</v>
      </c>
      <c r="B238" s="124" t="str">
        <f>'A) Base RI'!B240</f>
        <v>Vaulion</v>
      </c>
      <c r="C238" s="135">
        <f>'B) D RI'!U240</f>
        <v>9305.5603703703709</v>
      </c>
      <c r="D238" s="219">
        <f>'E) Fact soc'!G244/C238</f>
        <v>20.556012925493146</v>
      </c>
      <c r="E238" s="219">
        <f>'H) Péréquation directe'!I249/'H) Péréquation directe'!C249</f>
        <v>-20.708754298286976</v>
      </c>
      <c r="F238" s="214">
        <f>'I) Dépenses thématiques'!P238</f>
        <v>-17.742347312965244</v>
      </c>
      <c r="G238" s="167">
        <f t="shared" si="17"/>
        <v>-17.895088685759074</v>
      </c>
      <c r="H238" s="214">
        <f t="shared" si="18"/>
        <v>-0.15274137279383027</v>
      </c>
      <c r="I238" s="219">
        <f t="shared" si="19"/>
        <v>0</v>
      </c>
      <c r="J238" s="75">
        <f t="shared" si="16"/>
        <v>0</v>
      </c>
    </row>
    <row r="239" spans="1:10" x14ac:dyDescent="0.25">
      <c r="A239" s="61">
        <f>'A) Base RI'!A241</f>
        <v>5766</v>
      </c>
      <c r="B239" s="124" t="str">
        <f>'A) Base RI'!B241</f>
        <v>Vuiteboeuf</v>
      </c>
      <c r="C239" s="135">
        <f>'B) D RI'!U241</f>
        <v>11614.965899814471</v>
      </c>
      <c r="D239" s="219">
        <f>'E) Fact soc'!G245/C239</f>
        <v>17.807059216000091</v>
      </c>
      <c r="E239" s="219">
        <f>'H) Péréquation directe'!I250/'H) Péréquation directe'!C250</f>
        <v>-10.166917658021031</v>
      </c>
      <c r="F239" s="214">
        <f>'I) Dépenses thématiques'!P239</f>
        <v>-7.7168205045513538</v>
      </c>
      <c r="G239" s="167">
        <f t="shared" si="17"/>
        <v>-7.6678946572293682E-2</v>
      </c>
      <c r="H239" s="214">
        <f t="shared" si="18"/>
        <v>7.6401415579790601</v>
      </c>
      <c r="I239" s="219">
        <f t="shared" si="19"/>
        <v>0</v>
      </c>
      <c r="J239" s="75">
        <f t="shared" si="16"/>
        <v>0</v>
      </c>
    </row>
    <row r="240" spans="1:10" x14ac:dyDescent="0.25">
      <c r="A240" s="61">
        <f>'A) Base RI'!A242</f>
        <v>5782</v>
      </c>
      <c r="B240" s="124" t="str">
        <f>'A) Base RI'!B242</f>
        <v>Carrouge</v>
      </c>
      <c r="C240" s="135">
        <f>'B) D RI'!U242</f>
        <v>30069.638421052627</v>
      </c>
      <c r="D240" s="219">
        <f>'E) Fact soc'!G246/C240</f>
        <v>18.206679591221825</v>
      </c>
      <c r="E240" s="219">
        <f>'H) Péréquation directe'!I251/'H) Péréquation directe'!C251</f>
        <v>-4.3090112549159896</v>
      </c>
      <c r="F240" s="214">
        <f>'I) Dépenses thématiques'!P240</f>
        <v>-12.568110095745949</v>
      </c>
      <c r="G240" s="167">
        <f t="shared" si="17"/>
        <v>1.3295582405598854</v>
      </c>
      <c r="H240" s="214">
        <f t="shared" si="18"/>
        <v>13.897668336305834</v>
      </c>
      <c r="I240" s="219">
        <f t="shared" si="19"/>
        <v>0</v>
      </c>
      <c r="J240" s="75">
        <f t="shared" si="16"/>
        <v>0</v>
      </c>
    </row>
    <row r="241" spans="1:10" x14ac:dyDescent="0.25">
      <c r="A241" s="61">
        <f>'A) Base RI'!A243</f>
        <v>5785</v>
      </c>
      <c r="B241" s="124" t="str">
        <f>'A) Base RI'!B243</f>
        <v>Corcelles-le-Jorat</v>
      </c>
      <c r="C241" s="135">
        <f>'B) D RI'!U243</f>
        <v>12293.058354430379</v>
      </c>
      <c r="D241" s="219">
        <f>'E) Fact soc'!G247/C241</f>
        <v>16.024717866994688</v>
      </c>
      <c r="E241" s="219">
        <f>'H) Péréquation directe'!I252/'H) Péréquation directe'!C252</f>
        <v>2.8370201586275416</v>
      </c>
      <c r="F241" s="214">
        <f>'I) Dépenses thématiques'!P241</f>
        <v>-8.3476128647299461</v>
      </c>
      <c r="G241" s="167">
        <f t="shared" si="17"/>
        <v>10.514125160892284</v>
      </c>
      <c r="H241" s="214">
        <f t="shared" si="18"/>
        <v>18.86173802562223</v>
      </c>
      <c r="I241" s="219">
        <f t="shared" si="19"/>
        <v>0</v>
      </c>
      <c r="J241" s="75">
        <f t="shared" si="16"/>
        <v>0</v>
      </c>
    </row>
    <row r="242" spans="1:10" x14ac:dyDescent="0.25">
      <c r="A242" s="61">
        <f>'A) Base RI'!A244</f>
        <v>5788</v>
      </c>
      <c r="B242" s="124" t="str">
        <f>'A) Base RI'!B244</f>
        <v>Essertes</v>
      </c>
      <c r="C242" s="135">
        <f>'B) D RI'!U244</f>
        <v>10412.319857142857</v>
      </c>
      <c r="D242" s="219">
        <f>'E) Fact soc'!G248/C242</f>
        <v>16.456010225276675</v>
      </c>
      <c r="E242" s="219">
        <f>'H) Péréquation directe'!I253/'H) Péréquation directe'!C253</f>
        <v>7.8964177634178165</v>
      </c>
      <c r="F242" s="214">
        <f>'I) Dépenses thématiques'!P242</f>
        <v>-4.0348977074348387</v>
      </c>
      <c r="G242" s="167">
        <f t="shared" si="17"/>
        <v>20.31753028125965</v>
      </c>
      <c r="H242" s="214">
        <f t="shared" si="18"/>
        <v>24.352427988694487</v>
      </c>
      <c r="I242" s="219">
        <f t="shared" si="19"/>
        <v>0</v>
      </c>
      <c r="J242" s="75">
        <f t="shared" si="16"/>
        <v>0</v>
      </c>
    </row>
    <row r="243" spans="1:10" x14ac:dyDescent="0.25">
      <c r="A243" s="61">
        <f>'A) Base RI'!A245</f>
        <v>5789</v>
      </c>
      <c r="B243" s="124" t="str">
        <f>'A) Base RI'!B245</f>
        <v>Ferlens</v>
      </c>
      <c r="C243" s="135">
        <f>'B) D RI'!U245</f>
        <v>10073.464805194806</v>
      </c>
      <c r="D243" s="219">
        <f>'E) Fact soc'!G249/C243</f>
        <v>17.528880780664252</v>
      </c>
      <c r="E243" s="219">
        <f>'H) Péréquation directe'!I254/'H) Péréquation directe'!C254</f>
        <v>4.4562082238629053</v>
      </c>
      <c r="F243" s="214">
        <f>'I) Dépenses thématiques'!P243</f>
        <v>-0.75129408987622504</v>
      </c>
      <c r="G243" s="167">
        <f t="shared" si="17"/>
        <v>21.233794914650932</v>
      </c>
      <c r="H243" s="214">
        <f t="shared" si="18"/>
        <v>21.985089004527158</v>
      </c>
      <c r="I243" s="219">
        <f t="shared" si="19"/>
        <v>0</v>
      </c>
      <c r="J243" s="75">
        <f t="shared" si="16"/>
        <v>0</v>
      </c>
    </row>
    <row r="244" spans="1:10" x14ac:dyDescent="0.25">
      <c r="A244" s="61">
        <f>'A) Base RI'!A246</f>
        <v>5790</v>
      </c>
      <c r="B244" s="124" t="str">
        <f>'A) Base RI'!B246</f>
        <v>Maracon</v>
      </c>
      <c r="C244" s="135">
        <f>'B) D RI'!U246</f>
        <v>12107.709078947366</v>
      </c>
      <c r="D244" s="219">
        <f>'E) Fact soc'!G250/C244</f>
        <v>23.261722355496801</v>
      </c>
      <c r="E244" s="219">
        <f>'H) Péréquation directe'!I255/'H) Péréquation directe'!C255</f>
        <v>1.0811156739863881</v>
      </c>
      <c r="F244" s="214">
        <f>'I) Dépenses thématiques'!P244</f>
        <v>-8.9939412821275599</v>
      </c>
      <c r="G244" s="167">
        <f t="shared" si="17"/>
        <v>15.34889674735563</v>
      </c>
      <c r="H244" s="214">
        <f t="shared" si="18"/>
        <v>24.34283802948319</v>
      </c>
      <c r="I244" s="219">
        <f t="shared" si="19"/>
        <v>0</v>
      </c>
      <c r="J244" s="75">
        <f t="shared" si="16"/>
        <v>0</v>
      </c>
    </row>
    <row r="245" spans="1:10" x14ac:dyDescent="0.25">
      <c r="A245" s="61">
        <f>'A) Base RI'!A247</f>
        <v>5791</v>
      </c>
      <c r="B245" s="124" t="str">
        <f>'A) Base RI'!B247</f>
        <v>Mézières</v>
      </c>
      <c r="C245" s="135">
        <f>'B) D RI'!U247</f>
        <v>42914.858070175447</v>
      </c>
      <c r="D245" s="219">
        <f>'E) Fact soc'!G251/C245</f>
        <v>16.04886406625435</v>
      </c>
      <c r="E245" s="219">
        <f>'H) Péréquation directe'!I256/'H) Péréquation directe'!C256</f>
        <v>9.0476140764673225</v>
      </c>
      <c r="F245" s="214">
        <f>'I) Dépenses thématiques'!P245</f>
        <v>-6.7661059749051855</v>
      </c>
      <c r="G245" s="167">
        <f t="shared" si="17"/>
        <v>18.330372167816485</v>
      </c>
      <c r="H245" s="214">
        <f t="shared" si="18"/>
        <v>25.096478142721672</v>
      </c>
      <c r="I245" s="219">
        <f t="shared" si="19"/>
        <v>0</v>
      </c>
      <c r="J245" s="75">
        <f t="shared" si="16"/>
        <v>0</v>
      </c>
    </row>
    <row r="246" spans="1:10" x14ac:dyDescent="0.25">
      <c r="A246" s="61">
        <f>'A) Base RI'!A248</f>
        <v>5792</v>
      </c>
      <c r="B246" s="124" t="str">
        <f>'A) Base RI'!B248</f>
        <v>Montpreveyres</v>
      </c>
      <c r="C246" s="135">
        <f>'B) D RI'!U248</f>
        <v>19088.494155844161</v>
      </c>
      <c r="D246" s="219">
        <f>'E) Fact soc'!G252/C246</f>
        <v>15.892375865263672</v>
      </c>
      <c r="E246" s="219">
        <f>'H) Péréquation directe'!I257/'H) Péréquation directe'!C257</f>
        <v>4.9700456069156136</v>
      </c>
      <c r="F246" s="214">
        <f>'I) Dépenses thématiques'!P246</f>
        <v>-5.6803315272978674</v>
      </c>
      <c r="G246" s="167">
        <f t="shared" si="17"/>
        <v>15.182089944881419</v>
      </c>
      <c r="H246" s="214">
        <f t="shared" si="18"/>
        <v>20.862421472179285</v>
      </c>
      <c r="I246" s="219">
        <f t="shared" si="19"/>
        <v>0</v>
      </c>
      <c r="J246" s="75">
        <f t="shared" si="16"/>
        <v>0</v>
      </c>
    </row>
    <row r="247" spans="1:10" x14ac:dyDescent="0.25">
      <c r="A247" s="61">
        <f>'A) Base RI'!A249</f>
        <v>5798</v>
      </c>
      <c r="B247" s="124" t="str">
        <f>'A) Base RI'!B249</f>
        <v>Ropraz</v>
      </c>
      <c r="C247" s="135">
        <f>'B) D RI'!U249</f>
        <v>9558.3067096774193</v>
      </c>
      <c r="D247" s="219">
        <f>'E) Fact soc'!G253/C247</f>
        <v>18.907295679847131</v>
      </c>
      <c r="E247" s="219">
        <f>'H) Péréquation directe'!I258/'H) Péréquation directe'!C258</f>
        <v>-5.9745367421212876</v>
      </c>
      <c r="F247" s="214">
        <f>'I) Dépenses thématiques'!P247</f>
        <v>-9.0161810587806848</v>
      </c>
      <c r="G247" s="167">
        <f t="shared" si="17"/>
        <v>3.9165778789451586</v>
      </c>
      <c r="H247" s="214">
        <f t="shared" si="18"/>
        <v>12.932758937725843</v>
      </c>
      <c r="I247" s="219">
        <f t="shared" si="19"/>
        <v>0</v>
      </c>
      <c r="J247" s="75">
        <f t="shared" si="16"/>
        <v>0</v>
      </c>
    </row>
    <row r="248" spans="1:10" x14ac:dyDescent="0.25">
      <c r="A248" s="61">
        <f>'A) Base RI'!A250</f>
        <v>5799</v>
      </c>
      <c r="B248" s="124" t="str">
        <f>'A) Base RI'!B250</f>
        <v>Servion</v>
      </c>
      <c r="C248" s="135">
        <f>'B) D RI'!U250</f>
        <v>51366.477681159435</v>
      </c>
      <c r="D248" s="219">
        <f>'E) Fact soc'!G254/C248</f>
        <v>19.119092285991421</v>
      </c>
      <c r="E248" s="219">
        <f>'H) Péréquation directe'!I259/'H) Péréquation directe'!C259</f>
        <v>-1.3108285869043619</v>
      </c>
      <c r="F248" s="214">
        <f>'I) Dépenses thématiques'!P248</f>
        <v>-4.3945474003002039</v>
      </c>
      <c r="G248" s="167">
        <f t="shared" si="17"/>
        <v>13.413716298786856</v>
      </c>
      <c r="H248" s="214">
        <f t="shared" si="18"/>
        <v>17.80826369908706</v>
      </c>
      <c r="I248" s="219">
        <f t="shared" si="19"/>
        <v>0</v>
      </c>
      <c r="J248" s="75">
        <f t="shared" si="16"/>
        <v>0</v>
      </c>
    </row>
    <row r="249" spans="1:10" x14ac:dyDescent="0.25">
      <c r="A249" s="61">
        <f>'A) Base RI'!A251</f>
        <v>5803</v>
      </c>
      <c r="B249" s="124" t="str">
        <f>'A) Base RI'!B251</f>
        <v>Vulliens</v>
      </c>
      <c r="C249" s="135">
        <f>'B) D RI'!U251</f>
        <v>12589.149382716048</v>
      </c>
      <c r="D249" s="219">
        <f>'E) Fact soc'!G255/C249</f>
        <v>21.244876124107446</v>
      </c>
      <c r="E249" s="219">
        <f>'H) Péréquation directe'!I260/'H) Péréquation directe'!C260</f>
        <v>-0.8255082604008035</v>
      </c>
      <c r="F249" s="214">
        <f>'I) Dépenses thématiques'!P249</f>
        <v>-5.707538553901224</v>
      </c>
      <c r="G249" s="167">
        <f t="shared" si="17"/>
        <v>14.71182930980542</v>
      </c>
      <c r="H249" s="214">
        <f t="shared" si="18"/>
        <v>20.419367863706643</v>
      </c>
      <c r="I249" s="219">
        <f t="shared" si="19"/>
        <v>0</v>
      </c>
      <c r="J249" s="75">
        <f t="shared" si="16"/>
        <v>0</v>
      </c>
    </row>
    <row r="250" spans="1:10" x14ac:dyDescent="0.25">
      <c r="A250" s="61">
        <f>'A) Base RI'!A252</f>
        <v>5804</v>
      </c>
      <c r="B250" s="124" t="str">
        <f>'A) Base RI'!B252</f>
        <v>Jorat-Menthue</v>
      </c>
      <c r="C250" s="135">
        <f>'B) D RI'!U252</f>
        <v>41163.666944444441</v>
      </c>
      <c r="D250" s="219">
        <f>'E) Fact soc'!G256/C250</f>
        <v>17.202585887072715</v>
      </c>
      <c r="E250" s="219">
        <f>'H) Péréquation directe'!I261/'H) Péréquation directe'!C261</f>
        <v>-0.82699048301316669</v>
      </c>
      <c r="F250" s="214">
        <f>'I) Dépenses thématiques'!P250</f>
        <v>-9.9523291366997668</v>
      </c>
      <c r="G250" s="167">
        <f>SUM(D250:F250)</f>
        <v>6.4232662673597822</v>
      </c>
      <c r="H250" s="214">
        <f>G250-F250</f>
        <v>16.375595404059549</v>
      </c>
      <c r="I250" s="219">
        <f t="shared" si="19"/>
        <v>0</v>
      </c>
      <c r="J250" s="75">
        <f>-I250*C250</f>
        <v>0</v>
      </c>
    </row>
    <row r="251" spans="1:10" x14ac:dyDescent="0.25">
      <c r="A251" s="61">
        <f>'A) Base RI'!A253</f>
        <v>5805</v>
      </c>
      <c r="B251" s="124" t="str">
        <f>'A) Base RI'!B253</f>
        <v>Oron</v>
      </c>
      <c r="C251" s="135">
        <f>'B) D RI'!U253</f>
        <v>146504.50986824767</v>
      </c>
      <c r="D251" s="219">
        <f>'E) Fact soc'!G257/C251</f>
        <v>17.518645504236947</v>
      </c>
      <c r="E251" s="219">
        <f>'H) Péréquation directe'!I262/'H) Péréquation directe'!C262</f>
        <v>-5.8086435107009162</v>
      </c>
      <c r="F251" s="214">
        <f>'I) Dépenses thématiques'!P251</f>
        <v>-6.468087035238141</v>
      </c>
      <c r="G251" s="167">
        <f>SUM(D251:F251)</f>
        <v>5.2419149582978894</v>
      </c>
      <c r="H251" s="214">
        <f>G251-F251</f>
        <v>11.71000199353603</v>
      </c>
      <c r="I251" s="219">
        <f t="shared" si="19"/>
        <v>0</v>
      </c>
      <c r="J251" s="75">
        <f>-I251*C251</f>
        <v>0</v>
      </c>
    </row>
    <row r="252" spans="1:10" x14ac:dyDescent="0.25">
      <c r="A252" s="61">
        <f>'A) Base RI'!A254</f>
        <v>5812</v>
      </c>
      <c r="B252" s="124" t="str">
        <f>'A) Base RI'!B254</f>
        <v>Champtauroz</v>
      </c>
      <c r="C252" s="135">
        <f>'B) D RI'!U254</f>
        <v>2420.1879870129869</v>
      </c>
      <c r="D252" s="219">
        <f>'E) Fact soc'!G258/C252</f>
        <v>21.616834695202495</v>
      </c>
      <c r="E252" s="219">
        <f>'H) Péréquation directe'!I263/'H) Péréquation directe'!C263</f>
        <v>-19.906415698185771</v>
      </c>
      <c r="F252" s="214">
        <f>'I) Dépenses thématiques'!P252</f>
        <v>-14.469530561447838</v>
      </c>
      <c r="G252" s="167">
        <f>SUM(D252:F252)</f>
        <v>-12.759111564431114</v>
      </c>
      <c r="H252" s="214">
        <f>G252-F252</f>
        <v>1.7104189970167241</v>
      </c>
      <c r="I252" s="219">
        <f t="shared" si="19"/>
        <v>0</v>
      </c>
      <c r="J252" s="75">
        <f>-I252*C252</f>
        <v>0</v>
      </c>
    </row>
    <row r="253" spans="1:10" x14ac:dyDescent="0.25">
      <c r="A253" s="61">
        <f>'A) Base RI'!A255</f>
        <v>5813</v>
      </c>
      <c r="B253" s="124" t="str">
        <f>'A) Base RI'!B255</f>
        <v>Chevroux</v>
      </c>
      <c r="C253" s="135">
        <f>'B) D RI'!U255</f>
        <v>11590.298571428571</v>
      </c>
      <c r="D253" s="219">
        <f>'E) Fact soc'!G259/C253</f>
        <v>17.236149330378538</v>
      </c>
      <c r="E253" s="219">
        <f>'H) Péréquation directe'!I264/'H) Péréquation directe'!C264</f>
        <v>2.7634883330593389</v>
      </c>
      <c r="F253" s="214">
        <f>'I) Dépenses thématiques'!P253</f>
        <v>-0.76333290929806741</v>
      </c>
      <c r="G253" s="167">
        <f t="shared" si="17"/>
        <v>19.236304754139809</v>
      </c>
      <c r="H253" s="214">
        <f t="shared" si="18"/>
        <v>19.999637663437877</v>
      </c>
      <c r="I253" s="219">
        <f t="shared" si="19"/>
        <v>0</v>
      </c>
      <c r="J253" s="75">
        <f t="shared" si="16"/>
        <v>0</v>
      </c>
    </row>
    <row r="254" spans="1:10" x14ac:dyDescent="0.25">
      <c r="A254" s="61">
        <f>'A) Base RI'!A256</f>
        <v>5816</v>
      </c>
      <c r="B254" s="124" t="str">
        <f>'A) Base RI'!B256</f>
        <v>Corcelles-près-Payerne</v>
      </c>
      <c r="C254" s="135">
        <f>'B) D RI'!U256</f>
        <v>52953.608154761903</v>
      </c>
      <c r="D254" s="219">
        <f>'E) Fact soc'!G260/C254</f>
        <v>18.912984606772003</v>
      </c>
      <c r="E254" s="219">
        <f>'H) Péréquation directe'!I265/'H) Péréquation directe'!C265</f>
        <v>-8.6657049283547902</v>
      </c>
      <c r="F254" s="214">
        <f>'I) Dépenses thématiques'!P254</f>
        <v>-4.6971522762980857</v>
      </c>
      <c r="G254" s="167">
        <f t="shared" si="17"/>
        <v>5.5501274021191271</v>
      </c>
      <c r="H254" s="214">
        <f t="shared" si="18"/>
        <v>10.247279678417213</v>
      </c>
      <c r="I254" s="219">
        <f t="shared" si="19"/>
        <v>0</v>
      </c>
      <c r="J254" s="75">
        <f t="shared" si="16"/>
        <v>0</v>
      </c>
    </row>
    <row r="255" spans="1:10" x14ac:dyDescent="0.25">
      <c r="A255" s="61">
        <f>'A) Base RI'!A257</f>
        <v>5817</v>
      </c>
      <c r="B255" s="124" t="str">
        <f>'A) Base RI'!B257</f>
        <v>Grandcour</v>
      </c>
      <c r="C255" s="135">
        <f>'B) D RI'!U257</f>
        <v>20895.78968553459</v>
      </c>
      <c r="D255" s="219">
        <f>'E) Fact soc'!G261/C255</f>
        <v>16.287754667854685</v>
      </c>
      <c r="E255" s="219">
        <f>'H) Péréquation directe'!I266/'H) Péréquation directe'!C266</f>
        <v>-5.3525277084079832</v>
      </c>
      <c r="F255" s="214">
        <f>'I) Dépenses thématiques'!P255</f>
        <v>-4.8878542870318311</v>
      </c>
      <c r="G255" s="167">
        <f t="shared" si="17"/>
        <v>6.0473726724148706</v>
      </c>
      <c r="H255" s="214">
        <f t="shared" si="18"/>
        <v>10.935226959446702</v>
      </c>
      <c r="I255" s="219">
        <f t="shared" si="19"/>
        <v>0</v>
      </c>
      <c r="J255" s="75">
        <f t="shared" si="16"/>
        <v>0</v>
      </c>
    </row>
    <row r="256" spans="1:10" x14ac:dyDescent="0.25">
      <c r="A256" s="61">
        <f>'A) Base RI'!A258</f>
        <v>5819</v>
      </c>
      <c r="B256" s="124" t="str">
        <f>'A) Base RI'!B258</f>
        <v>Henniez</v>
      </c>
      <c r="C256" s="135">
        <f>'B) D RI'!U258</f>
        <v>13106.979402985076</v>
      </c>
      <c r="D256" s="219">
        <f>'E) Fact soc'!G262/C256</f>
        <v>16.283152360628257</v>
      </c>
      <c r="E256" s="219">
        <f>'H) Péréquation directe'!I267/'H) Péréquation directe'!C267</f>
        <v>13.640004924485146</v>
      </c>
      <c r="F256" s="214">
        <f>'I) Dépenses thématiques'!P256</f>
        <v>-5.3923250189464556</v>
      </c>
      <c r="G256" s="167">
        <f t="shared" si="17"/>
        <v>24.53083226616695</v>
      </c>
      <c r="H256" s="214">
        <f t="shared" si="18"/>
        <v>29.923157285113405</v>
      </c>
      <c r="I256" s="219">
        <f t="shared" si="19"/>
        <v>0</v>
      </c>
      <c r="J256" s="75">
        <f t="shared" si="16"/>
        <v>0</v>
      </c>
    </row>
    <row r="257" spans="1:10" x14ac:dyDescent="0.25">
      <c r="A257" s="61">
        <f>'A) Base RI'!A259</f>
        <v>5821</v>
      </c>
      <c r="B257" s="124" t="str">
        <f>'A) Base RI'!B259</f>
        <v>Missy</v>
      </c>
      <c r="C257" s="135">
        <f>'B) D RI'!U259</f>
        <v>7313.8070833333331</v>
      </c>
      <c r="D257" s="219">
        <f>'E) Fact soc'!G263/C257</f>
        <v>21.011187703750405</v>
      </c>
      <c r="E257" s="219">
        <f>'H) Péréquation directe'!I268/'H) Péréquation directe'!C268</f>
        <v>-8.6752315110509457</v>
      </c>
      <c r="F257" s="214">
        <f>'I) Dépenses thématiques'!P257</f>
        <v>-9.6980797821247169</v>
      </c>
      <c r="G257" s="167">
        <f t="shared" si="17"/>
        <v>2.6378764105747425</v>
      </c>
      <c r="H257" s="214">
        <f t="shared" si="18"/>
        <v>12.335956192699459</v>
      </c>
      <c r="I257" s="219">
        <f t="shared" si="19"/>
        <v>0</v>
      </c>
      <c r="J257" s="75">
        <f t="shared" si="16"/>
        <v>0</v>
      </c>
    </row>
    <row r="258" spans="1:10" x14ac:dyDescent="0.25">
      <c r="A258" s="61">
        <f>'A) Base RI'!A260</f>
        <v>5822</v>
      </c>
      <c r="B258" s="124" t="str">
        <f>'A) Base RI'!B260</f>
        <v>Payerne</v>
      </c>
      <c r="C258" s="135">
        <f>'B) D RI'!U260</f>
        <v>224445.50853333328</v>
      </c>
      <c r="D258" s="219">
        <f>'E) Fact soc'!G264/C258</f>
        <v>17.421745302631699</v>
      </c>
      <c r="E258" s="219">
        <f>'H) Péréquation directe'!I269/'H) Péréquation directe'!C269</f>
        <v>-19.244980926270419</v>
      </c>
      <c r="F258" s="214">
        <f>'I) Dépenses thématiques'!P258</f>
        <v>-5.0169482376362105</v>
      </c>
      <c r="G258" s="167">
        <f t="shared" si="17"/>
        <v>-6.8401838612749302</v>
      </c>
      <c r="H258" s="214">
        <f t="shared" si="18"/>
        <v>-1.8232356236387197</v>
      </c>
      <c r="I258" s="219">
        <f t="shared" si="19"/>
        <v>0</v>
      </c>
      <c r="J258" s="75">
        <f t="shared" si="16"/>
        <v>0</v>
      </c>
    </row>
    <row r="259" spans="1:10" x14ac:dyDescent="0.25">
      <c r="A259" s="61">
        <f>'A) Base RI'!A261</f>
        <v>5827</v>
      </c>
      <c r="B259" s="124" t="str">
        <f>'A) Base RI'!B261</f>
        <v>Trey</v>
      </c>
      <c r="C259" s="135">
        <f>'B) D RI'!U261</f>
        <v>6544.3336250000011</v>
      </c>
      <c r="D259" s="219">
        <f>'E) Fact soc'!G265/C259</f>
        <v>18.34382059978336</v>
      </c>
      <c r="E259" s="219">
        <f>'H) Péréquation directe'!I270/'H) Péréquation directe'!C270</f>
        <v>-3.1826567886291168</v>
      </c>
      <c r="F259" s="214">
        <f>'I) Dépenses thématiques'!P259</f>
        <v>-6.9056039729745402</v>
      </c>
      <c r="G259" s="167">
        <f t="shared" si="17"/>
        <v>8.2555598381797033</v>
      </c>
      <c r="H259" s="214">
        <f t="shared" si="18"/>
        <v>15.161163811154243</v>
      </c>
      <c r="I259" s="219">
        <f t="shared" si="19"/>
        <v>0</v>
      </c>
      <c r="J259" s="75">
        <f t="shared" si="16"/>
        <v>0</v>
      </c>
    </row>
    <row r="260" spans="1:10" x14ac:dyDescent="0.25">
      <c r="A260" s="61">
        <f>'A) Base RI'!A262</f>
        <v>5828</v>
      </c>
      <c r="B260" s="124" t="str">
        <f>'A) Base RI'!B262</f>
        <v>Treytorrens (Payerne)</v>
      </c>
      <c r="C260" s="135">
        <f>'B) D RI'!U262</f>
        <v>2136.5168650793653</v>
      </c>
      <c r="D260" s="219">
        <f>'E) Fact soc'!G266/C260</f>
        <v>18.184376687499796</v>
      </c>
      <c r="E260" s="219">
        <f>'H) Péréquation directe'!I271/'H) Péréquation directe'!C271</f>
        <v>-30.252605079066157</v>
      </c>
      <c r="F260" s="214">
        <f>'I) Dépenses thématiques'!P260</f>
        <v>-24.92419045934777</v>
      </c>
      <c r="G260" s="167">
        <f t="shared" si="17"/>
        <v>-36.992418850914135</v>
      </c>
      <c r="H260" s="214">
        <f t="shared" si="18"/>
        <v>-12.068228391566365</v>
      </c>
      <c r="I260" s="219">
        <f t="shared" si="19"/>
        <v>-6.5682283915663646</v>
      </c>
      <c r="J260" s="75">
        <f t="shared" si="16"/>
        <v>14033.130732274651</v>
      </c>
    </row>
    <row r="261" spans="1:10" x14ac:dyDescent="0.25">
      <c r="A261" s="61">
        <f>'A) Base RI'!A263</f>
        <v>5830</v>
      </c>
      <c r="B261" s="124" t="str">
        <f>'A) Base RI'!B263</f>
        <v>Villarzel</v>
      </c>
      <c r="C261" s="135">
        <f>'B) D RI'!U263</f>
        <v>10236.981518987341</v>
      </c>
      <c r="D261" s="219">
        <f>'E) Fact soc'!G267/C261</f>
        <v>15.906705572603782</v>
      </c>
      <c r="E261" s="219">
        <f>'H) Péréquation directe'!I272/'H) Péréquation directe'!C272</f>
        <v>-4.6009673532379924</v>
      </c>
      <c r="F261" s="214">
        <f>'I) Dépenses thématiques'!P261</f>
        <v>-10.201495446626232</v>
      </c>
      <c r="G261" s="167">
        <f t="shared" si="17"/>
        <v>1.104242772739557</v>
      </c>
      <c r="H261" s="214">
        <f t="shared" si="18"/>
        <v>11.305738219365789</v>
      </c>
      <c r="I261" s="219">
        <f t="shared" si="19"/>
        <v>0</v>
      </c>
      <c r="J261" s="75">
        <f t="shared" si="16"/>
        <v>0</v>
      </c>
    </row>
    <row r="262" spans="1:10" x14ac:dyDescent="0.25">
      <c r="A262" s="61">
        <f>'A) Base RI'!A264</f>
        <v>5831</v>
      </c>
      <c r="B262" s="124" t="str">
        <f>'A) Base RI'!B264</f>
        <v>Valbroye</v>
      </c>
      <c r="C262" s="135">
        <f>'B) D RI'!U264</f>
        <v>78037.716438356161</v>
      </c>
      <c r="D262" s="219">
        <f>'E) Fact soc'!G268/C262</f>
        <v>15.772467948671348</v>
      </c>
      <c r="E262" s="219">
        <f>'H) Péréquation directe'!I273/'H) Péréquation directe'!C273</f>
        <v>-5.3578753654454854</v>
      </c>
      <c r="F262" s="214">
        <f>'I) Dépenses thématiques'!P262</f>
        <v>-7.8150685839476157</v>
      </c>
      <c r="G262" s="167">
        <f>SUM(D262:F262)</f>
        <v>2.5995239992782473</v>
      </c>
      <c r="H262" s="214">
        <f>G262-F262</f>
        <v>10.414592583225863</v>
      </c>
      <c r="I262" s="219">
        <f t="shared" si="19"/>
        <v>0</v>
      </c>
      <c r="J262" s="75">
        <f>-I262*C262</f>
        <v>0</v>
      </c>
    </row>
    <row r="263" spans="1:10" x14ac:dyDescent="0.25">
      <c r="A263" s="61">
        <f>'A) Base RI'!A265</f>
        <v>5841</v>
      </c>
      <c r="B263" s="124" t="str">
        <f>'A) Base RI'!B265</f>
        <v>Château-d'Oex</v>
      </c>
      <c r="C263" s="135">
        <f>'B) D RI'!U265</f>
        <v>107525.73574297188</v>
      </c>
      <c r="D263" s="219">
        <f>'E) Fact soc'!G269/C263</f>
        <v>19.908350361880466</v>
      </c>
      <c r="E263" s="219">
        <f>'H) Péréquation directe'!I274/'H) Péréquation directe'!C274</f>
        <v>-1.2381023171861396</v>
      </c>
      <c r="F263" s="214">
        <f>'I) Dépenses thématiques'!P263</f>
        <v>-16.172751494341302</v>
      </c>
      <c r="G263" s="167">
        <f>SUM(D263:F263)</f>
        <v>2.4974965503530235</v>
      </c>
      <c r="H263" s="214">
        <f>G263-F263</f>
        <v>18.670248044694326</v>
      </c>
      <c r="I263" s="219">
        <f t="shared" si="19"/>
        <v>0</v>
      </c>
      <c r="J263" s="75">
        <f>-I263*C263</f>
        <v>0</v>
      </c>
    </row>
    <row r="264" spans="1:10" x14ac:dyDescent="0.25">
      <c r="A264" s="61">
        <f>'A) Base RI'!A266</f>
        <v>5842</v>
      </c>
      <c r="B264" s="124" t="str">
        <f>'A) Base RI'!B266</f>
        <v>Rossinière</v>
      </c>
      <c r="C264" s="135">
        <f>'B) D RI'!U266</f>
        <v>16554.125349794238</v>
      </c>
      <c r="D264" s="219">
        <f>'E) Fact soc'!G270/C264</f>
        <v>16.366537168643212</v>
      </c>
      <c r="E264" s="219">
        <f>'H) Péréquation directe'!I275/'H) Péréquation directe'!C275</f>
        <v>2.3524242383976182</v>
      </c>
      <c r="F264" s="214">
        <f>'I) Dépenses thématiques'!P264</f>
        <v>-16.224910475929605</v>
      </c>
      <c r="G264" s="167">
        <f t="shared" si="17"/>
        <v>2.4940509311112251</v>
      </c>
      <c r="H264" s="214">
        <f t="shared" si="18"/>
        <v>18.71896140704083</v>
      </c>
      <c r="I264" s="219">
        <f t="shared" si="19"/>
        <v>0</v>
      </c>
      <c r="J264" s="75">
        <f t="shared" si="16"/>
        <v>0</v>
      </c>
    </row>
    <row r="265" spans="1:10" x14ac:dyDescent="0.25">
      <c r="A265" s="61">
        <f>'A) Base RI'!A267</f>
        <v>5843</v>
      </c>
      <c r="B265" s="124" t="str">
        <f>'A) Base RI'!B267</f>
        <v>Rougemont</v>
      </c>
      <c r="C265" s="135">
        <f>'B) D RI'!U267</f>
        <v>92297.453816425128</v>
      </c>
      <c r="D265" s="219">
        <f>'E) Fact soc'!G271/C265</f>
        <v>37.783668871920696</v>
      </c>
      <c r="E265" s="219">
        <f>'H) Péréquation directe'!I276/'H) Péréquation directe'!C276</f>
        <v>17.282352517180733</v>
      </c>
      <c r="F265" s="214">
        <f>'I) Dépenses thématiques'!P265</f>
        <v>-13.904999315684631</v>
      </c>
      <c r="G265" s="167">
        <f t="shared" si="17"/>
        <v>41.161022073416802</v>
      </c>
      <c r="H265" s="214">
        <f t="shared" si="18"/>
        <v>55.066021389101437</v>
      </c>
      <c r="I265" s="219">
        <f t="shared" si="19"/>
        <v>0</v>
      </c>
      <c r="J265" s="75">
        <f t="shared" si="16"/>
        <v>0</v>
      </c>
    </row>
    <row r="266" spans="1:10" x14ac:dyDescent="0.25">
      <c r="A266" s="61">
        <f>'A) Base RI'!A268</f>
        <v>5851</v>
      </c>
      <c r="B266" s="124" t="str">
        <f>'A) Base RI'!B268</f>
        <v>Allaman</v>
      </c>
      <c r="C266" s="135">
        <f>'B) D RI'!U268</f>
        <v>26311.895293255133</v>
      </c>
      <c r="D266" s="219">
        <f>'E) Fact soc'!G272/C266</f>
        <v>8.3000870787615746</v>
      </c>
      <c r="E266" s="219">
        <f>'H) Péréquation directe'!I277/'H) Péréquation directe'!C277</f>
        <v>16.910369339754361</v>
      </c>
      <c r="F266" s="214">
        <f>'I) Dépenses thématiques'!P266</f>
        <v>-2.8047807264291857E-2</v>
      </c>
      <c r="G266" s="167">
        <f t="shared" si="17"/>
        <v>25.182408611251642</v>
      </c>
      <c r="H266" s="214">
        <f t="shared" si="18"/>
        <v>25.210456418515935</v>
      </c>
      <c r="I266" s="219">
        <f t="shared" si="19"/>
        <v>0</v>
      </c>
      <c r="J266" s="75">
        <f t="shared" si="16"/>
        <v>0</v>
      </c>
    </row>
    <row r="267" spans="1:10" x14ac:dyDescent="0.25">
      <c r="A267" s="61">
        <f>'A) Base RI'!A269</f>
        <v>5852</v>
      </c>
      <c r="B267" s="124" t="str">
        <f>'A) Base RI'!B269</f>
        <v>Bursinel</v>
      </c>
      <c r="C267" s="135">
        <f>'B) D RI'!U269</f>
        <v>31632.546141732284</v>
      </c>
      <c r="D267" s="219">
        <f>'E) Fact soc'!G273/C267</f>
        <v>21.194317999170462</v>
      </c>
      <c r="E267" s="219">
        <f>'H) Péréquation directe'!I278/'H) Péréquation directe'!C278</f>
        <v>16.900039594449499</v>
      </c>
      <c r="F267" s="214">
        <f>'I) Dépenses thématiques'!P267</f>
        <v>-0.7103261440054256</v>
      </c>
      <c r="G267" s="167">
        <f t="shared" si="17"/>
        <v>37.384031449614533</v>
      </c>
      <c r="H267" s="214">
        <f t="shared" si="18"/>
        <v>38.094357593619961</v>
      </c>
      <c r="I267" s="219">
        <f t="shared" si="19"/>
        <v>0</v>
      </c>
      <c r="J267" s="75">
        <f t="shared" si="16"/>
        <v>0</v>
      </c>
    </row>
    <row r="268" spans="1:10" x14ac:dyDescent="0.25">
      <c r="A268" s="61">
        <f>'A) Base RI'!A270</f>
        <v>5853</v>
      </c>
      <c r="B268" s="124" t="str">
        <f>'A) Base RI'!B270</f>
        <v>Bursins</v>
      </c>
      <c r="C268" s="135">
        <f>'B) D RI'!U270</f>
        <v>37118.734366197183</v>
      </c>
      <c r="D268" s="219">
        <f>'E) Fact soc'!G274/C268</f>
        <v>18.402875373361013</v>
      </c>
      <c r="E268" s="219">
        <f>'H) Péréquation directe'!I279/'H) Péréquation directe'!C279</f>
        <v>16.431606943851349</v>
      </c>
      <c r="F268" s="214">
        <f>'I) Dépenses thématiques'!P268</f>
        <v>-4.3072546805774256E-2</v>
      </c>
      <c r="G268" s="167">
        <f t="shared" si="17"/>
        <v>34.791409770406588</v>
      </c>
      <c r="H268" s="214">
        <f t="shared" si="18"/>
        <v>34.834482317212363</v>
      </c>
      <c r="I268" s="219">
        <f t="shared" si="19"/>
        <v>0</v>
      </c>
      <c r="J268" s="75">
        <f t="shared" si="16"/>
        <v>0</v>
      </c>
    </row>
    <row r="269" spans="1:10" x14ac:dyDescent="0.25">
      <c r="A269" s="61">
        <f>'A) Base RI'!A271</f>
        <v>5854</v>
      </c>
      <c r="B269" s="124" t="str">
        <f>'A) Base RI'!B271</f>
        <v>Burtigny</v>
      </c>
      <c r="C269" s="135">
        <f>'B) D RI'!U271</f>
        <v>10244.164041666669</v>
      </c>
      <c r="D269" s="219">
        <f>'E) Fact soc'!G275/C269</f>
        <v>15.454173163914968</v>
      </c>
      <c r="E269" s="219">
        <f>'H) Péréquation directe'!I280/'H) Péréquation directe'!C280</f>
        <v>2.386622312266903</v>
      </c>
      <c r="F269" s="214">
        <f>'I) Dépenses thématiques'!P269</f>
        <v>-2.3605582918104591</v>
      </c>
      <c r="G269" s="167">
        <f t="shared" si="17"/>
        <v>15.480237184371411</v>
      </c>
      <c r="H269" s="214">
        <f t="shared" si="18"/>
        <v>17.840795476181871</v>
      </c>
      <c r="I269" s="219">
        <f t="shared" si="19"/>
        <v>0</v>
      </c>
      <c r="J269" s="75">
        <f t="shared" si="16"/>
        <v>0</v>
      </c>
    </row>
    <row r="270" spans="1:10" x14ac:dyDescent="0.25">
      <c r="A270" s="61">
        <f>'A) Base RI'!A272</f>
        <v>5855</v>
      </c>
      <c r="B270" s="124" t="str">
        <f>'A) Base RI'!B272</f>
        <v>Dully</v>
      </c>
      <c r="C270" s="135">
        <f>'B) D RI'!U272</f>
        <v>65353.176326530607</v>
      </c>
      <c r="D270" s="219">
        <f>'E) Fact soc'!G276/C270</f>
        <v>28.686413219175396</v>
      </c>
      <c r="E270" s="219">
        <f>'H) Péréquation directe'!I281/'H) Péréquation directe'!C281</f>
        <v>17.269184494051022</v>
      </c>
      <c r="F270" s="214">
        <f>'I) Dépenses thématiques'!P270</f>
        <v>0</v>
      </c>
      <c r="G270" s="167">
        <f t="shared" si="17"/>
        <v>45.955597713226418</v>
      </c>
      <c r="H270" s="214">
        <f t="shared" si="18"/>
        <v>45.955597713226418</v>
      </c>
      <c r="I270" s="219">
        <f t="shared" si="19"/>
        <v>0</v>
      </c>
      <c r="J270" s="75">
        <f t="shared" si="16"/>
        <v>0</v>
      </c>
    </row>
    <row r="271" spans="1:10" x14ac:dyDescent="0.25">
      <c r="A271" s="61">
        <f>'A) Base RI'!A273</f>
        <v>5856</v>
      </c>
      <c r="B271" s="124" t="str">
        <f>'A) Base RI'!B273</f>
        <v>Essertines-sur-Rolle</v>
      </c>
      <c r="C271" s="135">
        <f>'B) D RI'!U273</f>
        <v>28766.256402714938</v>
      </c>
      <c r="D271" s="219">
        <f>'E) Fact soc'!G277/C271</f>
        <v>15.028604343148125</v>
      </c>
      <c r="E271" s="219">
        <f>'H) Péréquation directe'!I282/'H) Péréquation directe'!C282</f>
        <v>14.950374005094682</v>
      </c>
      <c r="F271" s="214">
        <f>'I) Dépenses thématiques'!P271</f>
        <v>-1.9671886947931427</v>
      </c>
      <c r="G271" s="167">
        <f t="shared" si="17"/>
        <v>28.011789653449661</v>
      </c>
      <c r="H271" s="214">
        <f t="shared" si="18"/>
        <v>29.978978348242805</v>
      </c>
      <c r="I271" s="219">
        <f t="shared" si="19"/>
        <v>0</v>
      </c>
      <c r="J271" s="75">
        <f t="shared" si="16"/>
        <v>0</v>
      </c>
    </row>
    <row r="272" spans="1:10" x14ac:dyDescent="0.25">
      <c r="A272" s="61">
        <f>'A) Base RI'!A274</f>
        <v>5857</v>
      </c>
      <c r="B272" s="124" t="str">
        <f>'A) Base RI'!B274</f>
        <v>Gilly</v>
      </c>
      <c r="C272" s="135">
        <f>'B) D RI'!U274</f>
        <v>55694.918787878785</v>
      </c>
      <c r="D272" s="219">
        <f>'E) Fact soc'!G278/C272</f>
        <v>20.665797983015466</v>
      </c>
      <c r="E272" s="219">
        <f>'H) Péréquation directe'!I283/'H) Péréquation directe'!C283</f>
        <v>15.898110137641652</v>
      </c>
      <c r="F272" s="214">
        <f>'I) Dépenses thématiques'!P272</f>
        <v>0</v>
      </c>
      <c r="G272" s="167">
        <f t="shared" si="17"/>
        <v>36.563908120657118</v>
      </c>
      <c r="H272" s="214">
        <f t="shared" si="18"/>
        <v>36.563908120657118</v>
      </c>
      <c r="I272" s="219">
        <f t="shared" si="19"/>
        <v>0</v>
      </c>
      <c r="J272" s="75">
        <f t="shared" si="16"/>
        <v>0</v>
      </c>
    </row>
    <row r="273" spans="1:10" x14ac:dyDescent="0.25">
      <c r="A273" s="61">
        <f>'A) Base RI'!A275</f>
        <v>5858</v>
      </c>
      <c r="B273" s="124" t="str">
        <f>'A) Base RI'!B275</f>
        <v>Luins</v>
      </c>
      <c r="C273" s="135">
        <f>'B) D RI'!U275</f>
        <v>33594.571611111111</v>
      </c>
      <c r="D273" s="219">
        <f>'E) Fact soc'!G279/C273</f>
        <v>15.259153292098203</v>
      </c>
      <c r="E273" s="219">
        <f>'H) Péréquation directe'!I284/'H) Péréquation directe'!C284</f>
        <v>16.625218650661175</v>
      </c>
      <c r="F273" s="214">
        <f>'I) Dépenses thématiques'!P273</f>
        <v>0</v>
      </c>
      <c r="G273" s="167">
        <f t="shared" si="17"/>
        <v>31.88437194275938</v>
      </c>
      <c r="H273" s="214">
        <f t="shared" si="18"/>
        <v>31.88437194275938</v>
      </c>
      <c r="I273" s="219">
        <f t="shared" si="19"/>
        <v>0</v>
      </c>
      <c r="J273" s="75">
        <f t="shared" ref="J273:J322" si="20">-I273*C273</f>
        <v>0</v>
      </c>
    </row>
    <row r="274" spans="1:10" x14ac:dyDescent="0.25">
      <c r="A274" s="61">
        <f>'A) Base RI'!A276</f>
        <v>5859</v>
      </c>
      <c r="B274" s="124" t="str">
        <f>'A) Base RI'!B276</f>
        <v>Mont-sur-Rolle</v>
      </c>
      <c r="C274" s="135">
        <f>'B) D RI'!U276</f>
        <v>147627.58999999997</v>
      </c>
      <c r="D274" s="219">
        <f>'E) Fact soc'!G280/C274</f>
        <v>16.895505363635706</v>
      </c>
      <c r="E274" s="219">
        <f>'H) Péréquation directe'!I285/'H) Péréquation directe'!C285</f>
        <v>14.0248992283336</v>
      </c>
      <c r="F274" s="214">
        <f>'I) Dépenses thématiques'!P274</f>
        <v>0</v>
      </c>
      <c r="G274" s="167">
        <f t="shared" ref="G274:G322" si="21">SUM(D274:F274)</f>
        <v>30.920404591969309</v>
      </c>
      <c r="H274" s="214">
        <f t="shared" ref="H274:H323" si="22">G274-F274</f>
        <v>30.920404591969309</v>
      </c>
      <c r="I274" s="219">
        <f t="shared" ref="I274:I322" si="23">IF(H274&lt;I$4,H274-I$4,0)</f>
        <v>0</v>
      </c>
      <c r="J274" s="75">
        <f t="shared" si="20"/>
        <v>0</v>
      </c>
    </row>
    <row r="275" spans="1:10" x14ac:dyDescent="0.25">
      <c r="A275" s="61">
        <f>'A) Base RI'!A277</f>
        <v>5860</v>
      </c>
      <c r="B275" s="124" t="str">
        <f>'A) Base RI'!B277</f>
        <v>Perroy</v>
      </c>
      <c r="C275" s="135">
        <f>'B) D RI'!U277</f>
        <v>88241.731705128201</v>
      </c>
      <c r="D275" s="219">
        <f>'E) Fact soc'!G281/C275</f>
        <v>20.103785125227972</v>
      </c>
      <c r="E275" s="219">
        <f>'H) Péréquation directe'!I286/'H) Péréquation directe'!C286</f>
        <v>15.451037663433922</v>
      </c>
      <c r="F275" s="214">
        <f>'I) Dépenses thématiques'!P275</f>
        <v>0</v>
      </c>
      <c r="G275" s="167">
        <f t="shared" si="21"/>
        <v>35.554822788661895</v>
      </c>
      <c r="H275" s="214">
        <f t="shared" si="22"/>
        <v>35.554822788661895</v>
      </c>
      <c r="I275" s="219">
        <f t="shared" si="23"/>
        <v>0</v>
      </c>
      <c r="J275" s="75">
        <f t="shared" si="20"/>
        <v>0</v>
      </c>
    </row>
    <row r="276" spans="1:10" x14ac:dyDescent="0.25">
      <c r="A276" s="61">
        <f>'A) Base RI'!A278</f>
        <v>5861</v>
      </c>
      <c r="B276" s="124" t="str">
        <f>'A) Base RI'!B278</f>
        <v>Rolle</v>
      </c>
      <c r="C276" s="135">
        <f>'B) D RI'!U278</f>
        <v>641127.68151260505</v>
      </c>
      <c r="D276" s="219">
        <f>'E) Fact soc'!G282/C276</f>
        <v>26.440348855294129</v>
      </c>
      <c r="E276" s="219">
        <f>'H) Péréquation directe'!I287/'H) Péréquation directe'!C287</f>
        <v>13.671738179705537</v>
      </c>
      <c r="F276" s="214">
        <f>'I) Dépenses thématiques'!P276</f>
        <v>-6.2529625698109451E-2</v>
      </c>
      <c r="G276" s="167">
        <f t="shared" si="21"/>
        <v>40.049557409301556</v>
      </c>
      <c r="H276" s="214">
        <f t="shared" si="22"/>
        <v>40.112087034999668</v>
      </c>
      <c r="I276" s="219">
        <f t="shared" si="23"/>
        <v>0</v>
      </c>
      <c r="J276" s="75">
        <f t="shared" si="20"/>
        <v>0</v>
      </c>
    </row>
    <row r="277" spans="1:10" x14ac:dyDescent="0.25">
      <c r="A277" s="61">
        <f>'A) Base RI'!A279</f>
        <v>5862</v>
      </c>
      <c r="B277" s="124" t="str">
        <f>'A) Base RI'!B279</f>
        <v>Tartegnin</v>
      </c>
      <c r="C277" s="135">
        <f>'B) D RI'!U279</f>
        <v>9990.8663492063497</v>
      </c>
      <c r="D277" s="219">
        <f>'E) Fact soc'!G283/C277</f>
        <v>15.842187208253195</v>
      </c>
      <c r="E277" s="219">
        <f>'H) Péréquation directe'!I288/'H) Péréquation directe'!C288</f>
        <v>16.093241985730753</v>
      </c>
      <c r="F277" s="214">
        <f>'I) Dépenses thématiques'!P277</f>
        <v>0</v>
      </c>
      <c r="G277" s="167">
        <f t="shared" si="21"/>
        <v>31.93542919398395</v>
      </c>
      <c r="H277" s="214">
        <f t="shared" si="22"/>
        <v>31.93542919398395</v>
      </c>
      <c r="I277" s="219">
        <f t="shared" si="23"/>
        <v>0</v>
      </c>
      <c r="J277" s="75">
        <f t="shared" si="20"/>
        <v>0</v>
      </c>
    </row>
    <row r="278" spans="1:10" x14ac:dyDescent="0.25">
      <c r="A278" s="61">
        <f>'A) Base RI'!A280</f>
        <v>5863</v>
      </c>
      <c r="B278" s="124" t="str">
        <f>'A) Base RI'!B280</f>
        <v>Vinzel</v>
      </c>
      <c r="C278" s="135">
        <f>'B) D RI'!U280</f>
        <v>25660.793857142853</v>
      </c>
      <c r="D278" s="219">
        <f>'E) Fact soc'!G284/C278</f>
        <v>20.837699238412245</v>
      </c>
      <c r="E278" s="219">
        <f>'H) Péréquation directe'!I289/'H) Péréquation directe'!C289</f>
        <v>16.999175066955633</v>
      </c>
      <c r="F278" s="214">
        <f>'I) Dépenses thématiques'!P278</f>
        <v>0</v>
      </c>
      <c r="G278" s="167">
        <f t="shared" si="21"/>
        <v>37.836874305367878</v>
      </c>
      <c r="H278" s="214">
        <f t="shared" si="22"/>
        <v>37.836874305367878</v>
      </c>
      <c r="I278" s="219">
        <f t="shared" si="23"/>
        <v>0</v>
      </c>
      <c r="J278" s="75">
        <f t="shared" si="20"/>
        <v>0</v>
      </c>
    </row>
    <row r="279" spans="1:10" x14ac:dyDescent="0.25">
      <c r="A279" s="61">
        <f>'A) Base RI'!A281</f>
        <v>5871</v>
      </c>
      <c r="B279" s="124" t="str">
        <f>'A) Base RI'!B281</f>
        <v>L'Abbaye</v>
      </c>
      <c r="C279" s="135">
        <f>'B) D RI'!U281</f>
        <v>49270.614706263776</v>
      </c>
      <c r="D279" s="219">
        <f>'E) Fact soc'!G285/C279</f>
        <v>19.582515838902246</v>
      </c>
      <c r="E279" s="219">
        <f>'H) Péréquation directe'!I290/'H) Péréquation directe'!C290</f>
        <v>7.3599172639115622</v>
      </c>
      <c r="F279" s="214">
        <f>'I) Dépenses thématiques'!P279</f>
        <v>-6.1723443019034603</v>
      </c>
      <c r="G279" s="167">
        <f t="shared" si="21"/>
        <v>20.770088800910347</v>
      </c>
      <c r="H279" s="214">
        <f t="shared" si="22"/>
        <v>26.942433102813808</v>
      </c>
      <c r="I279" s="219">
        <f t="shared" si="23"/>
        <v>0</v>
      </c>
      <c r="J279" s="75">
        <f t="shared" si="20"/>
        <v>0</v>
      </c>
    </row>
    <row r="280" spans="1:10" x14ac:dyDescent="0.25">
      <c r="A280" s="61">
        <f>'A) Base RI'!A282</f>
        <v>5872</v>
      </c>
      <c r="B280" s="124" t="str">
        <f>'A) Base RI'!B282</f>
        <v>Le Chenit</v>
      </c>
      <c r="C280" s="135">
        <f>'B) D RI'!U282</f>
        <v>312565.48082674423</v>
      </c>
      <c r="D280" s="219">
        <f>'E) Fact soc'!G286/C280</f>
        <v>23.176922835496345</v>
      </c>
      <c r="E280" s="219">
        <f>'H) Péréquation directe'!I291/'H) Péréquation directe'!C291</f>
        <v>13.031247399208491</v>
      </c>
      <c r="F280" s="214">
        <f>'I) Dépenses thématiques'!P280</f>
        <v>-4.4743037572378324</v>
      </c>
      <c r="G280" s="167">
        <f t="shared" si="21"/>
        <v>31.733866477467004</v>
      </c>
      <c r="H280" s="214">
        <f t="shared" si="22"/>
        <v>36.208170234704838</v>
      </c>
      <c r="I280" s="219">
        <f t="shared" si="23"/>
        <v>0</v>
      </c>
      <c r="J280" s="75">
        <f t="shared" si="20"/>
        <v>0</v>
      </c>
    </row>
    <row r="281" spans="1:10" x14ac:dyDescent="0.25">
      <c r="A281" s="61">
        <f>'A) Base RI'!A283</f>
        <v>5873</v>
      </c>
      <c r="B281" s="124" t="str">
        <f>'A) Base RI'!B283</f>
        <v>Le Lieu</v>
      </c>
      <c r="C281" s="135">
        <f>'B) D RI'!U283</f>
        <v>35906.558461538458</v>
      </c>
      <c r="D281" s="219">
        <f>'E) Fact soc'!G287/C281</f>
        <v>23.888871979870501</v>
      </c>
      <c r="E281" s="219">
        <f>'H) Péréquation directe'!I292/'H) Péréquation directe'!C292</f>
        <v>15.389906458494693</v>
      </c>
      <c r="F281" s="214">
        <f>'I) Dépenses thématiques'!P281</f>
        <v>-20.605097947252062</v>
      </c>
      <c r="G281" s="167">
        <f t="shared" si="21"/>
        <v>18.673680491113132</v>
      </c>
      <c r="H281" s="214">
        <f t="shared" si="22"/>
        <v>39.278778438365194</v>
      </c>
      <c r="I281" s="219">
        <f t="shared" si="23"/>
        <v>0</v>
      </c>
      <c r="J281" s="75">
        <f t="shared" si="20"/>
        <v>0</v>
      </c>
    </row>
    <row r="282" spans="1:10" x14ac:dyDescent="0.25">
      <c r="A282" s="61">
        <f>'A) Base RI'!A284</f>
        <v>5881</v>
      </c>
      <c r="B282" s="124" t="str">
        <f>'A) Base RI'!B284</f>
        <v>Blonay</v>
      </c>
      <c r="C282" s="135">
        <f>'B) D RI'!U284</f>
        <v>350302.66257142869</v>
      </c>
      <c r="D282" s="219">
        <f>'E) Fact soc'!G288/C282</f>
        <v>17.886480977559966</v>
      </c>
      <c r="E282" s="219">
        <f>'H) Péréquation directe'!I293/'H) Péréquation directe'!C293</f>
        <v>11.389268452208116</v>
      </c>
      <c r="F282" s="214">
        <f>'I) Dépenses thématiques'!P282</f>
        <v>-2.2722164900943089</v>
      </c>
      <c r="G282" s="167">
        <f t="shared" si="21"/>
        <v>27.003532939673775</v>
      </c>
      <c r="H282" s="214">
        <f t="shared" si="22"/>
        <v>29.275749429768084</v>
      </c>
      <c r="I282" s="219">
        <f t="shared" si="23"/>
        <v>0</v>
      </c>
      <c r="J282" s="75">
        <f t="shared" si="20"/>
        <v>0</v>
      </c>
    </row>
    <row r="283" spans="1:10" x14ac:dyDescent="0.25">
      <c r="A283" s="61">
        <f>'A) Base RI'!A285</f>
        <v>5882</v>
      </c>
      <c r="B283" s="124" t="str">
        <f>'A) Base RI'!B285</f>
        <v>Chardonne</v>
      </c>
      <c r="C283" s="135">
        <f>'B) D RI'!U285</f>
        <v>162874.24803030302</v>
      </c>
      <c r="D283" s="219">
        <f>'E) Fact soc'!G289/C283</f>
        <v>19.285741503652599</v>
      </c>
      <c r="E283" s="219">
        <f>'H) Péréquation directe'!I294/'H) Péréquation directe'!C294</f>
        <v>13.823265637486395</v>
      </c>
      <c r="F283" s="214">
        <f>'I) Dépenses thématiques'!P283</f>
        <v>-1.8126546223596938</v>
      </c>
      <c r="G283" s="167">
        <f t="shared" si="21"/>
        <v>31.296352518779301</v>
      </c>
      <c r="H283" s="214">
        <f t="shared" si="22"/>
        <v>33.109007141138996</v>
      </c>
      <c r="I283" s="219">
        <f t="shared" si="23"/>
        <v>0</v>
      </c>
      <c r="J283" s="75">
        <f t="shared" si="20"/>
        <v>0</v>
      </c>
    </row>
    <row r="284" spans="1:10" x14ac:dyDescent="0.25">
      <c r="A284" s="61">
        <f>'A) Base RI'!A286</f>
        <v>5883</v>
      </c>
      <c r="B284" s="124" t="str">
        <f>'A) Base RI'!B286</f>
        <v>Corseaux</v>
      </c>
      <c r="C284" s="135">
        <f>'B) D RI'!U286</f>
        <v>144418.05406250001</v>
      </c>
      <c r="D284" s="219">
        <f>'E) Fact soc'!G290/C284</f>
        <v>21.351175245735028</v>
      </c>
      <c r="E284" s="219">
        <f>'H) Péréquation directe'!I295/'H) Péréquation directe'!C295</f>
        <v>14.76125334935705</v>
      </c>
      <c r="F284" s="214">
        <f>'I) Dépenses thématiques'!P284</f>
        <v>0</v>
      </c>
      <c r="G284" s="167">
        <f t="shared" si="21"/>
        <v>36.112428595092076</v>
      </c>
      <c r="H284" s="214">
        <f t="shared" si="22"/>
        <v>36.112428595092076</v>
      </c>
      <c r="I284" s="219">
        <f t="shared" si="23"/>
        <v>0</v>
      </c>
      <c r="J284" s="75">
        <f t="shared" si="20"/>
        <v>0</v>
      </c>
    </row>
    <row r="285" spans="1:10" x14ac:dyDescent="0.25">
      <c r="A285" s="61">
        <f>'A) Base RI'!A287</f>
        <v>5884</v>
      </c>
      <c r="B285" s="124" t="str">
        <f>'A) Base RI'!B287</f>
        <v>Corsier-sur-Vevey</v>
      </c>
      <c r="C285" s="135">
        <f>'B) D RI'!U287</f>
        <v>132379.93277777778</v>
      </c>
      <c r="D285" s="219">
        <f>'E) Fact soc'!G291/C285</f>
        <v>16.959418663599873</v>
      </c>
      <c r="E285" s="219">
        <f>'H) Péréquation directe'!I296/'H) Péréquation directe'!C296</f>
        <v>8.6714869201429909</v>
      </c>
      <c r="F285" s="214">
        <f>'I) Dépenses thématiques'!P285</f>
        <v>-5.0868753032650149</v>
      </c>
      <c r="G285" s="167">
        <f t="shared" si="21"/>
        <v>20.544030280477852</v>
      </c>
      <c r="H285" s="214">
        <f t="shared" si="22"/>
        <v>25.630905583742866</v>
      </c>
      <c r="I285" s="219">
        <f t="shared" si="23"/>
        <v>0</v>
      </c>
      <c r="J285" s="75">
        <f t="shared" si="20"/>
        <v>0</v>
      </c>
    </row>
    <row r="286" spans="1:10" x14ac:dyDescent="0.25">
      <c r="A286" s="61">
        <f>'A) Base RI'!A288</f>
        <v>5885</v>
      </c>
      <c r="B286" s="124" t="str">
        <f>'A) Base RI'!B288</f>
        <v>Jongny</v>
      </c>
      <c r="C286" s="135">
        <f>'B) D RI'!U288</f>
        <v>197476.07983091791</v>
      </c>
      <c r="D286" s="219">
        <f>'E) Fact soc'!G292/C286</f>
        <v>31.129119131327727</v>
      </c>
      <c r="E286" s="219">
        <f>'H) Péréquation directe'!I297/'H) Péréquation directe'!C297</f>
        <v>16.568819675107555</v>
      </c>
      <c r="F286" s="214">
        <f>'I) Dépenses thématiques'!P286</f>
        <v>0</v>
      </c>
      <c r="G286" s="167">
        <f t="shared" si="21"/>
        <v>47.697938806435282</v>
      </c>
      <c r="H286" s="214">
        <f t="shared" si="22"/>
        <v>47.697938806435282</v>
      </c>
      <c r="I286" s="219">
        <f t="shared" si="23"/>
        <v>0</v>
      </c>
      <c r="J286" s="75">
        <f t="shared" si="20"/>
        <v>0</v>
      </c>
    </row>
    <row r="287" spans="1:10" x14ac:dyDescent="0.25">
      <c r="A287" s="61">
        <f>'A) Base RI'!A289</f>
        <v>5886</v>
      </c>
      <c r="B287" s="124" t="str">
        <f>'A) Base RI'!B289</f>
        <v>Montreux</v>
      </c>
      <c r="C287" s="135">
        <f>'B) D RI'!U289</f>
        <v>1113145.3400000003</v>
      </c>
      <c r="D287" s="219">
        <f>'E) Fact soc'!G293/C287</f>
        <v>20.603629839579078</v>
      </c>
      <c r="E287" s="219">
        <f>'H) Péréquation directe'!I298/'H) Péréquation directe'!C298</f>
        <v>-1.2199951932664603</v>
      </c>
      <c r="F287" s="214">
        <f>'I) Dépenses thématiques'!P287</f>
        <v>-4.0349792435613496</v>
      </c>
      <c r="G287" s="167">
        <f t="shared" si="21"/>
        <v>15.34865540275127</v>
      </c>
      <c r="H287" s="214">
        <f t="shared" si="22"/>
        <v>19.383634646312618</v>
      </c>
      <c r="I287" s="219">
        <f t="shared" si="23"/>
        <v>0</v>
      </c>
      <c r="J287" s="75">
        <f t="shared" si="20"/>
        <v>0</v>
      </c>
    </row>
    <row r="288" spans="1:10" x14ac:dyDescent="0.25">
      <c r="A288" s="61">
        <f>'A) Base RI'!A290</f>
        <v>5888</v>
      </c>
      <c r="B288" s="124" t="str">
        <f>'A) Base RI'!B290</f>
        <v>Saint-Légier-La Chiésaz</v>
      </c>
      <c r="C288" s="135">
        <f>'B) D RI'!U290</f>
        <v>313348.84833333333</v>
      </c>
      <c r="D288" s="219">
        <f>'E) Fact soc'!G294/C288</f>
        <v>18.574286062199345</v>
      </c>
      <c r="E288" s="219">
        <f>'H) Péréquation directe'!I299/'H) Péréquation directe'!C299</f>
        <v>12.429513173511154</v>
      </c>
      <c r="F288" s="214">
        <f>'I) Dépenses thématiques'!P288</f>
        <v>-5.7639226932912715</v>
      </c>
      <c r="G288" s="167">
        <f t="shared" si="21"/>
        <v>25.239876542419228</v>
      </c>
      <c r="H288" s="214">
        <f t="shared" si="22"/>
        <v>31.003799235710499</v>
      </c>
      <c r="I288" s="219">
        <f t="shared" si="23"/>
        <v>0</v>
      </c>
      <c r="J288" s="75">
        <f t="shared" si="20"/>
        <v>0</v>
      </c>
    </row>
    <row r="289" spans="1:10" x14ac:dyDescent="0.25">
      <c r="A289" s="61">
        <f>'A) Base RI'!A291</f>
        <v>5889</v>
      </c>
      <c r="B289" s="124" t="str">
        <f>'A) Base RI'!B291</f>
        <v>La Tour-de-Peilz</v>
      </c>
      <c r="C289" s="135">
        <f>'B) D RI'!U291</f>
        <v>590141.45856770838</v>
      </c>
      <c r="D289" s="219">
        <f>'E) Fact soc'!G295/C289</f>
        <v>16.199737006422186</v>
      </c>
      <c r="E289" s="219">
        <f>'H) Péréquation directe'!I300/'H) Péréquation directe'!C300</f>
        <v>7.9931924707938515</v>
      </c>
      <c r="F289" s="214">
        <f>'I) Dépenses thématiques'!P289</f>
        <v>0</v>
      </c>
      <c r="G289" s="167">
        <f t="shared" si="21"/>
        <v>24.192929477216037</v>
      </c>
      <c r="H289" s="214">
        <f t="shared" si="22"/>
        <v>24.192929477216037</v>
      </c>
      <c r="I289" s="219">
        <f t="shared" si="23"/>
        <v>0</v>
      </c>
      <c r="J289" s="75">
        <f t="shared" si="20"/>
        <v>0</v>
      </c>
    </row>
    <row r="290" spans="1:10" x14ac:dyDescent="0.25">
      <c r="A290" s="61">
        <f>'A) Base RI'!A292</f>
        <v>5890</v>
      </c>
      <c r="B290" s="124" t="str">
        <f>'A) Base RI'!B292</f>
        <v>Vevey</v>
      </c>
      <c r="C290" s="135">
        <f>'B) D RI'!U292</f>
        <v>922155.6933561645</v>
      </c>
      <c r="D290" s="219">
        <f>'E) Fact soc'!G296/C290</f>
        <v>16.911852095720473</v>
      </c>
      <c r="E290" s="219">
        <f>'H) Péréquation directe'!I301/'H) Péréquation directe'!C301</f>
        <v>3.2704890197245731</v>
      </c>
      <c r="F290" s="214">
        <f>'I) Dépenses thématiques'!P290</f>
        <v>-1.0154941719796109</v>
      </c>
      <c r="G290" s="167">
        <f t="shared" si="21"/>
        <v>19.166846943465433</v>
      </c>
      <c r="H290" s="214">
        <f t="shared" si="22"/>
        <v>20.182341115445045</v>
      </c>
      <c r="I290" s="219">
        <f t="shared" si="23"/>
        <v>0</v>
      </c>
      <c r="J290" s="75">
        <f t="shared" si="20"/>
        <v>0</v>
      </c>
    </row>
    <row r="291" spans="1:10" x14ac:dyDescent="0.25">
      <c r="A291" s="61">
        <f>'A) Base RI'!A293</f>
        <v>5891</v>
      </c>
      <c r="B291" s="124" t="str">
        <f>'A) Base RI'!B293</f>
        <v>Veytaux</v>
      </c>
      <c r="C291" s="135">
        <f>'B) D RI'!U293</f>
        <v>37259.444879227056</v>
      </c>
      <c r="D291" s="219">
        <f>'E) Fact soc'!G297/C291</f>
        <v>17.394015614544958</v>
      </c>
      <c r="E291" s="219">
        <f>'H) Péréquation directe'!I302/'H) Péréquation directe'!C302</f>
        <v>16.221517991088945</v>
      </c>
      <c r="F291" s="214">
        <f>'I) Dépenses thématiques'!P291</f>
        <v>-8.7436836167158614</v>
      </c>
      <c r="G291" s="167">
        <f t="shared" si="21"/>
        <v>24.871849988918036</v>
      </c>
      <c r="H291" s="214">
        <f t="shared" si="22"/>
        <v>33.6155336056339</v>
      </c>
      <c r="I291" s="219">
        <f t="shared" si="23"/>
        <v>0</v>
      </c>
      <c r="J291" s="75">
        <f t="shared" si="20"/>
        <v>0</v>
      </c>
    </row>
    <row r="292" spans="1:10" x14ac:dyDescent="0.25">
      <c r="A292" s="61">
        <f>'A) Base RI'!A294</f>
        <v>5902</v>
      </c>
      <c r="B292" s="124" t="str">
        <f>'A) Base RI'!B294</f>
        <v>Belmont-sur-Yverdon</v>
      </c>
      <c r="C292" s="135">
        <f>'B) D RI'!U294</f>
        <v>8642.2247368421067</v>
      </c>
      <c r="D292" s="219">
        <f>'E) Fact soc'!G298/C292</f>
        <v>20.926904986711659</v>
      </c>
      <c r="E292" s="219">
        <f>'H) Péréquation directe'!I303/'H) Péréquation directe'!C303</f>
        <v>-5.5563129122404558</v>
      </c>
      <c r="F292" s="214">
        <f>'I) Dépenses thématiques'!P292</f>
        <v>-17.797461180276617</v>
      </c>
      <c r="G292" s="167">
        <f t="shared" si="21"/>
        <v>-2.4268691058054142</v>
      </c>
      <c r="H292" s="214">
        <f t="shared" si="22"/>
        <v>15.370592074471203</v>
      </c>
      <c r="I292" s="219">
        <f t="shared" si="23"/>
        <v>0</v>
      </c>
      <c r="J292" s="75">
        <f t="shared" si="20"/>
        <v>0</v>
      </c>
    </row>
    <row r="293" spans="1:10" x14ac:dyDescent="0.25">
      <c r="A293" s="61">
        <f>'A) Base RI'!A295</f>
        <v>5903</v>
      </c>
      <c r="B293" s="124" t="str">
        <f>'A) Base RI'!B295</f>
        <v>Bioley-Magnoux</v>
      </c>
      <c r="C293" s="135">
        <f>'B) D RI'!U295</f>
        <v>6046.5271621621623</v>
      </c>
      <c r="D293" s="219">
        <f>'E) Fact soc'!G299/C293</f>
        <v>21.893246618704094</v>
      </c>
      <c r="E293" s="219">
        <f>'H) Péréquation directe'!I304/'H) Péréquation directe'!C304</f>
        <v>5.394499298861092</v>
      </c>
      <c r="F293" s="214">
        <f>'I) Dépenses thématiques'!P293</f>
        <v>-26.747827637340098</v>
      </c>
      <c r="G293" s="167">
        <f t="shared" si="21"/>
        <v>0.5399182802250877</v>
      </c>
      <c r="H293" s="214">
        <f t="shared" si="22"/>
        <v>27.287745917565186</v>
      </c>
      <c r="I293" s="219">
        <f t="shared" si="23"/>
        <v>0</v>
      </c>
      <c r="J293" s="75">
        <f t="shared" si="20"/>
        <v>0</v>
      </c>
    </row>
    <row r="294" spans="1:10" x14ac:dyDescent="0.25">
      <c r="A294" s="61">
        <f>'A) Base RI'!A296</f>
        <v>5904</v>
      </c>
      <c r="B294" s="124" t="str">
        <f>'A) Base RI'!B296</f>
        <v>Chamblon</v>
      </c>
      <c r="C294" s="135">
        <f>'B) D RI'!U296</f>
        <v>20170.434545454544</v>
      </c>
      <c r="D294" s="219">
        <f>'E) Fact soc'!G300/C294</f>
        <v>18.120954272801914</v>
      </c>
      <c r="E294" s="219">
        <f>'H) Péréquation directe'!I305/'H) Péréquation directe'!C305</f>
        <v>11.744948120965681</v>
      </c>
      <c r="F294" s="214">
        <f>'I) Dépenses thématiques'!P294</f>
        <v>0</v>
      </c>
      <c r="G294" s="167">
        <f t="shared" si="21"/>
        <v>29.865902393767595</v>
      </c>
      <c r="H294" s="214">
        <f t="shared" si="22"/>
        <v>29.865902393767595</v>
      </c>
      <c r="I294" s="219">
        <f t="shared" si="23"/>
        <v>0</v>
      </c>
      <c r="J294" s="75">
        <f t="shared" si="20"/>
        <v>0</v>
      </c>
    </row>
    <row r="295" spans="1:10" x14ac:dyDescent="0.25">
      <c r="A295" s="61">
        <f>'A) Base RI'!A297</f>
        <v>5905</v>
      </c>
      <c r="B295" s="124" t="str">
        <f>'A) Base RI'!B297</f>
        <v>Champvent</v>
      </c>
      <c r="C295" s="135">
        <f>'B) D RI'!U297</f>
        <v>18220.765633802814</v>
      </c>
      <c r="D295" s="219">
        <f>'E) Fact soc'!G301/C295</f>
        <v>17.001440387337247</v>
      </c>
      <c r="E295" s="219">
        <f>'H) Péréquation directe'!I306/'H) Péréquation directe'!C306</f>
        <v>5.5693976409357031</v>
      </c>
      <c r="F295" s="214">
        <f>'I) Dépenses thématiques'!P295</f>
        <v>-4.9077651108691764</v>
      </c>
      <c r="G295" s="167">
        <f t="shared" si="21"/>
        <v>17.663072917403774</v>
      </c>
      <c r="H295" s="214">
        <f t="shared" si="22"/>
        <v>22.570838028272952</v>
      </c>
      <c r="I295" s="219">
        <f t="shared" si="23"/>
        <v>0</v>
      </c>
      <c r="J295" s="75">
        <f t="shared" si="20"/>
        <v>0</v>
      </c>
    </row>
    <row r="296" spans="1:10" x14ac:dyDescent="0.25">
      <c r="A296" s="61">
        <f>'A) Base RI'!A298</f>
        <v>5907</v>
      </c>
      <c r="B296" s="124" t="str">
        <f>'A) Base RI'!B298</f>
        <v>Chavannes-le-Chêne</v>
      </c>
      <c r="C296" s="135">
        <f>'B) D RI'!U298</f>
        <v>6951.74782051282</v>
      </c>
      <c r="D296" s="219">
        <f>'E) Fact soc'!G302/C296</f>
        <v>17.279582742605353</v>
      </c>
      <c r="E296" s="219">
        <f>'H) Péréquation directe'!I307/'H) Péréquation directe'!C307</f>
        <v>-3.4866240475829051</v>
      </c>
      <c r="F296" s="214">
        <f>'I) Dépenses thématiques'!P296</f>
        <v>-12.584839065568243</v>
      </c>
      <c r="G296" s="167">
        <f t="shared" si="21"/>
        <v>1.2081196294542043</v>
      </c>
      <c r="H296" s="214">
        <f t="shared" si="22"/>
        <v>13.792958695022447</v>
      </c>
      <c r="I296" s="219">
        <f t="shared" si="23"/>
        <v>0</v>
      </c>
      <c r="J296" s="75">
        <f t="shared" si="20"/>
        <v>0</v>
      </c>
    </row>
    <row r="297" spans="1:10" x14ac:dyDescent="0.25">
      <c r="A297" s="61">
        <f>'A) Base RI'!A299</f>
        <v>5908</v>
      </c>
      <c r="B297" s="124" t="str">
        <f>'A) Base RI'!B299</f>
        <v>Chêne-Pâquier</v>
      </c>
      <c r="C297" s="135">
        <f>'B) D RI'!U299</f>
        <v>2899.0017721518989</v>
      </c>
      <c r="D297" s="219">
        <f>'E) Fact soc'!G303/C297</f>
        <v>16.768233049163449</v>
      </c>
      <c r="E297" s="219">
        <f>'H) Péréquation directe'!I308/'H) Péréquation directe'!C308</f>
        <v>-7.6495302819883424</v>
      </c>
      <c r="F297" s="214">
        <f>'I) Dépenses thématiques'!P297</f>
        <v>-10.279131594135343</v>
      </c>
      <c r="G297" s="167">
        <f t="shared" si="21"/>
        <v>-1.1604288269602367</v>
      </c>
      <c r="H297" s="214">
        <f t="shared" si="22"/>
        <v>9.1187027671751064</v>
      </c>
      <c r="I297" s="219">
        <f t="shared" si="23"/>
        <v>0</v>
      </c>
      <c r="J297" s="75">
        <f t="shared" si="20"/>
        <v>0</v>
      </c>
    </row>
    <row r="298" spans="1:10" x14ac:dyDescent="0.25">
      <c r="A298" s="61">
        <f>'A) Base RI'!A300</f>
        <v>5909</v>
      </c>
      <c r="B298" s="124" t="str">
        <f>'A) Base RI'!B300</f>
        <v>Cheseaux-Noréaz</v>
      </c>
      <c r="C298" s="135">
        <f>'B) D RI'!U300</f>
        <v>22661.846714285719</v>
      </c>
      <c r="D298" s="219">
        <f>'E) Fact soc'!G304/C298</f>
        <v>16.778076333863691</v>
      </c>
      <c r="E298" s="219">
        <f>'H) Péréquation directe'!I309/'H) Péréquation directe'!C309</f>
        <v>10.168102009380306</v>
      </c>
      <c r="F298" s="214">
        <f>'I) Dépenses thématiques'!P298</f>
        <v>-5.6472011256829759</v>
      </c>
      <c r="G298" s="167">
        <f t="shared" si="21"/>
        <v>21.298977217561021</v>
      </c>
      <c r="H298" s="214">
        <f t="shared" si="22"/>
        <v>26.946178343243997</v>
      </c>
      <c r="I298" s="219">
        <f t="shared" si="23"/>
        <v>0</v>
      </c>
      <c r="J298" s="75">
        <f t="shared" si="20"/>
        <v>0</v>
      </c>
    </row>
    <row r="299" spans="1:10" x14ac:dyDescent="0.25">
      <c r="A299" s="61">
        <f>'A) Base RI'!A301</f>
        <v>5910</v>
      </c>
      <c r="B299" s="124" t="str">
        <f>'A) Base RI'!B301</f>
        <v>Cronay</v>
      </c>
      <c r="C299" s="135">
        <f>'B) D RI'!U301</f>
        <v>10409.753209876544</v>
      </c>
      <c r="D299" s="219">
        <f>'E) Fact soc'!G305/C299</f>
        <v>19.324303836454348</v>
      </c>
      <c r="E299" s="219">
        <f>'H) Péréquation directe'!I310/'H) Péréquation directe'!C310</f>
        <v>1.3168663407710517</v>
      </c>
      <c r="F299" s="214">
        <f>'I) Dépenses thématiques'!P299</f>
        <v>-9.3092596876224682</v>
      </c>
      <c r="G299" s="167">
        <f t="shared" si="21"/>
        <v>11.331910489602933</v>
      </c>
      <c r="H299" s="214">
        <f t="shared" si="22"/>
        <v>20.641170177225401</v>
      </c>
      <c r="I299" s="219">
        <f t="shared" si="23"/>
        <v>0</v>
      </c>
      <c r="J299" s="75">
        <f t="shared" si="20"/>
        <v>0</v>
      </c>
    </row>
    <row r="300" spans="1:10" x14ac:dyDescent="0.25">
      <c r="A300" s="61">
        <f>'A) Base RI'!A302</f>
        <v>5911</v>
      </c>
      <c r="B300" s="124" t="str">
        <f>'A) Base RI'!B302</f>
        <v>Cuarny</v>
      </c>
      <c r="C300" s="135">
        <f>'B) D RI'!U302</f>
        <v>6783.6280246913584</v>
      </c>
      <c r="D300" s="219">
        <f>'E) Fact soc'!G306/C300</f>
        <v>14.421134517414469</v>
      </c>
      <c r="E300" s="219">
        <f>'H) Péréquation directe'!I311/'H) Péréquation directe'!C311</f>
        <v>5.1854260536262338</v>
      </c>
      <c r="F300" s="214">
        <f>'I) Dépenses thématiques'!P300</f>
        <v>-0.89584882128233168</v>
      </c>
      <c r="G300" s="167">
        <f t="shared" si="21"/>
        <v>18.710711749758371</v>
      </c>
      <c r="H300" s="214">
        <f t="shared" si="22"/>
        <v>19.606560571040703</v>
      </c>
      <c r="I300" s="219">
        <f t="shared" si="23"/>
        <v>0</v>
      </c>
      <c r="J300" s="75">
        <f t="shared" si="20"/>
        <v>0</v>
      </c>
    </row>
    <row r="301" spans="1:10" x14ac:dyDescent="0.25">
      <c r="A301" s="61">
        <f>'A) Base RI'!A303</f>
        <v>5912</v>
      </c>
      <c r="B301" s="124" t="str">
        <f>'A) Base RI'!B303</f>
        <v>Démoret</v>
      </c>
      <c r="C301" s="135">
        <f>'B) D RI'!U303</f>
        <v>3146.6025925925924</v>
      </c>
      <c r="D301" s="219">
        <f>'E) Fact soc'!G307/C301</f>
        <v>30.321465600662904</v>
      </c>
      <c r="E301" s="219">
        <f>'H) Péréquation directe'!I312/'H) Péréquation directe'!C312</f>
        <v>-3.7852565621973788</v>
      </c>
      <c r="F301" s="214">
        <f>'I) Dépenses thématiques'!P301</f>
        <v>-8.5462730398454312</v>
      </c>
      <c r="G301" s="167">
        <f t="shared" si="21"/>
        <v>17.989935998620094</v>
      </c>
      <c r="H301" s="214">
        <f t="shared" si="22"/>
        <v>26.536209038465525</v>
      </c>
      <c r="I301" s="219">
        <f t="shared" si="23"/>
        <v>0</v>
      </c>
      <c r="J301" s="75">
        <f t="shared" si="20"/>
        <v>0</v>
      </c>
    </row>
    <row r="302" spans="1:10" x14ac:dyDescent="0.25">
      <c r="A302" s="61">
        <f>'A) Base RI'!A304</f>
        <v>5913</v>
      </c>
      <c r="B302" s="124" t="str">
        <f>'A) Base RI'!B304</f>
        <v>Donneloye</v>
      </c>
      <c r="C302" s="135">
        <f>'B) D RI'!U304</f>
        <v>23116.238767123283</v>
      </c>
      <c r="D302" s="219">
        <f>'E) Fact soc'!G308/C302</f>
        <v>17.124369468269979</v>
      </c>
      <c r="E302" s="219">
        <f>'H) Péréquation directe'!I313/'H) Péréquation directe'!C313</f>
        <v>5.8098549184725012</v>
      </c>
      <c r="F302" s="214">
        <f>'I) Dépenses thématiques'!P302</f>
        <v>-1.1579489954271458</v>
      </c>
      <c r="G302" s="167">
        <f t="shared" si="21"/>
        <v>21.776275391315334</v>
      </c>
      <c r="H302" s="214">
        <f t="shared" si="22"/>
        <v>22.934224386742478</v>
      </c>
      <c r="I302" s="219">
        <f t="shared" si="23"/>
        <v>0</v>
      </c>
      <c r="J302" s="75">
        <f t="shared" si="20"/>
        <v>0</v>
      </c>
    </row>
    <row r="303" spans="1:10" x14ac:dyDescent="0.25">
      <c r="A303" s="61">
        <f>'A) Base RI'!A305</f>
        <v>5914</v>
      </c>
      <c r="B303" s="124" t="str">
        <f>'A) Base RI'!B305</f>
        <v>Ependes</v>
      </c>
      <c r="C303" s="135">
        <f>'B) D RI'!U305</f>
        <v>8750.2923999999985</v>
      </c>
      <c r="D303" s="219">
        <f>'E) Fact soc'!G309/C303</f>
        <v>15.315071782495318</v>
      </c>
      <c r="E303" s="219">
        <f>'H) Péréquation directe'!I314/'H) Péréquation directe'!C314</f>
        <v>-1.5222638195760705</v>
      </c>
      <c r="F303" s="214">
        <f>'I) Dépenses thématiques'!P303</f>
        <v>-3.3555042179485173</v>
      </c>
      <c r="G303" s="167">
        <f t="shared" si="21"/>
        <v>10.43730374497073</v>
      </c>
      <c r="H303" s="214">
        <f t="shared" si="22"/>
        <v>13.792807962919248</v>
      </c>
      <c r="I303" s="219">
        <f t="shared" si="23"/>
        <v>0</v>
      </c>
      <c r="J303" s="75">
        <f t="shared" si="20"/>
        <v>0</v>
      </c>
    </row>
    <row r="304" spans="1:10" x14ac:dyDescent="0.25">
      <c r="A304" s="61">
        <f>'A) Base RI'!A306</f>
        <v>5915</v>
      </c>
      <c r="B304" s="124" t="str">
        <f>'A) Base RI'!B306</f>
        <v>Essert-Pittet</v>
      </c>
      <c r="C304" s="135">
        <f>'B) D RI'!U306</f>
        <v>5181.7059529411763</v>
      </c>
      <c r="D304" s="219">
        <f>'E) Fact soc'!G310/C304</f>
        <v>15.705551716681901</v>
      </c>
      <c r="E304" s="219">
        <f>'H) Péréquation directe'!I315/'H) Péréquation directe'!C315</f>
        <v>6.8398202313379528</v>
      </c>
      <c r="F304" s="214">
        <f>'I) Dépenses thématiques'!P304</f>
        <v>-3.3214499570504548</v>
      </c>
      <c r="G304" s="167">
        <f t="shared" si="21"/>
        <v>19.223921990969401</v>
      </c>
      <c r="H304" s="214">
        <f t="shared" si="22"/>
        <v>22.545371948019856</v>
      </c>
      <c r="I304" s="219">
        <f t="shared" si="23"/>
        <v>0</v>
      </c>
      <c r="J304" s="75">
        <f t="shared" si="20"/>
        <v>0</v>
      </c>
    </row>
    <row r="305" spans="1:10" x14ac:dyDescent="0.25">
      <c r="A305" s="61">
        <f>'A) Base RI'!A307</f>
        <v>5919</v>
      </c>
      <c r="B305" s="124" t="str">
        <f>'A) Base RI'!B307</f>
        <v>Mathod</v>
      </c>
      <c r="C305" s="135">
        <f>'B) D RI'!U307</f>
        <v>16260.723851351351</v>
      </c>
      <c r="D305" s="219">
        <f>'E) Fact soc'!G311/C305</f>
        <v>14.750587472235953</v>
      </c>
      <c r="E305" s="219">
        <f>'H) Péréquation directe'!I316/'H) Péréquation directe'!C316</f>
        <v>2.783761536283933</v>
      </c>
      <c r="F305" s="214">
        <f>'I) Dépenses thématiques'!P305</f>
        <v>-4.6207323533223805</v>
      </c>
      <c r="G305" s="167">
        <f t="shared" si="21"/>
        <v>12.913616655197504</v>
      </c>
      <c r="H305" s="214">
        <f t="shared" si="22"/>
        <v>17.534349008519886</v>
      </c>
      <c r="I305" s="219">
        <f t="shared" si="23"/>
        <v>0</v>
      </c>
      <c r="J305" s="75">
        <f t="shared" si="20"/>
        <v>0</v>
      </c>
    </row>
    <row r="306" spans="1:10" x14ac:dyDescent="0.25">
      <c r="A306" s="61">
        <f>'A) Base RI'!A308</f>
        <v>5921</v>
      </c>
      <c r="B306" s="124" t="str">
        <f>'A) Base RI'!B308</f>
        <v>Molondin</v>
      </c>
      <c r="C306" s="135">
        <f>'B) D RI'!U308</f>
        <v>4932.1140740740739</v>
      </c>
      <c r="D306" s="219">
        <f>'E) Fact soc'!G312/C306</f>
        <v>20.901228659944241</v>
      </c>
      <c r="E306" s="219">
        <f>'H) Péréquation directe'!I317/'H) Péréquation directe'!C317</f>
        <v>-11.615410813942795</v>
      </c>
      <c r="F306" s="214">
        <f>'I) Dépenses thématiques'!P306</f>
        <v>-11.032934839133063</v>
      </c>
      <c r="G306" s="167">
        <f t="shared" si="21"/>
        <v>-1.7471169931316162</v>
      </c>
      <c r="H306" s="214">
        <f t="shared" si="22"/>
        <v>9.2858178460014464</v>
      </c>
      <c r="I306" s="219">
        <f t="shared" si="23"/>
        <v>0</v>
      </c>
      <c r="J306" s="75">
        <f t="shared" si="20"/>
        <v>0</v>
      </c>
    </row>
    <row r="307" spans="1:10" x14ac:dyDescent="0.25">
      <c r="A307" s="61">
        <f>'A) Base RI'!A309</f>
        <v>5922</v>
      </c>
      <c r="B307" s="124" t="str">
        <f>'A) Base RI'!B309</f>
        <v>Montagny-près-Yverdon</v>
      </c>
      <c r="C307" s="135">
        <f>'B) D RI'!U309</f>
        <v>54274.18045081968</v>
      </c>
      <c r="D307" s="219">
        <f>'E) Fact soc'!G313/C307</f>
        <v>21.305548287156796</v>
      </c>
      <c r="E307" s="219">
        <f>'H) Péréquation directe'!I318/'H) Péréquation directe'!C318</f>
        <v>17.029997520517313</v>
      </c>
      <c r="F307" s="214">
        <f>'I) Dépenses thématiques'!P307</f>
        <v>-1.4822870390524923</v>
      </c>
      <c r="G307" s="167">
        <f t="shared" si="21"/>
        <v>36.853258768621615</v>
      </c>
      <c r="H307" s="214">
        <f t="shared" si="22"/>
        <v>38.335545807674109</v>
      </c>
      <c r="I307" s="219">
        <f t="shared" si="23"/>
        <v>0</v>
      </c>
      <c r="J307" s="75">
        <f t="shared" si="20"/>
        <v>0</v>
      </c>
    </row>
    <row r="308" spans="1:10" x14ac:dyDescent="0.25">
      <c r="A308" s="61">
        <f>'A) Base RI'!A310</f>
        <v>5923</v>
      </c>
      <c r="B308" s="124" t="str">
        <f>'A) Base RI'!B310</f>
        <v>Oppens</v>
      </c>
      <c r="C308" s="135">
        <f>'B) D RI'!U310</f>
        <v>4902.1274074074072</v>
      </c>
      <c r="D308" s="219">
        <f>'E) Fact soc'!G314/C308</f>
        <v>19.894974681304067</v>
      </c>
      <c r="E308" s="219">
        <f>'H) Péréquation directe'!I319/'H) Péréquation directe'!C319</f>
        <v>-1.3557835341498075</v>
      </c>
      <c r="F308" s="214">
        <f>'I) Dépenses thématiques'!P308</f>
        <v>-6.8542539245384306</v>
      </c>
      <c r="G308" s="167">
        <f t="shared" si="21"/>
        <v>11.684937222615829</v>
      </c>
      <c r="H308" s="214">
        <f t="shared" si="22"/>
        <v>18.539191147154259</v>
      </c>
      <c r="I308" s="219">
        <f t="shared" si="23"/>
        <v>0</v>
      </c>
      <c r="J308" s="75">
        <f t="shared" si="20"/>
        <v>0</v>
      </c>
    </row>
    <row r="309" spans="1:10" x14ac:dyDescent="0.25">
      <c r="A309" s="61">
        <f>'A) Base RI'!A311</f>
        <v>5924</v>
      </c>
      <c r="B309" s="124" t="str">
        <f>'A) Base RI'!B311</f>
        <v>Orges</v>
      </c>
      <c r="C309" s="135">
        <f>'B) D RI'!U311</f>
        <v>9002.8555405405405</v>
      </c>
      <c r="D309" s="219">
        <f>'E) Fact soc'!G315/C309</f>
        <v>19.340309277348613</v>
      </c>
      <c r="E309" s="219">
        <f>'H) Péréquation directe'!I320/'H) Péréquation directe'!C320</f>
        <v>8.2238236634228201</v>
      </c>
      <c r="F309" s="214">
        <f>'I) Dépenses thématiques'!P309</f>
        <v>0</v>
      </c>
      <c r="G309" s="167">
        <f t="shared" si="21"/>
        <v>27.564132940771433</v>
      </c>
      <c r="H309" s="214">
        <f t="shared" si="22"/>
        <v>27.564132940771433</v>
      </c>
      <c r="I309" s="219">
        <f t="shared" si="23"/>
        <v>0</v>
      </c>
      <c r="J309" s="75">
        <f t="shared" si="20"/>
        <v>0</v>
      </c>
    </row>
    <row r="310" spans="1:10" x14ac:dyDescent="0.25">
      <c r="A310" s="61">
        <f>'A) Base RI'!A312</f>
        <v>5925</v>
      </c>
      <c r="B310" s="124" t="str">
        <f>'A) Base RI'!B312</f>
        <v>Orzens</v>
      </c>
      <c r="C310" s="135">
        <f>'B) D RI'!U312</f>
        <v>5053.7527848101263</v>
      </c>
      <c r="D310" s="219">
        <f>'E) Fact soc'!G316/C310</f>
        <v>15.195766552236499</v>
      </c>
      <c r="E310" s="219">
        <f>'H) Péréquation directe'!I321/'H) Péréquation directe'!C321</f>
        <v>-6.0334725111401983</v>
      </c>
      <c r="F310" s="214">
        <f>'I) Dépenses thématiques'!P310</f>
        <v>-2.0792153276168626</v>
      </c>
      <c r="G310" s="167">
        <f t="shared" si="21"/>
        <v>7.0830787134794377</v>
      </c>
      <c r="H310" s="214">
        <f t="shared" si="22"/>
        <v>9.1622940410963007</v>
      </c>
      <c r="I310" s="219">
        <f t="shared" si="23"/>
        <v>0</v>
      </c>
      <c r="J310" s="75">
        <f t="shared" si="20"/>
        <v>0</v>
      </c>
    </row>
    <row r="311" spans="1:10" x14ac:dyDescent="0.25">
      <c r="A311" s="61">
        <f>'A) Base RI'!A313</f>
        <v>5926</v>
      </c>
      <c r="B311" s="124" t="str">
        <f>'A) Base RI'!B313</f>
        <v>Pomy</v>
      </c>
      <c r="C311" s="135">
        <f>'B) D RI'!U313</f>
        <v>21029.126197183101</v>
      </c>
      <c r="D311" s="219">
        <f>'E) Fact soc'!G317/C311</f>
        <v>16.780598514423932</v>
      </c>
      <c r="E311" s="219">
        <f>'H) Péréquation directe'!I322/'H) Péréquation directe'!C322</f>
        <v>4.7403875049166002</v>
      </c>
      <c r="F311" s="214">
        <f>'I) Dépenses thématiques'!P311</f>
        <v>-13.039923523754068</v>
      </c>
      <c r="G311" s="167">
        <f t="shared" si="21"/>
        <v>8.4810624955864657</v>
      </c>
      <c r="H311" s="214">
        <f t="shared" si="22"/>
        <v>21.520986019340533</v>
      </c>
      <c r="I311" s="219">
        <f t="shared" si="23"/>
        <v>0</v>
      </c>
      <c r="J311" s="75">
        <f t="shared" si="20"/>
        <v>0</v>
      </c>
    </row>
    <row r="312" spans="1:10" x14ac:dyDescent="0.25">
      <c r="A312" s="61">
        <f>'A) Base RI'!A314</f>
        <v>5928</v>
      </c>
      <c r="B312" s="124" t="str">
        <f>'A) Base RI'!B314</f>
        <v>Rovray</v>
      </c>
      <c r="C312" s="135">
        <f>'B) D RI'!U314</f>
        <v>4897.1457333333328</v>
      </c>
      <c r="D312" s="219">
        <f>'E) Fact soc'!G318/C312</f>
        <v>17.179772208484881</v>
      </c>
      <c r="E312" s="219">
        <f>'H) Péréquation directe'!I323/'H) Péréquation directe'!C323</f>
        <v>2.2278808132501453</v>
      </c>
      <c r="F312" s="214">
        <f>'I) Dépenses thématiques'!P312</f>
        <v>-1.3112135977434043</v>
      </c>
      <c r="G312" s="167">
        <f t="shared" si="21"/>
        <v>18.096439423991622</v>
      </c>
      <c r="H312" s="214">
        <f t="shared" si="22"/>
        <v>19.407653021735026</v>
      </c>
      <c r="I312" s="219">
        <f t="shared" si="23"/>
        <v>0</v>
      </c>
      <c r="J312" s="75">
        <f t="shared" si="20"/>
        <v>0</v>
      </c>
    </row>
    <row r="313" spans="1:10" x14ac:dyDescent="0.25">
      <c r="A313" s="61">
        <f>'A) Base RI'!A315</f>
        <v>5929</v>
      </c>
      <c r="B313" s="124" t="str">
        <f>'A) Base RI'!B315</f>
        <v>Suchy</v>
      </c>
      <c r="C313" s="135">
        <f>'B) D RI'!U315</f>
        <v>16083.913284313729</v>
      </c>
      <c r="D313" s="219">
        <f>'E) Fact soc'!G319/C313</f>
        <v>15.499625799235268</v>
      </c>
      <c r="E313" s="219">
        <f>'H) Péréquation directe'!I324/'H) Péréquation directe'!C324</f>
        <v>6.5089700970806792</v>
      </c>
      <c r="F313" s="214">
        <f>'I) Dépenses thématiques'!P313</f>
        <v>-0.95768424709916689</v>
      </c>
      <c r="G313" s="167">
        <f t="shared" si="21"/>
        <v>21.050911649216779</v>
      </c>
      <c r="H313" s="214">
        <f t="shared" si="22"/>
        <v>22.008595896315946</v>
      </c>
      <c r="I313" s="219">
        <f t="shared" si="23"/>
        <v>0</v>
      </c>
      <c r="J313" s="75">
        <f t="shared" si="20"/>
        <v>0</v>
      </c>
    </row>
    <row r="314" spans="1:10" x14ac:dyDescent="0.25">
      <c r="A314" s="61">
        <f>'A) Base RI'!A316</f>
        <v>5930</v>
      </c>
      <c r="B314" s="124" t="str">
        <f>'A) Base RI'!B316</f>
        <v>Suscévaz</v>
      </c>
      <c r="C314" s="135">
        <f>'B) D RI'!U316</f>
        <v>5208.083787878787</v>
      </c>
      <c r="D314" s="219">
        <f>'E) Fact soc'!G320/C314</f>
        <v>15.27730407913154</v>
      </c>
      <c r="E314" s="219">
        <f>'H) Péréquation directe'!I325/'H) Péréquation directe'!C325</f>
        <v>3.1529147333277199</v>
      </c>
      <c r="F314" s="214">
        <f>'I) Dépenses thématiques'!P314</f>
        <v>0</v>
      </c>
      <c r="G314" s="167">
        <f t="shared" si="21"/>
        <v>18.430218812459259</v>
      </c>
      <c r="H314" s="214">
        <f t="shared" si="22"/>
        <v>18.430218812459259</v>
      </c>
      <c r="I314" s="219">
        <f t="shared" si="23"/>
        <v>0</v>
      </c>
      <c r="J314" s="75">
        <f t="shared" si="20"/>
        <v>0</v>
      </c>
    </row>
    <row r="315" spans="1:10" x14ac:dyDescent="0.25">
      <c r="A315" s="61">
        <f>'A) Base RI'!A317</f>
        <v>5931</v>
      </c>
      <c r="B315" s="124" t="str">
        <f>'A) Base RI'!B317</f>
        <v>Treycovagnes</v>
      </c>
      <c r="C315" s="135">
        <f>'B) D RI'!U317</f>
        <v>13922.074155844155</v>
      </c>
      <c r="D315" s="219">
        <f>'E) Fact soc'!G321/C315</f>
        <v>17.356522597252777</v>
      </c>
      <c r="E315" s="219">
        <f>'H) Péréquation directe'!I326/'H) Péréquation directe'!C326</f>
        <v>4.6482356777867055</v>
      </c>
      <c r="F315" s="214">
        <f>'I) Dépenses thématiques'!P315</f>
        <v>0</v>
      </c>
      <c r="G315" s="167">
        <f t="shared" si="21"/>
        <v>22.004758275039482</v>
      </c>
      <c r="H315" s="214">
        <f t="shared" si="22"/>
        <v>22.004758275039482</v>
      </c>
      <c r="I315" s="219">
        <f t="shared" si="23"/>
        <v>0</v>
      </c>
      <c r="J315" s="75">
        <f t="shared" si="20"/>
        <v>0</v>
      </c>
    </row>
    <row r="316" spans="1:10" x14ac:dyDescent="0.25">
      <c r="A316" s="61">
        <f>'A) Base RI'!A318</f>
        <v>5932</v>
      </c>
      <c r="B316" s="124" t="str">
        <f>'A) Base RI'!B318</f>
        <v>Ursins</v>
      </c>
      <c r="C316" s="135">
        <f>'B) D RI'!U318</f>
        <v>5429.3069230769233</v>
      </c>
      <c r="D316" s="219">
        <f>'E) Fact soc'!G322/C316</f>
        <v>14.421830268566982</v>
      </c>
      <c r="E316" s="219">
        <f>'H) Péréquation directe'!I327/'H) Péréquation directe'!C327</f>
        <v>-1.3345694422037462</v>
      </c>
      <c r="F316" s="214">
        <f>'I) Dépenses thématiques'!P316</f>
        <v>-3.1084679924809513</v>
      </c>
      <c r="G316" s="167">
        <f t="shared" si="21"/>
        <v>9.9787928338822844</v>
      </c>
      <c r="H316" s="214">
        <f t="shared" si="22"/>
        <v>13.087260826363236</v>
      </c>
      <c r="I316" s="219">
        <f t="shared" si="23"/>
        <v>0</v>
      </c>
      <c r="J316" s="75">
        <f t="shared" si="20"/>
        <v>0</v>
      </c>
    </row>
    <row r="317" spans="1:10" x14ac:dyDescent="0.25">
      <c r="A317" s="61">
        <f>'A) Base RI'!A319</f>
        <v>5933</v>
      </c>
      <c r="B317" s="124" t="str">
        <f>'A) Base RI'!B319</f>
        <v>Valeyres-sous-Montagny</v>
      </c>
      <c r="C317" s="135">
        <f>'B) D RI'!U319</f>
        <v>17165.971111111114</v>
      </c>
      <c r="D317" s="219">
        <f>'E) Fact soc'!G323/C317</f>
        <v>17.400961541111208</v>
      </c>
      <c r="E317" s="219">
        <f>'H) Péréquation directe'!I328/'H) Péréquation directe'!C328</f>
        <v>0.66032240979217849</v>
      </c>
      <c r="F317" s="214">
        <f>'I) Dépenses thématiques'!P317</f>
        <v>-9.4148733355112082</v>
      </c>
      <c r="G317" s="167">
        <f t="shared" si="21"/>
        <v>8.6464106153921794</v>
      </c>
      <c r="H317" s="214">
        <f t="shared" si="22"/>
        <v>18.061283950903388</v>
      </c>
      <c r="I317" s="219">
        <f t="shared" si="23"/>
        <v>0</v>
      </c>
      <c r="J317" s="75">
        <f t="shared" si="20"/>
        <v>0</v>
      </c>
    </row>
    <row r="318" spans="1:10" x14ac:dyDescent="0.25">
      <c r="A318" s="61">
        <f>'A) Base RI'!A320</f>
        <v>5934</v>
      </c>
      <c r="B318" s="124" t="str">
        <f>'A) Base RI'!B320</f>
        <v>Valeyres-sous-Ursins</v>
      </c>
      <c r="C318" s="135">
        <f>'B) D RI'!U320</f>
        <v>6602.430506329114</v>
      </c>
      <c r="D318" s="219">
        <f>'E) Fact soc'!G324/C318</f>
        <v>17.693219745586063</v>
      </c>
      <c r="E318" s="219">
        <f>'H) Péréquation directe'!I329/'H) Péréquation directe'!C329</f>
        <v>-0.54439138371233853</v>
      </c>
      <c r="F318" s="214">
        <f>'I) Dépenses thématiques'!P318</f>
        <v>-1.0042350941227782</v>
      </c>
      <c r="G318" s="167">
        <f t="shared" si="21"/>
        <v>16.144593267750949</v>
      </c>
      <c r="H318" s="214">
        <f t="shared" si="22"/>
        <v>17.148828361873726</v>
      </c>
      <c r="I318" s="219">
        <f t="shared" si="23"/>
        <v>0</v>
      </c>
      <c r="J318" s="75">
        <f t="shared" si="20"/>
        <v>0</v>
      </c>
    </row>
    <row r="319" spans="1:10" x14ac:dyDescent="0.25">
      <c r="A319" s="61">
        <f>'A) Base RI'!A321</f>
        <v>5935</v>
      </c>
      <c r="B319" s="124" t="str">
        <f>'A) Base RI'!B321</f>
        <v>Villars-Epeney</v>
      </c>
      <c r="C319" s="135">
        <f>'B) D RI'!U321</f>
        <v>7512.9308333333338</v>
      </c>
      <c r="D319" s="219">
        <f>'E) Fact soc'!G325/C319</f>
        <v>20.881030483731443</v>
      </c>
      <c r="E319" s="219">
        <f>'H) Péréquation directe'!I330/'H) Péréquation directe'!C330</f>
        <v>17.110851784372848</v>
      </c>
      <c r="F319" s="214">
        <f>'I) Dépenses thématiques'!P319</f>
        <v>-6.3756436520141246</v>
      </c>
      <c r="G319" s="167">
        <f t="shared" si="21"/>
        <v>31.616238616090165</v>
      </c>
      <c r="H319" s="214">
        <f t="shared" si="22"/>
        <v>37.991882268104291</v>
      </c>
      <c r="I319" s="219">
        <f t="shared" si="23"/>
        <v>0</v>
      </c>
      <c r="J319" s="75">
        <f t="shared" si="20"/>
        <v>0</v>
      </c>
    </row>
    <row r="320" spans="1:10" x14ac:dyDescent="0.25">
      <c r="A320" s="61">
        <f>'A) Base RI'!A322</f>
        <v>5937</v>
      </c>
      <c r="B320" s="124" t="str">
        <f>'A) Base RI'!B322</f>
        <v>Vugelles-La Mothe</v>
      </c>
      <c r="C320" s="135">
        <f>'B) D RI'!U322</f>
        <v>2128.9780612244899</v>
      </c>
      <c r="D320" s="219">
        <f>'E) Fact soc'!G326/C320</f>
        <v>14.370166215682488</v>
      </c>
      <c r="E320" s="219">
        <f>'H) Péréquation directe'!I331/'H) Péréquation directe'!C331</f>
        <v>-22.214655228970074</v>
      </c>
      <c r="F320" s="214">
        <f>'I) Dépenses thématiques'!P320</f>
        <v>-19.6791449105176</v>
      </c>
      <c r="G320" s="167">
        <f t="shared" si="21"/>
        <v>-27.523633923805185</v>
      </c>
      <c r="H320" s="214">
        <f t="shared" si="22"/>
        <v>-7.8444890132875855</v>
      </c>
      <c r="I320" s="219">
        <f t="shared" si="23"/>
        <v>-2.3444890132875855</v>
      </c>
      <c r="J320" s="75">
        <f t="shared" si="20"/>
        <v>4991.3656740711212</v>
      </c>
    </row>
    <row r="321" spans="1:13" x14ac:dyDescent="0.25">
      <c r="A321" s="61">
        <f>'A) Base RI'!A323</f>
        <v>5938</v>
      </c>
      <c r="B321" s="124" t="str">
        <f>'A) Base RI'!B323</f>
        <v>Yverdon-les-Bains</v>
      </c>
      <c r="C321" s="135">
        <f>'B) D RI'!U323</f>
        <v>771340.02758169943</v>
      </c>
      <c r="D321" s="219">
        <f>'E) Fact soc'!G327/C321</f>
        <v>18.158767086250524</v>
      </c>
      <c r="E321" s="219">
        <f>'H) Péréquation directe'!I332/'H) Péréquation directe'!C332</f>
        <v>-28.610890396319498</v>
      </c>
      <c r="F321" s="214">
        <f>'I) Dépenses thématiques'!P321</f>
        <v>-8.8143588280233942</v>
      </c>
      <c r="G321" s="167">
        <f t="shared" si="21"/>
        <v>-19.266482138092368</v>
      </c>
      <c r="H321" s="214">
        <f t="shared" si="22"/>
        <v>-10.452123310068973</v>
      </c>
      <c r="I321" s="219">
        <f t="shared" si="23"/>
        <v>-4.9521233100689734</v>
      </c>
      <c r="J321" s="75">
        <f t="shared" si="20"/>
        <v>3819770.9305765787</v>
      </c>
    </row>
    <row r="322" spans="1:13" x14ac:dyDescent="0.25">
      <c r="A322" s="63">
        <f>'A) Base RI'!A324</f>
        <v>5939</v>
      </c>
      <c r="B322" s="125" t="str">
        <f>'A) Base RI'!B324</f>
        <v>Yvonand</v>
      </c>
      <c r="C322" s="136">
        <f>'B) D RI'!U324</f>
        <v>88221.551917808203</v>
      </c>
      <c r="D322" s="220">
        <f>'E) Fact soc'!G328/C322</f>
        <v>17.532445317958011</v>
      </c>
      <c r="E322" s="220">
        <f>'H) Péréquation directe'!I333/'H) Péréquation directe'!C333</f>
        <v>-3.1802397014744961</v>
      </c>
      <c r="F322" s="215">
        <f>'I) Dépenses thématiques'!P322</f>
        <v>-2.5590589107734223</v>
      </c>
      <c r="G322" s="170">
        <f t="shared" si="21"/>
        <v>11.793146705710093</v>
      </c>
      <c r="H322" s="215">
        <f t="shared" si="22"/>
        <v>14.352205616483516</v>
      </c>
      <c r="I322" s="220">
        <f t="shared" si="23"/>
        <v>0</v>
      </c>
      <c r="J322" s="149">
        <f t="shared" si="20"/>
        <v>0</v>
      </c>
    </row>
    <row r="323" spans="1:13" x14ac:dyDescent="0.25">
      <c r="A323" s="40"/>
      <c r="B323" s="190">
        <f>COUNTA(B5:B322)</f>
        <v>318</v>
      </c>
      <c r="C323" s="136">
        <f>SUM(C5:C322)</f>
        <v>35177813.511629909</v>
      </c>
      <c r="D323" s="215">
        <f>'E) Fact soc'!G329/C323</f>
        <v>20.191412231040921</v>
      </c>
      <c r="E323" s="173">
        <f>'H) Péréquation directe'!I334/'H) Péréquation directe'!C334</f>
        <v>3.8359480481201795</v>
      </c>
      <c r="F323" s="173">
        <f>'I) Dépenses thématiques'!P323</f>
        <v>-4.0000000000000027</v>
      </c>
      <c r="G323" s="173">
        <f>SUM(D323:F323)</f>
        <v>20.027360279161098</v>
      </c>
      <c r="H323" s="173">
        <f t="shared" si="22"/>
        <v>24.027360279161101</v>
      </c>
      <c r="I323" s="173"/>
      <c r="J323" s="47">
        <f>SUM(J5:J322)</f>
        <v>5946311.082450835</v>
      </c>
      <c r="L323" s="17"/>
      <c r="M323" s="17"/>
    </row>
    <row r="324" spans="1:13" x14ac:dyDescent="0.25">
      <c r="I324" s="38"/>
    </row>
    <row r="325" spans="1:13" x14ac:dyDescent="0.25">
      <c r="I325" s="38"/>
    </row>
  </sheetData>
  <sheetProtection sheet="1" objects="1" scenarios="1"/>
  <mergeCells count="9">
    <mergeCell ref="C3:C4"/>
    <mergeCell ref="B3:B4"/>
    <mergeCell ref="A3:A4"/>
    <mergeCell ref="J3:J4"/>
    <mergeCell ref="H3:H4"/>
    <mergeCell ref="G3:G4"/>
    <mergeCell ref="F3:F4"/>
    <mergeCell ref="E3:E4"/>
    <mergeCell ref="D3:D4"/>
  </mergeCells>
  <phoneticPr fontId="7"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325"/>
  <sheetViews>
    <sheetView workbookViewId="0"/>
  </sheetViews>
  <sheetFormatPr baseColWidth="10" defaultColWidth="10.75" defaultRowHeight="15" x14ac:dyDescent="0.25"/>
  <cols>
    <col min="1" max="1" width="7.25" style="18" customWidth="1"/>
    <col min="2" max="2" width="18" style="18" customWidth="1"/>
    <col min="3" max="3" width="11.125" style="18" customWidth="1"/>
    <col min="4" max="4" width="11.25" style="18" customWidth="1"/>
    <col min="5" max="6" width="10.125" style="18" customWidth="1"/>
    <col min="7" max="8" width="11" style="18" customWidth="1"/>
    <col min="9" max="9" width="9.25" style="18" customWidth="1"/>
    <col min="10" max="10" width="11.125" style="18" bestFit="1" customWidth="1"/>
    <col min="11" max="11" width="10" style="18" customWidth="1"/>
    <col min="12" max="12" width="8.75" style="20" bestFit="1" customWidth="1"/>
    <col min="13" max="13" width="10.375" style="20" customWidth="1"/>
    <col min="14" max="14" width="10.375" style="18" customWidth="1"/>
    <col min="15" max="15" width="6.75" style="18" customWidth="1"/>
    <col min="16" max="16" width="12.25" style="18" customWidth="1"/>
    <col min="17" max="17" width="10.375" style="18" customWidth="1"/>
    <col min="18" max="18" width="8.25" style="18" customWidth="1"/>
    <col min="19" max="19" width="8.125" style="18" customWidth="1"/>
    <col min="20" max="21" width="9.625" style="18" customWidth="1"/>
    <col min="22" max="16384" width="10.75" style="18"/>
  </cols>
  <sheetData>
    <row r="1" spans="1:21" s="54" customFormat="1" ht="21" x14ac:dyDescent="0.25">
      <c r="A1" s="65" t="s">
        <v>160</v>
      </c>
      <c r="B1" s="53"/>
      <c r="C1" s="100"/>
      <c r="D1" s="100"/>
      <c r="E1" s="100"/>
      <c r="F1" s="100"/>
      <c r="G1" s="100"/>
      <c r="H1" s="100"/>
      <c r="I1" s="100"/>
      <c r="J1" s="100"/>
      <c r="K1" s="100"/>
      <c r="L1" s="212"/>
      <c r="M1" s="212"/>
      <c r="N1" s="100"/>
      <c r="O1" s="100"/>
      <c r="P1" s="100"/>
      <c r="Q1" s="100"/>
      <c r="R1" s="100"/>
      <c r="S1" s="100"/>
      <c r="T1" s="100"/>
      <c r="U1" s="18"/>
    </row>
    <row r="2" spans="1:21" x14ac:dyDescent="0.25">
      <c r="C2" s="226"/>
      <c r="D2" s="226"/>
      <c r="E2" s="226"/>
      <c r="F2" s="226"/>
      <c r="G2" s="226"/>
      <c r="H2" s="226"/>
      <c r="I2" s="226"/>
    </row>
    <row r="3" spans="1:21" x14ac:dyDescent="0.25">
      <c r="C3" s="527">
        <f>Paramètres!B6</f>
        <v>2014</v>
      </c>
      <c r="D3" s="528"/>
      <c r="E3" s="528"/>
      <c r="F3" s="528"/>
      <c r="G3" s="528"/>
      <c r="H3" s="528"/>
      <c r="I3" s="529"/>
    </row>
    <row r="4" spans="1:21" ht="30" x14ac:dyDescent="0.25">
      <c r="A4" s="497" t="s">
        <v>51</v>
      </c>
      <c r="B4" s="497" t="s">
        <v>121</v>
      </c>
      <c r="C4" s="497" t="s">
        <v>118</v>
      </c>
      <c r="D4" s="530" t="s">
        <v>179</v>
      </c>
      <c r="E4" s="497" t="s">
        <v>501</v>
      </c>
      <c r="F4" s="497" t="s">
        <v>290</v>
      </c>
      <c r="G4" s="497" t="s">
        <v>291</v>
      </c>
      <c r="H4" s="497" t="s">
        <v>405</v>
      </c>
      <c r="I4" s="86" t="s">
        <v>416</v>
      </c>
      <c r="J4" s="86" t="s">
        <v>416</v>
      </c>
      <c r="K4" s="514" t="s">
        <v>521</v>
      </c>
      <c r="L4" s="521" t="s">
        <v>404</v>
      </c>
      <c r="M4" s="521" t="s">
        <v>303</v>
      </c>
      <c r="N4" s="497" t="s">
        <v>304</v>
      </c>
      <c r="O4" s="516" t="s">
        <v>159</v>
      </c>
      <c r="P4" s="180" t="s">
        <v>160</v>
      </c>
      <c r="Q4" s="514" t="s">
        <v>417</v>
      </c>
      <c r="R4" s="497" t="s">
        <v>161</v>
      </c>
      <c r="S4" s="497" t="s">
        <v>294</v>
      </c>
      <c r="T4" s="227"/>
    </row>
    <row r="5" spans="1:21" ht="30" x14ac:dyDescent="0.25">
      <c r="A5" s="498"/>
      <c r="B5" s="498"/>
      <c r="C5" s="498"/>
      <c r="D5" s="531"/>
      <c r="E5" s="498"/>
      <c r="F5" s="498"/>
      <c r="G5" s="498"/>
      <c r="H5" s="498"/>
      <c r="I5" s="87">
        <f>Paramètres!B6</f>
        <v>2014</v>
      </c>
      <c r="J5" s="152" t="str">
        <f>Paramètres!B5</f>
        <v>décompte 2015</v>
      </c>
      <c r="K5" s="515"/>
      <c r="L5" s="526"/>
      <c r="M5" s="526"/>
      <c r="N5" s="498"/>
      <c r="O5" s="517"/>
      <c r="P5" s="188">
        <f>Paramètres!B45</f>
        <v>90.298294413247959</v>
      </c>
      <c r="Q5" s="515"/>
      <c r="R5" s="498"/>
      <c r="S5" s="498"/>
      <c r="T5" s="218"/>
    </row>
    <row r="6" spans="1:21" x14ac:dyDescent="0.25">
      <c r="A6" s="57">
        <f>'A) Base RI'!A7</f>
        <v>5401</v>
      </c>
      <c r="B6" s="72" t="str">
        <f>'A) Base RI'!B7</f>
        <v>Aigle</v>
      </c>
      <c r="C6" s="234">
        <v>4122580.1479881797</v>
      </c>
      <c r="D6" s="235">
        <v>-3265142.7849984588</v>
      </c>
      <c r="E6" s="236">
        <v>0</v>
      </c>
      <c r="F6" s="235">
        <v>0</v>
      </c>
      <c r="G6" s="235">
        <v>0</v>
      </c>
      <c r="H6" s="237">
        <f>SUM(C6:G6)</f>
        <v>857437.36298972089</v>
      </c>
      <c r="I6" s="310">
        <v>256314.41797530872</v>
      </c>
      <c r="J6" s="134">
        <f>'B) D RI'!U7</f>
        <v>260845.44622222218</v>
      </c>
      <c r="K6" s="99">
        <f>H6/I6</f>
        <v>3.3452560716749047</v>
      </c>
      <c r="L6" s="127">
        <f>'B) D RI'!S7</f>
        <v>67.5</v>
      </c>
      <c r="M6" s="127">
        <f>L6-K6</f>
        <v>64.15474392832509</v>
      </c>
      <c r="N6" s="196">
        <f>'J) Plafonnement effort'!G5+'J) Plafonnement effort'!H5-'K) Plafonnement aide'!I5</f>
        <v>-1.8606555523796722</v>
      </c>
      <c r="O6" s="196">
        <f>M6+N6</f>
        <v>62.294088375945421</v>
      </c>
      <c r="P6" s="59">
        <f>IF(O6&gt;$P$5,$P$5-O6,0)</f>
        <v>0</v>
      </c>
      <c r="Q6" s="148">
        <f>P6*J6</f>
        <v>0</v>
      </c>
      <c r="R6" s="228">
        <f>O6+P6</f>
        <v>62.294088375945421</v>
      </c>
      <c r="S6" s="196">
        <f>R6-L6</f>
        <v>-5.2059116240545791</v>
      </c>
      <c r="T6" s="229"/>
      <c r="U6" s="38"/>
    </row>
    <row r="7" spans="1:21" x14ac:dyDescent="0.25">
      <c r="A7" s="61">
        <f>'A) Base RI'!A8</f>
        <v>5402</v>
      </c>
      <c r="B7" s="73" t="str">
        <f>'A) Base RI'!B8</f>
        <v>Bex</v>
      </c>
      <c r="C7" s="238">
        <v>2822810.5499320086</v>
      </c>
      <c r="D7" s="239">
        <v>-2876904.7944065304</v>
      </c>
      <c r="E7" s="240">
        <v>0</v>
      </c>
      <c r="F7" s="239">
        <v>0</v>
      </c>
      <c r="G7" s="239">
        <v>0</v>
      </c>
      <c r="H7" s="241">
        <f t="shared" ref="H7:H70" si="0">SUM(C7:G7)</f>
        <v>-54094.244474521838</v>
      </c>
      <c r="I7" s="311">
        <v>163724.47859154927</v>
      </c>
      <c r="J7" s="135">
        <f>'B) D RI'!U8</f>
        <v>175890.90239436619</v>
      </c>
      <c r="K7" s="92">
        <f t="shared" ref="K7:K61" si="1">H7/I7</f>
        <v>-0.33039802563349829</v>
      </c>
      <c r="L7" s="43">
        <f>'B) D RI'!S8</f>
        <v>71</v>
      </c>
      <c r="M7" s="43">
        <f t="shared" ref="M7:M60" si="2">L7-K7</f>
        <v>71.3303980256335</v>
      </c>
      <c r="N7" s="199">
        <f>'J) Plafonnement effort'!G6+'J) Plafonnement effort'!H6-'K) Plafonnement aide'!I6</f>
        <v>-5.7965762741678155</v>
      </c>
      <c r="O7" s="199">
        <f t="shared" ref="O7:O60" si="3">M7+N7</f>
        <v>65.53382175146568</v>
      </c>
      <c r="P7" s="59">
        <f t="shared" ref="P7:P60" si="4">IF(O7&gt;$P$5,$P$5-O7,0)</f>
        <v>0</v>
      </c>
      <c r="Q7" s="75">
        <f t="shared" ref="Q7:Q62" si="5">P7*J7</f>
        <v>0</v>
      </c>
      <c r="R7" s="230">
        <f t="shared" ref="R7:R60" si="6">O7+P7</f>
        <v>65.53382175146568</v>
      </c>
      <c r="S7" s="199">
        <f t="shared" ref="S7:S60" si="7">R7-L7</f>
        <v>-5.4661782485343196</v>
      </c>
      <c r="T7" s="229"/>
      <c r="U7" s="38"/>
    </row>
    <row r="8" spans="1:21" x14ac:dyDescent="0.25">
      <c r="A8" s="61">
        <f>'A) Base RI'!A9</f>
        <v>5403</v>
      </c>
      <c r="B8" s="73" t="str">
        <f>'A) Base RI'!B9</f>
        <v>Chessel</v>
      </c>
      <c r="C8" s="238">
        <v>129235.49035474203</v>
      </c>
      <c r="D8" s="239">
        <v>-77606.970977721445</v>
      </c>
      <c r="E8" s="240">
        <v>0</v>
      </c>
      <c r="F8" s="239">
        <v>0</v>
      </c>
      <c r="G8" s="239">
        <v>0</v>
      </c>
      <c r="H8" s="241">
        <f>SUM(C8:G8)</f>
        <v>51628.519377020581</v>
      </c>
      <c r="I8" s="311">
        <v>7826.6322368421061</v>
      </c>
      <c r="J8" s="135">
        <f>'B) D RI'!U9</f>
        <v>8284.5784210526326</v>
      </c>
      <c r="K8" s="92">
        <f t="shared" si="1"/>
        <v>6.5965178654991572</v>
      </c>
      <c r="L8" s="43">
        <f>'B) D RI'!S9</f>
        <v>76</v>
      </c>
      <c r="M8" s="43">
        <f t="shared" si="2"/>
        <v>69.403482134500848</v>
      </c>
      <c r="N8" s="199">
        <f>'J) Plafonnement effort'!G7+'J) Plafonnement effort'!H7-'K) Plafonnement aide'!I7</f>
        <v>-0.16955371555501664</v>
      </c>
      <c r="O8" s="199">
        <f t="shared" si="3"/>
        <v>69.233928418945837</v>
      </c>
      <c r="P8" s="59">
        <f t="shared" si="4"/>
        <v>0</v>
      </c>
      <c r="Q8" s="75">
        <f t="shared" si="5"/>
        <v>0</v>
      </c>
      <c r="R8" s="230">
        <f t="shared" si="6"/>
        <v>69.233928418945837</v>
      </c>
      <c r="S8" s="199">
        <f t="shared" si="7"/>
        <v>-6.7660715810541632</v>
      </c>
      <c r="T8" s="229"/>
      <c r="U8" s="38"/>
    </row>
    <row r="9" spans="1:21" x14ac:dyDescent="0.25">
      <c r="A9" s="61">
        <f>'A) Base RI'!A10</f>
        <v>5404</v>
      </c>
      <c r="B9" s="73" t="str">
        <f>'A) Base RI'!B10</f>
        <v>Corbeyrier</v>
      </c>
      <c r="C9" s="238">
        <v>265408.84956047119</v>
      </c>
      <c r="D9" s="239">
        <v>79954.32530378626</v>
      </c>
      <c r="E9" s="240">
        <v>0</v>
      </c>
      <c r="F9" s="239">
        <v>0</v>
      </c>
      <c r="G9" s="239">
        <v>0</v>
      </c>
      <c r="H9" s="241">
        <f t="shared" si="0"/>
        <v>345363.17486425745</v>
      </c>
      <c r="I9" s="311">
        <v>12723.602380952381</v>
      </c>
      <c r="J9" s="135">
        <f>'B) D RI'!U10</f>
        <v>9966.1885714285709</v>
      </c>
      <c r="K9" s="92">
        <f t="shared" si="1"/>
        <v>27.143505787423585</v>
      </c>
      <c r="L9" s="43">
        <f>'B) D RI'!S10</f>
        <v>70</v>
      </c>
      <c r="M9" s="43">
        <f t="shared" si="2"/>
        <v>42.856494212576415</v>
      </c>
      <c r="N9" s="199">
        <f>'J) Plafonnement effort'!G8+'J) Plafonnement effort'!H8-'K) Plafonnement aide'!I8</f>
        <v>-5.0051076687024416</v>
      </c>
      <c r="O9" s="199">
        <f t="shared" si="3"/>
        <v>37.851386543873971</v>
      </c>
      <c r="P9" s="59">
        <f t="shared" si="4"/>
        <v>0</v>
      </c>
      <c r="Q9" s="75">
        <f t="shared" si="5"/>
        <v>0</v>
      </c>
      <c r="R9" s="230">
        <f t="shared" si="6"/>
        <v>37.851386543873971</v>
      </c>
      <c r="S9" s="199">
        <f t="shared" si="7"/>
        <v>-32.148613456126029</v>
      </c>
      <c r="T9" s="229"/>
      <c r="U9" s="38"/>
    </row>
    <row r="10" spans="1:21" x14ac:dyDescent="0.25">
      <c r="A10" s="61">
        <f>'A) Base RI'!A11</f>
        <v>5405</v>
      </c>
      <c r="B10" s="73" t="str">
        <f>'A) Base RI'!B11</f>
        <v>Gryon</v>
      </c>
      <c r="C10" s="238">
        <v>1313615.2599308239</v>
      </c>
      <c r="D10" s="239">
        <v>1053388</v>
      </c>
      <c r="E10" s="240">
        <v>0</v>
      </c>
      <c r="F10" s="239">
        <v>0</v>
      </c>
      <c r="G10" s="239">
        <v>0</v>
      </c>
      <c r="H10" s="241">
        <f t="shared" si="0"/>
        <v>2367003.2599308239</v>
      </c>
      <c r="I10" s="311">
        <v>67187.701777777766</v>
      </c>
      <c r="J10" s="135">
        <f>'B) D RI'!U11</f>
        <v>72189.140533333324</v>
      </c>
      <c r="K10" s="92">
        <f t="shared" si="1"/>
        <v>35.229710159749899</v>
      </c>
      <c r="L10" s="43">
        <f>'B) D RI'!S11</f>
        <v>75</v>
      </c>
      <c r="M10" s="43">
        <f t="shared" si="2"/>
        <v>39.770289840250101</v>
      </c>
      <c r="N10" s="199">
        <f>'J) Plafonnement effort'!G9+'J) Plafonnement effort'!H9-'K) Plafonnement aide'!I9</f>
        <v>28.558664129686601</v>
      </c>
      <c r="O10" s="199">
        <f t="shared" si="3"/>
        <v>68.328953969936705</v>
      </c>
      <c r="P10" s="59">
        <f t="shared" si="4"/>
        <v>0</v>
      </c>
      <c r="Q10" s="75">
        <f t="shared" si="5"/>
        <v>0</v>
      </c>
      <c r="R10" s="230">
        <f t="shared" si="6"/>
        <v>68.328953969936705</v>
      </c>
      <c r="S10" s="199">
        <f t="shared" si="7"/>
        <v>-6.6710460300632946</v>
      </c>
      <c r="T10" s="229"/>
      <c r="U10" s="38"/>
    </row>
    <row r="11" spans="1:21" x14ac:dyDescent="0.25">
      <c r="A11" s="61">
        <f>'A) Base RI'!A12</f>
        <v>5406</v>
      </c>
      <c r="B11" s="73" t="str">
        <f>'A) Base RI'!B12</f>
        <v>Lavey-Morcles</v>
      </c>
      <c r="C11" s="238">
        <v>323992.7350432906</v>
      </c>
      <c r="D11" s="239">
        <v>-128985.59725352569</v>
      </c>
      <c r="E11" s="240">
        <v>0</v>
      </c>
      <c r="F11" s="239">
        <v>0</v>
      </c>
      <c r="G11" s="239">
        <v>0</v>
      </c>
      <c r="H11" s="241">
        <f t="shared" si="0"/>
        <v>195007.13778976491</v>
      </c>
      <c r="I11" s="311">
        <v>19209.951419284946</v>
      </c>
      <c r="J11" s="135">
        <f>'B) D RI'!U12</f>
        <v>19831.448851570964</v>
      </c>
      <c r="K11" s="92">
        <f t="shared" si="1"/>
        <v>10.151360278506299</v>
      </c>
      <c r="L11" s="43">
        <f>'B) D RI'!S12</f>
        <v>71</v>
      </c>
      <c r="M11" s="43">
        <f t="shared" si="2"/>
        <v>60.848639721493697</v>
      </c>
      <c r="N11" s="199">
        <f>'J) Plafonnement effort'!G10+'J) Plafonnement effort'!H10-'K) Plafonnement aide'!I10</f>
        <v>6.3699031897734404</v>
      </c>
      <c r="O11" s="199">
        <f t="shared" si="3"/>
        <v>67.218542911267136</v>
      </c>
      <c r="P11" s="59">
        <f t="shared" si="4"/>
        <v>0</v>
      </c>
      <c r="Q11" s="75">
        <f t="shared" si="5"/>
        <v>0</v>
      </c>
      <c r="R11" s="230">
        <f t="shared" si="6"/>
        <v>67.218542911267136</v>
      </c>
      <c r="S11" s="199">
        <f t="shared" si="7"/>
        <v>-3.7814570887328642</v>
      </c>
      <c r="T11" s="229"/>
      <c r="U11" s="38"/>
    </row>
    <row r="12" spans="1:21" x14ac:dyDescent="0.25">
      <c r="A12" s="61">
        <f>'A) Base RI'!A13</f>
        <v>5407</v>
      </c>
      <c r="B12" s="73" t="str">
        <f>'A) Base RI'!B13</f>
        <v>Leysin</v>
      </c>
      <c r="C12" s="238">
        <v>1862357.5924074883</v>
      </c>
      <c r="D12" s="239">
        <v>-1380508.7875419282</v>
      </c>
      <c r="E12" s="240">
        <v>0</v>
      </c>
      <c r="F12" s="239">
        <v>0</v>
      </c>
      <c r="G12" s="239">
        <v>0</v>
      </c>
      <c r="H12" s="241">
        <f t="shared" si="0"/>
        <v>481848.80486556003</v>
      </c>
      <c r="I12" s="311">
        <v>99721.08303418805</v>
      </c>
      <c r="J12" s="135">
        <f>'B) D RI'!U13</f>
        <v>102799.09089743589</v>
      </c>
      <c r="K12" s="92">
        <f t="shared" si="1"/>
        <v>4.8319652194347364</v>
      </c>
      <c r="L12" s="43">
        <f>'B) D RI'!S13</f>
        <v>78</v>
      </c>
      <c r="M12" s="43">
        <f t="shared" si="2"/>
        <v>73.168034780565264</v>
      </c>
      <c r="N12" s="199">
        <f>'J) Plafonnement effort'!G11+'J) Plafonnement effort'!H11-'K) Plafonnement aide'!I11</f>
        <v>-7.8604449031763028</v>
      </c>
      <c r="O12" s="199">
        <f t="shared" si="3"/>
        <v>65.307589877388963</v>
      </c>
      <c r="P12" s="59">
        <f t="shared" si="4"/>
        <v>0</v>
      </c>
      <c r="Q12" s="75">
        <f t="shared" si="5"/>
        <v>0</v>
      </c>
      <c r="R12" s="230">
        <f t="shared" si="6"/>
        <v>65.307589877388963</v>
      </c>
      <c r="S12" s="199">
        <f t="shared" si="7"/>
        <v>-12.692410122611037</v>
      </c>
      <c r="T12" s="229"/>
      <c r="U12" s="38"/>
    </row>
    <row r="13" spans="1:21" x14ac:dyDescent="0.25">
      <c r="A13" s="61">
        <f>'A) Base RI'!A14</f>
        <v>5408</v>
      </c>
      <c r="B13" s="73" t="str">
        <f>'A) Base RI'!B14</f>
        <v>Noville</v>
      </c>
      <c r="C13" s="238">
        <v>477849.49888233352</v>
      </c>
      <c r="D13" s="239">
        <v>50191.371432698681</v>
      </c>
      <c r="E13" s="240">
        <v>0</v>
      </c>
      <c r="F13" s="239">
        <v>0</v>
      </c>
      <c r="G13" s="239">
        <v>0</v>
      </c>
      <c r="H13" s="241">
        <f t="shared" si="0"/>
        <v>528040.8703150322</v>
      </c>
      <c r="I13" s="311">
        <v>27782.072271762208</v>
      </c>
      <c r="J13" s="135">
        <f>'B) D RI'!U14</f>
        <v>34745.229256900217</v>
      </c>
      <c r="K13" s="92">
        <f t="shared" si="1"/>
        <v>19.006532887459755</v>
      </c>
      <c r="L13" s="43">
        <f>'B) D RI'!S14</f>
        <v>78.5</v>
      </c>
      <c r="M13" s="43">
        <f t="shared" si="2"/>
        <v>59.493467112540245</v>
      </c>
      <c r="N13" s="199">
        <f>'J) Plafonnement effort'!G12+'J) Plafonnement effort'!H12-'K) Plafonnement aide'!I12</f>
        <v>24.079490750779385</v>
      </c>
      <c r="O13" s="199">
        <f t="shared" si="3"/>
        <v>83.57295786331963</v>
      </c>
      <c r="P13" s="59">
        <f t="shared" si="4"/>
        <v>0</v>
      </c>
      <c r="Q13" s="75">
        <f t="shared" si="5"/>
        <v>0</v>
      </c>
      <c r="R13" s="230">
        <f t="shared" si="6"/>
        <v>83.57295786331963</v>
      </c>
      <c r="S13" s="199">
        <f t="shared" si="7"/>
        <v>5.0729578633196297</v>
      </c>
      <c r="T13" s="229"/>
      <c r="U13" s="38"/>
    </row>
    <row r="14" spans="1:21" x14ac:dyDescent="0.25">
      <c r="A14" s="61">
        <f>'A) Base RI'!A15</f>
        <v>5409</v>
      </c>
      <c r="B14" s="73" t="str">
        <f>'A) Base RI'!B15</f>
        <v>Ollon</v>
      </c>
      <c r="C14" s="238">
        <v>6535324.4103137515</v>
      </c>
      <c r="D14" s="239">
        <v>3794137</v>
      </c>
      <c r="E14" s="240">
        <v>0</v>
      </c>
      <c r="F14" s="239">
        <v>0</v>
      </c>
      <c r="G14" s="239">
        <v>0</v>
      </c>
      <c r="H14" s="241">
        <f t="shared" si="0"/>
        <v>10329461.410313752</v>
      </c>
      <c r="I14" s="311">
        <v>373016.06252262433</v>
      </c>
      <c r="J14" s="135">
        <f>'B) D RI'!U15</f>
        <v>592476.91795248864</v>
      </c>
      <c r="K14" s="92">
        <f t="shared" si="1"/>
        <v>27.691733542137332</v>
      </c>
      <c r="L14" s="43">
        <f>'B) D RI'!S15</f>
        <v>68</v>
      </c>
      <c r="M14" s="43">
        <f t="shared" si="2"/>
        <v>40.308266457862672</v>
      </c>
      <c r="N14" s="199">
        <f>'J) Plafonnement effort'!G13+'J) Plafonnement effort'!H13-'K) Plafonnement aide'!I13</f>
        <v>47.912360014933014</v>
      </c>
      <c r="O14" s="199">
        <f t="shared" si="3"/>
        <v>88.220626472795686</v>
      </c>
      <c r="P14" s="59">
        <f t="shared" si="4"/>
        <v>0</v>
      </c>
      <c r="Q14" s="75">
        <f t="shared" si="5"/>
        <v>0</v>
      </c>
      <c r="R14" s="230">
        <f t="shared" si="6"/>
        <v>88.220626472795686</v>
      </c>
      <c r="S14" s="199">
        <f t="shared" si="7"/>
        <v>20.220626472795686</v>
      </c>
      <c r="T14" s="229"/>
      <c r="U14" s="38"/>
    </row>
    <row r="15" spans="1:21" x14ac:dyDescent="0.25">
      <c r="A15" s="61">
        <f>'A) Base RI'!A16</f>
        <v>5410</v>
      </c>
      <c r="B15" s="73" t="str">
        <f>'A) Base RI'!B16</f>
        <v>Ormont-Dessous</v>
      </c>
      <c r="C15" s="238">
        <v>554894.93284387083</v>
      </c>
      <c r="D15" s="239">
        <v>78770.804408504104</v>
      </c>
      <c r="E15" s="240">
        <v>0</v>
      </c>
      <c r="F15" s="239">
        <v>0</v>
      </c>
      <c r="G15" s="239">
        <v>0</v>
      </c>
      <c r="H15" s="241">
        <f t="shared" si="0"/>
        <v>633665.73725237488</v>
      </c>
      <c r="I15" s="311">
        <v>31634.392526539275</v>
      </c>
      <c r="J15" s="135">
        <f>'B) D RI'!U16</f>
        <v>35234.198174097655</v>
      </c>
      <c r="K15" s="92">
        <f t="shared" si="1"/>
        <v>20.030912138450866</v>
      </c>
      <c r="L15" s="43">
        <f>'B) D RI'!S16</f>
        <v>78.5</v>
      </c>
      <c r="M15" s="43">
        <f t="shared" si="2"/>
        <v>58.469087861549134</v>
      </c>
      <c r="N15" s="199">
        <f>'J) Plafonnement effort'!G14+'J) Plafonnement effort'!H14-'K) Plafonnement aide'!I14</f>
        <v>1.9046593180071731</v>
      </c>
      <c r="O15" s="199">
        <f t="shared" si="3"/>
        <v>60.373747179556304</v>
      </c>
      <c r="P15" s="59">
        <f t="shared" si="4"/>
        <v>0</v>
      </c>
      <c r="Q15" s="75">
        <f t="shared" si="5"/>
        <v>0</v>
      </c>
      <c r="R15" s="230">
        <f t="shared" si="6"/>
        <v>60.373747179556304</v>
      </c>
      <c r="S15" s="199">
        <f t="shared" si="7"/>
        <v>-18.126252820443696</v>
      </c>
      <c r="T15" s="229"/>
      <c r="U15" s="38"/>
    </row>
    <row r="16" spans="1:21" x14ac:dyDescent="0.25">
      <c r="A16" s="61">
        <f>'A) Base RI'!A17</f>
        <v>5411</v>
      </c>
      <c r="B16" s="73" t="str">
        <f>'A) Base RI'!B17</f>
        <v>Ormont-Dessus</v>
      </c>
      <c r="C16" s="238">
        <v>1256992.7028684313</v>
      </c>
      <c r="D16" s="239">
        <v>995639</v>
      </c>
      <c r="E16" s="240">
        <v>0</v>
      </c>
      <c r="F16" s="239">
        <v>0</v>
      </c>
      <c r="G16" s="239">
        <v>0</v>
      </c>
      <c r="H16" s="241">
        <f t="shared" si="0"/>
        <v>2252631.7028684313</v>
      </c>
      <c r="I16" s="311">
        <v>68022.060675675675</v>
      </c>
      <c r="J16" s="135">
        <f>'B) D RI'!U17</f>
        <v>71790.213859649128</v>
      </c>
      <c r="K16" s="92">
        <f t="shared" si="1"/>
        <v>33.11619319515794</v>
      </c>
      <c r="L16" s="43">
        <f>'B) D RI'!S17</f>
        <v>76</v>
      </c>
      <c r="M16" s="43">
        <f t="shared" si="2"/>
        <v>42.88380680484206</v>
      </c>
      <c r="N16" s="199">
        <f>'J) Plafonnement effort'!G15+'J) Plafonnement effort'!H15-'K) Plafonnement aide'!I15</f>
        <v>21.528578759971584</v>
      </c>
      <c r="O16" s="199">
        <f t="shared" si="3"/>
        <v>64.412385564813647</v>
      </c>
      <c r="P16" s="59">
        <f t="shared" si="4"/>
        <v>0</v>
      </c>
      <c r="Q16" s="75">
        <f t="shared" si="5"/>
        <v>0</v>
      </c>
      <c r="R16" s="230">
        <f t="shared" si="6"/>
        <v>64.412385564813647</v>
      </c>
      <c r="S16" s="199">
        <f t="shared" si="7"/>
        <v>-11.587614435186353</v>
      </c>
      <c r="T16" s="229"/>
      <c r="U16" s="38"/>
    </row>
    <row r="17" spans="1:21" x14ac:dyDescent="0.25">
      <c r="A17" s="61">
        <f>'A) Base RI'!A18</f>
        <v>5412</v>
      </c>
      <c r="B17" s="73" t="str">
        <f>'A) Base RI'!B18</f>
        <v>Rennaz</v>
      </c>
      <c r="C17" s="238">
        <v>549176.74891233013</v>
      </c>
      <c r="D17" s="239">
        <v>201108.57118251681</v>
      </c>
      <c r="E17" s="240">
        <v>0</v>
      </c>
      <c r="F17" s="239">
        <v>0</v>
      </c>
      <c r="G17" s="239">
        <v>0</v>
      </c>
      <c r="H17" s="241">
        <f t="shared" si="0"/>
        <v>750285.32009484689</v>
      </c>
      <c r="I17" s="311">
        <v>24549.662992125981</v>
      </c>
      <c r="J17" s="135">
        <f>'B) D RI'!U18</f>
        <v>26501.739703703701</v>
      </c>
      <c r="K17" s="92">
        <f t="shared" si="1"/>
        <v>30.561939703021267</v>
      </c>
      <c r="L17" s="43">
        <f>'B) D RI'!S18</f>
        <v>67.5</v>
      </c>
      <c r="M17" s="43">
        <f t="shared" si="2"/>
        <v>36.938060296978733</v>
      </c>
      <c r="N17" s="199">
        <f>'J) Plafonnement effort'!G16+'J) Plafonnement effort'!H16-'K) Plafonnement aide'!I16</f>
        <v>26.159233138024625</v>
      </c>
      <c r="O17" s="199">
        <f t="shared" si="3"/>
        <v>63.097293435003358</v>
      </c>
      <c r="P17" s="59">
        <f t="shared" si="4"/>
        <v>0</v>
      </c>
      <c r="Q17" s="75">
        <f t="shared" si="5"/>
        <v>0</v>
      </c>
      <c r="R17" s="230">
        <f t="shared" si="6"/>
        <v>63.097293435003358</v>
      </c>
      <c r="S17" s="199">
        <f t="shared" si="7"/>
        <v>-4.4027065649966417</v>
      </c>
      <c r="T17" s="229"/>
      <c r="U17" s="38"/>
    </row>
    <row r="18" spans="1:21" x14ac:dyDescent="0.25">
      <c r="A18" s="61">
        <f>'A) Base RI'!A19</f>
        <v>5413</v>
      </c>
      <c r="B18" s="73" t="str">
        <f>'A) Base RI'!B19</f>
        <v>Roche</v>
      </c>
      <c r="C18" s="238">
        <v>690708.33068901952</v>
      </c>
      <c r="D18" s="239">
        <v>-182977.80339476722</v>
      </c>
      <c r="E18" s="240">
        <v>0</v>
      </c>
      <c r="F18" s="239">
        <v>0</v>
      </c>
      <c r="G18" s="239">
        <v>0</v>
      </c>
      <c r="H18" s="241">
        <f t="shared" si="0"/>
        <v>507730.5272942523</v>
      </c>
      <c r="I18" s="311">
        <v>35383.920882352941</v>
      </c>
      <c r="J18" s="135">
        <f>'B) D RI'!U19</f>
        <v>34861.221617647054</v>
      </c>
      <c r="K18" s="92">
        <f t="shared" si="1"/>
        <v>14.349187841064648</v>
      </c>
      <c r="L18" s="43">
        <f>'B) D RI'!S19</f>
        <v>68</v>
      </c>
      <c r="M18" s="43">
        <f t="shared" si="2"/>
        <v>53.650812158935352</v>
      </c>
      <c r="N18" s="199">
        <f>'J) Plafonnement effort'!G17+'J) Plafonnement effort'!H17-'K) Plafonnement aide'!I17</f>
        <v>12.99570311292446</v>
      </c>
      <c r="O18" s="199">
        <f t="shared" si="3"/>
        <v>66.646515271859812</v>
      </c>
      <c r="P18" s="59">
        <f t="shared" si="4"/>
        <v>0</v>
      </c>
      <c r="Q18" s="75">
        <f t="shared" si="5"/>
        <v>0</v>
      </c>
      <c r="R18" s="230">
        <f t="shared" si="6"/>
        <v>66.646515271859812</v>
      </c>
      <c r="S18" s="199">
        <f t="shared" si="7"/>
        <v>-1.3534847281401881</v>
      </c>
      <c r="T18" s="229"/>
      <c r="U18" s="38"/>
    </row>
    <row r="19" spans="1:21" x14ac:dyDescent="0.25">
      <c r="A19" s="61">
        <f>'A) Base RI'!A20</f>
        <v>5414</v>
      </c>
      <c r="B19" s="73" t="str">
        <f>'A) Base RI'!B20</f>
        <v>Villeneuve</v>
      </c>
      <c r="C19" s="238">
        <v>3359445.328584237</v>
      </c>
      <c r="D19" s="239">
        <v>437507.72565263184</v>
      </c>
      <c r="E19" s="240">
        <v>0</v>
      </c>
      <c r="F19" s="239">
        <v>0</v>
      </c>
      <c r="G19" s="239">
        <v>0</v>
      </c>
      <c r="H19" s="241">
        <f t="shared" si="0"/>
        <v>3796953.0542368689</v>
      </c>
      <c r="I19" s="311">
        <v>178367.91043478262</v>
      </c>
      <c r="J19" s="135">
        <f>'B) D RI'!U20</f>
        <v>168009.32057971013</v>
      </c>
      <c r="K19" s="92">
        <f t="shared" si="1"/>
        <v>21.287198156784843</v>
      </c>
      <c r="L19" s="43">
        <f>'B) D RI'!S20</f>
        <v>69</v>
      </c>
      <c r="M19" s="43">
        <f t="shared" si="2"/>
        <v>47.712801843215161</v>
      </c>
      <c r="N19" s="199">
        <f>'J) Plafonnement effort'!G18+'J) Plafonnement effort'!H18-'K) Plafonnement aide'!I18</f>
        <v>12.340042369875327</v>
      </c>
      <c r="O19" s="199">
        <f t="shared" si="3"/>
        <v>60.052844213090488</v>
      </c>
      <c r="P19" s="59">
        <f t="shared" si="4"/>
        <v>0</v>
      </c>
      <c r="Q19" s="75">
        <f t="shared" si="5"/>
        <v>0</v>
      </c>
      <c r="R19" s="230">
        <f t="shared" si="6"/>
        <v>60.052844213090488</v>
      </c>
      <c r="S19" s="199">
        <f t="shared" si="7"/>
        <v>-8.9471557869095122</v>
      </c>
      <c r="T19" s="229"/>
      <c r="U19" s="38"/>
    </row>
    <row r="20" spans="1:21" x14ac:dyDescent="0.25">
      <c r="A20" s="61">
        <f>'A) Base RI'!A21</f>
        <v>5415</v>
      </c>
      <c r="B20" s="73" t="str">
        <f>'A) Base RI'!B21</f>
        <v>Yvorne</v>
      </c>
      <c r="C20" s="238">
        <v>704376.13624403998</v>
      </c>
      <c r="D20" s="239">
        <v>521318.50903960201</v>
      </c>
      <c r="E20" s="240">
        <v>0</v>
      </c>
      <c r="F20" s="239">
        <v>0</v>
      </c>
      <c r="G20" s="239">
        <v>0</v>
      </c>
      <c r="H20" s="241">
        <f t="shared" si="0"/>
        <v>1225694.645283642</v>
      </c>
      <c r="I20" s="311">
        <v>40073.521995133822</v>
      </c>
      <c r="J20" s="135">
        <f>'B) D RI'!U21</f>
        <v>43055.973722627736</v>
      </c>
      <c r="K20" s="92">
        <f t="shared" si="1"/>
        <v>30.586147267826362</v>
      </c>
      <c r="L20" s="43">
        <f>'B) D RI'!S21</f>
        <v>68.5</v>
      </c>
      <c r="M20" s="43">
        <f t="shared" si="2"/>
        <v>37.913852732173638</v>
      </c>
      <c r="N20" s="199">
        <f>'J) Plafonnement effort'!G19+'J) Plafonnement effort'!H19-'K) Plafonnement aide'!I19</f>
        <v>27.063484810694344</v>
      </c>
      <c r="O20" s="199">
        <f t="shared" si="3"/>
        <v>64.977337542867986</v>
      </c>
      <c r="P20" s="59">
        <f t="shared" si="4"/>
        <v>0</v>
      </c>
      <c r="Q20" s="75">
        <f t="shared" si="5"/>
        <v>0</v>
      </c>
      <c r="R20" s="230">
        <f t="shared" si="6"/>
        <v>64.977337542867986</v>
      </c>
      <c r="S20" s="199">
        <f t="shared" si="7"/>
        <v>-3.5226624571320144</v>
      </c>
      <c r="T20" s="229"/>
      <c r="U20" s="38"/>
    </row>
    <row r="21" spans="1:21" x14ac:dyDescent="0.25">
      <c r="A21" s="61">
        <f>'A) Base RI'!A22</f>
        <v>5421</v>
      </c>
      <c r="B21" s="73" t="str">
        <f>'A) Base RI'!B22</f>
        <v>Apples</v>
      </c>
      <c r="C21" s="238">
        <v>811358.83901635837</v>
      </c>
      <c r="D21" s="239">
        <v>492065.73152268422</v>
      </c>
      <c r="E21" s="240">
        <v>0</v>
      </c>
      <c r="F21" s="239">
        <v>0</v>
      </c>
      <c r="G21" s="239">
        <v>0</v>
      </c>
      <c r="H21" s="241">
        <f t="shared" si="0"/>
        <v>1303424.5705390426</v>
      </c>
      <c r="I21" s="311">
        <v>49174.834507042251</v>
      </c>
      <c r="J21" s="135">
        <f>'B) D RI'!U22</f>
        <v>57391.691408450701</v>
      </c>
      <c r="K21" s="92">
        <f t="shared" si="1"/>
        <v>26.505926936111624</v>
      </c>
      <c r="L21" s="43">
        <f>'B) D RI'!S22</f>
        <v>71</v>
      </c>
      <c r="M21" s="43">
        <f t="shared" si="2"/>
        <v>44.494073063888379</v>
      </c>
      <c r="N21" s="199">
        <f>'J) Plafonnement effort'!G20+'J) Plafonnement effort'!H20-'K) Plafonnement aide'!I20</f>
        <v>30.335873770992603</v>
      </c>
      <c r="O21" s="199">
        <f t="shared" si="3"/>
        <v>74.829946834880985</v>
      </c>
      <c r="P21" s="59">
        <f t="shared" si="4"/>
        <v>0</v>
      </c>
      <c r="Q21" s="75">
        <f t="shared" si="5"/>
        <v>0</v>
      </c>
      <c r="R21" s="230">
        <f t="shared" si="6"/>
        <v>74.829946834880985</v>
      </c>
      <c r="S21" s="199">
        <f t="shared" si="7"/>
        <v>3.8299468348809853</v>
      </c>
      <c r="T21" s="229"/>
      <c r="U21" s="38"/>
    </row>
    <row r="22" spans="1:21" x14ac:dyDescent="0.25">
      <c r="A22" s="61">
        <f>'A) Base RI'!A23</f>
        <v>5422</v>
      </c>
      <c r="B22" s="73" t="str">
        <f>'A) Base RI'!B23</f>
        <v>Aubonne</v>
      </c>
      <c r="C22" s="238">
        <v>6014833.2344622798</v>
      </c>
      <c r="D22" s="239">
        <v>3245271</v>
      </c>
      <c r="E22" s="240">
        <v>0</v>
      </c>
      <c r="F22" s="239">
        <v>0</v>
      </c>
      <c r="G22" s="239">
        <v>0</v>
      </c>
      <c r="H22" s="241">
        <f t="shared" si="0"/>
        <v>9260104.2344622798</v>
      </c>
      <c r="I22" s="311">
        <v>256689.81279411758</v>
      </c>
      <c r="J22" s="135">
        <f>'B) D RI'!U23</f>
        <v>231550.9032352941</v>
      </c>
      <c r="K22" s="92">
        <f t="shared" si="1"/>
        <v>36.07507494615497</v>
      </c>
      <c r="L22" s="43">
        <f>'B) D RI'!S23</f>
        <v>68</v>
      </c>
      <c r="M22" s="43">
        <f t="shared" si="2"/>
        <v>31.92492505384503</v>
      </c>
      <c r="N22" s="199">
        <f>'J) Plafonnement effort'!G21+'J) Plafonnement effort'!H21-'K) Plafonnement aide'!I21</f>
        <v>36.180213252189247</v>
      </c>
      <c r="O22" s="199">
        <f t="shared" si="3"/>
        <v>68.105138306034277</v>
      </c>
      <c r="P22" s="59">
        <f t="shared" si="4"/>
        <v>0</v>
      </c>
      <c r="Q22" s="75">
        <f t="shared" si="5"/>
        <v>0</v>
      </c>
      <c r="R22" s="230">
        <f t="shared" si="6"/>
        <v>68.105138306034277</v>
      </c>
      <c r="S22" s="199">
        <f t="shared" si="7"/>
        <v>0.10513830603427721</v>
      </c>
      <c r="T22" s="229"/>
      <c r="U22" s="38"/>
    </row>
    <row r="23" spans="1:21" x14ac:dyDescent="0.25">
      <c r="A23" s="61">
        <f>'A) Base RI'!A24</f>
        <v>5423</v>
      </c>
      <c r="B23" s="73" t="str">
        <f>'A) Base RI'!B24</f>
        <v>Ballens</v>
      </c>
      <c r="C23" s="238">
        <v>235018.44870101253</v>
      </c>
      <c r="D23" s="239">
        <v>127567.09146613456</v>
      </c>
      <c r="E23" s="240">
        <v>0</v>
      </c>
      <c r="F23" s="239">
        <v>0</v>
      </c>
      <c r="G23" s="239">
        <v>0</v>
      </c>
      <c r="H23" s="241">
        <f t="shared" si="0"/>
        <v>362585.54016714706</v>
      </c>
      <c r="I23" s="311">
        <v>16056.117971014495</v>
      </c>
      <c r="J23" s="135">
        <f>'B) D RI'!U24</f>
        <v>19761.871884057968</v>
      </c>
      <c r="K23" s="92">
        <f t="shared" si="1"/>
        <v>22.582391386368055</v>
      </c>
      <c r="L23" s="43">
        <f>'B) D RI'!S24</f>
        <v>69</v>
      </c>
      <c r="M23" s="43">
        <f t="shared" si="2"/>
        <v>46.417608613631941</v>
      </c>
      <c r="N23" s="199">
        <f>'J) Plafonnement effort'!G22+'J) Plafonnement effort'!H22-'K) Plafonnement aide'!I22</f>
        <v>27.947611524060406</v>
      </c>
      <c r="O23" s="199">
        <f t="shared" si="3"/>
        <v>74.365220137692347</v>
      </c>
      <c r="P23" s="59">
        <f t="shared" si="4"/>
        <v>0</v>
      </c>
      <c r="Q23" s="75">
        <f t="shared" si="5"/>
        <v>0</v>
      </c>
      <c r="R23" s="230">
        <f t="shared" si="6"/>
        <v>74.365220137692347</v>
      </c>
      <c r="S23" s="199">
        <f t="shared" si="7"/>
        <v>5.3652201376923472</v>
      </c>
      <c r="T23" s="229"/>
      <c r="U23" s="38"/>
    </row>
    <row r="24" spans="1:21" x14ac:dyDescent="0.25">
      <c r="A24" s="61">
        <f>'A) Base RI'!A25</f>
        <v>5424</v>
      </c>
      <c r="B24" s="73" t="str">
        <f>'A) Base RI'!B25</f>
        <v>Berolle</v>
      </c>
      <c r="C24" s="238">
        <v>133230.58320484965</v>
      </c>
      <c r="D24" s="239">
        <v>50068.453222354248</v>
      </c>
      <c r="E24" s="240">
        <v>0</v>
      </c>
      <c r="F24" s="239">
        <v>0</v>
      </c>
      <c r="G24" s="239">
        <v>0</v>
      </c>
      <c r="H24" s="241">
        <f t="shared" si="0"/>
        <v>183299.03642720392</v>
      </c>
      <c r="I24" s="311">
        <v>9358.0229870129861</v>
      </c>
      <c r="J24" s="135">
        <f>'B) D RI'!U25</f>
        <v>9360.1262337662338</v>
      </c>
      <c r="K24" s="92">
        <f t="shared" si="1"/>
        <v>19.587367618308409</v>
      </c>
      <c r="L24" s="43">
        <f>'B) D RI'!S25</f>
        <v>77</v>
      </c>
      <c r="M24" s="43">
        <f t="shared" si="2"/>
        <v>57.412632381691594</v>
      </c>
      <c r="N24" s="199">
        <f>'J) Plafonnement effort'!G23+'J) Plafonnement effort'!H23-'K) Plafonnement aide'!I23</f>
        <v>19.456953614522128</v>
      </c>
      <c r="O24" s="199">
        <f t="shared" si="3"/>
        <v>76.869585996213715</v>
      </c>
      <c r="P24" s="59">
        <f t="shared" si="4"/>
        <v>0</v>
      </c>
      <c r="Q24" s="75">
        <f t="shared" si="5"/>
        <v>0</v>
      </c>
      <c r="R24" s="230">
        <f t="shared" si="6"/>
        <v>76.869585996213715</v>
      </c>
      <c r="S24" s="199">
        <f t="shared" si="7"/>
        <v>-0.13041400378628509</v>
      </c>
      <c r="T24" s="229"/>
      <c r="U24" s="38"/>
    </row>
    <row r="25" spans="1:21" x14ac:dyDescent="0.25">
      <c r="A25" s="61">
        <f>'A) Base RI'!A26</f>
        <v>5425</v>
      </c>
      <c r="B25" s="73" t="str">
        <f>'A) Base RI'!B26</f>
        <v>Bière</v>
      </c>
      <c r="C25" s="238">
        <v>566623.70028900844</v>
      </c>
      <c r="D25" s="239">
        <v>-150050.51532028825</v>
      </c>
      <c r="E25" s="240">
        <v>0</v>
      </c>
      <c r="F25" s="239">
        <v>0</v>
      </c>
      <c r="G25" s="239">
        <v>0</v>
      </c>
      <c r="H25" s="241">
        <f t="shared" si="0"/>
        <v>416573.18496872019</v>
      </c>
      <c r="I25" s="311">
        <v>37126.422058823526</v>
      </c>
      <c r="J25" s="135">
        <f>'B) D RI'!U26</f>
        <v>40787.403970588231</v>
      </c>
      <c r="K25" s="92">
        <f t="shared" si="1"/>
        <v>11.220396738169299</v>
      </c>
      <c r="L25" s="43">
        <f>'B) D RI'!S26</f>
        <v>68</v>
      </c>
      <c r="M25" s="43">
        <f t="shared" si="2"/>
        <v>56.779603261830701</v>
      </c>
      <c r="N25" s="199">
        <f>'J) Plafonnement effort'!G24+'J) Plafonnement effort'!H24-'K) Plafonnement aide'!I24</f>
        <v>6.6560416525248343</v>
      </c>
      <c r="O25" s="199">
        <f t="shared" si="3"/>
        <v>63.435644914355535</v>
      </c>
      <c r="P25" s="59">
        <f t="shared" si="4"/>
        <v>0</v>
      </c>
      <c r="Q25" s="75">
        <f t="shared" si="5"/>
        <v>0</v>
      </c>
      <c r="R25" s="230">
        <f t="shared" si="6"/>
        <v>63.435644914355535</v>
      </c>
      <c r="S25" s="199">
        <f t="shared" si="7"/>
        <v>-4.5643550856444648</v>
      </c>
      <c r="T25" s="229"/>
      <c r="U25" s="38"/>
    </row>
    <row r="26" spans="1:21" x14ac:dyDescent="0.25">
      <c r="A26" s="61">
        <f>'A) Base RI'!A27</f>
        <v>5426</v>
      </c>
      <c r="B26" s="73" t="str">
        <f>'A) Base RI'!B27</f>
        <v>Bougy-Villars</v>
      </c>
      <c r="C26" s="238">
        <v>1607686.3623738023</v>
      </c>
      <c r="D26" s="239">
        <v>679988</v>
      </c>
      <c r="E26" s="240">
        <v>0</v>
      </c>
      <c r="F26" s="239">
        <v>0</v>
      </c>
      <c r="G26" s="239">
        <v>0</v>
      </c>
      <c r="H26" s="241">
        <f t="shared" si="0"/>
        <v>2287674.3623738023</v>
      </c>
      <c r="I26" s="311">
        <v>52784.469677419351</v>
      </c>
      <c r="J26" s="135">
        <f>'B) D RI'!U27</f>
        <v>42113.452258064506</v>
      </c>
      <c r="K26" s="92">
        <f t="shared" si="1"/>
        <v>43.339913735127396</v>
      </c>
      <c r="L26" s="43">
        <f>'B) D RI'!S27</f>
        <v>62</v>
      </c>
      <c r="M26" s="43">
        <f t="shared" si="2"/>
        <v>18.660086264872604</v>
      </c>
      <c r="N26" s="199">
        <f>'J) Plafonnement effort'!G25+'J) Plafonnement effort'!H25-'K) Plafonnement aide'!I25</f>
        <v>41.862131207658038</v>
      </c>
      <c r="O26" s="199">
        <f t="shared" si="3"/>
        <v>60.522217472530642</v>
      </c>
      <c r="P26" s="59">
        <f t="shared" si="4"/>
        <v>0</v>
      </c>
      <c r="Q26" s="75">
        <f t="shared" si="5"/>
        <v>0</v>
      </c>
      <c r="R26" s="230">
        <f t="shared" si="6"/>
        <v>60.522217472530642</v>
      </c>
      <c r="S26" s="199">
        <f t="shared" si="7"/>
        <v>-1.4777825274693583</v>
      </c>
      <c r="T26" s="229"/>
      <c r="U26" s="38"/>
    </row>
    <row r="27" spans="1:21" x14ac:dyDescent="0.25">
      <c r="A27" s="61">
        <f>'A) Base RI'!A28</f>
        <v>5427</v>
      </c>
      <c r="B27" s="73" t="str">
        <f>'A) Base RI'!B28</f>
        <v>Féchy</v>
      </c>
      <c r="C27" s="238">
        <v>1788238.2236745574</v>
      </c>
      <c r="D27" s="239">
        <v>1087225</v>
      </c>
      <c r="E27" s="240">
        <v>0</v>
      </c>
      <c r="F27" s="239">
        <v>0</v>
      </c>
      <c r="G27" s="239">
        <v>0</v>
      </c>
      <c r="H27" s="241">
        <f t="shared" si="0"/>
        <v>2875463.2236745572</v>
      </c>
      <c r="I27" s="311">
        <v>75059.583293269228</v>
      </c>
      <c r="J27" s="135">
        <f>'B) D RI'!U28</f>
        <v>64357.078870192301</v>
      </c>
      <c r="K27" s="92">
        <f t="shared" si="1"/>
        <v>38.309075237464135</v>
      </c>
      <c r="L27" s="43">
        <f>'B) D RI'!S28</f>
        <v>64</v>
      </c>
      <c r="M27" s="43">
        <f t="shared" si="2"/>
        <v>25.690924762535865</v>
      </c>
      <c r="N27" s="199">
        <f>'J) Plafonnement effort'!G26+'J) Plafonnement effort'!H26-'K) Plafonnement aide'!I26</f>
        <v>38.425980561266158</v>
      </c>
      <c r="O27" s="199">
        <f t="shared" si="3"/>
        <v>64.11690532380203</v>
      </c>
      <c r="P27" s="59">
        <f t="shared" si="4"/>
        <v>0</v>
      </c>
      <c r="Q27" s="75">
        <f t="shared" si="5"/>
        <v>0</v>
      </c>
      <c r="R27" s="230">
        <f t="shared" si="6"/>
        <v>64.11690532380203</v>
      </c>
      <c r="S27" s="199">
        <f t="shared" si="7"/>
        <v>0.11690532380202967</v>
      </c>
      <c r="T27" s="229"/>
      <c r="U27" s="38"/>
    </row>
    <row r="28" spans="1:21" x14ac:dyDescent="0.25">
      <c r="A28" s="61">
        <f>'A) Base RI'!A29</f>
        <v>5428</v>
      </c>
      <c r="B28" s="73" t="str">
        <f>'A) Base RI'!B29</f>
        <v>Gimel</v>
      </c>
      <c r="C28" s="238">
        <v>935457.18675277836</v>
      </c>
      <c r="D28" s="239">
        <v>-38091.997296989546</v>
      </c>
      <c r="E28" s="240">
        <v>0</v>
      </c>
      <c r="F28" s="239">
        <v>0</v>
      </c>
      <c r="G28" s="239">
        <v>0</v>
      </c>
      <c r="H28" s="241">
        <f t="shared" si="0"/>
        <v>897365.18945578882</v>
      </c>
      <c r="I28" s="311">
        <v>54244.883403263411</v>
      </c>
      <c r="J28" s="135">
        <f>'B) D RI'!U29</f>
        <v>57546.053752913758</v>
      </c>
      <c r="K28" s="92">
        <f t="shared" si="1"/>
        <v>16.542854056569006</v>
      </c>
      <c r="L28" s="43">
        <f>'B) D RI'!S29</f>
        <v>71.5</v>
      </c>
      <c r="M28" s="43">
        <f t="shared" si="2"/>
        <v>54.957145943430994</v>
      </c>
      <c r="N28" s="199">
        <f>'J) Plafonnement effort'!G27+'J) Plafonnement effort'!H27-'K) Plafonnement aide'!I27</f>
        <v>15.805063496993743</v>
      </c>
      <c r="O28" s="199">
        <f t="shared" si="3"/>
        <v>70.762209440424741</v>
      </c>
      <c r="P28" s="59">
        <f t="shared" si="4"/>
        <v>0</v>
      </c>
      <c r="Q28" s="75">
        <f t="shared" si="5"/>
        <v>0</v>
      </c>
      <c r="R28" s="230">
        <f t="shared" si="6"/>
        <v>70.762209440424741</v>
      </c>
      <c r="S28" s="199">
        <f t="shared" si="7"/>
        <v>-0.73779055957525941</v>
      </c>
      <c r="T28" s="229"/>
      <c r="U28" s="38"/>
    </row>
    <row r="29" spans="1:21" x14ac:dyDescent="0.25">
      <c r="A29" s="61">
        <f>'A) Base RI'!A30</f>
        <v>5429</v>
      </c>
      <c r="B29" s="73" t="str">
        <f>'A) Base RI'!B30</f>
        <v>Longirod</v>
      </c>
      <c r="C29" s="238">
        <v>244425.01434979431</v>
      </c>
      <c r="D29" s="239">
        <v>101338.56795441697</v>
      </c>
      <c r="E29" s="240">
        <v>0</v>
      </c>
      <c r="F29" s="239">
        <v>0</v>
      </c>
      <c r="G29" s="239">
        <v>0</v>
      </c>
      <c r="H29" s="241">
        <f t="shared" si="0"/>
        <v>345763.58230421128</v>
      </c>
      <c r="I29" s="311">
        <v>14621.746419753083</v>
      </c>
      <c r="J29" s="135">
        <f>'B) D RI'!U30</f>
        <v>13645.142716049384</v>
      </c>
      <c r="K29" s="92">
        <f t="shared" si="1"/>
        <v>23.647215071183691</v>
      </c>
      <c r="L29" s="43">
        <f>'B) D RI'!S30</f>
        <v>81</v>
      </c>
      <c r="M29" s="43">
        <f t="shared" si="2"/>
        <v>57.352784928816305</v>
      </c>
      <c r="N29" s="199">
        <f>'J) Plafonnement effort'!G28+'J) Plafonnement effort'!H28-'K) Plafonnement aide'!I28</f>
        <v>9.2212787943926919</v>
      </c>
      <c r="O29" s="199">
        <f t="shared" si="3"/>
        <v>66.574063723208994</v>
      </c>
      <c r="P29" s="59">
        <f t="shared" si="4"/>
        <v>0</v>
      </c>
      <c r="Q29" s="75">
        <f t="shared" si="5"/>
        <v>0</v>
      </c>
      <c r="R29" s="230">
        <f t="shared" si="6"/>
        <v>66.574063723208994</v>
      </c>
      <c r="S29" s="199">
        <f t="shared" si="7"/>
        <v>-14.425936276791006</v>
      </c>
      <c r="T29" s="229"/>
      <c r="U29" s="38"/>
    </row>
    <row r="30" spans="1:21" x14ac:dyDescent="0.25">
      <c r="A30" s="61">
        <f>'A) Base RI'!A31</f>
        <v>5430</v>
      </c>
      <c r="B30" s="73" t="str">
        <f>'A) Base RI'!B31</f>
        <v>Marchissy</v>
      </c>
      <c r="C30" s="238">
        <v>218222.50757382147</v>
      </c>
      <c r="D30" s="239">
        <v>28430.531779419223</v>
      </c>
      <c r="E30" s="240">
        <v>0</v>
      </c>
      <c r="F30" s="239">
        <v>0</v>
      </c>
      <c r="G30" s="239">
        <v>0</v>
      </c>
      <c r="H30" s="241">
        <f t="shared" si="0"/>
        <v>246653.03935324069</v>
      </c>
      <c r="I30" s="311">
        <v>13069.378271604934</v>
      </c>
      <c r="J30" s="135">
        <f>'B) D RI'!U31</f>
        <v>12901.686543209877</v>
      </c>
      <c r="K30" s="92">
        <f t="shared" si="1"/>
        <v>18.872591658711812</v>
      </c>
      <c r="L30" s="43">
        <f>'B) D RI'!S31</f>
        <v>81</v>
      </c>
      <c r="M30" s="43">
        <f t="shared" si="2"/>
        <v>62.127408341288188</v>
      </c>
      <c r="N30" s="199">
        <f>'J) Plafonnement effort'!G29+'J) Plafonnement effort'!H29-'K) Plafonnement aide'!I29</f>
        <v>6.2356665480248772</v>
      </c>
      <c r="O30" s="199">
        <f t="shared" si="3"/>
        <v>68.363074889313069</v>
      </c>
      <c r="P30" s="59">
        <f t="shared" si="4"/>
        <v>0</v>
      </c>
      <c r="Q30" s="75">
        <f t="shared" si="5"/>
        <v>0</v>
      </c>
      <c r="R30" s="230">
        <f t="shared" si="6"/>
        <v>68.363074889313069</v>
      </c>
      <c r="S30" s="199">
        <f t="shared" si="7"/>
        <v>-12.636925110686931</v>
      </c>
      <c r="T30" s="229"/>
      <c r="U30" s="38"/>
    </row>
    <row r="31" spans="1:21" x14ac:dyDescent="0.25">
      <c r="A31" s="61">
        <f>'A) Base RI'!A32</f>
        <v>5431</v>
      </c>
      <c r="B31" s="73" t="str">
        <f>'A) Base RI'!B32</f>
        <v>Mollens</v>
      </c>
      <c r="C31" s="238">
        <v>130120.11785750397</v>
      </c>
      <c r="D31" s="239">
        <v>18272.814225966955</v>
      </c>
      <c r="E31" s="240">
        <v>0</v>
      </c>
      <c r="F31" s="239">
        <v>0</v>
      </c>
      <c r="G31" s="239">
        <v>0</v>
      </c>
      <c r="H31" s="241">
        <f t="shared" si="0"/>
        <v>148392.93208347092</v>
      </c>
      <c r="I31" s="311">
        <v>8024.3136486486483</v>
      </c>
      <c r="J31" s="135">
        <f>'B) D RI'!U32</f>
        <v>8965.3154054054066</v>
      </c>
      <c r="K31" s="92">
        <f t="shared" si="1"/>
        <v>18.492912737584895</v>
      </c>
      <c r="L31" s="43">
        <f>'B) D RI'!S32</f>
        <v>74</v>
      </c>
      <c r="M31" s="43">
        <f t="shared" si="2"/>
        <v>55.507087262415105</v>
      </c>
      <c r="N31" s="199">
        <f>'J) Plafonnement effort'!G30+'J) Plafonnement effort'!H30-'K) Plafonnement aide'!I30</f>
        <v>17.39097173954946</v>
      </c>
      <c r="O31" s="199">
        <f t="shared" si="3"/>
        <v>72.898059001964569</v>
      </c>
      <c r="P31" s="59">
        <f t="shared" si="4"/>
        <v>0</v>
      </c>
      <c r="Q31" s="75">
        <f t="shared" si="5"/>
        <v>0</v>
      </c>
      <c r="R31" s="230">
        <f t="shared" si="6"/>
        <v>72.898059001964569</v>
      </c>
      <c r="S31" s="199">
        <f t="shared" si="7"/>
        <v>-1.1019409980354311</v>
      </c>
      <c r="T31" s="229"/>
    </row>
    <row r="32" spans="1:21" x14ac:dyDescent="0.25">
      <c r="A32" s="61">
        <f>'A) Base RI'!A33</f>
        <v>5432</v>
      </c>
      <c r="B32" s="73" t="str">
        <f>'A) Base RI'!B33</f>
        <v>Montherod</v>
      </c>
      <c r="C32" s="238">
        <v>312109.71881605242</v>
      </c>
      <c r="D32" s="239">
        <v>165172.23573716672</v>
      </c>
      <c r="E32" s="240">
        <v>0</v>
      </c>
      <c r="F32" s="239">
        <v>0</v>
      </c>
      <c r="G32" s="239">
        <v>0</v>
      </c>
      <c r="H32" s="241">
        <f t="shared" si="0"/>
        <v>477281.95455321914</v>
      </c>
      <c r="I32" s="311">
        <v>17799.430540540543</v>
      </c>
      <c r="J32" s="135">
        <f>'B) D RI'!U33</f>
        <v>18938.674054054052</v>
      </c>
      <c r="K32" s="92">
        <f t="shared" si="1"/>
        <v>26.814450803139277</v>
      </c>
      <c r="L32" s="43">
        <f>'B) D RI'!S33</f>
        <v>74</v>
      </c>
      <c r="M32" s="43">
        <f t="shared" si="2"/>
        <v>47.18554919686072</v>
      </c>
      <c r="N32" s="199">
        <f>'J) Plafonnement effort'!G31+'J) Plafonnement effort'!H31-'K) Plafonnement aide'!I31</f>
        <v>30.463307466438401</v>
      </c>
      <c r="O32" s="199">
        <f t="shared" si="3"/>
        <v>77.648856663299114</v>
      </c>
      <c r="P32" s="59">
        <f t="shared" si="4"/>
        <v>0</v>
      </c>
      <c r="Q32" s="75">
        <f t="shared" si="5"/>
        <v>0</v>
      </c>
      <c r="R32" s="230">
        <f t="shared" si="6"/>
        <v>77.648856663299114</v>
      </c>
      <c r="S32" s="199">
        <f t="shared" si="7"/>
        <v>3.6488566632991137</v>
      </c>
      <c r="T32" s="229"/>
    </row>
    <row r="33" spans="1:20" x14ac:dyDescent="0.25">
      <c r="A33" s="61">
        <f>'A) Base RI'!A34</f>
        <v>5434</v>
      </c>
      <c r="B33" s="73" t="str">
        <f>'A) Base RI'!B34</f>
        <v>Saint-George</v>
      </c>
      <c r="C33" s="238">
        <v>671464.85576501046</v>
      </c>
      <c r="D33" s="239">
        <v>428760.19973236771</v>
      </c>
      <c r="E33" s="240">
        <v>0</v>
      </c>
      <c r="F33" s="239">
        <v>0</v>
      </c>
      <c r="G33" s="239">
        <v>0</v>
      </c>
      <c r="H33" s="241">
        <f t="shared" si="0"/>
        <v>1100225.0554973781</v>
      </c>
      <c r="I33" s="311">
        <v>35135.099562043797</v>
      </c>
      <c r="J33" s="135">
        <f>'B) D RI'!U34</f>
        <v>33015.772116788328</v>
      </c>
      <c r="K33" s="92">
        <f t="shared" si="1"/>
        <v>31.314129437844073</v>
      </c>
      <c r="L33" s="43">
        <f>'B) D RI'!S34</f>
        <v>68.5</v>
      </c>
      <c r="M33" s="43">
        <f t="shared" si="2"/>
        <v>37.185870562155927</v>
      </c>
      <c r="N33" s="199">
        <f>'J) Plafonnement effort'!G32+'J) Plafonnement effort'!H32-'K) Plafonnement aide'!I32</f>
        <v>25.255528986289807</v>
      </c>
      <c r="O33" s="199">
        <f t="shared" si="3"/>
        <v>62.44139954844573</v>
      </c>
      <c r="P33" s="59">
        <f t="shared" si="4"/>
        <v>0</v>
      </c>
      <c r="Q33" s="75">
        <f t="shared" si="5"/>
        <v>0</v>
      </c>
      <c r="R33" s="230">
        <f t="shared" si="6"/>
        <v>62.44139954844573</v>
      </c>
      <c r="S33" s="199">
        <f t="shared" si="7"/>
        <v>-6.0586004515542697</v>
      </c>
      <c r="T33" s="229"/>
    </row>
    <row r="34" spans="1:20" x14ac:dyDescent="0.25">
      <c r="A34" s="61">
        <f>'A) Base RI'!A35</f>
        <v>5435</v>
      </c>
      <c r="B34" s="73" t="str">
        <f>'A) Base RI'!B35</f>
        <v>Saint-Livres</v>
      </c>
      <c r="C34" s="238">
        <v>369289.41578505561</v>
      </c>
      <c r="D34" s="239">
        <v>154268.89466780482</v>
      </c>
      <c r="E34" s="240">
        <v>0</v>
      </c>
      <c r="F34" s="239">
        <v>0</v>
      </c>
      <c r="G34" s="239">
        <v>0</v>
      </c>
      <c r="H34" s="241">
        <f t="shared" si="0"/>
        <v>523558.31045286043</v>
      </c>
      <c r="I34" s="311">
        <v>21558.748985507245</v>
      </c>
      <c r="J34" s="135">
        <f>'B) D RI'!U35</f>
        <v>24335.25550724638</v>
      </c>
      <c r="K34" s="92">
        <f t="shared" si="1"/>
        <v>24.285189776309362</v>
      </c>
      <c r="L34" s="43">
        <f>'B) D RI'!S35</f>
        <v>69</v>
      </c>
      <c r="M34" s="43">
        <f t="shared" si="2"/>
        <v>44.714810223690634</v>
      </c>
      <c r="N34" s="199">
        <f>'J) Plafonnement effort'!G33+'J) Plafonnement effort'!H33-'K) Plafonnement aide'!I33</f>
        <v>24.245200707055144</v>
      </c>
      <c r="O34" s="199">
        <f t="shared" si="3"/>
        <v>68.960010930745781</v>
      </c>
      <c r="P34" s="59">
        <f t="shared" si="4"/>
        <v>0</v>
      </c>
      <c r="Q34" s="75">
        <f t="shared" si="5"/>
        <v>0</v>
      </c>
      <c r="R34" s="230">
        <f t="shared" si="6"/>
        <v>68.960010930745781</v>
      </c>
      <c r="S34" s="199">
        <f t="shared" si="7"/>
        <v>-3.9989069254218634E-2</v>
      </c>
      <c r="T34" s="229"/>
    </row>
    <row r="35" spans="1:20" x14ac:dyDescent="0.25">
      <c r="A35" s="61">
        <f>'A) Base RI'!A36</f>
        <v>5436</v>
      </c>
      <c r="B35" s="73" t="str">
        <f>'A) Base RI'!B36</f>
        <v>Saint-Oyens</v>
      </c>
      <c r="C35" s="238">
        <v>207057.02869750583</v>
      </c>
      <c r="D35" s="239">
        <v>99892.770730176329</v>
      </c>
      <c r="E35" s="240">
        <v>0</v>
      </c>
      <c r="F35" s="239">
        <v>0</v>
      </c>
      <c r="G35" s="239">
        <v>0</v>
      </c>
      <c r="H35" s="241">
        <f t="shared" si="0"/>
        <v>306949.79942768218</v>
      </c>
      <c r="I35" s="311">
        <v>11369.478086419756</v>
      </c>
      <c r="J35" s="135">
        <f>'B) D RI'!U36</f>
        <v>9937.7678395061721</v>
      </c>
      <c r="K35" s="92">
        <f t="shared" si="1"/>
        <v>26.997703596818361</v>
      </c>
      <c r="L35" s="43">
        <f>'B) D RI'!S36</f>
        <v>81</v>
      </c>
      <c r="M35" s="43">
        <f t="shared" si="2"/>
        <v>54.002296403181639</v>
      </c>
      <c r="N35" s="199">
        <f>'J) Plafonnement effort'!G34+'J) Plafonnement effort'!H34-'K) Plafonnement aide'!I34</f>
        <v>13.512410631598739</v>
      </c>
      <c r="O35" s="199">
        <f t="shared" si="3"/>
        <v>67.514707034780372</v>
      </c>
      <c r="P35" s="59">
        <f t="shared" si="4"/>
        <v>0</v>
      </c>
      <c r="Q35" s="75">
        <f t="shared" si="5"/>
        <v>0</v>
      </c>
      <c r="R35" s="230">
        <f t="shared" si="6"/>
        <v>67.514707034780372</v>
      </c>
      <c r="S35" s="199">
        <f t="shared" si="7"/>
        <v>-13.485292965219628</v>
      </c>
      <c r="T35" s="229"/>
    </row>
    <row r="36" spans="1:20" x14ac:dyDescent="0.25">
      <c r="A36" s="61">
        <f>'A) Base RI'!A37</f>
        <v>5437</v>
      </c>
      <c r="B36" s="73" t="str">
        <f>'A) Base RI'!B37</f>
        <v>Saubraz</v>
      </c>
      <c r="C36" s="238">
        <v>169566.61361754106</v>
      </c>
      <c r="D36" s="239">
        <v>-125909.69183499622</v>
      </c>
      <c r="E36" s="240">
        <v>0</v>
      </c>
      <c r="F36" s="239">
        <v>0</v>
      </c>
      <c r="G36" s="239">
        <v>0</v>
      </c>
      <c r="H36" s="241">
        <f t="shared" si="0"/>
        <v>43656.921782544843</v>
      </c>
      <c r="I36" s="311">
        <v>8208.7877108433731</v>
      </c>
      <c r="J36" s="135">
        <f>'B) D RI'!U37</f>
        <v>9144.65614457831</v>
      </c>
      <c r="K36" s="92">
        <f t="shared" si="1"/>
        <v>5.3183153615821208</v>
      </c>
      <c r="L36" s="43">
        <f>'B) D RI'!S37</f>
        <v>83</v>
      </c>
      <c r="M36" s="43">
        <f t="shared" si="2"/>
        <v>77.681684638417877</v>
      </c>
      <c r="N36" s="199">
        <f>'J) Plafonnement effort'!G35+'J) Plafonnement effort'!H35-'K) Plafonnement aide'!I35</f>
        <v>12.847180038011</v>
      </c>
      <c r="O36" s="199">
        <f>M36+N36</f>
        <v>90.528864676428881</v>
      </c>
      <c r="P36" s="59">
        <f t="shared" si="4"/>
        <v>-0.23057026318092255</v>
      </c>
      <c r="Q36" s="75">
        <f t="shared" si="5"/>
        <v>-2108.4857739544614</v>
      </c>
      <c r="R36" s="230">
        <f t="shared" si="6"/>
        <v>90.298294413247959</v>
      </c>
      <c r="S36" s="199">
        <f t="shared" si="7"/>
        <v>7.2982944132479588</v>
      </c>
      <c r="T36" s="229"/>
    </row>
    <row r="37" spans="1:20" x14ac:dyDescent="0.25">
      <c r="A37" s="61">
        <f>'A) Base RI'!A38</f>
        <v>5451</v>
      </c>
      <c r="B37" s="73" t="str">
        <f>'A) Base RI'!B38</f>
        <v>Avenches</v>
      </c>
      <c r="C37" s="238">
        <v>1901381.888259917</v>
      </c>
      <c r="D37" s="239">
        <v>-750806.46704620169</v>
      </c>
      <c r="E37" s="240">
        <v>0</v>
      </c>
      <c r="F37" s="239">
        <v>0</v>
      </c>
      <c r="G37" s="239">
        <v>0</v>
      </c>
      <c r="H37" s="241">
        <f t="shared" si="0"/>
        <v>1150575.4212137153</v>
      </c>
      <c r="I37" s="311">
        <v>103750.47926470588</v>
      </c>
      <c r="J37" s="135">
        <f>'B) D RI'!U38</f>
        <v>102028.81651960785</v>
      </c>
      <c r="K37" s="92">
        <f t="shared" si="1"/>
        <v>11.089832349382903</v>
      </c>
      <c r="L37" s="43">
        <f>'B) D RI'!S38</f>
        <v>68</v>
      </c>
      <c r="M37" s="43">
        <f t="shared" si="2"/>
        <v>56.910167650617097</v>
      </c>
      <c r="N37" s="199">
        <f>'J) Plafonnement effort'!G36+'J) Plafonnement effort'!H36-'K) Plafonnement aide'!I36</f>
        <v>-4.9699099034096399</v>
      </c>
      <c r="O37" s="199">
        <f t="shared" si="3"/>
        <v>51.940257747207454</v>
      </c>
      <c r="P37" s="59">
        <f t="shared" si="4"/>
        <v>0</v>
      </c>
      <c r="Q37" s="75">
        <f t="shared" si="5"/>
        <v>0</v>
      </c>
      <c r="R37" s="230">
        <f t="shared" si="6"/>
        <v>51.940257747207454</v>
      </c>
      <c r="S37" s="199">
        <f t="shared" si="7"/>
        <v>-16.059742252792546</v>
      </c>
      <c r="T37" s="229"/>
    </row>
    <row r="38" spans="1:20" x14ac:dyDescent="0.25">
      <c r="A38" s="61">
        <f>'A) Base RI'!A39</f>
        <v>5456</v>
      </c>
      <c r="B38" s="73" t="str">
        <f>'A) Base RI'!B39</f>
        <v>Cudrefin</v>
      </c>
      <c r="C38" s="238">
        <v>844533.66182881757</v>
      </c>
      <c r="D38" s="239">
        <v>308421.79451068491</v>
      </c>
      <c r="E38" s="240">
        <v>0</v>
      </c>
      <c r="F38" s="239">
        <v>0</v>
      </c>
      <c r="G38" s="239">
        <v>0</v>
      </c>
      <c r="H38" s="241">
        <f t="shared" si="0"/>
        <v>1152955.4563395025</v>
      </c>
      <c r="I38" s="311">
        <v>45260.404011299433</v>
      </c>
      <c r="J38" s="135">
        <f>'B) D RI'!U39</f>
        <v>45272.368813559326</v>
      </c>
      <c r="K38" s="92">
        <f t="shared" si="1"/>
        <v>25.473821578164941</v>
      </c>
      <c r="L38" s="43">
        <f>'B) D RI'!S39</f>
        <v>59</v>
      </c>
      <c r="M38" s="43">
        <f t="shared" si="2"/>
        <v>33.526178421835056</v>
      </c>
      <c r="N38" s="199">
        <f>'J) Plafonnement effort'!G37+'J) Plafonnement effort'!H37-'K) Plafonnement aide'!I37</f>
        <v>23.001221462528754</v>
      </c>
      <c r="O38" s="199">
        <f t="shared" si="3"/>
        <v>56.52739988436381</v>
      </c>
      <c r="P38" s="59">
        <f t="shared" si="4"/>
        <v>0</v>
      </c>
      <c r="Q38" s="75">
        <f t="shared" si="5"/>
        <v>0</v>
      </c>
      <c r="R38" s="230">
        <f t="shared" si="6"/>
        <v>56.52739988436381</v>
      </c>
      <c r="S38" s="199">
        <f t="shared" si="7"/>
        <v>-2.4726001156361903</v>
      </c>
      <c r="T38" s="229"/>
    </row>
    <row r="39" spans="1:20" x14ac:dyDescent="0.25">
      <c r="A39" s="61">
        <f>'A) Base RI'!A40</f>
        <v>5458</v>
      </c>
      <c r="B39" s="73" t="str">
        <f>'A) Base RI'!B40</f>
        <v>Faoug</v>
      </c>
      <c r="C39" s="238">
        <v>536119.6339949579</v>
      </c>
      <c r="D39" s="239">
        <v>269682.29011205782</v>
      </c>
      <c r="E39" s="240">
        <v>0</v>
      </c>
      <c r="F39" s="239">
        <v>0</v>
      </c>
      <c r="G39" s="239">
        <v>0</v>
      </c>
      <c r="H39" s="241">
        <f t="shared" si="0"/>
        <v>805801.92410701571</v>
      </c>
      <c r="I39" s="311">
        <v>26731.83262295082</v>
      </c>
      <c r="J39" s="135">
        <f>'B) D RI'!U40</f>
        <v>28143.986721311474</v>
      </c>
      <c r="K39" s="92">
        <f t="shared" si="1"/>
        <v>30.143908779946059</v>
      </c>
      <c r="L39" s="43">
        <f>'B) D RI'!S40</f>
        <v>61</v>
      </c>
      <c r="M39" s="43">
        <f t="shared" si="2"/>
        <v>30.856091220053941</v>
      </c>
      <c r="N39" s="199">
        <f>'J) Plafonnement effort'!G38+'J) Plafonnement effort'!H38-'K) Plafonnement aide'!I38</f>
        <v>24.268494572237156</v>
      </c>
      <c r="O39" s="199">
        <f t="shared" si="3"/>
        <v>55.1245857922911</v>
      </c>
      <c r="P39" s="59">
        <f t="shared" si="4"/>
        <v>0</v>
      </c>
      <c r="Q39" s="75">
        <f t="shared" si="5"/>
        <v>0</v>
      </c>
      <c r="R39" s="230">
        <f t="shared" si="6"/>
        <v>55.1245857922911</v>
      </c>
      <c r="S39" s="199">
        <f t="shared" si="7"/>
        <v>-5.8754142077089</v>
      </c>
      <c r="T39" s="229"/>
    </row>
    <row r="40" spans="1:20" x14ac:dyDescent="0.25">
      <c r="A40" s="61">
        <f>'A) Base RI'!A41</f>
        <v>5464</v>
      </c>
      <c r="B40" s="73" t="str">
        <f>'A) Base RI'!B41</f>
        <v>Vully-les-Lacs</v>
      </c>
      <c r="C40" s="238">
        <v>1534156.8921646019</v>
      </c>
      <c r="D40" s="239">
        <v>401428.05536336731</v>
      </c>
      <c r="E40" s="240">
        <v>0</v>
      </c>
      <c r="F40" s="239">
        <v>0</v>
      </c>
      <c r="G40" s="239">
        <v>0</v>
      </c>
      <c r="H40" s="241">
        <f t="shared" si="0"/>
        <v>1935584.9475279693</v>
      </c>
      <c r="I40" s="311">
        <v>91629.911044776149</v>
      </c>
      <c r="J40" s="135">
        <f>'B) D RI'!U41</f>
        <v>96865.968557213928</v>
      </c>
      <c r="K40" s="92">
        <f t="shared" si="1"/>
        <v>21.123942230852112</v>
      </c>
      <c r="L40" s="43">
        <f>'B) D RI'!S41</f>
        <v>67</v>
      </c>
      <c r="M40" s="43">
        <f t="shared" si="2"/>
        <v>45.876057769147891</v>
      </c>
      <c r="N40" s="199">
        <f>'J) Plafonnement effort'!G39+'J) Plafonnement effort'!H39-'K) Plafonnement aide'!I39</f>
        <v>19.731325270652519</v>
      </c>
      <c r="O40" s="199">
        <f t="shared" si="3"/>
        <v>65.607383039800411</v>
      </c>
      <c r="P40" s="59">
        <f t="shared" si="4"/>
        <v>0</v>
      </c>
      <c r="Q40" s="75">
        <f t="shared" si="5"/>
        <v>0</v>
      </c>
      <c r="R40" s="230">
        <f t="shared" si="6"/>
        <v>65.607383039800411</v>
      </c>
      <c r="S40" s="199">
        <f t="shared" si="7"/>
        <v>-1.3926169601995895</v>
      </c>
      <c r="T40" s="229"/>
    </row>
    <row r="41" spans="1:20" x14ac:dyDescent="0.25">
      <c r="A41" s="61">
        <f>'A) Base RI'!A42</f>
        <v>5471</v>
      </c>
      <c r="B41" s="73" t="str">
        <f>'A) Base RI'!B42</f>
        <v>Bettens</v>
      </c>
      <c r="C41" s="238">
        <v>381906.25808130333</v>
      </c>
      <c r="D41" s="239">
        <v>200278.40158964647</v>
      </c>
      <c r="E41" s="240">
        <v>0</v>
      </c>
      <c r="F41" s="239">
        <v>0</v>
      </c>
      <c r="G41" s="239">
        <v>0</v>
      </c>
      <c r="H41" s="241">
        <f t="shared" si="0"/>
        <v>582184.6596709498</v>
      </c>
      <c r="I41" s="311">
        <v>18668.279507936502</v>
      </c>
      <c r="J41" s="135">
        <f>'B) D RI'!U42</f>
        <v>18168.257063492067</v>
      </c>
      <c r="K41" s="92">
        <f t="shared" si="1"/>
        <v>31.185769391520193</v>
      </c>
      <c r="L41" s="43">
        <f>'B) D RI'!S42</f>
        <v>70</v>
      </c>
      <c r="M41" s="43">
        <f t="shared" si="2"/>
        <v>38.814230608479804</v>
      </c>
      <c r="N41" s="199">
        <f>'J) Plafonnement effort'!G40+'J) Plafonnement effort'!H40-'K) Plafonnement aide'!I40</f>
        <v>26.751835372455318</v>
      </c>
      <c r="O41" s="199">
        <f t="shared" si="3"/>
        <v>65.566065980935122</v>
      </c>
      <c r="P41" s="59">
        <f t="shared" si="4"/>
        <v>0</v>
      </c>
      <c r="Q41" s="75">
        <f t="shared" si="5"/>
        <v>0</v>
      </c>
      <c r="R41" s="230">
        <f t="shared" si="6"/>
        <v>65.566065980935122</v>
      </c>
      <c r="S41" s="199">
        <f t="shared" si="7"/>
        <v>-4.4339340190648784</v>
      </c>
      <c r="T41" s="229"/>
    </row>
    <row r="42" spans="1:20" x14ac:dyDescent="0.25">
      <c r="A42" s="61">
        <f>'A) Base RI'!A43</f>
        <v>5472</v>
      </c>
      <c r="B42" s="73" t="str">
        <f>'A) Base RI'!B43</f>
        <v>Bournens</v>
      </c>
      <c r="C42" s="238">
        <v>202107.02214672114</v>
      </c>
      <c r="D42" s="239">
        <v>122239.29253343338</v>
      </c>
      <c r="E42" s="240">
        <v>0</v>
      </c>
      <c r="F42" s="239">
        <v>0</v>
      </c>
      <c r="G42" s="239">
        <v>0</v>
      </c>
      <c r="H42" s="241">
        <f t="shared" si="0"/>
        <v>324346.31468015455</v>
      </c>
      <c r="I42" s="311">
        <v>12834.669250000001</v>
      </c>
      <c r="J42" s="135">
        <f>'B) D RI'!U43</f>
        <v>13213.617875</v>
      </c>
      <c r="K42" s="92">
        <f t="shared" si="1"/>
        <v>25.271108149526682</v>
      </c>
      <c r="L42" s="43">
        <f>'B) D RI'!S43</f>
        <v>80</v>
      </c>
      <c r="M42" s="43">
        <f t="shared" si="2"/>
        <v>54.728891850473318</v>
      </c>
      <c r="N42" s="199">
        <f>'J) Plafonnement effort'!G41+'J) Plafonnement effort'!H41-'K) Plafonnement aide'!I41</f>
        <v>26.020407685514915</v>
      </c>
      <c r="O42" s="199">
        <f t="shared" si="3"/>
        <v>80.749299535988229</v>
      </c>
      <c r="P42" s="59">
        <f t="shared" si="4"/>
        <v>0</v>
      </c>
      <c r="Q42" s="75">
        <f t="shared" si="5"/>
        <v>0</v>
      </c>
      <c r="R42" s="230">
        <f t="shared" si="6"/>
        <v>80.749299535988229</v>
      </c>
      <c r="S42" s="199">
        <f t="shared" si="7"/>
        <v>0.74929953598822863</v>
      </c>
      <c r="T42" s="229"/>
    </row>
    <row r="43" spans="1:20" x14ac:dyDescent="0.25">
      <c r="A43" s="61">
        <f>'A) Base RI'!A44</f>
        <v>5473</v>
      </c>
      <c r="B43" s="73" t="str">
        <f>'A) Base RI'!B44</f>
        <v>Boussens</v>
      </c>
      <c r="C43" s="238">
        <v>507419.30960160843</v>
      </c>
      <c r="D43" s="239">
        <v>350048.14252570213</v>
      </c>
      <c r="E43" s="240">
        <v>0</v>
      </c>
      <c r="F43" s="239">
        <v>0</v>
      </c>
      <c r="G43" s="239">
        <v>0</v>
      </c>
      <c r="H43" s="241">
        <f t="shared" si="0"/>
        <v>857467.45212731056</v>
      </c>
      <c r="I43" s="311">
        <v>32904.507681159426</v>
      </c>
      <c r="J43" s="135">
        <f>'B) D RI'!U44</f>
        <v>33007.750579710155</v>
      </c>
      <c r="K43" s="92">
        <f t="shared" si="1"/>
        <v>26.059270068285574</v>
      </c>
      <c r="L43" s="43">
        <f>'B) D RI'!S44</f>
        <v>69</v>
      </c>
      <c r="M43" s="43">
        <f t="shared" si="2"/>
        <v>42.940729931714429</v>
      </c>
      <c r="N43" s="199">
        <f>'J) Plafonnement effort'!G42+'J) Plafonnement effort'!H42-'K) Plafonnement aide'!I42</f>
        <v>25.547566484846442</v>
      </c>
      <c r="O43" s="199">
        <f t="shared" si="3"/>
        <v>68.488296416560871</v>
      </c>
      <c r="P43" s="59">
        <f t="shared" si="4"/>
        <v>0</v>
      </c>
      <c r="Q43" s="75">
        <f t="shared" si="5"/>
        <v>0</v>
      </c>
      <c r="R43" s="230">
        <f t="shared" si="6"/>
        <v>68.488296416560871</v>
      </c>
      <c r="S43" s="199">
        <f t="shared" si="7"/>
        <v>-0.51170358343912881</v>
      </c>
      <c r="T43" s="229"/>
    </row>
    <row r="44" spans="1:20" x14ac:dyDescent="0.25">
      <c r="A44" s="61">
        <f>'A) Base RI'!A45</f>
        <v>5474</v>
      </c>
      <c r="B44" s="73" t="str">
        <f>'A) Base RI'!B45</f>
        <v>La Chaux (Cossonay)</v>
      </c>
      <c r="C44" s="238">
        <v>207054.69273710612</v>
      </c>
      <c r="D44" s="239">
        <v>64325.587742364791</v>
      </c>
      <c r="E44" s="240">
        <v>0</v>
      </c>
      <c r="F44" s="239">
        <v>0</v>
      </c>
      <c r="G44" s="239">
        <v>0</v>
      </c>
      <c r="H44" s="241">
        <f t="shared" si="0"/>
        <v>271380.28047947091</v>
      </c>
      <c r="I44" s="311">
        <v>12942.370952380952</v>
      </c>
      <c r="J44" s="135">
        <f>'B) D RI'!U45</f>
        <v>12690.44829004329</v>
      </c>
      <c r="K44" s="92">
        <f t="shared" si="1"/>
        <v>20.968359002995989</v>
      </c>
      <c r="L44" s="43">
        <f>'B) D RI'!S45</f>
        <v>77</v>
      </c>
      <c r="M44" s="43">
        <f t="shared" si="2"/>
        <v>56.031640997004011</v>
      </c>
      <c r="N44" s="199">
        <f>'J) Plafonnement effort'!G43+'J) Plafonnement effort'!H43-'K) Plafonnement aide'!I43</f>
        <v>9.7903092511671037</v>
      </c>
      <c r="O44" s="199">
        <f t="shared" si="3"/>
        <v>65.82195024817112</v>
      </c>
      <c r="P44" s="59">
        <f t="shared" si="4"/>
        <v>0</v>
      </c>
      <c r="Q44" s="75">
        <f t="shared" si="5"/>
        <v>0</v>
      </c>
      <c r="R44" s="230">
        <f t="shared" si="6"/>
        <v>65.82195024817112</v>
      </c>
      <c r="S44" s="199">
        <f t="shared" si="7"/>
        <v>-11.17804975182888</v>
      </c>
      <c r="T44" s="229"/>
    </row>
    <row r="45" spans="1:20" x14ac:dyDescent="0.25">
      <c r="A45" s="61">
        <f>'A) Base RI'!A46</f>
        <v>5475</v>
      </c>
      <c r="B45" s="73" t="str">
        <f>'A) Base RI'!B46</f>
        <v>Chavannes-le-Veyron</v>
      </c>
      <c r="C45" s="238">
        <v>55458.047185360454</v>
      </c>
      <c r="D45" s="239">
        <v>-23440.890359411569</v>
      </c>
      <c r="E45" s="240">
        <v>0</v>
      </c>
      <c r="F45" s="239">
        <v>0</v>
      </c>
      <c r="G45" s="239">
        <v>0</v>
      </c>
      <c r="H45" s="241">
        <f t="shared" si="0"/>
        <v>32017.156825948885</v>
      </c>
      <c r="I45" s="311">
        <v>2876.9510389610391</v>
      </c>
      <c r="J45" s="135">
        <f>'B) D RI'!U46</f>
        <v>2750.1545454545449</v>
      </c>
      <c r="K45" s="92">
        <f t="shared" si="1"/>
        <v>11.128850088985638</v>
      </c>
      <c r="L45" s="43">
        <f>'B) D RI'!S46</f>
        <v>77</v>
      </c>
      <c r="M45" s="43">
        <f t="shared" si="2"/>
        <v>65.871149911014356</v>
      </c>
      <c r="N45" s="199">
        <f>'J) Plafonnement effort'!G44+'J) Plafonnement effort'!H44-'K) Plafonnement aide'!I44</f>
        <v>-15.669236548795791</v>
      </c>
      <c r="O45" s="199">
        <f t="shared" si="3"/>
        <v>50.201913362218562</v>
      </c>
      <c r="P45" s="59">
        <f t="shared" si="4"/>
        <v>0</v>
      </c>
      <c r="Q45" s="75">
        <f t="shared" si="5"/>
        <v>0</v>
      </c>
      <c r="R45" s="230">
        <f t="shared" si="6"/>
        <v>50.201913362218562</v>
      </c>
      <c r="S45" s="199">
        <f t="shared" si="7"/>
        <v>-26.798086637781438</v>
      </c>
      <c r="T45" s="229"/>
    </row>
    <row r="46" spans="1:20" x14ac:dyDescent="0.25">
      <c r="A46" s="61">
        <f>'A) Base RI'!A47</f>
        <v>5476</v>
      </c>
      <c r="B46" s="73" t="str">
        <f>'A) Base RI'!B47</f>
        <v>Chevilly</v>
      </c>
      <c r="C46" s="238">
        <v>141642.06362096505</v>
      </c>
      <c r="D46" s="239">
        <v>29840.959663079397</v>
      </c>
      <c r="E46" s="240">
        <v>0</v>
      </c>
      <c r="F46" s="239">
        <v>0</v>
      </c>
      <c r="G46" s="239">
        <v>0</v>
      </c>
      <c r="H46" s="241">
        <f t="shared" si="0"/>
        <v>171483.02328404447</v>
      </c>
      <c r="I46" s="311">
        <v>7286.6650000000009</v>
      </c>
      <c r="J46" s="135">
        <f>'B) D RI'!U47</f>
        <v>7887.6179729729729</v>
      </c>
      <c r="K46" s="92">
        <f t="shared" si="1"/>
        <v>23.533814616706607</v>
      </c>
      <c r="L46" s="43">
        <f>'B) D RI'!S47</f>
        <v>74</v>
      </c>
      <c r="M46" s="43">
        <f t="shared" si="2"/>
        <v>50.466185383293393</v>
      </c>
      <c r="N46" s="199">
        <f>'J) Plafonnement effort'!G45+'J) Plafonnement effort'!H45-'K) Plafonnement aide'!I45</f>
        <v>16.882609471971548</v>
      </c>
      <c r="O46" s="199">
        <f t="shared" si="3"/>
        <v>67.348794855264941</v>
      </c>
      <c r="P46" s="59">
        <f t="shared" si="4"/>
        <v>0</v>
      </c>
      <c r="Q46" s="75">
        <f t="shared" si="5"/>
        <v>0</v>
      </c>
      <c r="R46" s="230">
        <f t="shared" si="6"/>
        <v>67.348794855264941</v>
      </c>
      <c r="S46" s="199">
        <f t="shared" si="7"/>
        <v>-6.6512051447350586</v>
      </c>
      <c r="T46" s="229"/>
    </row>
    <row r="47" spans="1:20" x14ac:dyDescent="0.25">
      <c r="A47" s="61">
        <f>'A) Base RI'!A48</f>
        <v>5477</v>
      </c>
      <c r="B47" s="73" t="str">
        <f>'A) Base RI'!B48</f>
        <v>Cossonay</v>
      </c>
      <c r="C47" s="238">
        <v>2031097.4712699354</v>
      </c>
      <c r="D47" s="239">
        <v>624118.2375690504</v>
      </c>
      <c r="E47" s="240">
        <v>0</v>
      </c>
      <c r="F47" s="239">
        <v>0</v>
      </c>
      <c r="G47" s="239">
        <v>0</v>
      </c>
      <c r="H47" s="241">
        <f t="shared" si="0"/>
        <v>2655215.7088389858</v>
      </c>
      <c r="I47" s="311">
        <v>125737.979346211</v>
      </c>
      <c r="J47" s="135">
        <f>'B) D RI'!U48</f>
        <v>120589.74256854257</v>
      </c>
      <c r="K47" s="92">
        <f t="shared" si="1"/>
        <v>21.117054072644429</v>
      </c>
      <c r="L47" s="43">
        <f>'B) D RI'!S48</f>
        <v>69.3</v>
      </c>
      <c r="M47" s="43">
        <f t="shared" si="2"/>
        <v>48.182945927355568</v>
      </c>
      <c r="N47" s="199">
        <f>'J) Plafonnement effort'!G46+'J) Plafonnement effort'!H46-'K) Plafonnement aide'!I46</f>
        <v>15.425668469746721</v>
      </c>
      <c r="O47" s="199">
        <f t="shared" si="3"/>
        <v>63.608614397102286</v>
      </c>
      <c r="P47" s="59">
        <f t="shared" si="4"/>
        <v>0</v>
      </c>
      <c r="Q47" s="75">
        <f t="shared" si="5"/>
        <v>0</v>
      </c>
      <c r="R47" s="230">
        <f t="shared" si="6"/>
        <v>63.608614397102286</v>
      </c>
      <c r="S47" s="199">
        <f t="shared" si="7"/>
        <v>-5.6913856028977108</v>
      </c>
      <c r="T47" s="229"/>
    </row>
    <row r="48" spans="1:20" x14ac:dyDescent="0.25">
      <c r="A48" s="61">
        <f>'A) Base RI'!A49</f>
        <v>5478</v>
      </c>
      <c r="B48" s="73" t="str">
        <f>'A) Base RI'!B49</f>
        <v>Cottens</v>
      </c>
      <c r="C48" s="238">
        <v>234631.44613428798</v>
      </c>
      <c r="D48" s="239">
        <v>135005.70090552612</v>
      </c>
      <c r="E48" s="240">
        <v>0</v>
      </c>
      <c r="F48" s="239">
        <v>0</v>
      </c>
      <c r="G48" s="239">
        <v>0</v>
      </c>
      <c r="H48" s="241">
        <f t="shared" si="0"/>
        <v>369637.1470398141</v>
      </c>
      <c r="I48" s="311">
        <v>15613.399583333334</v>
      </c>
      <c r="J48" s="135">
        <f>'B) D RI'!U49</f>
        <v>15464.23347222222</v>
      </c>
      <c r="K48" s="92">
        <f t="shared" si="1"/>
        <v>23.674353882186342</v>
      </c>
      <c r="L48" s="43">
        <f>'B) D RI'!S49</f>
        <v>72</v>
      </c>
      <c r="M48" s="43">
        <f t="shared" si="2"/>
        <v>48.325646117813662</v>
      </c>
      <c r="N48" s="199">
        <f>'J) Plafonnement effort'!G47+'J) Plafonnement effort'!H47-'K) Plafonnement aide'!I47</f>
        <v>23.214291490609494</v>
      </c>
      <c r="O48" s="199">
        <f t="shared" si="3"/>
        <v>71.539937608423159</v>
      </c>
      <c r="P48" s="59">
        <f t="shared" si="4"/>
        <v>0</v>
      </c>
      <c r="Q48" s="75">
        <f t="shared" si="5"/>
        <v>0</v>
      </c>
      <c r="R48" s="230">
        <f t="shared" si="6"/>
        <v>71.539937608423159</v>
      </c>
      <c r="S48" s="199">
        <f t="shared" si="7"/>
        <v>-0.46006239157684092</v>
      </c>
      <c r="T48" s="229"/>
    </row>
    <row r="49" spans="1:20" x14ac:dyDescent="0.25">
      <c r="A49" s="61">
        <f>'A) Base RI'!A50</f>
        <v>5479</v>
      </c>
      <c r="B49" s="73" t="str">
        <f>'A) Base RI'!B50</f>
        <v>Cuarnens</v>
      </c>
      <c r="C49" s="238">
        <v>245001.50233626348</v>
      </c>
      <c r="D49" s="239">
        <v>30085.372478921548</v>
      </c>
      <c r="E49" s="240">
        <v>0</v>
      </c>
      <c r="F49" s="239">
        <v>0</v>
      </c>
      <c r="G49" s="239">
        <v>0</v>
      </c>
      <c r="H49" s="241">
        <f t="shared" si="0"/>
        <v>275086.87481518503</v>
      </c>
      <c r="I49" s="311">
        <v>12479.493246753247</v>
      </c>
      <c r="J49" s="135">
        <f>'B) D RI'!U50</f>
        <v>11805.525064935064</v>
      </c>
      <c r="K49" s="92">
        <f t="shared" si="1"/>
        <v>22.043112598883258</v>
      </c>
      <c r="L49" s="43">
        <f>'B) D RI'!S50</f>
        <v>77</v>
      </c>
      <c r="M49" s="43">
        <f t="shared" si="2"/>
        <v>54.956887401116745</v>
      </c>
      <c r="N49" s="199">
        <f>'J) Plafonnement effort'!G48+'J) Plafonnement effort'!H48-'K) Plafonnement aide'!I48</f>
        <v>-0.3673037301527291</v>
      </c>
      <c r="O49" s="199">
        <f t="shared" si="3"/>
        <v>54.589583670964018</v>
      </c>
      <c r="P49" s="59">
        <f t="shared" si="4"/>
        <v>0</v>
      </c>
      <c r="Q49" s="75">
        <f t="shared" si="5"/>
        <v>0</v>
      </c>
      <c r="R49" s="230">
        <f t="shared" si="6"/>
        <v>54.589583670964018</v>
      </c>
      <c r="S49" s="199">
        <f t="shared" si="7"/>
        <v>-22.410416329035982</v>
      </c>
      <c r="T49" s="229"/>
    </row>
    <row r="50" spans="1:20" x14ac:dyDescent="0.25">
      <c r="A50" s="61">
        <f>'A) Base RI'!A51</f>
        <v>5480</v>
      </c>
      <c r="B50" s="73" t="str">
        <f>'A) Base RI'!B51</f>
        <v>Daillens</v>
      </c>
      <c r="C50" s="238">
        <v>654507.22977662005</v>
      </c>
      <c r="D50" s="239">
        <v>558925.15211136674</v>
      </c>
      <c r="E50" s="240">
        <v>0</v>
      </c>
      <c r="F50" s="239">
        <v>0</v>
      </c>
      <c r="G50" s="239">
        <v>0</v>
      </c>
      <c r="H50" s="241">
        <f t="shared" si="0"/>
        <v>1213432.3818879868</v>
      </c>
      <c r="I50" s="311">
        <v>38475.41492957747</v>
      </c>
      <c r="J50" s="135">
        <f>'B) D RI'!U51</f>
        <v>42113.849718309852</v>
      </c>
      <c r="K50" s="92">
        <f t="shared" si="1"/>
        <v>31.537863441082127</v>
      </c>
      <c r="L50" s="43">
        <f>'B) D RI'!S51</f>
        <v>71</v>
      </c>
      <c r="M50" s="43">
        <f t="shared" si="2"/>
        <v>39.462136558917877</v>
      </c>
      <c r="N50" s="199">
        <f>'J) Plafonnement effort'!G49+'J) Plafonnement effort'!H49-'K) Plafonnement aide'!I49</f>
        <v>30.566702545162521</v>
      </c>
      <c r="O50" s="199">
        <f t="shared" si="3"/>
        <v>70.02883910408039</v>
      </c>
      <c r="P50" s="59">
        <f t="shared" si="4"/>
        <v>0</v>
      </c>
      <c r="Q50" s="75">
        <f t="shared" si="5"/>
        <v>0</v>
      </c>
      <c r="R50" s="230">
        <f t="shared" si="6"/>
        <v>70.02883910408039</v>
      </c>
      <c r="S50" s="199">
        <f t="shared" si="7"/>
        <v>-0.97116089591960986</v>
      </c>
      <c r="T50" s="229"/>
    </row>
    <row r="51" spans="1:20" x14ac:dyDescent="0.25">
      <c r="A51" s="61">
        <f>'A) Base RI'!A52</f>
        <v>5481</v>
      </c>
      <c r="B51" s="73" t="str">
        <f>'A) Base RI'!B52</f>
        <v>Dizy</v>
      </c>
      <c r="C51" s="238">
        <v>134322.47422085062</v>
      </c>
      <c r="D51" s="239">
        <v>87813.050541252902</v>
      </c>
      <c r="E51" s="240">
        <v>0</v>
      </c>
      <c r="F51" s="239">
        <v>0</v>
      </c>
      <c r="G51" s="239">
        <v>0</v>
      </c>
      <c r="H51" s="241">
        <f t="shared" si="0"/>
        <v>222135.52476210351</v>
      </c>
      <c r="I51" s="311">
        <v>8070.2010810810825</v>
      </c>
      <c r="J51" s="135">
        <f>'B) D RI'!U52</f>
        <v>8240.9954054054051</v>
      </c>
      <c r="K51" s="92">
        <f t="shared" si="1"/>
        <v>27.525401477647726</v>
      </c>
      <c r="L51" s="43">
        <f>'B) D RI'!S52</f>
        <v>74</v>
      </c>
      <c r="M51" s="43">
        <f t="shared" si="2"/>
        <v>46.474598522352274</v>
      </c>
      <c r="N51" s="199">
        <f>'J) Plafonnement effort'!G50+'J) Plafonnement effort'!H50-'K) Plafonnement aide'!I50</f>
        <v>26.471912493456642</v>
      </c>
      <c r="O51" s="199">
        <f t="shared" si="3"/>
        <v>72.946511015808909</v>
      </c>
      <c r="P51" s="59">
        <f t="shared" si="4"/>
        <v>0</v>
      </c>
      <c r="Q51" s="75">
        <f t="shared" si="5"/>
        <v>0</v>
      </c>
      <c r="R51" s="230">
        <f t="shared" si="6"/>
        <v>72.946511015808909</v>
      </c>
      <c r="S51" s="199">
        <f t="shared" si="7"/>
        <v>-1.053488984191091</v>
      </c>
      <c r="T51" s="229"/>
    </row>
    <row r="52" spans="1:20" x14ac:dyDescent="0.25">
      <c r="A52" s="61">
        <f>'A) Base RI'!A53</f>
        <v>5482</v>
      </c>
      <c r="B52" s="73" t="str">
        <f>'A) Base RI'!B53</f>
        <v>Eclépens</v>
      </c>
      <c r="C52" s="238">
        <v>1234366.237448574</v>
      </c>
      <c r="D52" s="239">
        <v>1077287</v>
      </c>
      <c r="E52" s="240">
        <v>0</v>
      </c>
      <c r="F52" s="239">
        <v>0</v>
      </c>
      <c r="G52" s="239">
        <v>0</v>
      </c>
      <c r="H52" s="241">
        <f t="shared" si="0"/>
        <v>2311653.237448574</v>
      </c>
      <c r="I52" s="311">
        <v>68499.201739130425</v>
      </c>
      <c r="J52" s="135">
        <f>'B) D RI'!U53</f>
        <v>64551.928043478263</v>
      </c>
      <c r="K52" s="92">
        <f t="shared" si="1"/>
        <v>33.747155861059234</v>
      </c>
      <c r="L52" s="43">
        <f>'B) D RI'!S53</f>
        <v>46</v>
      </c>
      <c r="M52" s="43">
        <f t="shared" si="2"/>
        <v>12.252844138940766</v>
      </c>
      <c r="N52" s="199">
        <f>'J) Plafonnement effort'!G51+'J) Plafonnement effort'!H51-'K) Plafonnement aide'!I51</f>
        <v>34.22203075574167</v>
      </c>
      <c r="O52" s="199">
        <f t="shared" si="3"/>
        <v>46.474874894682436</v>
      </c>
      <c r="P52" s="59">
        <f t="shared" si="4"/>
        <v>0</v>
      </c>
      <c r="Q52" s="75">
        <f t="shared" si="5"/>
        <v>0</v>
      </c>
      <c r="R52" s="230">
        <f t="shared" si="6"/>
        <v>46.474874894682436</v>
      </c>
      <c r="S52" s="199">
        <f t="shared" si="7"/>
        <v>0.47487489468243638</v>
      </c>
      <c r="T52" s="229"/>
    </row>
    <row r="53" spans="1:20" x14ac:dyDescent="0.25">
      <c r="A53" s="61">
        <f>'A) Base RI'!A54</f>
        <v>5483</v>
      </c>
      <c r="B53" s="73" t="str">
        <f>'A) Base RI'!B54</f>
        <v>Ferreyres</v>
      </c>
      <c r="C53" s="238">
        <v>143871.52566804222</v>
      </c>
      <c r="D53" s="239">
        <v>80870.165096787154</v>
      </c>
      <c r="E53" s="240">
        <v>0</v>
      </c>
      <c r="F53" s="239">
        <v>0</v>
      </c>
      <c r="G53" s="239">
        <v>0</v>
      </c>
      <c r="H53" s="241">
        <f t="shared" si="0"/>
        <v>224741.69076482937</v>
      </c>
      <c r="I53" s="311">
        <v>10043.857368421051</v>
      </c>
      <c r="J53" s="135">
        <f>'B) D RI'!U54</f>
        <v>9097.5578947368413</v>
      </c>
      <c r="K53" s="92">
        <f t="shared" si="1"/>
        <v>22.37603368118717</v>
      </c>
      <c r="L53" s="43">
        <f>'B) D RI'!S54</f>
        <v>76</v>
      </c>
      <c r="M53" s="43">
        <f t="shared" si="2"/>
        <v>53.623966318812833</v>
      </c>
      <c r="N53" s="199">
        <f>'J) Plafonnement effort'!G52+'J) Plafonnement effort'!H52-'K) Plafonnement aide'!I52</f>
        <v>17.535170364838663</v>
      </c>
      <c r="O53" s="199">
        <f t="shared" si="3"/>
        <v>71.159136683651496</v>
      </c>
      <c r="P53" s="59">
        <f t="shared" si="4"/>
        <v>0</v>
      </c>
      <c r="Q53" s="75">
        <f t="shared" si="5"/>
        <v>0</v>
      </c>
      <c r="R53" s="230">
        <f t="shared" si="6"/>
        <v>71.159136683651496</v>
      </c>
      <c r="S53" s="199">
        <f t="shared" si="7"/>
        <v>-4.8408633163485035</v>
      </c>
      <c r="T53" s="229"/>
    </row>
    <row r="54" spans="1:20" x14ac:dyDescent="0.25">
      <c r="A54" s="61">
        <f>'A) Base RI'!A55</f>
        <v>5484</v>
      </c>
      <c r="B54" s="73" t="str">
        <f>'A) Base RI'!B55</f>
        <v>Gollion</v>
      </c>
      <c r="C54" s="238">
        <v>420918.07843709009</v>
      </c>
      <c r="D54" s="239">
        <v>123968.59129166289</v>
      </c>
      <c r="E54" s="240">
        <v>0</v>
      </c>
      <c r="F54" s="239">
        <v>0</v>
      </c>
      <c r="G54" s="239">
        <v>0</v>
      </c>
      <c r="H54" s="241">
        <f t="shared" si="0"/>
        <v>544886.66972875292</v>
      </c>
      <c r="I54" s="311">
        <v>24450.824189189188</v>
      </c>
      <c r="J54" s="135">
        <f>'B) D RI'!U55</f>
        <v>23163.007162162161</v>
      </c>
      <c r="K54" s="92">
        <f t="shared" si="1"/>
        <v>22.285002154228891</v>
      </c>
      <c r="L54" s="43">
        <f>'B) D RI'!S55</f>
        <v>74</v>
      </c>
      <c r="M54" s="43">
        <f t="shared" si="2"/>
        <v>51.714997845771109</v>
      </c>
      <c r="N54" s="199">
        <f>'J) Plafonnement effort'!G53+'J) Plafonnement effort'!H53-'K) Plafonnement aide'!I53</f>
        <v>14.617119816869879</v>
      </c>
      <c r="O54" s="199">
        <f t="shared" si="3"/>
        <v>66.332117662640982</v>
      </c>
      <c r="P54" s="59">
        <f t="shared" si="4"/>
        <v>0</v>
      </c>
      <c r="Q54" s="75">
        <f t="shared" si="5"/>
        <v>0</v>
      </c>
      <c r="R54" s="230">
        <f t="shared" si="6"/>
        <v>66.332117662640982</v>
      </c>
      <c r="S54" s="199">
        <f t="shared" si="7"/>
        <v>-7.6678823373590177</v>
      </c>
      <c r="T54" s="229"/>
    </row>
    <row r="55" spans="1:20" x14ac:dyDescent="0.25">
      <c r="A55" s="61">
        <f>'A) Base RI'!A56</f>
        <v>5485</v>
      </c>
      <c r="B55" s="73" t="str">
        <f>'A) Base RI'!B56</f>
        <v>Grancy</v>
      </c>
      <c r="C55" s="238">
        <v>290644.4098220421</v>
      </c>
      <c r="D55" s="239">
        <v>293675</v>
      </c>
      <c r="E55" s="240">
        <v>0</v>
      </c>
      <c r="F55" s="239">
        <v>0</v>
      </c>
      <c r="G55" s="239">
        <v>0</v>
      </c>
      <c r="H55" s="241">
        <f t="shared" si="0"/>
        <v>584319.4098220421</v>
      </c>
      <c r="I55" s="311">
        <v>18011.997142857144</v>
      </c>
      <c r="J55" s="135">
        <f>'B) D RI'!U56</f>
        <v>17298.355857142858</v>
      </c>
      <c r="K55" s="92">
        <f t="shared" si="1"/>
        <v>32.440567538828439</v>
      </c>
      <c r="L55" s="43">
        <f>'B) D RI'!S56</f>
        <v>70</v>
      </c>
      <c r="M55" s="43">
        <f t="shared" si="2"/>
        <v>37.559432461171561</v>
      </c>
      <c r="N55" s="199">
        <f>'J) Plafonnement effort'!G54+'J) Plafonnement effort'!H54-'K) Plafonnement aide'!I54</f>
        <v>29.483333119350561</v>
      </c>
      <c r="O55" s="199">
        <f t="shared" si="3"/>
        <v>67.042765580522115</v>
      </c>
      <c r="P55" s="59">
        <f t="shared" si="4"/>
        <v>0</v>
      </c>
      <c r="Q55" s="75">
        <f t="shared" si="5"/>
        <v>0</v>
      </c>
      <c r="R55" s="230">
        <f t="shared" si="6"/>
        <v>67.042765580522115</v>
      </c>
      <c r="S55" s="199">
        <f t="shared" si="7"/>
        <v>-2.957234419477885</v>
      </c>
      <c r="T55" s="229"/>
    </row>
    <row r="56" spans="1:20" x14ac:dyDescent="0.25">
      <c r="A56" s="61">
        <f>'A) Base RI'!A57</f>
        <v>5486</v>
      </c>
      <c r="B56" s="73" t="str">
        <f>'A) Base RI'!B57</f>
        <v>L'Isle</v>
      </c>
      <c r="C56" s="238">
        <v>518102.00840114173</v>
      </c>
      <c r="D56" s="239">
        <v>28892.002965370775</v>
      </c>
      <c r="E56" s="240">
        <v>0</v>
      </c>
      <c r="F56" s="239">
        <v>0</v>
      </c>
      <c r="G56" s="239">
        <v>0</v>
      </c>
      <c r="H56" s="241">
        <f t="shared" si="0"/>
        <v>546994.01136651251</v>
      </c>
      <c r="I56" s="311">
        <v>26627.790138888886</v>
      </c>
      <c r="J56" s="135">
        <f>'B) D RI'!U57</f>
        <v>27212.445657894736</v>
      </c>
      <c r="K56" s="92">
        <f t="shared" si="1"/>
        <v>20.54222331306601</v>
      </c>
      <c r="L56" s="43">
        <f>'B) D RI'!S57</f>
        <v>76</v>
      </c>
      <c r="M56" s="43">
        <f t="shared" si="2"/>
        <v>55.45777668693399</v>
      </c>
      <c r="N56" s="199">
        <f>'J) Plafonnement effort'!G55+'J) Plafonnement effort'!H55-'K) Plafonnement aide'!I55</f>
        <v>10.99755888790467</v>
      </c>
      <c r="O56" s="199">
        <f t="shared" si="3"/>
        <v>66.455335574838656</v>
      </c>
      <c r="P56" s="59">
        <f t="shared" si="4"/>
        <v>0</v>
      </c>
      <c r="Q56" s="75">
        <f t="shared" si="5"/>
        <v>0</v>
      </c>
      <c r="R56" s="230">
        <f t="shared" si="6"/>
        <v>66.455335574838656</v>
      </c>
      <c r="S56" s="199">
        <f t="shared" si="7"/>
        <v>-9.5446644251613435</v>
      </c>
      <c r="T56" s="229"/>
    </row>
    <row r="57" spans="1:20" x14ac:dyDescent="0.25">
      <c r="A57" s="61">
        <f>'A) Base RI'!A58</f>
        <v>5487</v>
      </c>
      <c r="B57" s="73" t="str">
        <f>'A) Base RI'!B58</f>
        <v>Lussery-Villars</v>
      </c>
      <c r="C57" s="238">
        <v>249348.70724757737</v>
      </c>
      <c r="D57" s="239">
        <v>160463.55778442629</v>
      </c>
      <c r="E57" s="240">
        <v>0</v>
      </c>
      <c r="F57" s="239">
        <v>0</v>
      </c>
      <c r="G57" s="239">
        <v>0</v>
      </c>
      <c r="H57" s="241">
        <f t="shared" si="0"/>
        <v>409812.26503200363</v>
      </c>
      <c r="I57" s="311">
        <v>14161.564</v>
      </c>
      <c r="J57" s="135">
        <f>'B) D RI'!U58</f>
        <v>11872.69955882353</v>
      </c>
      <c r="K57" s="92">
        <f t="shared" si="1"/>
        <v>28.938347842936249</v>
      </c>
      <c r="L57" s="43">
        <f>'B) D RI'!S58</f>
        <v>68</v>
      </c>
      <c r="M57" s="43">
        <f t="shared" si="2"/>
        <v>39.061652157063747</v>
      </c>
      <c r="N57" s="199">
        <f>'J) Plafonnement effort'!G56+'J) Plafonnement effort'!H56-'K) Plafonnement aide'!I56</f>
        <v>17.26237900029242</v>
      </c>
      <c r="O57" s="199">
        <f t="shared" si="3"/>
        <v>56.324031157356167</v>
      </c>
      <c r="P57" s="59">
        <f t="shared" si="4"/>
        <v>0</v>
      </c>
      <c r="Q57" s="75">
        <f t="shared" si="5"/>
        <v>0</v>
      </c>
      <c r="R57" s="230">
        <f t="shared" si="6"/>
        <v>56.324031157356167</v>
      </c>
      <c r="S57" s="199">
        <f t="shared" si="7"/>
        <v>-11.675968842643833</v>
      </c>
      <c r="T57" s="229"/>
    </row>
    <row r="58" spans="1:20" x14ac:dyDescent="0.25">
      <c r="A58" s="61">
        <f>'A) Base RI'!A59</f>
        <v>5488</v>
      </c>
      <c r="B58" s="73" t="str">
        <f>'A) Base RI'!B59</f>
        <v>Mauraz</v>
      </c>
      <c r="C58" s="238">
        <v>22328.00936820903</v>
      </c>
      <c r="D58" s="239">
        <v>14502.851162874485</v>
      </c>
      <c r="E58" s="240">
        <v>0</v>
      </c>
      <c r="F58" s="239">
        <v>0</v>
      </c>
      <c r="G58" s="239">
        <v>0</v>
      </c>
      <c r="H58" s="241">
        <f t="shared" si="0"/>
        <v>36830.860531083512</v>
      </c>
      <c r="I58" s="311">
        <v>1648.4024324324325</v>
      </c>
      <c r="J58" s="135">
        <f>'B) D RI'!U59</f>
        <v>1417.5255405405405</v>
      </c>
      <c r="K58" s="92">
        <f t="shared" si="1"/>
        <v>22.343367011861769</v>
      </c>
      <c r="L58" s="43">
        <f>'B) D RI'!S59</f>
        <v>74</v>
      </c>
      <c r="M58" s="43">
        <f t="shared" si="2"/>
        <v>51.656632988138227</v>
      </c>
      <c r="N58" s="199">
        <f>'J) Plafonnement effort'!G57+'J) Plafonnement effort'!H57-'K) Plafonnement aide'!I57</f>
        <v>15.079949475550603</v>
      </c>
      <c r="O58" s="199">
        <f t="shared" si="3"/>
        <v>66.736582463688833</v>
      </c>
      <c r="P58" s="59">
        <f t="shared" si="4"/>
        <v>0</v>
      </c>
      <c r="Q58" s="75">
        <f t="shared" si="5"/>
        <v>0</v>
      </c>
      <c r="R58" s="230">
        <f t="shared" si="6"/>
        <v>66.736582463688833</v>
      </c>
      <c r="S58" s="199">
        <f t="shared" si="7"/>
        <v>-7.2634175363111666</v>
      </c>
      <c r="T58" s="229"/>
    </row>
    <row r="59" spans="1:20" x14ac:dyDescent="0.25">
      <c r="A59" s="61">
        <f>'A) Base RI'!A60</f>
        <v>5489</v>
      </c>
      <c r="B59" s="73" t="str">
        <f>'A) Base RI'!B60</f>
        <v>Mex</v>
      </c>
      <c r="C59" s="238">
        <v>1145121.1205275774</v>
      </c>
      <c r="D59" s="239">
        <v>802656</v>
      </c>
      <c r="E59" s="240">
        <v>0</v>
      </c>
      <c r="F59" s="239">
        <v>0</v>
      </c>
      <c r="G59" s="239">
        <v>0</v>
      </c>
      <c r="H59" s="241">
        <f t="shared" si="0"/>
        <v>1947777.1205275774</v>
      </c>
      <c r="I59" s="311">
        <v>53932.616065573762</v>
      </c>
      <c r="J59" s="135">
        <f>'B) D RI'!U60</f>
        <v>37121.285573770496</v>
      </c>
      <c r="K59" s="92">
        <f t="shared" si="1"/>
        <v>36.115012818205962</v>
      </c>
      <c r="L59" s="43">
        <f>'B) D RI'!S60</f>
        <v>61</v>
      </c>
      <c r="M59" s="43">
        <f t="shared" si="2"/>
        <v>24.884987181794038</v>
      </c>
      <c r="N59" s="199">
        <f>'J) Plafonnement effort'!G58+'J) Plafonnement effort'!H58-'K) Plafonnement aide'!I58</f>
        <v>32.757018404432586</v>
      </c>
      <c r="O59" s="199">
        <f t="shared" si="3"/>
        <v>57.642005586226624</v>
      </c>
      <c r="P59" s="59">
        <f t="shared" si="4"/>
        <v>0</v>
      </c>
      <c r="Q59" s="75">
        <f t="shared" si="5"/>
        <v>0</v>
      </c>
      <c r="R59" s="230">
        <f t="shared" si="6"/>
        <v>57.642005586226624</v>
      </c>
      <c r="S59" s="199">
        <f t="shared" si="7"/>
        <v>-3.3579944137733762</v>
      </c>
      <c r="T59" s="229"/>
    </row>
    <row r="60" spans="1:20" x14ac:dyDescent="0.25">
      <c r="A60" s="61">
        <f>'A) Base RI'!A61</f>
        <v>5490</v>
      </c>
      <c r="B60" s="73" t="str">
        <f>'A) Base RI'!B61</f>
        <v>Moiry</v>
      </c>
      <c r="C60" s="238">
        <v>132437.58838513837</v>
      </c>
      <c r="D60" s="239">
        <v>-9505.7223198069842</v>
      </c>
      <c r="E60" s="240">
        <v>0</v>
      </c>
      <c r="F60" s="239">
        <v>0</v>
      </c>
      <c r="G60" s="239">
        <v>-1116.7608574396581</v>
      </c>
      <c r="H60" s="241">
        <f t="shared" si="0"/>
        <v>121815.10520789173</v>
      </c>
      <c r="I60" s="311">
        <v>7150.2259259259263</v>
      </c>
      <c r="J60" s="135">
        <f>'B) D RI'!U61</f>
        <v>7321.727037037037</v>
      </c>
      <c r="K60" s="92">
        <f t="shared" si="1"/>
        <v>17.036539330345306</v>
      </c>
      <c r="L60" s="43">
        <f>'B) D RI'!S61</f>
        <v>81</v>
      </c>
      <c r="M60" s="43">
        <f t="shared" si="2"/>
        <v>63.963460669654694</v>
      </c>
      <c r="N60" s="199">
        <f>'J) Plafonnement effort'!G59+'J) Plafonnement effort'!H59-'K) Plafonnement aide'!I59</f>
        <v>11.054366657944342</v>
      </c>
      <c r="O60" s="199">
        <f t="shared" si="3"/>
        <v>75.017827327599036</v>
      </c>
      <c r="P60" s="59">
        <f t="shared" si="4"/>
        <v>0</v>
      </c>
      <c r="Q60" s="75">
        <f t="shared" si="5"/>
        <v>0</v>
      </c>
      <c r="R60" s="230">
        <f t="shared" si="6"/>
        <v>75.017827327599036</v>
      </c>
      <c r="S60" s="199">
        <f t="shared" si="7"/>
        <v>-5.9821726724009636</v>
      </c>
      <c r="T60" s="229"/>
    </row>
    <row r="61" spans="1:20" x14ac:dyDescent="0.25">
      <c r="A61" s="61">
        <f>'A) Base RI'!A62</f>
        <v>5491</v>
      </c>
      <c r="B61" s="73" t="str">
        <f>'A) Base RI'!B62</f>
        <v>Mont-la-Ville</v>
      </c>
      <c r="C61" s="238">
        <v>204369.06858472625</v>
      </c>
      <c r="D61" s="239">
        <v>-33544.401877045486</v>
      </c>
      <c r="E61" s="240">
        <v>0</v>
      </c>
      <c r="F61" s="239">
        <v>0</v>
      </c>
      <c r="G61" s="239">
        <v>0</v>
      </c>
      <c r="H61" s="241">
        <f t="shared" si="0"/>
        <v>170824.66670768076</v>
      </c>
      <c r="I61" s="311">
        <v>9158.0513157894729</v>
      </c>
      <c r="J61" s="135">
        <f>'B) D RI'!U62</f>
        <v>8599.6809210526335</v>
      </c>
      <c r="K61" s="92">
        <f t="shared" si="1"/>
        <v>18.652949281159906</v>
      </c>
      <c r="L61" s="43">
        <f>'B) D RI'!S62</f>
        <v>76</v>
      </c>
      <c r="M61" s="43">
        <f t="shared" ref="M61:M114" si="8">L61-K61</f>
        <v>57.347050718840094</v>
      </c>
      <c r="N61" s="199">
        <f>'J) Plafonnement effort'!G60+'J) Plafonnement effort'!H60-'K) Plafonnement aide'!I60</f>
        <v>-1.4221458112088659</v>
      </c>
      <c r="O61" s="199">
        <f t="shared" ref="O61:O114" si="9">M61+N61</f>
        <v>55.92490490763123</v>
      </c>
      <c r="P61" s="59">
        <f t="shared" ref="P61:P114" si="10">IF(O61&gt;$P$5,$P$5-O61,0)</f>
        <v>0</v>
      </c>
      <c r="Q61" s="75">
        <f t="shared" si="5"/>
        <v>0</v>
      </c>
      <c r="R61" s="230">
        <f t="shared" ref="R61:R114" si="11">O61+P61</f>
        <v>55.92490490763123</v>
      </c>
      <c r="S61" s="199">
        <f t="shared" ref="S61:S114" si="12">R61-L61</f>
        <v>-20.07509509236877</v>
      </c>
      <c r="T61" s="229"/>
    </row>
    <row r="62" spans="1:20" x14ac:dyDescent="0.25">
      <c r="A62" s="61">
        <f>'A) Base RI'!A63</f>
        <v>5492</v>
      </c>
      <c r="B62" s="73" t="str">
        <f>'A) Base RI'!B63</f>
        <v>Montricher</v>
      </c>
      <c r="C62" s="238">
        <v>4920408.5286381561</v>
      </c>
      <c r="D62" s="239">
        <v>1708302</v>
      </c>
      <c r="E62" s="240">
        <v>0</v>
      </c>
      <c r="F62" s="239">
        <v>0</v>
      </c>
      <c r="G62" s="239">
        <v>0</v>
      </c>
      <c r="H62" s="241">
        <f t="shared" si="0"/>
        <v>6628710.5286381561</v>
      </c>
      <c r="I62" s="311">
        <v>150474.39203125</v>
      </c>
      <c r="J62" s="135">
        <f>'B) D RI'!U63</f>
        <v>187025.79406249998</v>
      </c>
      <c r="K62" s="92">
        <f t="shared" ref="K62:K116" si="13">H62/I62</f>
        <v>44.052083807466246</v>
      </c>
      <c r="L62" s="43">
        <f>'B) D RI'!S63</f>
        <v>64</v>
      </c>
      <c r="M62" s="43">
        <f t="shared" si="8"/>
        <v>19.947916192533754</v>
      </c>
      <c r="N62" s="199">
        <f>'J) Plafonnement effort'!G61+'J) Plafonnement effort'!H61-'K) Plafonnement aide'!I61</f>
        <v>50.194213869929818</v>
      </c>
      <c r="O62" s="199">
        <f t="shared" si="9"/>
        <v>70.142130062463565</v>
      </c>
      <c r="P62" s="59">
        <f t="shared" si="10"/>
        <v>0</v>
      </c>
      <c r="Q62" s="75">
        <f t="shared" si="5"/>
        <v>0</v>
      </c>
      <c r="R62" s="230">
        <f t="shared" si="11"/>
        <v>70.142130062463565</v>
      </c>
      <c r="S62" s="199">
        <f t="shared" si="12"/>
        <v>6.1421300624635649</v>
      </c>
      <c r="T62" s="229"/>
    </row>
    <row r="63" spans="1:20" x14ac:dyDescent="0.25">
      <c r="A63" s="61">
        <f>'A) Base RI'!A64</f>
        <v>5493</v>
      </c>
      <c r="B63" s="73" t="str">
        <f>'A) Base RI'!B64</f>
        <v>Orny</v>
      </c>
      <c r="C63" s="238">
        <v>173936.62156396045</v>
      </c>
      <c r="D63" s="239">
        <v>78.528142144990852</v>
      </c>
      <c r="E63" s="240">
        <v>0</v>
      </c>
      <c r="F63" s="239">
        <v>0</v>
      </c>
      <c r="G63" s="239">
        <v>0</v>
      </c>
      <c r="H63" s="241">
        <f t="shared" si="0"/>
        <v>174015.14970610544</v>
      </c>
      <c r="I63" s="311">
        <v>9474.9746364594321</v>
      </c>
      <c r="J63" s="135">
        <f>'B) D RI'!U64</f>
        <v>10614.324773445733</v>
      </c>
      <c r="K63" s="92">
        <f t="shared" si="13"/>
        <v>18.36576417170555</v>
      </c>
      <c r="L63" s="43">
        <f>'B) D RI'!S64</f>
        <v>73</v>
      </c>
      <c r="M63" s="43">
        <f t="shared" si="8"/>
        <v>54.63423582829445</v>
      </c>
      <c r="N63" s="199">
        <f>'J) Plafonnement effort'!G62+'J) Plafonnement effort'!H62-'K) Plafonnement aide'!I62</f>
        <v>15.478112637422591</v>
      </c>
      <c r="O63" s="199">
        <f t="shared" si="9"/>
        <v>70.112348465717048</v>
      </c>
      <c r="P63" s="59">
        <f t="shared" si="10"/>
        <v>0</v>
      </c>
      <c r="Q63" s="75">
        <f t="shared" ref="Q63:Q117" si="14">P63*J63</f>
        <v>0</v>
      </c>
      <c r="R63" s="230">
        <f t="shared" si="11"/>
        <v>70.112348465717048</v>
      </c>
      <c r="S63" s="199">
        <f t="shared" si="12"/>
        <v>-2.8876515342829521</v>
      </c>
      <c r="T63" s="229"/>
    </row>
    <row r="64" spans="1:20" x14ac:dyDescent="0.25">
      <c r="A64" s="61">
        <f>'A) Base RI'!A65</f>
        <v>5494</v>
      </c>
      <c r="B64" s="73" t="str">
        <f>'A) Base RI'!B65</f>
        <v>Pampigny</v>
      </c>
      <c r="C64" s="238">
        <v>536054.47745054634</v>
      </c>
      <c r="D64" s="239">
        <v>203326.73677942372</v>
      </c>
      <c r="E64" s="240">
        <v>0</v>
      </c>
      <c r="F64" s="239">
        <v>0</v>
      </c>
      <c r="G64" s="239">
        <v>0</v>
      </c>
      <c r="H64" s="241">
        <f t="shared" si="0"/>
        <v>739381.21422997001</v>
      </c>
      <c r="I64" s="311">
        <v>34918.82189206349</v>
      </c>
      <c r="J64" s="135">
        <f>'B) D RI'!U65</f>
        <v>33982.091568253971</v>
      </c>
      <c r="K64" s="92">
        <f t="shared" si="13"/>
        <v>21.174288654853502</v>
      </c>
      <c r="L64" s="43">
        <f>'B) D RI'!S65</f>
        <v>75</v>
      </c>
      <c r="M64" s="43">
        <f t="shared" si="8"/>
        <v>53.825711345146502</v>
      </c>
      <c r="N64" s="199">
        <f>'J) Plafonnement effort'!G63+'J) Plafonnement effort'!H63-'K) Plafonnement aide'!I63</f>
        <v>12.19660986748889</v>
      </c>
      <c r="O64" s="199">
        <f t="shared" si="9"/>
        <v>66.02232121263539</v>
      </c>
      <c r="P64" s="59">
        <f t="shared" si="10"/>
        <v>0</v>
      </c>
      <c r="Q64" s="75">
        <f t="shared" si="14"/>
        <v>0</v>
      </c>
      <c r="R64" s="230">
        <f t="shared" si="11"/>
        <v>66.02232121263539</v>
      </c>
      <c r="S64" s="199">
        <f t="shared" si="12"/>
        <v>-8.97767878736461</v>
      </c>
      <c r="T64" s="229"/>
    </row>
    <row r="65" spans="1:20" x14ac:dyDescent="0.25">
      <c r="A65" s="61">
        <f>'A) Base RI'!A66</f>
        <v>5495</v>
      </c>
      <c r="B65" s="73" t="str">
        <f>'A) Base RI'!B66</f>
        <v>Penthalaz</v>
      </c>
      <c r="C65" s="238">
        <v>1423122.4615455647</v>
      </c>
      <c r="D65" s="239">
        <v>-362145.11305783386</v>
      </c>
      <c r="E65" s="240">
        <v>0</v>
      </c>
      <c r="F65" s="239">
        <v>0</v>
      </c>
      <c r="G65" s="239">
        <v>0</v>
      </c>
      <c r="H65" s="241">
        <f t="shared" si="0"/>
        <v>1060977.3484877308</v>
      </c>
      <c r="I65" s="311">
        <v>87716.055405405408</v>
      </c>
      <c r="J65" s="135">
        <f>'B) D RI'!U66</f>
        <v>96162.321351351362</v>
      </c>
      <c r="K65" s="92">
        <f t="shared" si="13"/>
        <v>12.095588927068297</v>
      </c>
      <c r="L65" s="43">
        <f>'B) D RI'!S66</f>
        <v>74</v>
      </c>
      <c r="M65" s="43">
        <f t="shared" si="8"/>
        <v>61.904411072931701</v>
      </c>
      <c r="N65" s="199">
        <f>'J) Plafonnement effort'!G64+'J) Plafonnement effort'!H64-'K) Plafonnement aide'!I64</f>
        <v>11.383939830595821</v>
      </c>
      <c r="O65" s="199">
        <f t="shared" si="9"/>
        <v>73.288350903527515</v>
      </c>
      <c r="P65" s="59">
        <f t="shared" si="10"/>
        <v>0</v>
      </c>
      <c r="Q65" s="75">
        <f t="shared" si="14"/>
        <v>0</v>
      </c>
      <c r="R65" s="230">
        <f t="shared" si="11"/>
        <v>73.288350903527515</v>
      </c>
      <c r="S65" s="199">
        <f t="shared" si="12"/>
        <v>-0.71164909647248464</v>
      </c>
      <c r="T65" s="229"/>
    </row>
    <row r="66" spans="1:20" x14ac:dyDescent="0.25">
      <c r="A66" s="61">
        <f>'A) Base RI'!A67</f>
        <v>5496</v>
      </c>
      <c r="B66" s="73" t="str">
        <f>'A) Base RI'!B67</f>
        <v>Penthaz</v>
      </c>
      <c r="C66" s="238">
        <v>810867.26833439339</v>
      </c>
      <c r="D66" s="239">
        <v>183880.98576242267</v>
      </c>
      <c r="E66" s="240">
        <v>0</v>
      </c>
      <c r="F66" s="239">
        <v>0</v>
      </c>
      <c r="G66" s="239">
        <v>0</v>
      </c>
      <c r="H66" s="241">
        <f t="shared" si="0"/>
        <v>994748.25409681606</v>
      </c>
      <c r="I66" s="311">
        <v>51566.366901408452</v>
      </c>
      <c r="J66" s="135">
        <f>'B) D RI'!U67</f>
        <v>56906.521408450702</v>
      </c>
      <c r="K66" s="92">
        <f t="shared" si="13"/>
        <v>19.29064066116409</v>
      </c>
      <c r="L66" s="43">
        <f>'B) D RI'!S67</f>
        <v>71</v>
      </c>
      <c r="M66" s="43">
        <f t="shared" si="8"/>
        <v>51.70935933883591</v>
      </c>
      <c r="N66" s="199">
        <f>'J) Plafonnement effort'!G65+'J) Plafonnement effort'!H65-'K) Plafonnement aide'!I65</f>
        <v>20.566820579666878</v>
      </c>
      <c r="O66" s="199">
        <f t="shared" si="9"/>
        <v>72.276179918502791</v>
      </c>
      <c r="P66" s="59">
        <f t="shared" si="10"/>
        <v>0</v>
      </c>
      <c r="Q66" s="75">
        <f t="shared" si="14"/>
        <v>0</v>
      </c>
      <c r="R66" s="230">
        <f t="shared" si="11"/>
        <v>72.276179918502791</v>
      </c>
      <c r="S66" s="199">
        <f t="shared" si="12"/>
        <v>1.2761799185027911</v>
      </c>
      <c r="T66" s="229"/>
    </row>
    <row r="67" spans="1:20" x14ac:dyDescent="0.25">
      <c r="A67" s="61">
        <f>'A) Base RI'!A68</f>
        <v>5497</v>
      </c>
      <c r="B67" s="73" t="str">
        <f>'A) Base RI'!B68</f>
        <v>Pompaples</v>
      </c>
      <c r="C67" s="238">
        <v>355562.27867843863</v>
      </c>
      <c r="D67" s="239">
        <v>3326.1480528209941</v>
      </c>
      <c r="E67" s="240">
        <v>0</v>
      </c>
      <c r="F67" s="239">
        <v>0</v>
      </c>
      <c r="G67" s="239">
        <v>0</v>
      </c>
      <c r="H67" s="241">
        <f t="shared" si="0"/>
        <v>358888.42673125962</v>
      </c>
      <c r="I67" s="311">
        <v>20299.313939393938</v>
      </c>
      <c r="J67" s="135">
        <f>'B) D RI'!U68</f>
        <v>22227.212272727276</v>
      </c>
      <c r="K67" s="92">
        <f t="shared" si="13"/>
        <v>17.679830353023974</v>
      </c>
      <c r="L67" s="43">
        <f>'B) D RI'!S68</f>
        <v>66</v>
      </c>
      <c r="M67" s="43">
        <f t="shared" si="8"/>
        <v>48.320169646976026</v>
      </c>
      <c r="N67" s="199">
        <f>'J) Plafonnement effort'!G66+'J) Plafonnement effort'!H66-'K) Plafonnement aide'!I66</f>
        <v>15.631173457604058</v>
      </c>
      <c r="O67" s="199">
        <f t="shared" si="9"/>
        <v>63.951343104580083</v>
      </c>
      <c r="P67" s="59">
        <f t="shared" si="10"/>
        <v>0</v>
      </c>
      <c r="Q67" s="75">
        <f t="shared" si="14"/>
        <v>0</v>
      </c>
      <c r="R67" s="230">
        <f t="shared" si="11"/>
        <v>63.951343104580083</v>
      </c>
      <c r="S67" s="199">
        <f t="shared" si="12"/>
        <v>-2.0486568954199171</v>
      </c>
      <c r="T67" s="229"/>
    </row>
    <row r="68" spans="1:20" x14ac:dyDescent="0.25">
      <c r="A68" s="61">
        <f>'A) Base RI'!A69</f>
        <v>5498</v>
      </c>
      <c r="B68" s="73" t="str">
        <f>'A) Base RI'!B69</f>
        <v>La Sarraz</v>
      </c>
      <c r="C68" s="238">
        <v>1110764.6007609051</v>
      </c>
      <c r="D68" s="239">
        <v>85778.763613966294</v>
      </c>
      <c r="E68" s="240">
        <v>0</v>
      </c>
      <c r="F68" s="239">
        <v>0</v>
      </c>
      <c r="G68" s="239">
        <v>0</v>
      </c>
      <c r="H68" s="241">
        <f t="shared" si="0"/>
        <v>1196543.3643748714</v>
      </c>
      <c r="I68" s="311">
        <v>72296.623593750002</v>
      </c>
      <c r="J68" s="135">
        <f>'B) D RI'!U69</f>
        <v>72104.13</v>
      </c>
      <c r="K68" s="92">
        <f t="shared" si="13"/>
        <v>16.550473658334326</v>
      </c>
      <c r="L68" s="43">
        <f>'B) D RI'!S69</f>
        <v>64</v>
      </c>
      <c r="M68" s="43">
        <f t="shared" si="8"/>
        <v>47.449526341665674</v>
      </c>
      <c r="N68" s="199">
        <f>'J) Plafonnement effort'!G67+'J) Plafonnement effort'!H67-'K) Plafonnement aide'!I67</f>
        <v>9.7637338352665832</v>
      </c>
      <c r="O68" s="199">
        <f t="shared" si="9"/>
        <v>57.213260176932259</v>
      </c>
      <c r="P68" s="59">
        <f t="shared" si="10"/>
        <v>0</v>
      </c>
      <c r="Q68" s="75">
        <f t="shared" si="14"/>
        <v>0</v>
      </c>
      <c r="R68" s="230">
        <f t="shared" si="11"/>
        <v>57.213260176932259</v>
      </c>
      <c r="S68" s="199">
        <f t="shared" si="12"/>
        <v>-6.7867398230677409</v>
      </c>
      <c r="T68" s="229"/>
    </row>
    <row r="69" spans="1:20" x14ac:dyDescent="0.25">
      <c r="A69" s="61">
        <f>'A) Base RI'!A70</f>
        <v>5499</v>
      </c>
      <c r="B69" s="73" t="str">
        <f>'A) Base RI'!B70</f>
        <v>Senarclens</v>
      </c>
      <c r="C69" s="238">
        <v>249268.19212460003</v>
      </c>
      <c r="D69" s="239">
        <v>247638.86312178156</v>
      </c>
      <c r="E69" s="240">
        <v>0</v>
      </c>
      <c r="F69" s="239">
        <v>0</v>
      </c>
      <c r="G69" s="239">
        <v>0</v>
      </c>
      <c r="H69" s="241">
        <f t="shared" si="0"/>
        <v>496907.05524638155</v>
      </c>
      <c r="I69" s="311">
        <v>17459.062919708031</v>
      </c>
      <c r="J69" s="135">
        <f>'B) D RI'!U70</f>
        <v>21697.695620437953</v>
      </c>
      <c r="K69" s="92">
        <f t="shared" si="13"/>
        <v>28.461267224454872</v>
      </c>
      <c r="L69" s="43">
        <f>'B) D RI'!S70</f>
        <v>68.5</v>
      </c>
      <c r="M69" s="43">
        <f t="shared" si="8"/>
        <v>40.038732775545128</v>
      </c>
      <c r="N69" s="199">
        <f>'J) Plafonnement effort'!G68+'J) Plafonnement effort'!H68-'K) Plafonnement aide'!I68</f>
        <v>33.568593522956753</v>
      </c>
      <c r="O69" s="199">
        <f t="shared" si="9"/>
        <v>73.607326298501874</v>
      </c>
      <c r="P69" s="59">
        <f t="shared" si="10"/>
        <v>0</v>
      </c>
      <c r="Q69" s="75">
        <f t="shared" si="14"/>
        <v>0</v>
      </c>
      <c r="R69" s="230">
        <f t="shared" si="11"/>
        <v>73.607326298501874</v>
      </c>
      <c r="S69" s="199">
        <f t="shared" si="12"/>
        <v>5.1073262985018744</v>
      </c>
      <c r="T69" s="229"/>
    </row>
    <row r="70" spans="1:20" x14ac:dyDescent="0.25">
      <c r="A70" s="61">
        <f>'A) Base RI'!A71</f>
        <v>5500</v>
      </c>
      <c r="B70" s="73" t="str">
        <f>'A) Base RI'!B71</f>
        <v>Sévery</v>
      </c>
      <c r="C70" s="238">
        <v>86578.555828251396</v>
      </c>
      <c r="D70" s="239">
        <v>717.03796579265327</v>
      </c>
      <c r="E70" s="240">
        <v>0</v>
      </c>
      <c r="F70" s="239">
        <v>0</v>
      </c>
      <c r="G70" s="239">
        <v>0</v>
      </c>
      <c r="H70" s="241">
        <f t="shared" si="0"/>
        <v>87295.593794044049</v>
      </c>
      <c r="I70" s="311">
        <v>6102.0277564102553</v>
      </c>
      <c r="J70" s="135">
        <f>'B) D RI'!U71</f>
        <v>6767.1525657894736</v>
      </c>
      <c r="K70" s="92">
        <f t="shared" si="13"/>
        <v>14.305997494413058</v>
      </c>
      <c r="L70" s="43">
        <f>'B) D RI'!S71</f>
        <v>76</v>
      </c>
      <c r="M70" s="43">
        <f t="shared" si="8"/>
        <v>61.694002505586944</v>
      </c>
      <c r="N70" s="199">
        <f>'J) Plafonnement effort'!G69+'J) Plafonnement effort'!H69-'K) Plafonnement aide'!I69</f>
        <v>17.354100722428967</v>
      </c>
      <c r="O70" s="199">
        <f t="shared" si="9"/>
        <v>79.048103228015918</v>
      </c>
      <c r="P70" s="59">
        <f t="shared" si="10"/>
        <v>0</v>
      </c>
      <c r="Q70" s="75">
        <f t="shared" si="14"/>
        <v>0</v>
      </c>
      <c r="R70" s="230">
        <f t="shared" si="11"/>
        <v>79.048103228015918</v>
      </c>
      <c r="S70" s="199">
        <f t="shared" si="12"/>
        <v>3.0481032280159184</v>
      </c>
      <c r="T70" s="229"/>
    </row>
    <row r="71" spans="1:20" x14ac:dyDescent="0.25">
      <c r="A71" s="61">
        <f>'A) Base RI'!A72</f>
        <v>5501</v>
      </c>
      <c r="B71" s="73" t="str">
        <f>'A) Base RI'!B72</f>
        <v>Sullens</v>
      </c>
      <c r="C71" s="238">
        <v>725555.54373147653</v>
      </c>
      <c r="D71" s="239">
        <v>568685.60544915986</v>
      </c>
      <c r="E71" s="240">
        <v>0</v>
      </c>
      <c r="F71" s="239">
        <v>0</v>
      </c>
      <c r="G71" s="239">
        <v>0</v>
      </c>
      <c r="H71" s="241">
        <f t="shared" ref="H71:H134" si="15">SUM(C71:G71)</f>
        <v>1294241.1491806363</v>
      </c>
      <c r="I71" s="311">
        <v>37787.89666666666</v>
      </c>
      <c r="J71" s="135">
        <f>'B) D RI'!U72</f>
        <v>35887.851857142865</v>
      </c>
      <c r="K71" s="92">
        <f t="shared" si="13"/>
        <v>34.250150533578342</v>
      </c>
      <c r="L71" s="43">
        <f>'B) D RI'!S72</f>
        <v>70</v>
      </c>
      <c r="M71" s="43">
        <f t="shared" si="8"/>
        <v>35.749849466421658</v>
      </c>
      <c r="N71" s="199">
        <f>'J) Plafonnement effort'!G70+'J) Plafonnement effort'!H70-'K) Plafonnement aide'!I70</f>
        <v>30.589963005033407</v>
      </c>
      <c r="O71" s="199">
        <f t="shared" si="9"/>
        <v>66.339812471455062</v>
      </c>
      <c r="P71" s="59">
        <f t="shared" si="10"/>
        <v>0</v>
      </c>
      <c r="Q71" s="75">
        <f t="shared" si="14"/>
        <v>0</v>
      </c>
      <c r="R71" s="230">
        <f t="shared" si="11"/>
        <v>66.339812471455062</v>
      </c>
      <c r="S71" s="199">
        <f t="shared" si="12"/>
        <v>-3.6601875285449381</v>
      </c>
      <c r="T71" s="229"/>
    </row>
    <row r="72" spans="1:20" x14ac:dyDescent="0.25">
      <c r="A72" s="61">
        <f>'A) Base RI'!A73</f>
        <v>5503</v>
      </c>
      <c r="B72" s="73" t="str">
        <f>'A) Base RI'!B73</f>
        <v>Vufflens-la-Ville</v>
      </c>
      <c r="C72" s="238">
        <v>862855.62396622985</v>
      </c>
      <c r="D72" s="239">
        <v>888044</v>
      </c>
      <c r="E72" s="240">
        <v>0</v>
      </c>
      <c r="F72" s="239">
        <v>0</v>
      </c>
      <c r="G72" s="239">
        <v>0</v>
      </c>
      <c r="H72" s="241">
        <f t="shared" si="15"/>
        <v>1750899.6239662298</v>
      </c>
      <c r="I72" s="311">
        <v>57812.991915422885</v>
      </c>
      <c r="J72" s="135">
        <f>'B) D RI'!U73</f>
        <v>61379.446318407958</v>
      </c>
      <c r="K72" s="92">
        <f t="shared" si="13"/>
        <v>30.285573639359406</v>
      </c>
      <c r="L72" s="43">
        <f>'B) D RI'!S73</f>
        <v>67</v>
      </c>
      <c r="M72" s="43">
        <f t="shared" si="8"/>
        <v>36.714426360640594</v>
      </c>
      <c r="N72" s="199">
        <f>'J) Plafonnement effort'!G71+'J) Plafonnement effort'!H71-'K) Plafonnement aide'!I71</f>
        <v>35.198357924449212</v>
      </c>
      <c r="O72" s="199">
        <f t="shared" si="9"/>
        <v>71.912784285089799</v>
      </c>
      <c r="P72" s="59">
        <f t="shared" si="10"/>
        <v>0</v>
      </c>
      <c r="Q72" s="75">
        <f t="shared" si="14"/>
        <v>0</v>
      </c>
      <c r="R72" s="230">
        <f t="shared" si="11"/>
        <v>71.912784285089799</v>
      </c>
      <c r="S72" s="199">
        <f t="shared" si="12"/>
        <v>4.9127842850897991</v>
      </c>
      <c r="T72" s="229"/>
    </row>
    <row r="73" spans="1:20" x14ac:dyDescent="0.25">
      <c r="A73" s="61">
        <f>'A) Base RI'!A74</f>
        <v>5511</v>
      </c>
      <c r="B73" s="73" t="str">
        <f>'A) Base RI'!B74</f>
        <v>Assens</v>
      </c>
      <c r="C73" s="238">
        <v>615885.95566889294</v>
      </c>
      <c r="D73" s="239">
        <v>523784.50844447361</v>
      </c>
      <c r="E73" s="240">
        <v>0</v>
      </c>
      <c r="F73" s="239">
        <v>0</v>
      </c>
      <c r="G73" s="239">
        <v>0</v>
      </c>
      <c r="H73" s="241">
        <f t="shared" si="15"/>
        <v>1139670.4641133666</v>
      </c>
      <c r="I73" s="311">
        <v>39783.593571428566</v>
      </c>
      <c r="J73" s="135">
        <f>'B) D RI'!U74</f>
        <v>41422.612571428566</v>
      </c>
      <c r="K73" s="92">
        <f t="shared" si="13"/>
        <v>28.646745097754195</v>
      </c>
      <c r="L73" s="43">
        <f>'B) D RI'!S74</f>
        <v>70</v>
      </c>
      <c r="M73" s="43">
        <f t="shared" si="8"/>
        <v>41.353254902245808</v>
      </c>
      <c r="N73" s="199">
        <f>'J) Plafonnement effort'!G72+'J) Plafonnement effort'!H72-'K) Plafonnement aide'!I72</f>
        <v>26.16233793478084</v>
      </c>
      <c r="O73" s="199">
        <f t="shared" si="9"/>
        <v>67.515592837026645</v>
      </c>
      <c r="P73" s="59">
        <f t="shared" si="10"/>
        <v>0</v>
      </c>
      <c r="Q73" s="75">
        <f t="shared" si="14"/>
        <v>0</v>
      </c>
      <c r="R73" s="230">
        <f t="shared" si="11"/>
        <v>67.515592837026645</v>
      </c>
      <c r="S73" s="199">
        <f t="shared" si="12"/>
        <v>-2.4844071629733548</v>
      </c>
      <c r="T73" s="229"/>
    </row>
    <row r="74" spans="1:20" x14ac:dyDescent="0.25">
      <c r="A74" s="61">
        <f>'A) Base RI'!A75</f>
        <v>5512</v>
      </c>
      <c r="B74" s="73" t="str">
        <f>'A) Base RI'!B75</f>
        <v>Bercher</v>
      </c>
      <c r="C74" s="238">
        <v>545400.21859234548</v>
      </c>
      <c r="D74" s="239">
        <v>187475.63597094239</v>
      </c>
      <c r="E74" s="240">
        <v>0</v>
      </c>
      <c r="F74" s="239">
        <v>0</v>
      </c>
      <c r="G74" s="239">
        <v>0</v>
      </c>
      <c r="H74" s="241">
        <f t="shared" si="15"/>
        <v>732875.85456328792</v>
      </c>
      <c r="I74" s="311">
        <v>36622.722911392411</v>
      </c>
      <c r="J74" s="135">
        <f>'B) D RI'!U75</f>
        <v>32079.191772151898</v>
      </c>
      <c r="K74" s="92">
        <f t="shared" si="13"/>
        <v>20.011506417380794</v>
      </c>
      <c r="L74" s="43">
        <f>'B) D RI'!S75</f>
        <v>79</v>
      </c>
      <c r="M74" s="43">
        <f t="shared" si="8"/>
        <v>58.988493582619206</v>
      </c>
      <c r="N74" s="199">
        <f>'J) Plafonnement effort'!G73+'J) Plafonnement effort'!H73-'K) Plafonnement aide'!I73</f>
        <v>11.913237932124254</v>
      </c>
      <c r="O74" s="199">
        <f t="shared" si="9"/>
        <v>70.90173151474346</v>
      </c>
      <c r="P74" s="59">
        <f t="shared" si="10"/>
        <v>0</v>
      </c>
      <c r="Q74" s="75">
        <f t="shared" si="14"/>
        <v>0</v>
      </c>
      <c r="R74" s="230">
        <f t="shared" si="11"/>
        <v>70.90173151474346</v>
      </c>
      <c r="S74" s="199">
        <f t="shared" si="12"/>
        <v>-8.0982684852565399</v>
      </c>
      <c r="T74" s="229"/>
    </row>
    <row r="75" spans="1:20" x14ac:dyDescent="0.25">
      <c r="A75" s="61">
        <f>'A) Base RI'!A76</f>
        <v>5513</v>
      </c>
      <c r="B75" s="73" t="str">
        <f>'A) Base RI'!B76</f>
        <v>Bioley-Orjulaz</v>
      </c>
      <c r="C75" s="238">
        <v>721895.79102772311</v>
      </c>
      <c r="D75" s="239">
        <v>483614</v>
      </c>
      <c r="E75" s="240">
        <v>0</v>
      </c>
      <c r="F75" s="239">
        <v>0</v>
      </c>
      <c r="G75" s="239">
        <v>0</v>
      </c>
      <c r="H75" s="241">
        <f t="shared" si="15"/>
        <v>1205509.7910277231</v>
      </c>
      <c r="I75" s="311">
        <v>30506.038333333338</v>
      </c>
      <c r="J75" s="135">
        <f>'B) D RI'!U76</f>
        <v>24024.471515151512</v>
      </c>
      <c r="K75" s="92">
        <f t="shared" si="13"/>
        <v>39.517087661641291</v>
      </c>
      <c r="L75" s="43">
        <f>'B) D RI'!S76</f>
        <v>66</v>
      </c>
      <c r="M75" s="43">
        <f t="shared" si="8"/>
        <v>26.482912338358709</v>
      </c>
      <c r="N75" s="199">
        <f>'J) Plafonnement effort'!G74+'J) Plafonnement effort'!H74-'K) Plafonnement aide'!I74</f>
        <v>32.959539382025291</v>
      </c>
      <c r="O75" s="199">
        <f t="shared" si="9"/>
        <v>59.442451720384</v>
      </c>
      <c r="P75" s="59">
        <f t="shared" si="10"/>
        <v>0</v>
      </c>
      <c r="Q75" s="75">
        <f t="shared" si="14"/>
        <v>0</v>
      </c>
      <c r="R75" s="230">
        <f t="shared" si="11"/>
        <v>59.442451720384</v>
      </c>
      <c r="S75" s="199">
        <f t="shared" si="12"/>
        <v>-6.5575482796160003</v>
      </c>
      <c r="T75" s="229"/>
    </row>
    <row r="76" spans="1:20" x14ac:dyDescent="0.25">
      <c r="A76" s="61">
        <f>'A) Base RI'!A77</f>
        <v>5514</v>
      </c>
      <c r="B76" s="73" t="str">
        <f>'A) Base RI'!B77</f>
        <v>Bottens</v>
      </c>
      <c r="C76" s="238">
        <v>649584.88053275936</v>
      </c>
      <c r="D76" s="239">
        <v>337259.34399685147</v>
      </c>
      <c r="E76" s="240">
        <v>0</v>
      </c>
      <c r="F76" s="239">
        <v>0</v>
      </c>
      <c r="G76" s="239">
        <v>0</v>
      </c>
      <c r="H76" s="241">
        <f t="shared" si="15"/>
        <v>986844.22452961083</v>
      </c>
      <c r="I76" s="311">
        <v>42846.050910973077</v>
      </c>
      <c r="J76" s="135">
        <f>'B) D RI'!U77</f>
        <v>38346.680434782604</v>
      </c>
      <c r="K76" s="92">
        <f t="shared" si="13"/>
        <v>23.03232628323455</v>
      </c>
      <c r="L76" s="43">
        <f>'B) D RI'!S77</f>
        <v>69</v>
      </c>
      <c r="M76" s="43">
        <f t="shared" si="8"/>
        <v>45.967673716765447</v>
      </c>
      <c r="N76" s="199">
        <f>'J) Plafonnement effort'!G75+'J) Plafonnement effort'!H75-'K) Plafonnement aide'!I75</f>
        <v>24.001966531495899</v>
      </c>
      <c r="O76" s="199">
        <f t="shared" si="9"/>
        <v>69.969640248261342</v>
      </c>
      <c r="P76" s="59">
        <f t="shared" si="10"/>
        <v>0</v>
      </c>
      <c r="Q76" s="75">
        <f t="shared" si="14"/>
        <v>0</v>
      </c>
      <c r="R76" s="230">
        <f t="shared" si="11"/>
        <v>69.969640248261342</v>
      </c>
      <c r="S76" s="199">
        <f t="shared" si="12"/>
        <v>0.96964024826134221</v>
      </c>
      <c r="T76" s="229"/>
    </row>
    <row r="77" spans="1:20" x14ac:dyDescent="0.25">
      <c r="A77" s="61">
        <f>'A) Base RI'!A78</f>
        <v>5515</v>
      </c>
      <c r="B77" s="73" t="str">
        <f>'A) Base RI'!B78</f>
        <v>Bretigny-sur-Morrens</v>
      </c>
      <c r="C77" s="238">
        <v>403161.51478308102</v>
      </c>
      <c r="D77" s="239">
        <v>71152.565098803607</v>
      </c>
      <c r="E77" s="240">
        <v>0</v>
      </c>
      <c r="F77" s="239">
        <v>0</v>
      </c>
      <c r="G77" s="239">
        <v>0</v>
      </c>
      <c r="H77" s="241">
        <f t="shared" si="15"/>
        <v>474314.07988188462</v>
      </c>
      <c r="I77" s="311">
        <v>22223.6698630137</v>
      </c>
      <c r="J77" s="135">
        <f>'B) D RI'!U78</f>
        <v>24345.34643835617</v>
      </c>
      <c r="K77" s="92">
        <f t="shared" si="13"/>
        <v>21.342743246527153</v>
      </c>
      <c r="L77" s="43">
        <f>'B) D RI'!S78</f>
        <v>73</v>
      </c>
      <c r="M77" s="43">
        <f t="shared" si="8"/>
        <v>51.657256753472851</v>
      </c>
      <c r="N77" s="199">
        <f>'J) Plafonnement effort'!G76+'J) Plafonnement effort'!H76-'K) Plafonnement aide'!I76</f>
        <v>19.957675940910747</v>
      </c>
      <c r="O77" s="199">
        <f t="shared" si="9"/>
        <v>71.614932694383597</v>
      </c>
      <c r="P77" s="59">
        <f t="shared" si="10"/>
        <v>0</v>
      </c>
      <c r="Q77" s="75">
        <f t="shared" si="14"/>
        <v>0</v>
      </c>
      <c r="R77" s="230">
        <f t="shared" si="11"/>
        <v>71.614932694383597</v>
      </c>
      <c r="S77" s="199">
        <f t="shared" si="12"/>
        <v>-1.3850673056164027</v>
      </c>
      <c r="T77" s="229"/>
    </row>
    <row r="78" spans="1:20" x14ac:dyDescent="0.25">
      <c r="A78" s="61">
        <f>'A) Base RI'!A79</f>
        <v>5516</v>
      </c>
      <c r="B78" s="73" t="str">
        <f>'A) Base RI'!B79</f>
        <v>Cugy</v>
      </c>
      <c r="C78" s="238">
        <v>1754421.3995468393</v>
      </c>
      <c r="D78" s="239">
        <v>1413745.2017462724</v>
      </c>
      <c r="E78" s="240">
        <v>0</v>
      </c>
      <c r="F78" s="239">
        <v>0</v>
      </c>
      <c r="G78" s="239">
        <v>0</v>
      </c>
      <c r="H78" s="241">
        <f t="shared" si="15"/>
        <v>3168166.6012931117</v>
      </c>
      <c r="I78" s="311">
        <v>117631.39925373136</v>
      </c>
      <c r="J78" s="135">
        <f>'B) D RI'!U79</f>
        <v>104935.17701492537</v>
      </c>
      <c r="K78" s="92">
        <f t="shared" si="13"/>
        <v>26.933001064276763</v>
      </c>
      <c r="L78" s="43">
        <f>'B) D RI'!S79</f>
        <v>67</v>
      </c>
      <c r="M78" s="43">
        <f t="shared" si="8"/>
        <v>40.066998935723234</v>
      </c>
      <c r="N78" s="199">
        <f>'J) Plafonnement effort'!G77+'J) Plafonnement effort'!H77-'K) Plafonnement aide'!I77</f>
        <v>24.46754152093369</v>
      </c>
      <c r="O78" s="199">
        <f t="shared" si="9"/>
        <v>64.534540456656927</v>
      </c>
      <c r="P78" s="59">
        <f t="shared" si="10"/>
        <v>0</v>
      </c>
      <c r="Q78" s="75">
        <f t="shared" si="14"/>
        <v>0</v>
      </c>
      <c r="R78" s="230">
        <f t="shared" si="11"/>
        <v>64.534540456656927</v>
      </c>
      <c r="S78" s="199">
        <f t="shared" si="12"/>
        <v>-2.4654595433430728</v>
      </c>
      <c r="T78" s="229"/>
    </row>
    <row r="79" spans="1:20" x14ac:dyDescent="0.25">
      <c r="A79" s="61">
        <f>'A) Base RI'!A80</f>
        <v>5518</v>
      </c>
      <c r="B79" s="73" t="str">
        <f>'A) Base RI'!B80</f>
        <v>Echallens</v>
      </c>
      <c r="C79" s="238">
        <v>2866065.731095423</v>
      </c>
      <c r="D79" s="239">
        <v>-376333.15662903152</v>
      </c>
      <c r="E79" s="240">
        <v>0</v>
      </c>
      <c r="F79" s="239">
        <v>0</v>
      </c>
      <c r="G79" s="239">
        <v>0</v>
      </c>
      <c r="H79" s="241">
        <f t="shared" si="15"/>
        <v>2489732.5744663915</v>
      </c>
      <c r="I79" s="311">
        <v>173156.24540540541</v>
      </c>
      <c r="J79" s="135">
        <f>'B) D RI'!U80</f>
        <v>181423.1631081081</v>
      </c>
      <c r="K79" s="92">
        <f t="shared" si="13"/>
        <v>14.37853176267051</v>
      </c>
      <c r="L79" s="43">
        <f>'B) D RI'!S80</f>
        <v>74</v>
      </c>
      <c r="M79" s="43">
        <f t="shared" si="8"/>
        <v>59.621468237329488</v>
      </c>
      <c r="N79" s="199">
        <f>'J) Plafonnement effort'!G78+'J) Plafonnement effort'!H78-'K) Plafonnement aide'!I78</f>
        <v>10.89570186931574</v>
      </c>
      <c r="O79" s="199">
        <f t="shared" si="9"/>
        <v>70.517170106645224</v>
      </c>
      <c r="P79" s="59">
        <f t="shared" si="10"/>
        <v>0</v>
      </c>
      <c r="Q79" s="75">
        <f t="shared" si="14"/>
        <v>0</v>
      </c>
      <c r="R79" s="230">
        <f t="shared" si="11"/>
        <v>70.517170106645224</v>
      </c>
      <c r="S79" s="199">
        <f t="shared" si="12"/>
        <v>-3.4828298933547757</v>
      </c>
      <c r="T79" s="229"/>
    </row>
    <row r="80" spans="1:20" x14ac:dyDescent="0.25">
      <c r="A80" s="61">
        <f>'A) Base RI'!A81</f>
        <v>5520</v>
      </c>
      <c r="B80" s="73" t="str">
        <f>'A) Base RI'!B81</f>
        <v>Essertines-sur-Yverdon</v>
      </c>
      <c r="C80" s="238">
        <v>448309.3000033361</v>
      </c>
      <c r="D80" s="239">
        <v>172612.49514389923</v>
      </c>
      <c r="E80" s="240">
        <v>0</v>
      </c>
      <c r="F80" s="239">
        <v>0</v>
      </c>
      <c r="G80" s="239">
        <v>0</v>
      </c>
      <c r="H80" s="241">
        <f t="shared" si="15"/>
        <v>620921.79514723527</v>
      </c>
      <c r="I80" s="311">
        <v>27983.283972602738</v>
      </c>
      <c r="J80" s="135">
        <f>'B) D RI'!U81</f>
        <v>28021.579589041095</v>
      </c>
      <c r="K80" s="92">
        <f t="shared" si="13"/>
        <v>22.189025267911866</v>
      </c>
      <c r="L80" s="43">
        <f>'B) D RI'!S81</f>
        <v>73</v>
      </c>
      <c r="M80" s="43">
        <f t="shared" si="8"/>
        <v>50.810974732088134</v>
      </c>
      <c r="N80" s="199">
        <f>'J) Plafonnement effort'!G79+'J) Plafonnement effort'!H79-'K) Plafonnement aide'!I79</f>
        <v>17.008879696083767</v>
      </c>
      <c r="O80" s="199">
        <f t="shared" si="9"/>
        <v>67.819854428171908</v>
      </c>
      <c r="P80" s="59">
        <f t="shared" si="10"/>
        <v>0</v>
      </c>
      <c r="Q80" s="75">
        <f t="shared" si="14"/>
        <v>0</v>
      </c>
      <c r="R80" s="230">
        <f t="shared" si="11"/>
        <v>67.819854428171908</v>
      </c>
      <c r="S80" s="199">
        <f t="shared" si="12"/>
        <v>-5.180145571828092</v>
      </c>
      <c r="T80" s="229"/>
    </row>
    <row r="81" spans="1:20" x14ac:dyDescent="0.25">
      <c r="A81" s="61">
        <f>'A) Base RI'!A82</f>
        <v>5521</v>
      </c>
      <c r="B81" s="73" t="str">
        <f>'A) Base RI'!B82</f>
        <v>Etagnières</v>
      </c>
      <c r="C81" s="238">
        <v>609603.06205441325</v>
      </c>
      <c r="D81" s="239">
        <v>271580.94315000169</v>
      </c>
      <c r="E81" s="240">
        <v>0</v>
      </c>
      <c r="F81" s="239">
        <v>0</v>
      </c>
      <c r="G81" s="239">
        <v>0</v>
      </c>
      <c r="H81" s="241">
        <f t="shared" si="15"/>
        <v>881184.00520441495</v>
      </c>
      <c r="I81" s="311">
        <v>36300.178904109591</v>
      </c>
      <c r="J81" s="135">
        <f>'B) D RI'!U82</f>
        <v>42327.784109589047</v>
      </c>
      <c r="K81" s="92">
        <f t="shared" si="13"/>
        <v>24.274921827028653</v>
      </c>
      <c r="L81" s="43">
        <f>'B) D RI'!S82</f>
        <v>73</v>
      </c>
      <c r="M81" s="43">
        <f t="shared" si="8"/>
        <v>48.725078172971351</v>
      </c>
      <c r="N81" s="199">
        <f>'J) Plafonnement effort'!G80+'J) Plafonnement effort'!H80-'K) Plafonnement aide'!I80</f>
        <v>26.466200500302396</v>
      </c>
      <c r="O81" s="199">
        <f t="shared" si="9"/>
        <v>75.191278673273743</v>
      </c>
      <c r="P81" s="59">
        <f t="shared" si="10"/>
        <v>0</v>
      </c>
      <c r="Q81" s="75">
        <f t="shared" si="14"/>
        <v>0</v>
      </c>
      <c r="R81" s="230">
        <f t="shared" si="11"/>
        <v>75.191278673273743</v>
      </c>
      <c r="S81" s="199">
        <f t="shared" si="12"/>
        <v>2.191278673273743</v>
      </c>
      <c r="T81" s="229"/>
    </row>
    <row r="82" spans="1:20" x14ac:dyDescent="0.25">
      <c r="A82" s="61">
        <f>'A) Base RI'!A83</f>
        <v>5522</v>
      </c>
      <c r="B82" s="73" t="str">
        <f>'A) Base RI'!B83</f>
        <v>Fey</v>
      </c>
      <c r="C82" s="238">
        <v>307672.3842301172</v>
      </c>
      <c r="D82" s="239">
        <v>-12116.245361446228</v>
      </c>
      <c r="E82" s="240">
        <v>0</v>
      </c>
      <c r="F82" s="239">
        <v>0</v>
      </c>
      <c r="G82" s="239">
        <v>0</v>
      </c>
      <c r="H82" s="241">
        <f t="shared" si="15"/>
        <v>295556.13886867097</v>
      </c>
      <c r="I82" s="311">
        <v>16159.379733333333</v>
      </c>
      <c r="J82" s="135">
        <f>'B) D RI'!U83</f>
        <v>18218.5124</v>
      </c>
      <c r="K82" s="92">
        <f t="shared" si="13"/>
        <v>18.290067053687839</v>
      </c>
      <c r="L82" s="43">
        <f>'B) D RI'!S83</f>
        <v>75</v>
      </c>
      <c r="M82" s="43">
        <f t="shared" si="8"/>
        <v>56.709932946312165</v>
      </c>
      <c r="N82" s="199">
        <f>'J) Plafonnement effort'!G81+'J) Plafonnement effort'!H81-'K) Plafonnement aide'!I81</f>
        <v>13.09922041822967</v>
      </c>
      <c r="O82" s="199">
        <f t="shared" si="9"/>
        <v>69.809153364541828</v>
      </c>
      <c r="P82" s="59">
        <f t="shared" si="10"/>
        <v>0</v>
      </c>
      <c r="Q82" s="75">
        <f t="shared" si="14"/>
        <v>0</v>
      </c>
      <c r="R82" s="230">
        <f t="shared" si="11"/>
        <v>69.809153364541828</v>
      </c>
      <c r="S82" s="199">
        <f t="shared" si="12"/>
        <v>-5.1908466354581719</v>
      </c>
      <c r="T82" s="229"/>
    </row>
    <row r="83" spans="1:20" x14ac:dyDescent="0.25">
      <c r="A83" s="61">
        <f>'A) Base RI'!A84</f>
        <v>5523</v>
      </c>
      <c r="B83" s="73" t="str">
        <f>'A) Base RI'!B84</f>
        <v>Froideville</v>
      </c>
      <c r="C83" s="238">
        <v>1207903.2173256087</v>
      </c>
      <c r="D83" s="239">
        <v>108005.53636846226</v>
      </c>
      <c r="E83" s="240">
        <v>0</v>
      </c>
      <c r="F83" s="239">
        <v>0</v>
      </c>
      <c r="G83" s="239">
        <v>0</v>
      </c>
      <c r="H83" s="241">
        <f t="shared" si="15"/>
        <v>1315908.753694071</v>
      </c>
      <c r="I83" s="311">
        <v>72242.876052631575</v>
      </c>
      <c r="J83" s="135">
        <f>'B) D RI'!U84</f>
        <v>77819.657763157898</v>
      </c>
      <c r="K83" s="92">
        <f t="shared" si="13"/>
        <v>18.215065977375865</v>
      </c>
      <c r="L83" s="43">
        <f>'B) D RI'!S84</f>
        <v>76</v>
      </c>
      <c r="M83" s="43">
        <f t="shared" si="8"/>
        <v>57.784934022624135</v>
      </c>
      <c r="N83" s="199">
        <f>'J) Plafonnement effort'!G82+'J) Plafonnement effort'!H82-'K) Plafonnement aide'!I82</f>
        <v>17.920178628467305</v>
      </c>
      <c r="O83" s="199">
        <f t="shared" si="9"/>
        <v>75.70511265109144</v>
      </c>
      <c r="P83" s="59">
        <f t="shared" si="10"/>
        <v>0</v>
      </c>
      <c r="Q83" s="75">
        <f t="shared" si="14"/>
        <v>0</v>
      </c>
      <c r="R83" s="230">
        <f t="shared" si="11"/>
        <v>75.70511265109144</v>
      </c>
      <c r="S83" s="199">
        <f t="shared" si="12"/>
        <v>-0.29488734890855994</v>
      </c>
      <c r="T83" s="229"/>
    </row>
    <row r="84" spans="1:20" x14ac:dyDescent="0.25">
      <c r="A84" s="61">
        <f>'A) Base RI'!A85</f>
        <v>5527</v>
      </c>
      <c r="B84" s="73" t="str">
        <f>'A) Base RI'!B85</f>
        <v>Morrens</v>
      </c>
      <c r="C84" s="238">
        <v>597354.18242371769</v>
      </c>
      <c r="D84" s="239">
        <v>413345.38344496442</v>
      </c>
      <c r="E84" s="240">
        <v>0</v>
      </c>
      <c r="F84" s="239">
        <v>0</v>
      </c>
      <c r="G84" s="239">
        <v>0</v>
      </c>
      <c r="H84" s="241">
        <f t="shared" si="15"/>
        <v>1010699.5658686821</v>
      </c>
      <c r="I84" s="311">
        <v>37759.681126760574</v>
      </c>
      <c r="J84" s="135">
        <f>'B) D RI'!U85</f>
        <v>36998.677183098589</v>
      </c>
      <c r="K84" s="92">
        <f t="shared" si="13"/>
        <v>26.766634031567381</v>
      </c>
      <c r="L84" s="43">
        <f>'B) D RI'!S85</f>
        <v>71</v>
      </c>
      <c r="M84" s="43">
        <f t="shared" si="8"/>
        <v>44.233365968432622</v>
      </c>
      <c r="N84" s="199">
        <f>'J) Plafonnement effort'!G83+'J) Plafonnement effort'!H83-'K) Plafonnement aide'!I83</f>
        <v>27.870660329449962</v>
      </c>
      <c r="O84" s="199">
        <f t="shared" si="9"/>
        <v>72.104026297882584</v>
      </c>
      <c r="P84" s="59">
        <f t="shared" si="10"/>
        <v>0</v>
      </c>
      <c r="Q84" s="75">
        <f t="shared" si="14"/>
        <v>0</v>
      </c>
      <c r="R84" s="230">
        <f t="shared" si="11"/>
        <v>72.104026297882584</v>
      </c>
      <c r="S84" s="199">
        <f t="shared" si="12"/>
        <v>1.1040262978825837</v>
      </c>
      <c r="T84" s="229"/>
    </row>
    <row r="85" spans="1:20" x14ac:dyDescent="0.25">
      <c r="A85" s="61">
        <f>'A) Base RI'!A86</f>
        <v>5529</v>
      </c>
      <c r="B85" s="73" t="str">
        <f>'A) Base RI'!B86</f>
        <v>Oulens-sous-Echallens</v>
      </c>
      <c r="C85" s="238">
        <v>279793.70857276249</v>
      </c>
      <c r="D85" s="239">
        <v>221021.1426183799</v>
      </c>
      <c r="E85" s="240">
        <v>0</v>
      </c>
      <c r="F85" s="239">
        <v>0</v>
      </c>
      <c r="G85" s="239">
        <v>0</v>
      </c>
      <c r="H85" s="241">
        <f t="shared" si="15"/>
        <v>500814.8511911424</v>
      </c>
      <c r="I85" s="311">
        <v>19397.63972972973</v>
      </c>
      <c r="J85" s="135">
        <f>'B) D RI'!U86</f>
        <v>16830.940140845072</v>
      </c>
      <c r="K85" s="92">
        <f t="shared" si="13"/>
        <v>25.818339662405943</v>
      </c>
      <c r="L85" s="43">
        <f>'B) D RI'!S86</f>
        <v>71</v>
      </c>
      <c r="M85" s="43">
        <f t="shared" si="8"/>
        <v>45.181660337594053</v>
      </c>
      <c r="N85" s="199">
        <f>'J) Plafonnement effort'!G84+'J) Plafonnement effort'!H84-'K) Plafonnement aide'!I84</f>
        <v>19.861501856074334</v>
      </c>
      <c r="O85" s="199">
        <f t="shared" si="9"/>
        <v>65.043162193668394</v>
      </c>
      <c r="P85" s="59">
        <f t="shared" si="10"/>
        <v>0</v>
      </c>
      <c r="Q85" s="75">
        <f t="shared" si="14"/>
        <v>0</v>
      </c>
      <c r="R85" s="230">
        <f t="shared" si="11"/>
        <v>65.043162193668394</v>
      </c>
      <c r="S85" s="199">
        <f t="shared" si="12"/>
        <v>-5.9568378063316061</v>
      </c>
      <c r="T85" s="229"/>
    </row>
    <row r="86" spans="1:20" x14ac:dyDescent="0.25">
      <c r="A86" s="61">
        <f>'A) Base RI'!A87</f>
        <v>5530</v>
      </c>
      <c r="B86" s="73" t="str">
        <f>'A) Base RI'!B87</f>
        <v>Pailly</v>
      </c>
      <c r="C86" s="238">
        <v>231534.40835151181</v>
      </c>
      <c r="D86" s="239">
        <v>-13915.4837632954</v>
      </c>
      <c r="E86" s="240">
        <v>0</v>
      </c>
      <c r="F86" s="239">
        <v>0</v>
      </c>
      <c r="G86" s="239">
        <v>0</v>
      </c>
      <c r="H86" s="241">
        <f t="shared" si="15"/>
        <v>217618.92458821641</v>
      </c>
      <c r="I86" s="311">
        <v>13906.482623655915</v>
      </c>
      <c r="J86" s="135">
        <f>'B) D RI'!U87</f>
        <v>15988.116172043008</v>
      </c>
      <c r="K86" s="92">
        <f t="shared" si="13"/>
        <v>15.648739546693941</v>
      </c>
      <c r="L86" s="43">
        <f>'B) D RI'!S87</f>
        <v>77.5</v>
      </c>
      <c r="M86" s="43">
        <f t="shared" si="8"/>
        <v>61.851260453306061</v>
      </c>
      <c r="N86" s="199">
        <f>'J) Plafonnement effort'!G85+'J) Plafonnement effort'!H85-'K) Plafonnement aide'!I85</f>
        <v>1.929116495413421</v>
      </c>
      <c r="O86" s="199">
        <f t="shared" si="9"/>
        <v>63.780376948719478</v>
      </c>
      <c r="P86" s="59">
        <f t="shared" si="10"/>
        <v>0</v>
      </c>
      <c r="Q86" s="75">
        <f t="shared" si="14"/>
        <v>0</v>
      </c>
      <c r="R86" s="230">
        <f t="shared" si="11"/>
        <v>63.780376948719478</v>
      </c>
      <c r="S86" s="199">
        <f t="shared" si="12"/>
        <v>-13.719623051280522</v>
      </c>
      <c r="T86" s="229"/>
    </row>
    <row r="87" spans="1:20" x14ac:dyDescent="0.25">
      <c r="A87" s="61">
        <f>'A) Base RI'!A88</f>
        <v>5531</v>
      </c>
      <c r="B87" s="73" t="str">
        <f>'A) Base RI'!B88</f>
        <v>Penthéréaz</v>
      </c>
      <c r="C87" s="238">
        <v>178641.56778520526</v>
      </c>
      <c r="D87" s="239">
        <v>112107.22617224714</v>
      </c>
      <c r="E87" s="240">
        <v>0</v>
      </c>
      <c r="F87" s="239">
        <v>0</v>
      </c>
      <c r="G87" s="239">
        <v>0</v>
      </c>
      <c r="H87" s="241">
        <f t="shared" si="15"/>
        <v>290748.79395745241</v>
      </c>
      <c r="I87" s="311">
        <v>13188.510897435897</v>
      </c>
      <c r="J87" s="135">
        <f>'B) D RI'!U88</f>
        <v>11628.696923076923</v>
      </c>
      <c r="K87" s="92">
        <f t="shared" si="13"/>
        <v>22.045611988991087</v>
      </c>
      <c r="L87" s="43">
        <f>'B) D RI'!S88</f>
        <v>78</v>
      </c>
      <c r="M87" s="43">
        <f t="shared" si="8"/>
        <v>55.954388011008916</v>
      </c>
      <c r="N87" s="199">
        <f>'J) Plafonnement effort'!G86+'J) Plafonnement effort'!H86-'K) Plafonnement aide'!I86</f>
        <v>17.54607306759528</v>
      </c>
      <c r="O87" s="199">
        <f t="shared" si="9"/>
        <v>73.500461078604189</v>
      </c>
      <c r="P87" s="59">
        <f t="shared" si="10"/>
        <v>0</v>
      </c>
      <c r="Q87" s="75">
        <f t="shared" si="14"/>
        <v>0</v>
      </c>
      <c r="R87" s="230">
        <f t="shared" si="11"/>
        <v>73.500461078604189</v>
      </c>
      <c r="S87" s="199">
        <f t="shared" si="12"/>
        <v>-4.4995389213958106</v>
      </c>
      <c r="T87" s="229"/>
    </row>
    <row r="88" spans="1:20" x14ac:dyDescent="0.25">
      <c r="A88" s="61">
        <f>'A) Base RI'!A89</f>
        <v>5533</v>
      </c>
      <c r="B88" s="73" t="str">
        <f>'A) Base RI'!B89</f>
        <v>Poliez-Pittet</v>
      </c>
      <c r="C88" s="238">
        <v>343134.31651487382</v>
      </c>
      <c r="D88" s="239">
        <v>109155.71106344194</v>
      </c>
      <c r="E88" s="240">
        <v>0</v>
      </c>
      <c r="F88" s="239">
        <v>0</v>
      </c>
      <c r="G88" s="239">
        <v>0</v>
      </c>
      <c r="H88" s="241">
        <f t="shared" si="15"/>
        <v>452290.02757831576</v>
      </c>
      <c r="I88" s="311">
        <v>23278.194178403755</v>
      </c>
      <c r="J88" s="135">
        <f>'B) D RI'!U89</f>
        <v>21286.915727699528</v>
      </c>
      <c r="K88" s="92">
        <f t="shared" si="13"/>
        <v>19.429772950254272</v>
      </c>
      <c r="L88" s="43">
        <f>'B) D RI'!S89</f>
        <v>71</v>
      </c>
      <c r="M88" s="43">
        <f t="shared" si="8"/>
        <v>51.570227049745725</v>
      </c>
      <c r="N88" s="199">
        <f>'J) Plafonnement effort'!G87+'J) Plafonnement effort'!H87-'K) Plafonnement aide'!I87</f>
        <v>12.28187199635444</v>
      </c>
      <c r="O88" s="199">
        <f t="shared" si="9"/>
        <v>63.852099046100165</v>
      </c>
      <c r="P88" s="59">
        <f t="shared" si="10"/>
        <v>0</v>
      </c>
      <c r="Q88" s="75">
        <f t="shared" si="14"/>
        <v>0</v>
      </c>
      <c r="R88" s="230">
        <f t="shared" si="11"/>
        <v>63.852099046100165</v>
      </c>
      <c r="S88" s="199">
        <f t="shared" si="12"/>
        <v>-7.1479009538998355</v>
      </c>
      <c r="T88" s="229"/>
    </row>
    <row r="89" spans="1:20" x14ac:dyDescent="0.25">
      <c r="A89" s="61">
        <f>'A) Base RI'!A90</f>
        <v>5534</v>
      </c>
      <c r="B89" s="73" t="str">
        <f>'A) Base RI'!B90</f>
        <v>Rueyres</v>
      </c>
      <c r="C89" s="238">
        <v>110222.7689405948</v>
      </c>
      <c r="D89" s="239">
        <v>27735.09126030092</v>
      </c>
      <c r="E89" s="240">
        <v>0</v>
      </c>
      <c r="F89" s="239">
        <v>0</v>
      </c>
      <c r="G89" s="239">
        <v>0</v>
      </c>
      <c r="H89" s="241">
        <f t="shared" si="15"/>
        <v>137957.86020089572</v>
      </c>
      <c r="I89" s="311">
        <v>7491.8463013698638</v>
      </c>
      <c r="J89" s="135">
        <f>'B) D RI'!U90</f>
        <v>8123.1504109589041</v>
      </c>
      <c r="K89" s="92">
        <f t="shared" si="13"/>
        <v>18.414400756682703</v>
      </c>
      <c r="L89" s="43">
        <f>'B) D RI'!S90</f>
        <v>73</v>
      </c>
      <c r="M89" s="43">
        <f t="shared" si="8"/>
        <v>54.585599243317297</v>
      </c>
      <c r="N89" s="199">
        <f>'J) Plafonnement effort'!G88+'J) Plafonnement effort'!H88-'K) Plafonnement aide'!I88</f>
        <v>23.597752709695879</v>
      </c>
      <c r="O89" s="199">
        <f t="shared" si="9"/>
        <v>78.183351953013172</v>
      </c>
      <c r="P89" s="59">
        <f t="shared" si="10"/>
        <v>0</v>
      </c>
      <c r="Q89" s="75">
        <f t="shared" si="14"/>
        <v>0</v>
      </c>
      <c r="R89" s="230">
        <f t="shared" si="11"/>
        <v>78.183351953013172</v>
      </c>
      <c r="S89" s="199">
        <f t="shared" si="12"/>
        <v>5.1833519530131724</v>
      </c>
      <c r="T89" s="229"/>
    </row>
    <row r="90" spans="1:20" x14ac:dyDescent="0.25">
      <c r="A90" s="61">
        <f>'A) Base RI'!A91</f>
        <v>5535</v>
      </c>
      <c r="B90" s="73" t="str">
        <f>'A) Base RI'!B91</f>
        <v>Saint-Barthélemy</v>
      </c>
      <c r="C90" s="238">
        <v>312204.72723111126</v>
      </c>
      <c r="D90" s="239">
        <v>-27251.849682339584</v>
      </c>
      <c r="E90" s="240">
        <v>0</v>
      </c>
      <c r="F90" s="239">
        <v>0</v>
      </c>
      <c r="G90" s="239">
        <v>0</v>
      </c>
      <c r="H90" s="241">
        <f t="shared" si="15"/>
        <v>284952.87754877168</v>
      </c>
      <c r="I90" s="311">
        <v>20337.444935064934</v>
      </c>
      <c r="J90" s="135">
        <f>'B) D RI'!U91</f>
        <v>21652.779733333333</v>
      </c>
      <c r="K90" s="92">
        <f t="shared" si="13"/>
        <v>14.01124273273229</v>
      </c>
      <c r="L90" s="43">
        <f>'B) D RI'!S91</f>
        <v>75</v>
      </c>
      <c r="M90" s="43">
        <f t="shared" si="8"/>
        <v>60.988757267267708</v>
      </c>
      <c r="N90" s="199">
        <f>'J) Plafonnement effort'!G89+'J) Plafonnement effort'!H89-'K) Plafonnement aide'!I89</f>
        <v>14.753263733131126</v>
      </c>
      <c r="O90" s="199">
        <f t="shared" si="9"/>
        <v>75.742021000398836</v>
      </c>
      <c r="P90" s="59">
        <f t="shared" si="10"/>
        <v>0</v>
      </c>
      <c r="Q90" s="75">
        <f t="shared" si="14"/>
        <v>0</v>
      </c>
      <c r="R90" s="230">
        <f t="shared" si="11"/>
        <v>75.742021000398836</v>
      </c>
      <c r="S90" s="199">
        <f t="shared" si="12"/>
        <v>0.74202100039883589</v>
      </c>
      <c r="T90" s="229"/>
    </row>
    <row r="91" spans="1:20" x14ac:dyDescent="0.25">
      <c r="A91" s="61">
        <f>'A) Base RI'!A92</f>
        <v>5537</v>
      </c>
      <c r="B91" s="73" t="str">
        <f>'A) Base RI'!B92</f>
        <v>Villars-le-Terroir</v>
      </c>
      <c r="C91" s="238">
        <v>503598.13016487134</v>
      </c>
      <c r="D91" s="239">
        <v>151667.56991960923</v>
      </c>
      <c r="E91" s="240">
        <v>0</v>
      </c>
      <c r="F91" s="239">
        <v>0</v>
      </c>
      <c r="G91" s="239">
        <v>0</v>
      </c>
      <c r="H91" s="241">
        <f t="shared" si="15"/>
        <v>655265.70008448057</v>
      </c>
      <c r="I91" s="311">
        <v>28392.00020547945</v>
      </c>
      <c r="J91" s="135">
        <f>'B) D RI'!U92</f>
        <v>28181.728767123288</v>
      </c>
      <c r="K91" s="92">
        <f t="shared" si="13"/>
        <v>23.079236944990548</v>
      </c>
      <c r="L91" s="43">
        <f>'B) D RI'!S92</f>
        <v>73</v>
      </c>
      <c r="M91" s="43">
        <f t="shared" si="8"/>
        <v>49.920763055009452</v>
      </c>
      <c r="N91" s="199">
        <f>'J) Plafonnement effort'!G90+'J) Plafonnement effort'!H90-'K) Plafonnement aide'!I90</f>
        <v>17.890883669457402</v>
      </c>
      <c r="O91" s="199">
        <f t="shared" si="9"/>
        <v>67.811646724466854</v>
      </c>
      <c r="P91" s="59">
        <f t="shared" si="10"/>
        <v>0</v>
      </c>
      <c r="Q91" s="75">
        <f t="shared" si="14"/>
        <v>0</v>
      </c>
      <c r="R91" s="230">
        <f t="shared" si="11"/>
        <v>67.811646724466854</v>
      </c>
      <c r="S91" s="199">
        <f t="shared" si="12"/>
        <v>-5.1883532755331458</v>
      </c>
      <c r="T91" s="229"/>
    </row>
    <row r="92" spans="1:20" x14ac:dyDescent="0.25">
      <c r="A92" s="61">
        <f>'A) Base RI'!A93</f>
        <v>5539</v>
      </c>
      <c r="B92" s="73" t="str">
        <f>'A) Base RI'!B93</f>
        <v>Vuarrens</v>
      </c>
      <c r="C92" s="238">
        <v>435314.1855186664</v>
      </c>
      <c r="D92" s="239">
        <v>-80372.66872531391</v>
      </c>
      <c r="E92" s="240">
        <v>0</v>
      </c>
      <c r="F92" s="239">
        <v>0</v>
      </c>
      <c r="G92" s="239">
        <v>0</v>
      </c>
      <c r="H92" s="241">
        <f t="shared" si="15"/>
        <v>354941.51679335249</v>
      </c>
      <c r="I92" s="311">
        <v>22715.815066666666</v>
      </c>
      <c r="J92" s="135">
        <f>'B) D RI'!U93</f>
        <v>22756.172933333331</v>
      </c>
      <c r="K92" s="92">
        <f t="shared" si="13"/>
        <v>15.625304033848909</v>
      </c>
      <c r="L92" s="43">
        <f>'B) D RI'!S93</f>
        <v>75</v>
      </c>
      <c r="M92" s="43">
        <f t="shared" si="8"/>
        <v>59.374695966151094</v>
      </c>
      <c r="N92" s="199">
        <f>'J) Plafonnement effort'!G91+'J) Plafonnement effort'!H91-'K) Plafonnement aide'!I91</f>
        <v>9.4323901174066549</v>
      </c>
      <c r="O92" s="199">
        <f t="shared" si="9"/>
        <v>68.807086083557749</v>
      </c>
      <c r="P92" s="59">
        <f t="shared" si="10"/>
        <v>0</v>
      </c>
      <c r="Q92" s="75">
        <f t="shared" si="14"/>
        <v>0</v>
      </c>
      <c r="R92" s="230">
        <f t="shared" si="11"/>
        <v>68.807086083557749</v>
      </c>
      <c r="S92" s="199">
        <f t="shared" si="12"/>
        <v>-6.1929139164422509</v>
      </c>
      <c r="T92" s="229"/>
    </row>
    <row r="93" spans="1:20" x14ac:dyDescent="0.25">
      <c r="A93" s="61">
        <f>'A) Base RI'!A94</f>
        <v>5540</v>
      </c>
      <c r="B93" s="73" t="str">
        <f>'A) Base RI'!B94</f>
        <v>Montilliez</v>
      </c>
      <c r="C93" s="238">
        <v>796349.16690057679</v>
      </c>
      <c r="D93" s="239">
        <v>92843.766692241421</v>
      </c>
      <c r="E93" s="240">
        <v>0</v>
      </c>
      <c r="F93" s="239">
        <v>0</v>
      </c>
      <c r="G93" s="239">
        <v>0</v>
      </c>
      <c r="H93" s="241">
        <f t="shared" si="15"/>
        <v>889192.93359281821</v>
      </c>
      <c r="I93" s="311">
        <v>49229.090304054065</v>
      </c>
      <c r="J93" s="135">
        <f>'B) D RI'!U94</f>
        <v>47199.265101351346</v>
      </c>
      <c r="K93" s="92">
        <f>H93/I93</f>
        <v>18.062347447431755</v>
      </c>
      <c r="L93" s="43">
        <f>'B) D RI'!S94</f>
        <v>74</v>
      </c>
      <c r="M93" s="43">
        <f>L93-K93</f>
        <v>55.937652552568245</v>
      </c>
      <c r="N93" s="199">
        <f>'J) Plafonnement effort'!G92+'J) Plafonnement effort'!H92-'K) Plafonnement aide'!I92</f>
        <v>-6.7114459665350346</v>
      </c>
      <c r="O93" s="199">
        <f>M93+N93</f>
        <v>49.226206586033214</v>
      </c>
      <c r="P93" s="59">
        <f t="shared" si="10"/>
        <v>0</v>
      </c>
      <c r="Q93" s="75">
        <f>P93*J93</f>
        <v>0</v>
      </c>
      <c r="R93" s="230">
        <f>O93+P93</f>
        <v>49.226206586033214</v>
      </c>
      <c r="S93" s="199">
        <f>R93-L93</f>
        <v>-24.773793413966786</v>
      </c>
      <c r="T93" s="229"/>
    </row>
    <row r="94" spans="1:20" x14ac:dyDescent="0.25">
      <c r="A94" s="61">
        <f>'A) Base RI'!A95</f>
        <v>5541</v>
      </c>
      <c r="B94" s="73" t="str">
        <f>'A) Base RI'!B95</f>
        <v>Goumoëns</v>
      </c>
      <c r="C94" s="238">
        <v>466679.59753181739</v>
      </c>
      <c r="D94" s="239">
        <v>101047.00165087677</v>
      </c>
      <c r="E94" s="240">
        <v>0</v>
      </c>
      <c r="F94" s="239">
        <v>0</v>
      </c>
      <c r="G94" s="239">
        <v>0</v>
      </c>
      <c r="H94" s="241">
        <f t="shared" si="15"/>
        <v>567726.59918269422</v>
      </c>
      <c r="I94" s="311">
        <v>28419.250909090908</v>
      </c>
      <c r="J94" s="135">
        <f>'B) D RI'!U95</f>
        <v>35607.690389610398</v>
      </c>
      <c r="K94" s="92">
        <f>H94/I94</f>
        <v>19.976831936871591</v>
      </c>
      <c r="L94" s="43">
        <f>'B) D RI'!S95</f>
        <v>77</v>
      </c>
      <c r="M94" s="43">
        <f>L94-K94</f>
        <v>57.023168063128409</v>
      </c>
      <c r="N94" s="199">
        <f>'J) Plafonnement effort'!G93+'J) Plafonnement effort'!H93-'K) Plafonnement aide'!I93</f>
        <v>23.572001906401212</v>
      </c>
      <c r="O94" s="199">
        <f>M94+N94</f>
        <v>80.595169969529621</v>
      </c>
      <c r="P94" s="59">
        <f t="shared" si="10"/>
        <v>0</v>
      </c>
      <c r="Q94" s="75">
        <f>P94*J94</f>
        <v>0</v>
      </c>
      <c r="R94" s="230">
        <f>O94+P94</f>
        <v>80.595169969529621</v>
      </c>
      <c r="S94" s="199">
        <f>R94-L94</f>
        <v>3.5951699695296213</v>
      </c>
      <c r="T94" s="229"/>
    </row>
    <row r="95" spans="1:20" x14ac:dyDescent="0.25">
      <c r="A95" s="61">
        <f>'A) Base RI'!A96</f>
        <v>5551</v>
      </c>
      <c r="B95" s="73" t="str">
        <f>'A) Base RI'!B96</f>
        <v>Bonvillars</v>
      </c>
      <c r="C95" s="238">
        <v>366111.31039013912</v>
      </c>
      <c r="D95" s="239">
        <v>306538.13790887105</v>
      </c>
      <c r="E95" s="240">
        <v>0</v>
      </c>
      <c r="F95" s="239">
        <v>0</v>
      </c>
      <c r="G95" s="239">
        <v>0</v>
      </c>
      <c r="H95" s="241">
        <f t="shared" si="15"/>
        <v>672649.44829901017</v>
      </c>
      <c r="I95" s="311">
        <v>20657.866545454548</v>
      </c>
      <c r="J95" s="135">
        <f>'B) D RI'!U96</f>
        <v>15988.430935064936</v>
      </c>
      <c r="K95" s="92">
        <f t="shared" si="13"/>
        <v>32.561419003213402</v>
      </c>
      <c r="L95" s="43">
        <f>'B) D RI'!S96</f>
        <v>55</v>
      </c>
      <c r="M95" s="43">
        <f>L95-K95</f>
        <v>22.438580996786598</v>
      </c>
      <c r="N95" s="199">
        <f>'J) Plafonnement effort'!G94+'J) Plafonnement effort'!H94-'K) Plafonnement aide'!I94</f>
        <v>17.563091127288228</v>
      </c>
      <c r="O95" s="199">
        <f>M95+N95</f>
        <v>40.00167212407483</v>
      </c>
      <c r="P95" s="59">
        <f t="shared" si="10"/>
        <v>0</v>
      </c>
      <c r="Q95" s="75">
        <f>P95*J95</f>
        <v>0</v>
      </c>
      <c r="R95" s="230">
        <f>O95+P95</f>
        <v>40.00167212407483</v>
      </c>
      <c r="S95" s="199">
        <f>R95-L95</f>
        <v>-14.99832787592517</v>
      </c>
      <c r="T95" s="229"/>
    </row>
    <row r="96" spans="1:20" x14ac:dyDescent="0.25">
      <c r="A96" s="61">
        <f>'A) Base RI'!A97</f>
        <v>5552</v>
      </c>
      <c r="B96" s="73" t="str">
        <f>'A) Base RI'!B97</f>
        <v>Bullet</v>
      </c>
      <c r="C96" s="238">
        <v>296700.51547349268</v>
      </c>
      <c r="D96" s="239">
        <v>11925.643341490184</v>
      </c>
      <c r="E96" s="240">
        <v>0</v>
      </c>
      <c r="F96" s="239">
        <v>0</v>
      </c>
      <c r="G96" s="239">
        <v>0</v>
      </c>
      <c r="H96" s="241">
        <f t="shared" si="15"/>
        <v>308626.15881498286</v>
      </c>
      <c r="I96" s="311">
        <v>15344.039999999997</v>
      </c>
      <c r="J96" s="135">
        <f>'B) D RI'!U97</f>
        <v>15525.607571428574</v>
      </c>
      <c r="K96" s="92">
        <f t="shared" si="13"/>
        <v>20.113748322800443</v>
      </c>
      <c r="L96" s="43">
        <f>'B) D RI'!S97</f>
        <v>70</v>
      </c>
      <c r="M96" s="43">
        <f t="shared" si="8"/>
        <v>49.886251677199553</v>
      </c>
      <c r="N96" s="199">
        <f>'J) Plafonnement effort'!G95+'J) Plafonnement effort'!H95-'K) Plafonnement aide'!I95</f>
        <v>11.022545805709328</v>
      </c>
      <c r="O96" s="199">
        <f t="shared" si="9"/>
        <v>60.908797482908881</v>
      </c>
      <c r="P96" s="59">
        <f t="shared" si="10"/>
        <v>0</v>
      </c>
      <c r="Q96" s="75">
        <f t="shared" si="14"/>
        <v>0</v>
      </c>
      <c r="R96" s="230">
        <f t="shared" si="11"/>
        <v>60.908797482908881</v>
      </c>
      <c r="S96" s="199">
        <f t="shared" si="12"/>
        <v>-9.0912025170911193</v>
      </c>
      <c r="T96" s="229"/>
    </row>
    <row r="97" spans="1:20" x14ac:dyDescent="0.25">
      <c r="A97" s="61">
        <f>'A) Base RI'!A98</f>
        <v>5553</v>
      </c>
      <c r="B97" s="73" t="str">
        <f>'A) Base RI'!B98</f>
        <v>Champagne</v>
      </c>
      <c r="C97" s="238">
        <v>540809.75396835443</v>
      </c>
      <c r="D97" s="239">
        <v>384217.20410723332</v>
      </c>
      <c r="E97" s="240">
        <v>0</v>
      </c>
      <c r="F97" s="239">
        <v>0</v>
      </c>
      <c r="G97" s="239">
        <v>0</v>
      </c>
      <c r="H97" s="241">
        <f t="shared" si="15"/>
        <v>925026.95807558775</v>
      </c>
      <c r="I97" s="311">
        <v>34561.95904761905</v>
      </c>
      <c r="J97" s="135">
        <f>'B) D RI'!U98</f>
        <v>55334.370317460314</v>
      </c>
      <c r="K97" s="92">
        <f t="shared" si="13"/>
        <v>26.764309187482596</v>
      </c>
      <c r="L97" s="43">
        <f>'B) D RI'!S98</f>
        <v>63</v>
      </c>
      <c r="M97" s="43">
        <f t="shared" si="8"/>
        <v>36.235690812517404</v>
      </c>
      <c r="N97" s="199">
        <f>'J) Plafonnement effort'!G96+'J) Plafonnement effort'!H96-'K) Plafonnement aide'!I96</f>
        <v>30.902636601156679</v>
      </c>
      <c r="O97" s="199">
        <f t="shared" si="9"/>
        <v>67.138327413674091</v>
      </c>
      <c r="P97" s="59">
        <f t="shared" si="10"/>
        <v>0</v>
      </c>
      <c r="Q97" s="75">
        <f t="shared" si="14"/>
        <v>0</v>
      </c>
      <c r="R97" s="230">
        <f t="shared" si="11"/>
        <v>67.138327413674091</v>
      </c>
      <c r="S97" s="199">
        <f t="shared" si="12"/>
        <v>4.1383274136740908</v>
      </c>
      <c r="T97" s="229"/>
    </row>
    <row r="98" spans="1:20" x14ac:dyDescent="0.25">
      <c r="A98" s="61">
        <f>'A) Base RI'!A99</f>
        <v>5554</v>
      </c>
      <c r="B98" s="73" t="str">
        <f>'A) Base RI'!B99</f>
        <v>Concise</v>
      </c>
      <c r="C98" s="238">
        <v>467139.65047587198</v>
      </c>
      <c r="D98" s="239">
        <v>171108.40893106826</v>
      </c>
      <c r="E98" s="240">
        <v>0</v>
      </c>
      <c r="F98" s="239">
        <v>0</v>
      </c>
      <c r="G98" s="239">
        <v>0</v>
      </c>
      <c r="H98" s="241">
        <f t="shared" si="15"/>
        <v>638248.05940694024</v>
      </c>
      <c r="I98" s="311">
        <v>28927.786533333336</v>
      </c>
      <c r="J98" s="135">
        <f>'B) D RI'!U99</f>
        <v>29691.100933333331</v>
      </c>
      <c r="K98" s="92">
        <f t="shared" si="13"/>
        <v>22.063494511461855</v>
      </c>
      <c r="L98" s="43">
        <f>'B) D RI'!S99</f>
        <v>75</v>
      </c>
      <c r="M98" s="43">
        <f t="shared" si="8"/>
        <v>52.936505488538145</v>
      </c>
      <c r="N98" s="199">
        <f>'J) Plafonnement effort'!G97+'J) Plafonnement effort'!H97-'K) Plafonnement aide'!I97</f>
        <v>21.905170556120531</v>
      </c>
      <c r="O98" s="199">
        <f t="shared" si="9"/>
        <v>74.841676044658669</v>
      </c>
      <c r="P98" s="59">
        <f t="shared" si="10"/>
        <v>0</v>
      </c>
      <c r="Q98" s="75">
        <f t="shared" si="14"/>
        <v>0</v>
      </c>
      <c r="R98" s="230">
        <f t="shared" si="11"/>
        <v>74.841676044658669</v>
      </c>
      <c r="S98" s="199">
        <f t="shared" si="12"/>
        <v>-0.1583239553413307</v>
      </c>
      <c r="T98" s="229"/>
    </row>
    <row r="99" spans="1:20" x14ac:dyDescent="0.25">
      <c r="A99" s="61">
        <f>'A) Base RI'!A100</f>
        <v>5555</v>
      </c>
      <c r="B99" s="73" t="str">
        <f>'A) Base RI'!B100</f>
        <v>Corcelles-près-Concise</v>
      </c>
      <c r="C99" s="238">
        <v>175098.82305524792</v>
      </c>
      <c r="D99" s="239">
        <v>42994.928360722726</v>
      </c>
      <c r="E99" s="240">
        <v>0</v>
      </c>
      <c r="F99" s="239">
        <v>0</v>
      </c>
      <c r="G99" s="239">
        <v>0</v>
      </c>
      <c r="H99" s="241">
        <f t="shared" si="15"/>
        <v>218093.75141597065</v>
      </c>
      <c r="I99" s="311">
        <v>9553.9681690140824</v>
      </c>
      <c r="J99" s="135">
        <f>'B) D RI'!U100</f>
        <v>9762.6867605633779</v>
      </c>
      <c r="K99" s="92">
        <f t="shared" si="13"/>
        <v>22.827556838979582</v>
      </c>
      <c r="L99" s="43">
        <f>'B) D RI'!S100</f>
        <v>71</v>
      </c>
      <c r="M99" s="43">
        <f t="shared" si="8"/>
        <v>48.172443161020418</v>
      </c>
      <c r="N99" s="199">
        <f>'J) Plafonnement effort'!G98+'J) Plafonnement effort'!H98-'K) Plafonnement aide'!I98</f>
        <v>11.974983030282518</v>
      </c>
      <c r="O99" s="199">
        <f t="shared" si="9"/>
        <v>60.147426191302934</v>
      </c>
      <c r="P99" s="59">
        <f t="shared" si="10"/>
        <v>0</v>
      </c>
      <c r="Q99" s="75">
        <f t="shared" si="14"/>
        <v>0</v>
      </c>
      <c r="R99" s="230">
        <f t="shared" si="11"/>
        <v>60.147426191302934</v>
      </c>
      <c r="S99" s="199">
        <f t="shared" si="12"/>
        <v>-10.852573808697066</v>
      </c>
      <c r="T99" s="229"/>
    </row>
    <row r="100" spans="1:20" x14ac:dyDescent="0.25">
      <c r="A100" s="61">
        <f>'A) Base RI'!A101</f>
        <v>5556</v>
      </c>
      <c r="B100" s="73" t="str">
        <f>'A) Base RI'!B101</f>
        <v>Fiez</v>
      </c>
      <c r="C100" s="238">
        <v>191880.19847374287</v>
      </c>
      <c r="D100" s="239">
        <v>25422.852682410361</v>
      </c>
      <c r="E100" s="240">
        <v>0</v>
      </c>
      <c r="F100" s="239">
        <v>0</v>
      </c>
      <c r="G100" s="239">
        <v>0</v>
      </c>
      <c r="H100" s="241">
        <f t="shared" si="15"/>
        <v>217303.05115615323</v>
      </c>
      <c r="I100" s="311">
        <v>10930.395096618358</v>
      </c>
      <c r="J100" s="135">
        <f>'B) D RI'!U101</f>
        <v>10799.932053140095</v>
      </c>
      <c r="K100" s="92">
        <f t="shared" si="13"/>
        <v>19.880621810586003</v>
      </c>
      <c r="L100" s="43">
        <f>'B) D RI'!S101</f>
        <v>69</v>
      </c>
      <c r="M100" s="43">
        <f t="shared" si="8"/>
        <v>49.119378189413993</v>
      </c>
      <c r="N100" s="199">
        <f>'J) Plafonnement effort'!G99+'J) Plafonnement effort'!H99-'K) Plafonnement aide'!I99</f>
        <v>12.548434166106023</v>
      </c>
      <c r="O100" s="199">
        <f t="shared" si="9"/>
        <v>61.667812355520013</v>
      </c>
      <c r="P100" s="59">
        <f t="shared" si="10"/>
        <v>0</v>
      </c>
      <c r="Q100" s="75">
        <f t="shared" si="14"/>
        <v>0</v>
      </c>
      <c r="R100" s="230">
        <f t="shared" si="11"/>
        <v>61.667812355520013</v>
      </c>
      <c r="S100" s="199">
        <f t="shared" si="12"/>
        <v>-7.3321876444799869</v>
      </c>
      <c r="T100" s="229"/>
    </row>
    <row r="101" spans="1:20" x14ac:dyDescent="0.25">
      <c r="A101" s="61">
        <f>'A) Base RI'!A102</f>
        <v>5557</v>
      </c>
      <c r="B101" s="73" t="str">
        <f>'A) Base RI'!B102</f>
        <v>Fontaines-sur-Grandson</v>
      </c>
      <c r="C101" s="238">
        <v>99077.879519971611</v>
      </c>
      <c r="D101" s="239">
        <v>1148.7324963019782</v>
      </c>
      <c r="E101" s="240">
        <v>0</v>
      </c>
      <c r="F101" s="239">
        <v>0</v>
      </c>
      <c r="G101" s="239">
        <v>0</v>
      </c>
      <c r="H101" s="241">
        <f t="shared" si="15"/>
        <v>100226.61201627359</v>
      </c>
      <c r="I101" s="311">
        <v>4594.8315942028985</v>
      </c>
      <c r="J101" s="135">
        <f>'B) D RI'!U102</f>
        <v>4200.6523188405799</v>
      </c>
      <c r="K101" s="92">
        <f t="shared" si="13"/>
        <v>21.812902162230536</v>
      </c>
      <c r="L101" s="43">
        <f>'B) D RI'!S102</f>
        <v>69</v>
      </c>
      <c r="M101" s="43">
        <f t="shared" si="8"/>
        <v>47.187097837769464</v>
      </c>
      <c r="N101" s="199">
        <f>'J) Plafonnement effort'!G100+'J) Plafonnement effort'!H100-'K) Plafonnement aide'!I100</f>
        <v>5.7625665241473421</v>
      </c>
      <c r="O101" s="199">
        <f t="shared" si="9"/>
        <v>52.949664361916803</v>
      </c>
      <c r="P101" s="59">
        <f t="shared" si="10"/>
        <v>0</v>
      </c>
      <c r="Q101" s="75">
        <f t="shared" si="14"/>
        <v>0</v>
      </c>
      <c r="R101" s="230">
        <f t="shared" si="11"/>
        <v>52.949664361916803</v>
      </c>
      <c r="S101" s="199">
        <f t="shared" si="12"/>
        <v>-16.050335638083197</v>
      </c>
      <c r="T101" s="229"/>
    </row>
    <row r="102" spans="1:20" x14ac:dyDescent="0.25">
      <c r="A102" s="61">
        <f>'A) Base RI'!A103</f>
        <v>5559</v>
      </c>
      <c r="B102" s="73" t="str">
        <f>'A) Base RI'!B103</f>
        <v>Giez</v>
      </c>
      <c r="C102" s="238">
        <v>337113.60599411698</v>
      </c>
      <c r="D102" s="239">
        <v>196837.91399803181</v>
      </c>
      <c r="E102" s="240">
        <v>0</v>
      </c>
      <c r="F102" s="239">
        <v>0</v>
      </c>
      <c r="G102" s="239">
        <v>0</v>
      </c>
      <c r="H102" s="241">
        <f t="shared" si="15"/>
        <v>533951.51999214874</v>
      </c>
      <c r="I102" s="311">
        <v>14748.809242424242</v>
      </c>
      <c r="J102" s="135">
        <f>'B) D RI'!U103</f>
        <v>17998.483636363639</v>
      </c>
      <c r="K102" s="92">
        <f t="shared" si="13"/>
        <v>36.203025696221147</v>
      </c>
      <c r="L102" s="43">
        <f>'B) D RI'!S103</f>
        <v>66</v>
      </c>
      <c r="M102" s="43">
        <f t="shared" si="8"/>
        <v>29.796974303778853</v>
      </c>
      <c r="N102" s="199">
        <f>'J) Plafonnement effort'!G101+'J) Plafonnement effort'!H101-'K) Plafonnement aide'!I101</f>
        <v>31.244315237747543</v>
      </c>
      <c r="O102" s="199">
        <f t="shared" si="9"/>
        <v>61.041289541526396</v>
      </c>
      <c r="P102" s="59">
        <f t="shared" si="10"/>
        <v>0</v>
      </c>
      <c r="Q102" s="75">
        <f t="shared" si="14"/>
        <v>0</v>
      </c>
      <c r="R102" s="230">
        <f t="shared" si="11"/>
        <v>61.041289541526396</v>
      </c>
      <c r="S102" s="199">
        <f t="shared" si="12"/>
        <v>-4.9587104584736039</v>
      </c>
      <c r="T102" s="229"/>
    </row>
    <row r="103" spans="1:20" x14ac:dyDescent="0.25">
      <c r="A103" s="61">
        <f>'A) Base RI'!A104</f>
        <v>5560</v>
      </c>
      <c r="B103" s="73" t="str">
        <f>'A) Base RI'!B104</f>
        <v>Grandevent</v>
      </c>
      <c r="C103" s="238">
        <v>129034.61650979676</v>
      </c>
      <c r="D103" s="239">
        <v>24126.379578171051</v>
      </c>
      <c r="E103" s="240">
        <v>0</v>
      </c>
      <c r="F103" s="239">
        <v>0</v>
      </c>
      <c r="G103" s="239">
        <v>0</v>
      </c>
      <c r="H103" s="241">
        <f t="shared" si="15"/>
        <v>153160.99608796783</v>
      </c>
      <c r="I103" s="311">
        <v>6117.1622727272734</v>
      </c>
      <c r="J103" s="135">
        <f>'B) D RI'!U104</f>
        <v>6396.1444117647052</v>
      </c>
      <c r="K103" s="92">
        <f t="shared" si="13"/>
        <v>25.037916154492102</v>
      </c>
      <c r="L103" s="43">
        <f>'B) D RI'!S104</f>
        <v>68</v>
      </c>
      <c r="M103" s="43">
        <f t="shared" si="8"/>
        <v>42.962083845507898</v>
      </c>
      <c r="N103" s="199">
        <f>'J) Plafonnement effort'!G102+'J) Plafonnement effort'!H102-'K) Plafonnement aide'!I102</f>
        <v>19.000283540829081</v>
      </c>
      <c r="O103" s="199">
        <f t="shared" si="9"/>
        <v>61.962367386336979</v>
      </c>
      <c r="P103" s="59">
        <f t="shared" si="10"/>
        <v>0</v>
      </c>
      <c r="Q103" s="75">
        <f t="shared" si="14"/>
        <v>0</v>
      </c>
      <c r="R103" s="230">
        <f t="shared" si="11"/>
        <v>61.962367386336979</v>
      </c>
      <c r="S103" s="199">
        <f t="shared" si="12"/>
        <v>-6.0376326136630212</v>
      </c>
      <c r="T103" s="229"/>
    </row>
    <row r="104" spans="1:20" x14ac:dyDescent="0.25">
      <c r="A104" s="61">
        <f>'A) Base RI'!A105</f>
        <v>5561</v>
      </c>
      <c r="B104" s="73" t="str">
        <f>'A) Base RI'!B105</f>
        <v>Grandson</v>
      </c>
      <c r="C104" s="238">
        <v>1825046.9271756124</v>
      </c>
      <c r="D104" s="239">
        <v>435572.94893185608</v>
      </c>
      <c r="E104" s="240">
        <v>0</v>
      </c>
      <c r="F104" s="239">
        <v>0</v>
      </c>
      <c r="G104" s="239">
        <v>0</v>
      </c>
      <c r="H104" s="241">
        <f t="shared" si="15"/>
        <v>2260619.8761074683</v>
      </c>
      <c r="I104" s="311">
        <v>108535.21144927538</v>
      </c>
      <c r="J104" s="135">
        <f>'B) D RI'!U105</f>
        <v>106507.86840579711</v>
      </c>
      <c r="K104" s="92">
        <f t="shared" si="13"/>
        <v>20.828446786266994</v>
      </c>
      <c r="L104" s="43">
        <f>'B) D RI'!S105</f>
        <v>69</v>
      </c>
      <c r="M104" s="43">
        <f t="shared" si="8"/>
        <v>48.171553213733006</v>
      </c>
      <c r="N104" s="199">
        <f>'J) Plafonnement effort'!G103+'J) Plafonnement effort'!H103-'K) Plafonnement aide'!I103</f>
        <v>14.752440799040865</v>
      </c>
      <c r="O104" s="199">
        <f t="shared" si="9"/>
        <v>62.923994012773875</v>
      </c>
      <c r="P104" s="59">
        <f t="shared" si="10"/>
        <v>0</v>
      </c>
      <c r="Q104" s="75">
        <f t="shared" si="14"/>
        <v>0</v>
      </c>
      <c r="R104" s="230">
        <f t="shared" si="11"/>
        <v>62.923994012773875</v>
      </c>
      <c r="S104" s="199">
        <f t="shared" si="12"/>
        <v>-6.0760059872261252</v>
      </c>
      <c r="T104" s="229"/>
    </row>
    <row r="105" spans="1:20" x14ac:dyDescent="0.25">
      <c r="A105" s="61">
        <f>'A) Base RI'!A106</f>
        <v>5562</v>
      </c>
      <c r="B105" s="73" t="str">
        <f>'A) Base RI'!B106</f>
        <v>Mauborget</v>
      </c>
      <c r="C105" s="238">
        <v>73484.138722006988</v>
      </c>
      <c r="D105" s="239">
        <v>22922.669110681076</v>
      </c>
      <c r="E105" s="240">
        <v>0</v>
      </c>
      <c r="F105" s="239">
        <v>0</v>
      </c>
      <c r="G105" s="239">
        <v>0</v>
      </c>
      <c r="H105" s="241">
        <f t="shared" si="15"/>
        <v>96406.807832688064</v>
      </c>
      <c r="I105" s="311">
        <v>3378.0009047619046</v>
      </c>
      <c r="J105" s="135">
        <f>'B) D RI'!U106</f>
        <v>3916.9319285714282</v>
      </c>
      <c r="K105" s="92">
        <f t="shared" si="13"/>
        <v>28.539603910935959</v>
      </c>
      <c r="L105" s="43">
        <f>'B) D RI'!S106</f>
        <v>70</v>
      </c>
      <c r="M105" s="43">
        <f t="shared" si="8"/>
        <v>41.460396089064041</v>
      </c>
      <c r="N105" s="199">
        <f>'J) Plafonnement effort'!G104+'J) Plafonnement effort'!H104-'K) Plafonnement aide'!I104</f>
        <v>21.039242648129274</v>
      </c>
      <c r="O105" s="199">
        <f t="shared" si="9"/>
        <v>62.499638737193315</v>
      </c>
      <c r="P105" s="59">
        <f t="shared" si="10"/>
        <v>0</v>
      </c>
      <c r="Q105" s="75">
        <f t="shared" si="14"/>
        <v>0</v>
      </c>
      <c r="R105" s="230">
        <f t="shared" si="11"/>
        <v>62.499638737193315</v>
      </c>
      <c r="S105" s="199">
        <f t="shared" si="12"/>
        <v>-7.5003612628066847</v>
      </c>
      <c r="T105" s="229"/>
    </row>
    <row r="106" spans="1:20" x14ac:dyDescent="0.25">
      <c r="A106" s="61">
        <f>'A) Base RI'!A107</f>
        <v>5563</v>
      </c>
      <c r="B106" s="73" t="str">
        <f>'A) Base RI'!B107</f>
        <v>Mutrux</v>
      </c>
      <c r="C106" s="238">
        <v>59765.888286436886</v>
      </c>
      <c r="D106" s="239">
        <v>-15050.419673971497</v>
      </c>
      <c r="E106" s="240">
        <v>0</v>
      </c>
      <c r="F106" s="239">
        <v>0</v>
      </c>
      <c r="G106" s="239">
        <v>0</v>
      </c>
      <c r="H106" s="241">
        <f t="shared" si="15"/>
        <v>44715.468612465389</v>
      </c>
      <c r="I106" s="311">
        <v>3733.6552866242037</v>
      </c>
      <c r="J106" s="135">
        <f>'B) D RI'!U107</f>
        <v>4102.2142675159239</v>
      </c>
      <c r="K106" s="92">
        <f t="shared" si="13"/>
        <v>11.97632485587469</v>
      </c>
      <c r="L106" s="43">
        <f>'B) D RI'!S107</f>
        <v>78.5</v>
      </c>
      <c r="M106" s="43">
        <f t="shared" si="8"/>
        <v>66.523675144125306</v>
      </c>
      <c r="N106" s="199">
        <f>'J) Plafonnement effort'!G105+'J) Plafonnement effort'!H105-'K) Plafonnement aide'!I105</f>
        <v>10.570625114308019</v>
      </c>
      <c r="O106" s="199">
        <f t="shared" si="9"/>
        <v>77.094300258433321</v>
      </c>
      <c r="P106" s="59">
        <f t="shared" si="10"/>
        <v>0</v>
      </c>
      <c r="Q106" s="75">
        <f t="shared" si="14"/>
        <v>0</v>
      </c>
      <c r="R106" s="230">
        <f t="shared" si="11"/>
        <v>77.094300258433321</v>
      </c>
      <c r="S106" s="199">
        <f t="shared" si="12"/>
        <v>-1.4056997415666785</v>
      </c>
      <c r="T106" s="229"/>
    </row>
    <row r="107" spans="1:20" x14ac:dyDescent="0.25">
      <c r="A107" s="61">
        <f>'A) Base RI'!A108</f>
        <v>5564</v>
      </c>
      <c r="B107" s="73" t="str">
        <f>'A) Base RI'!B108</f>
        <v>Novalles</v>
      </c>
      <c r="C107" s="238">
        <v>40935.551425983838</v>
      </c>
      <c r="D107" s="239">
        <v>-13817.100123669865</v>
      </c>
      <c r="E107" s="240">
        <v>0</v>
      </c>
      <c r="F107" s="239">
        <v>0</v>
      </c>
      <c r="G107" s="239">
        <v>0</v>
      </c>
      <c r="H107" s="241">
        <f t="shared" si="15"/>
        <v>27118.451302313973</v>
      </c>
      <c r="I107" s="311">
        <v>2399.5770723684213</v>
      </c>
      <c r="J107" s="135">
        <f>'B) D RI'!U108</f>
        <v>2120.1975328947365</v>
      </c>
      <c r="K107" s="92">
        <f t="shared" si="13"/>
        <v>11.301346230795422</v>
      </c>
      <c r="L107" s="43">
        <f>'B) D RI'!S108</f>
        <v>76</v>
      </c>
      <c r="M107" s="43">
        <f t="shared" si="8"/>
        <v>64.698653769204583</v>
      </c>
      <c r="N107" s="199">
        <f>'J) Plafonnement effort'!G106+'J) Plafonnement effort'!H106-'K) Plafonnement aide'!I106</f>
        <v>-0.27725677264812454</v>
      </c>
      <c r="O107" s="199">
        <f t="shared" si="9"/>
        <v>64.421396996556453</v>
      </c>
      <c r="P107" s="59">
        <f t="shared" si="10"/>
        <v>0</v>
      </c>
      <c r="Q107" s="75">
        <f t="shared" si="14"/>
        <v>0</v>
      </c>
      <c r="R107" s="230">
        <f t="shared" si="11"/>
        <v>64.421396996556453</v>
      </c>
      <c r="S107" s="199">
        <f t="shared" si="12"/>
        <v>-11.578603003443547</v>
      </c>
      <c r="T107" s="229"/>
    </row>
    <row r="108" spans="1:20" x14ac:dyDescent="0.25">
      <c r="A108" s="61">
        <f>'A) Base RI'!A109</f>
        <v>5565</v>
      </c>
      <c r="B108" s="73" t="str">
        <f>'A) Base RI'!B109</f>
        <v>Onnens</v>
      </c>
      <c r="C108" s="238">
        <v>543749.90253515379</v>
      </c>
      <c r="D108" s="239">
        <v>216273.47188917897</v>
      </c>
      <c r="E108" s="240">
        <v>0</v>
      </c>
      <c r="F108" s="239">
        <v>0</v>
      </c>
      <c r="G108" s="239">
        <v>0</v>
      </c>
      <c r="H108" s="241">
        <f t="shared" si="15"/>
        <v>760023.37442433275</v>
      </c>
      <c r="I108" s="311">
        <v>18028.040615384612</v>
      </c>
      <c r="J108" s="135">
        <f>'B) D RI'!U109</f>
        <v>22453.434769230771</v>
      </c>
      <c r="K108" s="92">
        <f t="shared" si="13"/>
        <v>42.157846803149013</v>
      </c>
      <c r="L108" s="43">
        <f>'B) D RI'!S109</f>
        <v>65</v>
      </c>
      <c r="M108" s="43">
        <f t="shared" si="8"/>
        <v>22.842153196850987</v>
      </c>
      <c r="N108" s="199">
        <f>'J) Plafonnement effort'!G107+'J) Plafonnement effort'!H107-'K) Plafonnement aide'!I107</f>
        <v>32.138701502736261</v>
      </c>
      <c r="O108" s="199">
        <f t="shared" si="9"/>
        <v>54.980854699587248</v>
      </c>
      <c r="P108" s="59">
        <f t="shared" si="10"/>
        <v>0</v>
      </c>
      <c r="Q108" s="75">
        <f t="shared" si="14"/>
        <v>0</v>
      </c>
      <c r="R108" s="230">
        <f t="shared" si="11"/>
        <v>54.980854699587248</v>
      </c>
      <c r="S108" s="199">
        <f t="shared" si="12"/>
        <v>-10.019145300412752</v>
      </c>
      <c r="T108" s="229"/>
    </row>
    <row r="109" spans="1:20" x14ac:dyDescent="0.25">
      <c r="A109" s="61">
        <f>'A) Base RI'!A110</f>
        <v>5566</v>
      </c>
      <c r="B109" s="73" t="str">
        <f>'A) Base RI'!B110</f>
        <v>Provence</v>
      </c>
      <c r="C109" s="238">
        <v>116560.37934250447</v>
      </c>
      <c r="D109" s="239">
        <v>-155492.08644200402</v>
      </c>
      <c r="E109" s="240">
        <v>687.31450690697056</v>
      </c>
      <c r="F109" s="239">
        <v>0</v>
      </c>
      <c r="G109" s="239">
        <v>0</v>
      </c>
      <c r="H109" s="241">
        <f t="shared" si="15"/>
        <v>-38244.392592592572</v>
      </c>
      <c r="I109" s="311">
        <v>6953.5259259259255</v>
      </c>
      <c r="J109" s="135">
        <f>'B) D RI'!U110</f>
        <v>7814.1319753086409</v>
      </c>
      <c r="K109" s="92">
        <f t="shared" si="13"/>
        <v>-5.4999999999999973</v>
      </c>
      <c r="L109" s="43">
        <f>'B) D RI'!S110</f>
        <v>81</v>
      </c>
      <c r="M109" s="43">
        <f t="shared" si="8"/>
        <v>86.5</v>
      </c>
      <c r="N109" s="199">
        <f>'J) Plafonnement effort'!G108+'J) Plafonnement effort'!H108-'K) Plafonnement aide'!I108</f>
        <v>-24.503789431993084</v>
      </c>
      <c r="O109" s="199">
        <f t="shared" si="9"/>
        <v>61.996210568006916</v>
      </c>
      <c r="P109" s="59">
        <f t="shared" si="10"/>
        <v>0</v>
      </c>
      <c r="Q109" s="75">
        <f t="shared" si="14"/>
        <v>0</v>
      </c>
      <c r="R109" s="230">
        <f t="shared" si="11"/>
        <v>61.996210568006916</v>
      </c>
      <c r="S109" s="199">
        <f t="shared" si="12"/>
        <v>-19.003789431993084</v>
      </c>
      <c r="T109" s="229"/>
    </row>
    <row r="110" spans="1:20" x14ac:dyDescent="0.25">
      <c r="A110" s="61">
        <f>'A) Base RI'!A111</f>
        <v>5568</v>
      </c>
      <c r="B110" s="73" t="str">
        <f>'A) Base RI'!B111</f>
        <v>Sainte-Croix</v>
      </c>
      <c r="C110" s="238">
        <v>2328276.5643309425</v>
      </c>
      <c r="D110" s="239">
        <v>-2094181.6619155989</v>
      </c>
      <c r="E110" s="240">
        <v>0</v>
      </c>
      <c r="F110" s="239">
        <v>0</v>
      </c>
      <c r="G110" s="239">
        <v>0</v>
      </c>
      <c r="H110" s="241">
        <f t="shared" si="15"/>
        <v>234094.90241534356</v>
      </c>
      <c r="I110" s="311">
        <v>95577.709714285724</v>
      </c>
      <c r="J110" s="135">
        <f>'B) D RI'!U111</f>
        <v>93435.029714285716</v>
      </c>
      <c r="K110" s="92">
        <f t="shared" si="13"/>
        <v>2.4492625227695122</v>
      </c>
      <c r="L110" s="43">
        <f>'B) D RI'!S111</f>
        <v>70</v>
      </c>
      <c r="M110" s="43">
        <f t="shared" si="8"/>
        <v>67.550737477230484</v>
      </c>
      <c r="N110" s="199">
        <f>'J) Plafonnement effort'!G109+'J) Plafonnement effort'!H109-'K) Plafonnement aide'!I109</f>
        <v>-11.062667829895791</v>
      </c>
      <c r="O110" s="199">
        <f t="shared" si="9"/>
        <v>56.488069647334697</v>
      </c>
      <c r="P110" s="59">
        <f t="shared" si="10"/>
        <v>0</v>
      </c>
      <c r="Q110" s="75">
        <f t="shared" si="14"/>
        <v>0</v>
      </c>
      <c r="R110" s="230">
        <f t="shared" si="11"/>
        <v>56.488069647334697</v>
      </c>
      <c r="S110" s="199">
        <f t="shared" si="12"/>
        <v>-13.511930352665303</v>
      </c>
      <c r="T110" s="229"/>
    </row>
    <row r="111" spans="1:20" x14ac:dyDescent="0.25">
      <c r="A111" s="61">
        <f>'A) Base RI'!A112</f>
        <v>5571</v>
      </c>
      <c r="B111" s="73" t="str">
        <f>'A) Base RI'!B112</f>
        <v>Tévenon</v>
      </c>
      <c r="C111" s="238">
        <v>341580.69210292376</v>
      </c>
      <c r="D111" s="239">
        <v>-1281.0156230243156</v>
      </c>
      <c r="E111" s="240">
        <v>0</v>
      </c>
      <c r="F111" s="239">
        <v>0</v>
      </c>
      <c r="G111" s="239">
        <v>0</v>
      </c>
      <c r="H111" s="241">
        <f t="shared" si="15"/>
        <v>340299.67647989944</v>
      </c>
      <c r="I111" s="311">
        <v>19746.460639269408</v>
      </c>
      <c r="J111" s="135">
        <f>'B) D RI'!U112</f>
        <v>20766.182465753427</v>
      </c>
      <c r="K111" s="92">
        <f t="shared" si="13"/>
        <v>17.233451740873097</v>
      </c>
      <c r="L111" s="43">
        <f>'B) D RI'!S112</f>
        <v>73</v>
      </c>
      <c r="M111" s="43">
        <f t="shared" si="8"/>
        <v>55.766548259126907</v>
      </c>
      <c r="N111" s="199">
        <f>'J) Plafonnement effort'!G110+'J) Plafonnement effort'!H110-'K) Plafonnement aide'!I110</f>
        <v>14.367253601161686</v>
      </c>
      <c r="O111" s="199">
        <f t="shared" si="9"/>
        <v>70.1338018602886</v>
      </c>
      <c r="P111" s="59">
        <f t="shared" si="10"/>
        <v>0</v>
      </c>
      <c r="Q111" s="75">
        <f t="shared" si="14"/>
        <v>0</v>
      </c>
      <c r="R111" s="230">
        <f t="shared" si="11"/>
        <v>70.1338018602886</v>
      </c>
      <c r="S111" s="199">
        <f t="shared" si="12"/>
        <v>-2.8661981397114005</v>
      </c>
      <c r="T111" s="229"/>
    </row>
    <row r="112" spans="1:20" x14ac:dyDescent="0.25">
      <c r="A112" s="61">
        <f>'A) Base RI'!A113</f>
        <v>5581</v>
      </c>
      <c r="B112" s="73" t="str">
        <f>'A) Base RI'!B113</f>
        <v>Belmont-sur-Lausanne</v>
      </c>
      <c r="C112" s="238">
        <v>3001109.1865774021</v>
      </c>
      <c r="D112" s="239">
        <v>2249611</v>
      </c>
      <c r="E112" s="240">
        <v>0</v>
      </c>
      <c r="F112" s="239">
        <v>0</v>
      </c>
      <c r="G112" s="239">
        <v>0</v>
      </c>
      <c r="H112" s="241">
        <f t="shared" si="15"/>
        <v>5250720.1865774021</v>
      </c>
      <c r="I112" s="311">
        <v>180220.53318944844</v>
      </c>
      <c r="J112" s="135">
        <f>'B) D RI'!U113</f>
        <v>173034.35179856114</v>
      </c>
      <c r="K112" s="92">
        <f t="shared" si="13"/>
        <v>29.13497199044366</v>
      </c>
      <c r="L112" s="43">
        <f>'B) D RI'!S113</f>
        <v>69.5</v>
      </c>
      <c r="M112" s="43">
        <f t="shared" si="8"/>
        <v>40.36502800955634</v>
      </c>
      <c r="N112" s="199">
        <f>'J) Plafonnement effort'!G111+'J) Plafonnement effort'!H111-'K) Plafonnement aide'!I111</f>
        <v>25.294586657253681</v>
      </c>
      <c r="O112" s="199">
        <f t="shared" si="9"/>
        <v>65.659614666810029</v>
      </c>
      <c r="P112" s="59">
        <f t="shared" si="10"/>
        <v>0</v>
      </c>
      <c r="Q112" s="75">
        <f t="shared" si="14"/>
        <v>0</v>
      </c>
      <c r="R112" s="230">
        <f t="shared" si="11"/>
        <v>65.659614666810029</v>
      </c>
      <c r="S112" s="199">
        <f t="shared" si="12"/>
        <v>-3.8403853331899711</v>
      </c>
      <c r="T112" s="229"/>
    </row>
    <row r="113" spans="1:20" x14ac:dyDescent="0.25">
      <c r="A113" s="61">
        <f>'A) Base RI'!A114</f>
        <v>5582</v>
      </c>
      <c r="B113" s="73" t="str">
        <f>'A) Base RI'!B114</f>
        <v>Cheseaux-sur-Lausanne</v>
      </c>
      <c r="C113" s="238">
        <v>2291983.3290125746</v>
      </c>
      <c r="D113" s="239">
        <v>592846.06382330181</v>
      </c>
      <c r="E113" s="240">
        <v>0</v>
      </c>
      <c r="F113" s="239">
        <v>0</v>
      </c>
      <c r="G113" s="239">
        <v>0</v>
      </c>
      <c r="H113" s="241">
        <f t="shared" si="15"/>
        <v>2884829.3928358764</v>
      </c>
      <c r="I113" s="311">
        <v>145388.39302013422</v>
      </c>
      <c r="J113" s="135">
        <f>'B) D RI'!U114</f>
        <v>165346.44872483221</v>
      </c>
      <c r="K113" s="92">
        <f t="shared" si="13"/>
        <v>19.842226280308147</v>
      </c>
      <c r="L113" s="43">
        <f>'B) D RI'!S114</f>
        <v>74.5</v>
      </c>
      <c r="M113" s="43">
        <f t="shared" si="8"/>
        <v>54.657773719691853</v>
      </c>
      <c r="N113" s="199">
        <f>'J) Plafonnement effort'!G112+'J) Plafonnement effort'!H112-'K) Plafonnement aide'!I112</f>
        <v>23.335953264528204</v>
      </c>
      <c r="O113" s="199">
        <f t="shared" si="9"/>
        <v>77.993726984220061</v>
      </c>
      <c r="P113" s="59">
        <f t="shared" si="10"/>
        <v>0</v>
      </c>
      <c r="Q113" s="75">
        <f t="shared" si="14"/>
        <v>0</v>
      </c>
      <c r="R113" s="230">
        <f t="shared" si="11"/>
        <v>77.993726984220061</v>
      </c>
      <c r="S113" s="199">
        <f t="shared" si="12"/>
        <v>3.4937269842200607</v>
      </c>
      <c r="T113" s="229"/>
    </row>
    <row r="114" spans="1:20" x14ac:dyDescent="0.25">
      <c r="A114" s="61">
        <f>'A) Base RI'!A115</f>
        <v>5583</v>
      </c>
      <c r="B114" s="73" t="str">
        <f>'A) Base RI'!B115</f>
        <v>Crissier</v>
      </c>
      <c r="C114" s="238">
        <v>5225517.3376860553</v>
      </c>
      <c r="D114" s="239">
        <v>1883223.3831918323</v>
      </c>
      <c r="E114" s="240">
        <v>0</v>
      </c>
      <c r="F114" s="239">
        <v>0</v>
      </c>
      <c r="G114" s="239">
        <v>0</v>
      </c>
      <c r="H114" s="241">
        <f t="shared" si="15"/>
        <v>7108740.7208778877</v>
      </c>
      <c r="I114" s="311">
        <v>300610.54815384618</v>
      </c>
      <c r="J114" s="135">
        <f>'B) D RI'!U115</f>
        <v>323925.7196923077</v>
      </c>
      <c r="K114" s="92">
        <f t="shared" si="13"/>
        <v>23.647675587350925</v>
      </c>
      <c r="L114" s="43">
        <f>'B) D RI'!S115</f>
        <v>65</v>
      </c>
      <c r="M114" s="43">
        <f t="shared" si="8"/>
        <v>41.352324412649075</v>
      </c>
      <c r="N114" s="199">
        <f>'J) Plafonnement effort'!G113+'J) Plafonnement effort'!H113-'K) Plafonnement aide'!I113</f>
        <v>20.366144014416626</v>
      </c>
      <c r="O114" s="199">
        <f t="shared" si="9"/>
        <v>61.718468427065702</v>
      </c>
      <c r="P114" s="59">
        <f t="shared" si="10"/>
        <v>0</v>
      </c>
      <c r="Q114" s="75">
        <f t="shared" si="14"/>
        <v>0</v>
      </c>
      <c r="R114" s="230">
        <f t="shared" si="11"/>
        <v>61.718468427065702</v>
      </c>
      <c r="S114" s="199">
        <f t="shared" si="12"/>
        <v>-3.2815315729342984</v>
      </c>
      <c r="T114" s="229"/>
    </row>
    <row r="115" spans="1:20" x14ac:dyDescent="0.25">
      <c r="A115" s="61">
        <f>'A) Base RI'!A116</f>
        <v>5584</v>
      </c>
      <c r="B115" s="73" t="str">
        <f>'A) Base RI'!B116</f>
        <v>Epalinges</v>
      </c>
      <c r="C115" s="238">
        <v>7261352.5701147458</v>
      </c>
      <c r="D115" s="239">
        <v>4371545</v>
      </c>
      <c r="E115" s="240">
        <v>0</v>
      </c>
      <c r="F115" s="239">
        <v>0</v>
      </c>
      <c r="G115" s="239">
        <v>0</v>
      </c>
      <c r="H115" s="241">
        <f t="shared" si="15"/>
        <v>11632897.570114747</v>
      </c>
      <c r="I115" s="311">
        <v>461506.63590909087</v>
      </c>
      <c r="J115" s="135">
        <f>'B) D RI'!U116</f>
        <v>455923.60696969699</v>
      </c>
      <c r="K115" s="92">
        <f t="shared" si="13"/>
        <v>25.206349519113381</v>
      </c>
      <c r="L115" s="43">
        <f>'B) D RI'!S116</f>
        <v>66</v>
      </c>
      <c r="M115" s="43">
        <f t="shared" ref="M115:M169" si="16">L115-K115</f>
        <v>40.793650480886619</v>
      </c>
      <c r="N115" s="199">
        <f>'J) Plafonnement effort'!G114+'J) Plafonnement effort'!H114-'K) Plafonnement aide'!I114</f>
        <v>21.328536979970767</v>
      </c>
      <c r="O115" s="199">
        <f t="shared" ref="O115:O169" si="17">M115+N115</f>
        <v>62.12218746085739</v>
      </c>
      <c r="P115" s="59">
        <f t="shared" ref="P115:P169" si="18">IF(O115&gt;$P$5,$P$5-O115,0)</f>
        <v>0</v>
      </c>
      <c r="Q115" s="75">
        <f t="shared" si="14"/>
        <v>0</v>
      </c>
      <c r="R115" s="230">
        <f t="shared" ref="R115:R169" si="19">O115+P115</f>
        <v>62.12218746085739</v>
      </c>
      <c r="S115" s="199">
        <f t="shared" ref="S115:S169" si="20">R115-L115</f>
        <v>-3.8778125391426101</v>
      </c>
      <c r="T115" s="229"/>
    </row>
    <row r="116" spans="1:20" x14ac:dyDescent="0.25">
      <c r="A116" s="61">
        <f>'A) Base RI'!A117</f>
        <v>5585</v>
      </c>
      <c r="B116" s="73" t="str">
        <f>'A) Base RI'!B117</f>
        <v>Jouxtens-Mézery</v>
      </c>
      <c r="C116" s="238">
        <v>5341381.7698115595</v>
      </c>
      <c r="D116" s="239">
        <v>2247557</v>
      </c>
      <c r="E116" s="240">
        <v>0</v>
      </c>
      <c r="F116" s="239">
        <v>0</v>
      </c>
      <c r="G116" s="239">
        <v>0</v>
      </c>
      <c r="H116" s="241">
        <f t="shared" si="15"/>
        <v>7588938.7698115595</v>
      </c>
      <c r="I116" s="311">
        <v>191565.37515151518</v>
      </c>
      <c r="J116" s="135">
        <f>'B) D RI'!U117</f>
        <v>159177.88018867921</v>
      </c>
      <c r="K116" s="92">
        <f t="shared" si="13"/>
        <v>39.615398992689705</v>
      </c>
      <c r="L116" s="43">
        <f>'B) D RI'!S117</f>
        <v>53</v>
      </c>
      <c r="M116" s="43">
        <f t="shared" si="16"/>
        <v>13.384601007310295</v>
      </c>
      <c r="N116" s="199">
        <f>'J) Plafonnement effort'!G115+'J) Plafonnement effort'!H115-'K) Plafonnement aide'!I115</f>
        <v>42.004108143041002</v>
      </c>
      <c r="O116" s="199">
        <f t="shared" si="17"/>
        <v>55.388709150351296</v>
      </c>
      <c r="P116" s="59">
        <f t="shared" si="18"/>
        <v>0</v>
      </c>
      <c r="Q116" s="75">
        <f t="shared" si="14"/>
        <v>0</v>
      </c>
      <c r="R116" s="230">
        <f t="shared" si="19"/>
        <v>55.388709150351296</v>
      </c>
      <c r="S116" s="199">
        <f t="shared" si="20"/>
        <v>2.3887091503512963</v>
      </c>
      <c r="T116" s="229"/>
    </row>
    <row r="117" spans="1:20" x14ac:dyDescent="0.25">
      <c r="A117" s="61">
        <f>'A) Base RI'!A118</f>
        <v>5586</v>
      </c>
      <c r="B117" s="73" t="str">
        <f>'A) Base RI'!B118</f>
        <v>Lausanne</v>
      </c>
      <c r="C117" s="238">
        <v>99416022.05181849</v>
      </c>
      <c r="D117" s="239">
        <v>-22783921</v>
      </c>
      <c r="E117" s="240">
        <v>0</v>
      </c>
      <c r="F117" s="239">
        <v>0</v>
      </c>
      <c r="G117" s="239">
        <v>0</v>
      </c>
      <c r="H117" s="241">
        <f t="shared" si="15"/>
        <v>76632101.05181849</v>
      </c>
      <c r="I117" s="311">
        <v>6035853.3985654004</v>
      </c>
      <c r="J117" s="135">
        <f>'B) D RI'!U118</f>
        <v>5897479.10464135</v>
      </c>
      <c r="K117" s="92">
        <f t="shared" ref="K117:K170" si="21">H117/I117</f>
        <v>12.69615015335402</v>
      </c>
      <c r="L117" s="43">
        <f>'B) D RI'!S118</f>
        <v>79</v>
      </c>
      <c r="M117" s="43">
        <f t="shared" si="16"/>
        <v>66.303849846645974</v>
      </c>
      <c r="N117" s="199">
        <f>'J) Plafonnement effort'!G116+'J) Plafonnement effort'!H116-'K) Plafonnement aide'!I116</f>
        <v>5.8109107682255594</v>
      </c>
      <c r="O117" s="199">
        <f t="shared" si="17"/>
        <v>72.114760614871528</v>
      </c>
      <c r="P117" s="59">
        <f t="shared" si="18"/>
        <v>0</v>
      </c>
      <c r="Q117" s="75">
        <f t="shared" si="14"/>
        <v>0</v>
      </c>
      <c r="R117" s="230">
        <f t="shared" si="19"/>
        <v>72.114760614871528</v>
      </c>
      <c r="S117" s="199">
        <f t="shared" si="20"/>
        <v>-6.8852393851284717</v>
      </c>
      <c r="T117" s="229"/>
    </row>
    <row r="118" spans="1:20" x14ac:dyDescent="0.25">
      <c r="A118" s="61">
        <f>'A) Base RI'!A119</f>
        <v>5587</v>
      </c>
      <c r="B118" s="73" t="str">
        <f>'A) Base RI'!B119</f>
        <v>Le Mont-sur-Lausanne</v>
      </c>
      <c r="C118" s="238">
        <v>5876805.9812785406</v>
      </c>
      <c r="D118" s="239">
        <v>3480784</v>
      </c>
      <c r="E118" s="240">
        <v>0</v>
      </c>
      <c r="F118" s="239">
        <v>0</v>
      </c>
      <c r="G118" s="239">
        <v>0</v>
      </c>
      <c r="H118" s="241">
        <f t="shared" si="15"/>
        <v>9357589.9812785406</v>
      </c>
      <c r="I118" s="311">
        <v>349051.38502222218</v>
      </c>
      <c r="J118" s="135">
        <f>'B) D RI'!U119</f>
        <v>380449.00348888891</v>
      </c>
      <c r="K118" s="92">
        <f t="shared" si="21"/>
        <v>26.808631573493955</v>
      </c>
      <c r="L118" s="43">
        <f>'B) D RI'!S119</f>
        <v>75</v>
      </c>
      <c r="M118" s="43">
        <f t="shared" si="16"/>
        <v>48.191368426506045</v>
      </c>
      <c r="N118" s="199">
        <f>'J) Plafonnement effort'!G117+'J) Plafonnement effort'!H117-'K) Plafonnement aide'!I117</f>
        <v>23.207607448105083</v>
      </c>
      <c r="O118" s="199">
        <f t="shared" si="17"/>
        <v>71.398975874611125</v>
      </c>
      <c r="P118" s="59">
        <f t="shared" si="18"/>
        <v>0</v>
      </c>
      <c r="Q118" s="75">
        <f t="shared" ref="Q118:Q171" si="22">P118*J118</f>
        <v>0</v>
      </c>
      <c r="R118" s="230">
        <f t="shared" si="19"/>
        <v>71.398975874611125</v>
      </c>
      <c r="S118" s="199">
        <f t="shared" si="20"/>
        <v>-3.6010241253888751</v>
      </c>
      <c r="T118" s="229"/>
    </row>
    <row r="119" spans="1:20" x14ac:dyDescent="0.25">
      <c r="A119" s="61">
        <f>'A) Base RI'!A120</f>
        <v>5588</v>
      </c>
      <c r="B119" s="73" t="str">
        <f>'A) Base RI'!B120</f>
        <v>Paudex</v>
      </c>
      <c r="C119" s="238">
        <v>3710384.7486003996</v>
      </c>
      <c r="D119" s="239">
        <v>1948379</v>
      </c>
      <c r="E119" s="240">
        <v>0</v>
      </c>
      <c r="F119" s="239">
        <v>0</v>
      </c>
      <c r="G119" s="239">
        <v>0</v>
      </c>
      <c r="H119" s="241">
        <f t="shared" si="15"/>
        <v>5658763.7486003991</v>
      </c>
      <c r="I119" s="311">
        <v>152550.33605110337</v>
      </c>
      <c r="J119" s="135">
        <f>'B) D RI'!U120</f>
        <v>152789.79231126595</v>
      </c>
      <c r="K119" s="92">
        <f t="shared" si="21"/>
        <v>37.094403690495639</v>
      </c>
      <c r="L119" s="43">
        <f>'B) D RI'!S120</f>
        <v>61.5</v>
      </c>
      <c r="M119" s="43">
        <f t="shared" si="16"/>
        <v>24.405596309504361</v>
      </c>
      <c r="N119" s="199">
        <f>'J) Plafonnement effort'!G118+'J) Plafonnement effort'!H118-'K) Plafonnement aide'!I118</f>
        <v>40.778095820751062</v>
      </c>
      <c r="O119" s="199">
        <f t="shared" si="17"/>
        <v>65.183692130255423</v>
      </c>
      <c r="P119" s="59">
        <f t="shared" si="18"/>
        <v>0</v>
      </c>
      <c r="Q119" s="75">
        <f t="shared" si="22"/>
        <v>0</v>
      </c>
      <c r="R119" s="230">
        <f t="shared" si="19"/>
        <v>65.183692130255423</v>
      </c>
      <c r="S119" s="199">
        <f t="shared" si="20"/>
        <v>3.6836921302554231</v>
      </c>
      <c r="T119" s="229"/>
    </row>
    <row r="120" spans="1:20" x14ac:dyDescent="0.25">
      <c r="A120" s="61">
        <f>'A) Base RI'!A121</f>
        <v>5589</v>
      </c>
      <c r="B120" s="73" t="str">
        <f>'A) Base RI'!B121</f>
        <v>Prilly</v>
      </c>
      <c r="C120" s="238">
        <v>6437087.0362233967</v>
      </c>
      <c r="D120" s="239">
        <v>-1395394.9608718101</v>
      </c>
      <c r="E120" s="240">
        <v>0</v>
      </c>
      <c r="F120" s="239">
        <v>0</v>
      </c>
      <c r="G120" s="239">
        <v>0</v>
      </c>
      <c r="H120" s="241">
        <f t="shared" si="15"/>
        <v>5041692.0753515866</v>
      </c>
      <c r="I120" s="311">
        <v>409964.00829931977</v>
      </c>
      <c r="J120" s="135">
        <f>'B) D RI'!U121</f>
        <v>462414.97306122456</v>
      </c>
      <c r="K120" s="92">
        <f t="shared" si="21"/>
        <v>12.297889505633346</v>
      </c>
      <c r="L120" s="43">
        <f>'B) D RI'!S121</f>
        <v>73.5</v>
      </c>
      <c r="M120" s="43">
        <f t="shared" si="16"/>
        <v>61.20211049436665</v>
      </c>
      <c r="N120" s="199">
        <f>'J) Plafonnement effort'!G119+'J) Plafonnement effort'!H119-'K) Plafonnement aide'!I119</f>
        <v>14.523451951518624</v>
      </c>
      <c r="O120" s="199">
        <f t="shared" si="17"/>
        <v>75.725562445885274</v>
      </c>
      <c r="P120" s="59">
        <f t="shared" si="18"/>
        <v>0</v>
      </c>
      <c r="Q120" s="75">
        <f t="shared" si="22"/>
        <v>0</v>
      </c>
      <c r="R120" s="230">
        <f t="shared" si="19"/>
        <v>75.725562445885274</v>
      </c>
      <c r="S120" s="199">
        <f t="shared" si="20"/>
        <v>2.2255624458852736</v>
      </c>
      <c r="T120" s="229"/>
    </row>
    <row r="121" spans="1:20" x14ac:dyDescent="0.25">
      <c r="A121" s="61">
        <f>'A) Base RI'!A122</f>
        <v>5590</v>
      </c>
      <c r="B121" s="73" t="str">
        <f>'A) Base RI'!B122</f>
        <v>Pully</v>
      </c>
      <c r="C121" s="238">
        <v>33554370.48875377</v>
      </c>
      <c r="D121" s="239">
        <v>10320849</v>
      </c>
      <c r="E121" s="240">
        <v>0</v>
      </c>
      <c r="F121" s="239">
        <v>0</v>
      </c>
      <c r="G121" s="239">
        <v>0</v>
      </c>
      <c r="H121" s="241">
        <f t="shared" si="15"/>
        <v>43875219.488753766</v>
      </c>
      <c r="I121" s="311">
        <v>1412228.1927210884</v>
      </c>
      <c r="J121" s="135">
        <f>'B) D RI'!U122</f>
        <v>1366683.426371882</v>
      </c>
      <c r="K121" s="92">
        <f t="shared" si="21"/>
        <v>31.068080721582799</v>
      </c>
      <c r="L121" s="43">
        <f>'B) D RI'!S122</f>
        <v>63</v>
      </c>
      <c r="M121" s="43">
        <f t="shared" si="16"/>
        <v>31.931919278417201</v>
      </c>
      <c r="N121" s="199">
        <f>'J) Plafonnement effort'!G120+'J) Plafonnement effort'!H120-'K) Plafonnement aide'!I120</f>
        <v>30.269077899399409</v>
      </c>
      <c r="O121" s="199">
        <f t="shared" si="17"/>
        <v>62.20099717781661</v>
      </c>
      <c r="P121" s="59">
        <f t="shared" si="18"/>
        <v>0</v>
      </c>
      <c r="Q121" s="75">
        <f t="shared" si="22"/>
        <v>0</v>
      </c>
      <c r="R121" s="230">
        <f t="shared" si="19"/>
        <v>62.20099717781661</v>
      </c>
      <c r="S121" s="199">
        <f t="shared" si="20"/>
        <v>-0.79900282218338958</v>
      </c>
      <c r="T121" s="229"/>
    </row>
    <row r="122" spans="1:20" x14ac:dyDescent="0.25">
      <c r="A122" s="61">
        <f>'A) Base RI'!A123</f>
        <v>5591</v>
      </c>
      <c r="B122" s="73" t="str">
        <f>'A) Base RI'!B123</f>
        <v>Renens</v>
      </c>
      <c r="C122" s="238">
        <v>9128796.1812866498</v>
      </c>
      <c r="D122" s="239">
        <v>-15412893.400997672</v>
      </c>
      <c r="E122" s="240">
        <v>3494360.1524043791</v>
      </c>
      <c r="F122" s="239">
        <v>0</v>
      </c>
      <c r="G122" s="239">
        <v>0</v>
      </c>
      <c r="H122" s="241">
        <f t="shared" si="15"/>
        <v>-2789737.0673066434</v>
      </c>
      <c r="I122" s="311">
        <v>507224.92132848047</v>
      </c>
      <c r="J122" s="135">
        <f>'B) D RI'!U123</f>
        <v>546895.28569608741</v>
      </c>
      <c r="K122" s="92">
        <f t="shared" si="21"/>
        <v>-5.5000000000000018</v>
      </c>
      <c r="L122" s="43">
        <f>'B) D RI'!S123</f>
        <v>78.5</v>
      </c>
      <c r="M122" s="43">
        <f t="shared" si="16"/>
        <v>84</v>
      </c>
      <c r="N122" s="199">
        <f>'J) Plafonnement effort'!G121+'J) Plafonnement effort'!H121-'K) Plafonnement aide'!I121</f>
        <v>-14.64786251866858</v>
      </c>
      <c r="O122" s="199">
        <f t="shared" si="17"/>
        <v>69.352137481331425</v>
      </c>
      <c r="P122" s="59">
        <f t="shared" si="18"/>
        <v>0</v>
      </c>
      <c r="Q122" s="75">
        <f t="shared" si="22"/>
        <v>0</v>
      </c>
      <c r="R122" s="230">
        <f t="shared" si="19"/>
        <v>69.352137481331425</v>
      </c>
      <c r="S122" s="199">
        <f t="shared" si="20"/>
        <v>-9.1478625186685747</v>
      </c>
      <c r="T122" s="229"/>
    </row>
    <row r="123" spans="1:20" x14ac:dyDescent="0.25">
      <c r="A123" s="61">
        <f>'A) Base RI'!A124</f>
        <v>5592</v>
      </c>
      <c r="B123" s="73" t="str">
        <f>'A) Base RI'!B124</f>
        <v>Romanel-sur-Lausanne</v>
      </c>
      <c r="C123" s="238">
        <v>1884108.8031983164</v>
      </c>
      <c r="D123" s="239">
        <v>617364.89213691792</v>
      </c>
      <c r="E123" s="240">
        <v>0</v>
      </c>
      <c r="F123" s="239">
        <v>0</v>
      </c>
      <c r="G123" s="239">
        <v>0</v>
      </c>
      <c r="H123" s="241">
        <f t="shared" si="15"/>
        <v>2501473.6953352345</v>
      </c>
      <c r="I123" s="311">
        <v>115467.46028571429</v>
      </c>
      <c r="J123" s="135">
        <f>'B) D RI'!U124</f>
        <v>110273.83828571429</v>
      </c>
      <c r="K123" s="92">
        <f t="shared" si="21"/>
        <v>21.663884259215134</v>
      </c>
      <c r="L123" s="43">
        <f>'B) D RI'!S124</f>
        <v>70</v>
      </c>
      <c r="M123" s="43">
        <f t="shared" si="16"/>
        <v>48.336115740784862</v>
      </c>
      <c r="N123" s="199">
        <f>'J) Plafonnement effort'!G122+'J) Plafonnement effort'!H122-'K) Plafonnement aide'!I122</f>
        <v>20.558307439329297</v>
      </c>
      <c r="O123" s="199">
        <f t="shared" si="17"/>
        <v>68.89442318011416</v>
      </c>
      <c r="P123" s="59">
        <f t="shared" si="18"/>
        <v>0</v>
      </c>
      <c r="Q123" s="75">
        <f t="shared" si="22"/>
        <v>0</v>
      </c>
      <c r="R123" s="230">
        <f t="shared" si="19"/>
        <v>68.89442318011416</v>
      </c>
      <c r="S123" s="199">
        <f t="shared" si="20"/>
        <v>-1.1055768198858402</v>
      </c>
      <c r="T123" s="229"/>
    </row>
    <row r="124" spans="1:20" x14ac:dyDescent="0.25">
      <c r="A124" s="61">
        <f>'A) Base RI'!A125</f>
        <v>5601</v>
      </c>
      <c r="B124" s="73" t="str">
        <f>'A) Base RI'!B125</f>
        <v>Chexbres</v>
      </c>
      <c r="C124" s="238">
        <v>1747416.7050968385</v>
      </c>
      <c r="D124" s="239">
        <v>1369864</v>
      </c>
      <c r="E124" s="240">
        <v>0</v>
      </c>
      <c r="F124" s="239">
        <v>0</v>
      </c>
      <c r="G124" s="239">
        <v>0</v>
      </c>
      <c r="H124" s="241">
        <f t="shared" si="15"/>
        <v>3117280.7050968385</v>
      </c>
      <c r="I124" s="311">
        <v>102004.96828125001</v>
      </c>
      <c r="J124" s="135">
        <f>'B) D RI'!U125</f>
        <v>104474.96078125002</v>
      </c>
      <c r="K124" s="92">
        <f t="shared" si="21"/>
        <v>30.560086999898022</v>
      </c>
      <c r="L124" s="43">
        <f>'B) D RI'!S125</f>
        <v>64</v>
      </c>
      <c r="M124" s="43">
        <f t="shared" si="16"/>
        <v>33.439913000101981</v>
      </c>
      <c r="N124" s="199">
        <f>'J) Plafonnement effort'!G123+'J) Plafonnement effort'!H123-'K) Plafonnement aide'!I123</f>
        <v>29.557064054242588</v>
      </c>
      <c r="O124" s="199">
        <f t="shared" si="17"/>
        <v>62.996977054344569</v>
      </c>
      <c r="P124" s="59">
        <f t="shared" si="18"/>
        <v>0</v>
      </c>
      <c r="Q124" s="75">
        <f t="shared" si="22"/>
        <v>0</v>
      </c>
      <c r="R124" s="230">
        <f t="shared" si="19"/>
        <v>62.996977054344569</v>
      </c>
      <c r="S124" s="199">
        <f t="shared" si="20"/>
        <v>-1.0030229456554309</v>
      </c>
      <c r="T124" s="229"/>
    </row>
    <row r="125" spans="1:20" x14ac:dyDescent="0.25">
      <c r="A125" s="61">
        <f>'A) Base RI'!A126</f>
        <v>5604</v>
      </c>
      <c r="B125" s="73" t="str">
        <f>'A) Base RI'!B126</f>
        <v>Forel (Lavaux)</v>
      </c>
      <c r="C125" s="238">
        <v>1170713.224175367</v>
      </c>
      <c r="D125" s="239">
        <v>582867.90439378377</v>
      </c>
      <c r="E125" s="240">
        <v>0</v>
      </c>
      <c r="F125" s="239">
        <v>0</v>
      </c>
      <c r="G125" s="239">
        <v>0</v>
      </c>
      <c r="H125" s="241">
        <f t="shared" si="15"/>
        <v>1753581.1285691508</v>
      </c>
      <c r="I125" s="311">
        <v>73679.184999999969</v>
      </c>
      <c r="J125" s="135">
        <f>'B) D RI'!U126</f>
        <v>65514.699852941172</v>
      </c>
      <c r="K125" s="92">
        <f t="shared" si="21"/>
        <v>23.800224290878781</v>
      </c>
      <c r="L125" s="43">
        <f>'B) D RI'!S126</f>
        <v>68</v>
      </c>
      <c r="M125" s="43">
        <f t="shared" si="16"/>
        <v>44.199775709121219</v>
      </c>
      <c r="N125" s="199">
        <f>'J) Plafonnement effort'!G124+'J) Plafonnement effort'!H124-'K) Plafonnement aide'!I124</f>
        <v>16.185882063969643</v>
      </c>
      <c r="O125" s="199">
        <f t="shared" si="17"/>
        <v>60.385657773090863</v>
      </c>
      <c r="P125" s="59">
        <f t="shared" si="18"/>
        <v>0</v>
      </c>
      <c r="Q125" s="75">
        <f t="shared" si="22"/>
        <v>0</v>
      </c>
      <c r="R125" s="230">
        <f t="shared" si="19"/>
        <v>60.385657773090863</v>
      </c>
      <c r="S125" s="199">
        <f t="shared" si="20"/>
        <v>-7.6143422269091374</v>
      </c>
      <c r="T125" s="229"/>
    </row>
    <row r="126" spans="1:20" x14ac:dyDescent="0.25">
      <c r="A126" s="61">
        <f>'A) Base RI'!A127</f>
        <v>5606</v>
      </c>
      <c r="B126" s="73" t="str">
        <f>'A) Base RI'!B127</f>
        <v>Lutry</v>
      </c>
      <c r="C126" s="238">
        <v>18620123.309009422</v>
      </c>
      <c r="D126" s="239">
        <v>8114554</v>
      </c>
      <c r="E126" s="240">
        <v>0</v>
      </c>
      <c r="F126" s="239">
        <v>0</v>
      </c>
      <c r="G126" s="239">
        <v>0</v>
      </c>
      <c r="H126" s="241">
        <f t="shared" si="15"/>
        <v>26734677.309009422</v>
      </c>
      <c r="I126" s="311">
        <v>810972.19494897977</v>
      </c>
      <c r="J126" s="135">
        <f>'B) D RI'!U127</f>
        <v>742470.65823979594</v>
      </c>
      <c r="K126" s="92">
        <f t="shared" si="21"/>
        <v>32.966207072847133</v>
      </c>
      <c r="L126" s="43">
        <f>'B) D RI'!S127</f>
        <v>56</v>
      </c>
      <c r="M126" s="43">
        <f t="shared" si="16"/>
        <v>23.033792927152867</v>
      </c>
      <c r="N126" s="199">
        <f>'J) Plafonnement effort'!G125+'J) Plafonnement effort'!H125-'K) Plafonnement aide'!I125</f>
        <v>32.601549873690061</v>
      </c>
      <c r="O126" s="199">
        <f t="shared" si="17"/>
        <v>55.635342800842928</v>
      </c>
      <c r="P126" s="59">
        <f t="shared" si="18"/>
        <v>0</v>
      </c>
      <c r="Q126" s="75">
        <f t="shared" si="22"/>
        <v>0</v>
      </c>
      <c r="R126" s="230">
        <f t="shared" si="19"/>
        <v>55.635342800842928</v>
      </c>
      <c r="S126" s="199">
        <f t="shared" si="20"/>
        <v>-0.3646571991570724</v>
      </c>
      <c r="T126" s="229"/>
    </row>
    <row r="127" spans="1:20" x14ac:dyDescent="0.25">
      <c r="A127" s="61">
        <f>'A) Base RI'!A128</f>
        <v>5607</v>
      </c>
      <c r="B127" s="73" t="str">
        <f>'A) Base RI'!B128</f>
        <v>Puidoux</v>
      </c>
      <c r="C127" s="238">
        <v>1702165.0938148054</v>
      </c>
      <c r="D127" s="239">
        <v>748744.88851557393</v>
      </c>
      <c r="E127" s="240">
        <v>0</v>
      </c>
      <c r="F127" s="239">
        <v>0</v>
      </c>
      <c r="G127" s="239">
        <v>0</v>
      </c>
      <c r="H127" s="241">
        <f t="shared" si="15"/>
        <v>2450909.9823303791</v>
      </c>
      <c r="I127" s="311">
        <v>102046.9552557545</v>
      </c>
      <c r="J127" s="135">
        <f>'B) D RI'!U128</f>
        <v>100862.46201406649</v>
      </c>
      <c r="K127" s="92">
        <f t="shared" si="21"/>
        <v>24.017472899488304</v>
      </c>
      <c r="L127" s="43">
        <f>'B) D RI'!S128</f>
        <v>68</v>
      </c>
      <c r="M127" s="43">
        <f t="shared" si="16"/>
        <v>43.982527100511696</v>
      </c>
      <c r="N127" s="199">
        <f>'J) Plafonnement effort'!G126+'J) Plafonnement effort'!H126-'K) Plafonnement aide'!I126</f>
        <v>18.083449682059779</v>
      </c>
      <c r="O127" s="199">
        <f t="shared" si="17"/>
        <v>62.065976782571475</v>
      </c>
      <c r="P127" s="59">
        <f t="shared" si="18"/>
        <v>0</v>
      </c>
      <c r="Q127" s="75">
        <f t="shared" si="22"/>
        <v>0</v>
      </c>
      <c r="R127" s="230">
        <f t="shared" si="19"/>
        <v>62.065976782571475</v>
      </c>
      <c r="S127" s="199">
        <f t="shared" si="20"/>
        <v>-5.9340232174285248</v>
      </c>
      <c r="T127" s="229"/>
    </row>
    <row r="128" spans="1:20" x14ac:dyDescent="0.25">
      <c r="A128" s="61">
        <f>'A) Base RI'!A129</f>
        <v>5609</v>
      </c>
      <c r="B128" s="73" t="str">
        <f>'A) Base RI'!B129</f>
        <v>Rivaz</v>
      </c>
      <c r="C128" s="238">
        <v>259749.347018058</v>
      </c>
      <c r="D128" s="239">
        <v>287742</v>
      </c>
      <c r="E128" s="240">
        <v>0</v>
      </c>
      <c r="F128" s="239">
        <v>0</v>
      </c>
      <c r="G128" s="239">
        <v>0</v>
      </c>
      <c r="H128" s="241">
        <f t="shared" si="15"/>
        <v>547491.34701805795</v>
      </c>
      <c r="I128" s="311">
        <v>17457.580472440943</v>
      </c>
      <c r="J128" s="135">
        <f>'B) D RI'!U129</f>
        <v>16122.244409448818</v>
      </c>
      <c r="K128" s="92">
        <f t="shared" si="21"/>
        <v>31.361238625383635</v>
      </c>
      <c r="L128" s="43">
        <f>'B) D RI'!S129</f>
        <v>63.5</v>
      </c>
      <c r="M128" s="43">
        <f t="shared" si="16"/>
        <v>32.138761374616365</v>
      </c>
      <c r="N128" s="199">
        <f>'J) Plafonnement effort'!G127+'J) Plafonnement effort'!H127-'K) Plafonnement aide'!I127</f>
        <v>32.147355129118793</v>
      </c>
      <c r="O128" s="199">
        <f t="shared" si="17"/>
        <v>64.286116503735158</v>
      </c>
      <c r="P128" s="59">
        <f t="shared" si="18"/>
        <v>0</v>
      </c>
      <c r="Q128" s="75">
        <f t="shared" si="22"/>
        <v>0</v>
      </c>
      <c r="R128" s="230">
        <f t="shared" si="19"/>
        <v>64.286116503735158</v>
      </c>
      <c r="S128" s="199">
        <f t="shared" si="20"/>
        <v>0.78611650373515829</v>
      </c>
      <c r="T128" s="229"/>
    </row>
    <row r="129" spans="1:20" x14ac:dyDescent="0.25">
      <c r="A129" s="61">
        <f>'A) Base RI'!A130</f>
        <v>5610</v>
      </c>
      <c r="B129" s="73" t="str">
        <f>'A) Base RI'!B130</f>
        <v>St-Saphorin (Lavaux)</v>
      </c>
      <c r="C129" s="238">
        <v>310683.14874376234</v>
      </c>
      <c r="D129" s="239">
        <v>337938</v>
      </c>
      <c r="E129" s="240">
        <v>0</v>
      </c>
      <c r="F129" s="239">
        <v>0</v>
      </c>
      <c r="G129" s="239">
        <v>0</v>
      </c>
      <c r="H129" s="241">
        <f t="shared" si="15"/>
        <v>648621.1487437624</v>
      </c>
      <c r="I129" s="311">
        <v>20355.755166666662</v>
      </c>
      <c r="J129" s="135">
        <f>'B) D RI'!U130</f>
        <v>20974.487096774192</v>
      </c>
      <c r="K129" s="92">
        <f t="shared" si="21"/>
        <v>31.864263616508055</v>
      </c>
      <c r="L129" s="43">
        <f>'B) D RI'!S130</f>
        <v>62</v>
      </c>
      <c r="M129" s="43">
        <f t="shared" si="16"/>
        <v>30.135736383491945</v>
      </c>
      <c r="N129" s="199">
        <f>'J) Plafonnement effort'!G128+'J) Plafonnement effort'!H128-'K) Plafonnement aide'!I128</f>
        <v>30.226910677919637</v>
      </c>
      <c r="O129" s="199">
        <f t="shared" si="17"/>
        <v>60.362647061411579</v>
      </c>
      <c r="P129" s="59">
        <f t="shared" si="18"/>
        <v>0</v>
      </c>
      <c r="Q129" s="75">
        <f t="shared" si="22"/>
        <v>0</v>
      </c>
      <c r="R129" s="230">
        <f t="shared" si="19"/>
        <v>60.362647061411579</v>
      </c>
      <c r="S129" s="199">
        <f t="shared" si="20"/>
        <v>-1.6373529385884211</v>
      </c>
      <c r="T129" s="229"/>
    </row>
    <row r="130" spans="1:20" x14ac:dyDescent="0.25">
      <c r="A130" s="61">
        <f>'A) Base RI'!A131</f>
        <v>5611</v>
      </c>
      <c r="B130" s="73" t="str">
        <f>'A) Base RI'!B131</f>
        <v>Savigny</v>
      </c>
      <c r="C130" s="238">
        <v>2027952.8044485394</v>
      </c>
      <c r="D130" s="239">
        <v>1307340.7057181401</v>
      </c>
      <c r="E130" s="240">
        <v>0</v>
      </c>
      <c r="F130" s="239">
        <v>0</v>
      </c>
      <c r="G130" s="239">
        <v>0</v>
      </c>
      <c r="H130" s="241">
        <f t="shared" si="15"/>
        <v>3335293.5101666795</v>
      </c>
      <c r="I130" s="311">
        <v>133649.01597014922</v>
      </c>
      <c r="J130" s="135">
        <f>'B) D RI'!U131</f>
        <v>130312.40671641791</v>
      </c>
      <c r="K130" s="92">
        <f t="shared" si="21"/>
        <v>24.955615916481001</v>
      </c>
      <c r="L130" s="43">
        <f>'B) D RI'!S131</f>
        <v>67</v>
      </c>
      <c r="M130" s="43">
        <f t="shared" si="16"/>
        <v>42.044384083518999</v>
      </c>
      <c r="N130" s="199">
        <f>'J) Plafonnement effort'!G129+'J) Plafonnement effort'!H129-'K) Plafonnement aide'!I129</f>
        <v>22.952509873002565</v>
      </c>
      <c r="O130" s="199">
        <f t="shared" si="17"/>
        <v>64.996893956521561</v>
      </c>
      <c r="P130" s="59">
        <f t="shared" si="18"/>
        <v>0</v>
      </c>
      <c r="Q130" s="75">
        <f t="shared" si="22"/>
        <v>0</v>
      </c>
      <c r="R130" s="230">
        <f t="shared" si="19"/>
        <v>64.996893956521561</v>
      </c>
      <c r="S130" s="199">
        <f t="shared" si="20"/>
        <v>-2.0031060434784393</v>
      </c>
      <c r="T130" s="229"/>
    </row>
    <row r="131" spans="1:20" x14ac:dyDescent="0.25">
      <c r="A131" s="61">
        <f>'A) Base RI'!A132</f>
        <v>5613</v>
      </c>
      <c r="B131" s="73" t="str">
        <f>'A) Base RI'!B132</f>
        <v>Bourg-en-Lavaux</v>
      </c>
      <c r="C131" s="238">
        <v>5696698.4918997781</v>
      </c>
      <c r="D131" s="239">
        <v>3767290</v>
      </c>
      <c r="E131" s="240">
        <v>0</v>
      </c>
      <c r="F131" s="239">
        <v>0</v>
      </c>
      <c r="G131" s="239">
        <v>0</v>
      </c>
      <c r="H131" s="241">
        <f t="shared" si="15"/>
        <v>9463988.4918997772</v>
      </c>
      <c r="I131" s="311">
        <v>319171.56765027321</v>
      </c>
      <c r="J131" s="135">
        <f>'B) D RI'!U132</f>
        <v>295658.88923497271</v>
      </c>
      <c r="K131" s="92">
        <f t="shared" si="21"/>
        <v>29.651727945484733</v>
      </c>
      <c r="L131" s="43">
        <f>'B) D RI'!S132</f>
        <v>61</v>
      </c>
      <c r="M131" s="43">
        <f t="shared" si="16"/>
        <v>31.348272054515267</v>
      </c>
      <c r="N131" s="199">
        <f>'J) Plafonnement effort'!G130+'J) Plafonnement effort'!H130-'K) Plafonnement aide'!I130</f>
        <v>30.333014213495034</v>
      </c>
      <c r="O131" s="199">
        <f t="shared" si="17"/>
        <v>61.681286268010297</v>
      </c>
      <c r="P131" s="59">
        <f t="shared" si="18"/>
        <v>0</v>
      </c>
      <c r="Q131" s="75">
        <f t="shared" si="22"/>
        <v>0</v>
      </c>
      <c r="R131" s="230">
        <f t="shared" si="19"/>
        <v>61.681286268010297</v>
      </c>
      <c r="S131" s="199">
        <f t="shared" si="20"/>
        <v>0.68128626801029668</v>
      </c>
      <c r="T131" s="229"/>
    </row>
    <row r="132" spans="1:20" x14ac:dyDescent="0.25">
      <c r="A132" s="61">
        <f>'A) Base RI'!A133</f>
        <v>5621</v>
      </c>
      <c r="B132" s="73" t="str">
        <f>'A) Base RI'!B133</f>
        <v>Aclens</v>
      </c>
      <c r="C132" s="238">
        <v>830028.53484824765</v>
      </c>
      <c r="D132" s="239">
        <v>619005</v>
      </c>
      <c r="E132" s="240">
        <v>0</v>
      </c>
      <c r="F132" s="239">
        <v>0</v>
      </c>
      <c r="G132" s="239">
        <v>0</v>
      </c>
      <c r="H132" s="241">
        <f t="shared" si="15"/>
        <v>1449033.5348482477</v>
      </c>
      <c r="I132" s="311">
        <v>40747.294721407634</v>
      </c>
      <c r="J132" s="135">
        <f>'B) D RI'!U133</f>
        <v>33759.339076246331</v>
      </c>
      <c r="K132" s="92">
        <f t="shared" si="21"/>
        <v>35.561465975972162</v>
      </c>
      <c r="L132" s="43">
        <f>'B) D RI'!S133</f>
        <v>62</v>
      </c>
      <c r="M132" s="43">
        <f t="shared" si="16"/>
        <v>26.438534024027838</v>
      </c>
      <c r="N132" s="199">
        <f>'J) Plafonnement effort'!G131+'J) Plafonnement effort'!H131-'K) Plafonnement aide'!I131</f>
        <v>37.304666553767341</v>
      </c>
      <c r="O132" s="199">
        <f t="shared" si="17"/>
        <v>63.743200577795179</v>
      </c>
      <c r="P132" s="59">
        <f t="shared" si="18"/>
        <v>0</v>
      </c>
      <c r="Q132" s="75">
        <f t="shared" si="22"/>
        <v>0</v>
      </c>
      <c r="R132" s="230">
        <f t="shared" si="19"/>
        <v>63.743200577795179</v>
      </c>
      <c r="S132" s="199">
        <f t="shared" si="20"/>
        <v>1.7432005777951787</v>
      </c>
      <c r="T132" s="229"/>
    </row>
    <row r="133" spans="1:20" x14ac:dyDescent="0.25">
      <c r="A133" s="61">
        <f>'A) Base RI'!A134</f>
        <v>5622</v>
      </c>
      <c r="B133" s="73" t="str">
        <f>'A) Base RI'!B134</f>
        <v>Bremblens</v>
      </c>
      <c r="C133" s="238">
        <v>405111.60298686149</v>
      </c>
      <c r="D133" s="239">
        <v>426829</v>
      </c>
      <c r="E133" s="240">
        <v>0</v>
      </c>
      <c r="F133" s="239">
        <v>0</v>
      </c>
      <c r="G133" s="239">
        <v>0</v>
      </c>
      <c r="H133" s="241">
        <f t="shared" si="15"/>
        <v>831940.60298686149</v>
      </c>
      <c r="I133" s="311">
        <v>25805.300909090911</v>
      </c>
      <c r="J133" s="135">
        <f>'B) D RI'!U134</f>
        <v>28126.288636363635</v>
      </c>
      <c r="K133" s="92">
        <f t="shared" si="21"/>
        <v>32.23913590148365</v>
      </c>
      <c r="L133" s="43">
        <f>'B) D RI'!S134</f>
        <v>66</v>
      </c>
      <c r="M133" s="43">
        <f t="shared" si="16"/>
        <v>33.76086409851635</v>
      </c>
      <c r="N133" s="199">
        <f>'J) Plafonnement effort'!G132+'J) Plafonnement effort'!H132-'K) Plafonnement aide'!I132</f>
        <v>32.006220788254637</v>
      </c>
      <c r="O133" s="199">
        <f t="shared" si="17"/>
        <v>65.767084886770988</v>
      </c>
      <c r="P133" s="59">
        <f t="shared" si="18"/>
        <v>0</v>
      </c>
      <c r="Q133" s="75">
        <f t="shared" si="22"/>
        <v>0</v>
      </c>
      <c r="R133" s="230">
        <f t="shared" si="19"/>
        <v>65.767084886770988</v>
      </c>
      <c r="S133" s="199">
        <f t="shared" si="20"/>
        <v>-0.23291511322901215</v>
      </c>
      <c r="T133" s="229"/>
    </row>
    <row r="134" spans="1:20" x14ac:dyDescent="0.25">
      <c r="A134" s="61">
        <f>'A) Base RI'!A135</f>
        <v>5623</v>
      </c>
      <c r="B134" s="73" t="str">
        <f>'A) Base RI'!B135</f>
        <v>Buchillon</v>
      </c>
      <c r="C134" s="238">
        <v>2544300.7808477227</v>
      </c>
      <c r="D134" s="239">
        <v>1081606</v>
      </c>
      <c r="E134" s="240">
        <v>0</v>
      </c>
      <c r="F134" s="239">
        <v>0</v>
      </c>
      <c r="G134" s="239">
        <v>0</v>
      </c>
      <c r="H134" s="241">
        <f t="shared" si="15"/>
        <v>3625906.7808477227</v>
      </c>
      <c r="I134" s="311">
        <v>91715.647358490576</v>
      </c>
      <c r="J134" s="135">
        <f>'B) D RI'!U135</f>
        <v>86045.549622641513</v>
      </c>
      <c r="K134" s="92">
        <f t="shared" si="21"/>
        <v>39.534222188664017</v>
      </c>
      <c r="L134" s="43">
        <f>'B) D RI'!S135</f>
        <v>53</v>
      </c>
      <c r="M134" s="43">
        <f t="shared" si="16"/>
        <v>13.465777811335983</v>
      </c>
      <c r="N134" s="199">
        <f>'J) Plafonnement effort'!G133+'J) Plafonnement effort'!H133-'K) Plafonnement aide'!I133</f>
        <v>47.003145308226671</v>
      </c>
      <c r="O134" s="199">
        <f t="shared" si="17"/>
        <v>60.468923119562653</v>
      </c>
      <c r="P134" s="59">
        <f t="shared" si="18"/>
        <v>0</v>
      </c>
      <c r="Q134" s="75">
        <f t="shared" si="22"/>
        <v>0</v>
      </c>
      <c r="R134" s="230">
        <f t="shared" si="19"/>
        <v>60.468923119562653</v>
      </c>
      <c r="S134" s="199">
        <f t="shared" si="20"/>
        <v>7.4689231195626533</v>
      </c>
      <c r="T134" s="229"/>
    </row>
    <row r="135" spans="1:20" x14ac:dyDescent="0.25">
      <c r="A135" s="61">
        <f>'A) Base RI'!A136</f>
        <v>5624</v>
      </c>
      <c r="B135" s="73" t="str">
        <f>'A) Base RI'!B136</f>
        <v>Bussigny</v>
      </c>
      <c r="C135" s="238">
        <v>5738363.67667141</v>
      </c>
      <c r="D135" s="239">
        <v>2792759.1175070936</v>
      </c>
      <c r="E135" s="240">
        <v>0</v>
      </c>
      <c r="F135" s="239">
        <v>0</v>
      </c>
      <c r="G135" s="239">
        <v>0</v>
      </c>
      <c r="H135" s="241">
        <f t="shared" ref="H135:H198" si="23">SUM(C135:G135)</f>
        <v>8531122.7941785045</v>
      </c>
      <c r="I135" s="311">
        <v>356632.38967741939</v>
      </c>
      <c r="J135" s="135">
        <f>'B) D RI'!U136</f>
        <v>312174.83774193545</v>
      </c>
      <c r="K135" s="92">
        <f t="shared" si="21"/>
        <v>23.921334800507221</v>
      </c>
      <c r="L135" s="43">
        <f>'B) D RI'!S136</f>
        <v>62</v>
      </c>
      <c r="M135" s="43">
        <f t="shared" si="16"/>
        <v>38.078665199492775</v>
      </c>
      <c r="N135" s="199">
        <f>'J) Plafonnement effort'!G134+'J) Plafonnement effort'!H134-'K) Plafonnement aide'!I134</f>
        <v>24.071255626231828</v>
      </c>
      <c r="O135" s="199">
        <f t="shared" si="17"/>
        <v>62.149920825724607</v>
      </c>
      <c r="P135" s="59">
        <f t="shared" si="18"/>
        <v>0</v>
      </c>
      <c r="Q135" s="75">
        <f t="shared" si="22"/>
        <v>0</v>
      </c>
      <c r="R135" s="230">
        <f t="shared" si="19"/>
        <v>62.149920825724607</v>
      </c>
      <c r="S135" s="199">
        <f t="shared" si="20"/>
        <v>0.14992082572460674</v>
      </c>
      <c r="T135" s="229"/>
    </row>
    <row r="136" spans="1:20" x14ac:dyDescent="0.25">
      <c r="A136" s="61">
        <f>'A) Base RI'!A137</f>
        <v>5625</v>
      </c>
      <c r="B136" s="73" t="str">
        <f>'A) Base RI'!B137</f>
        <v>Bussy-Chardonney</v>
      </c>
      <c r="C136" s="238">
        <v>193705.07473793131</v>
      </c>
      <c r="D136" s="239">
        <v>151442.73456747679</v>
      </c>
      <c r="E136" s="240">
        <v>0</v>
      </c>
      <c r="F136" s="239">
        <v>0</v>
      </c>
      <c r="G136" s="239">
        <v>0</v>
      </c>
      <c r="H136" s="241">
        <f t="shared" si="23"/>
        <v>345147.8093054081</v>
      </c>
      <c r="I136" s="311">
        <v>13870.18990740741</v>
      </c>
      <c r="J136" s="135">
        <f>'B) D RI'!U137</f>
        <v>16172.617200854704</v>
      </c>
      <c r="K136" s="92">
        <f t="shared" si="21"/>
        <v>24.884144457249359</v>
      </c>
      <c r="L136" s="43">
        <f>'B) D RI'!S137</f>
        <v>78</v>
      </c>
      <c r="M136" s="43">
        <f t="shared" si="16"/>
        <v>53.115855542750637</v>
      </c>
      <c r="N136" s="199">
        <f>'J) Plafonnement effort'!G135+'J) Plafonnement effort'!H135-'K) Plafonnement aide'!I135</f>
        <v>32.863961684993519</v>
      </c>
      <c r="O136" s="199">
        <f t="shared" si="17"/>
        <v>85.979817227744149</v>
      </c>
      <c r="P136" s="59">
        <f t="shared" si="18"/>
        <v>0</v>
      </c>
      <c r="Q136" s="75">
        <f t="shared" si="22"/>
        <v>0</v>
      </c>
      <c r="R136" s="230">
        <f t="shared" si="19"/>
        <v>85.979817227744149</v>
      </c>
      <c r="S136" s="199">
        <f t="shared" si="20"/>
        <v>7.9798172277441495</v>
      </c>
      <c r="T136" s="229"/>
    </row>
    <row r="137" spans="1:20" x14ac:dyDescent="0.25">
      <c r="A137" s="61">
        <f>'A) Base RI'!A138</f>
        <v>5627</v>
      </c>
      <c r="B137" s="73" t="str">
        <f>'A) Base RI'!B138</f>
        <v>Chavannes-près-Renens</v>
      </c>
      <c r="C137" s="238">
        <v>2644328.8832674655</v>
      </c>
      <c r="D137" s="239">
        <v>-3538580.094385216</v>
      </c>
      <c r="E137" s="240">
        <v>0</v>
      </c>
      <c r="F137" s="239">
        <v>0</v>
      </c>
      <c r="G137" s="239">
        <v>0</v>
      </c>
      <c r="H137" s="241">
        <f t="shared" si="23"/>
        <v>-894251.2111177505</v>
      </c>
      <c r="I137" s="311">
        <v>170689.33978902953</v>
      </c>
      <c r="J137" s="135">
        <f>'B) D RI'!U138</f>
        <v>162511.92244725736</v>
      </c>
      <c r="K137" s="92">
        <f t="shared" si="21"/>
        <v>-5.2390571796870082</v>
      </c>
      <c r="L137" s="43">
        <f>'B) D RI'!S138</f>
        <v>79</v>
      </c>
      <c r="M137" s="43">
        <f t="shared" si="16"/>
        <v>84.239057179687009</v>
      </c>
      <c r="N137" s="199">
        <f>'J) Plafonnement effort'!G136+'J) Plafonnement effort'!H136-'K) Plafonnement aide'!I136</f>
        <v>-12.847400198623557</v>
      </c>
      <c r="O137" s="199">
        <f t="shared" si="17"/>
        <v>71.391656981063448</v>
      </c>
      <c r="P137" s="59">
        <f t="shared" si="18"/>
        <v>0</v>
      </c>
      <c r="Q137" s="75">
        <f t="shared" si="22"/>
        <v>0</v>
      </c>
      <c r="R137" s="230">
        <f t="shared" si="19"/>
        <v>71.391656981063448</v>
      </c>
      <c r="S137" s="199">
        <f t="shared" si="20"/>
        <v>-7.6083430189365515</v>
      </c>
      <c r="T137" s="229"/>
    </row>
    <row r="138" spans="1:20" x14ac:dyDescent="0.25">
      <c r="A138" s="61">
        <f>'A) Base RI'!A139</f>
        <v>5628</v>
      </c>
      <c r="B138" s="73" t="str">
        <f>'A) Base RI'!B139</f>
        <v>Chigny</v>
      </c>
      <c r="C138" s="238">
        <v>286349.78870290186</v>
      </c>
      <c r="D138" s="239">
        <v>315014</v>
      </c>
      <c r="E138" s="240">
        <v>0</v>
      </c>
      <c r="F138" s="239">
        <v>0</v>
      </c>
      <c r="G138" s="239">
        <v>0</v>
      </c>
      <c r="H138" s="241">
        <f t="shared" si="23"/>
        <v>601363.78870290192</v>
      </c>
      <c r="I138" s="311">
        <v>19182.221249999991</v>
      </c>
      <c r="J138" s="135">
        <f>'B) D RI'!U139</f>
        <v>19064.278346774194</v>
      </c>
      <c r="K138" s="92">
        <f t="shared" si="21"/>
        <v>31.35006008247883</v>
      </c>
      <c r="L138" s="43">
        <f>'B) D RI'!S139</f>
        <v>62</v>
      </c>
      <c r="M138" s="43">
        <f t="shared" si="16"/>
        <v>30.64993991752117</v>
      </c>
      <c r="N138" s="199">
        <f>'J) Plafonnement effort'!G137+'J) Plafonnement effort'!H137-'K) Plafonnement aide'!I137</f>
        <v>31.95894913284296</v>
      </c>
      <c r="O138" s="199">
        <f t="shared" si="17"/>
        <v>62.608889050364127</v>
      </c>
      <c r="P138" s="59">
        <f t="shared" si="18"/>
        <v>0</v>
      </c>
      <c r="Q138" s="75">
        <f t="shared" si="22"/>
        <v>0</v>
      </c>
      <c r="R138" s="230">
        <f t="shared" si="19"/>
        <v>62.608889050364127</v>
      </c>
      <c r="S138" s="199">
        <f t="shared" si="20"/>
        <v>0.60888905036412666</v>
      </c>
      <c r="T138" s="229"/>
    </row>
    <row r="139" spans="1:20" x14ac:dyDescent="0.25">
      <c r="A139" s="61">
        <f>'A) Base RI'!A140</f>
        <v>5629</v>
      </c>
      <c r="B139" s="73" t="str">
        <f>'A) Base RI'!B140</f>
        <v>Clarmont</v>
      </c>
      <c r="C139" s="238">
        <v>119202.1542753774</v>
      </c>
      <c r="D139" s="239">
        <v>128391</v>
      </c>
      <c r="E139" s="240">
        <v>0</v>
      </c>
      <c r="F139" s="239">
        <v>0</v>
      </c>
      <c r="G139" s="239">
        <v>0</v>
      </c>
      <c r="H139" s="241">
        <f t="shared" si="23"/>
        <v>247593.1542753774</v>
      </c>
      <c r="I139" s="311">
        <v>7795.3318666666655</v>
      </c>
      <c r="J139" s="135">
        <f>'B) D RI'!U140</f>
        <v>7581.8990666666659</v>
      </c>
      <c r="K139" s="92">
        <f t="shared" si="21"/>
        <v>31.761720797815094</v>
      </c>
      <c r="L139" s="43">
        <f>'B) D RI'!S140</f>
        <v>75</v>
      </c>
      <c r="M139" s="43">
        <f t="shared" si="16"/>
        <v>43.238279202184906</v>
      </c>
      <c r="N139" s="199">
        <f>'J) Plafonnement effort'!G138+'J) Plafonnement effort'!H138-'K) Plafonnement aide'!I138</f>
        <v>25.711321244536187</v>
      </c>
      <c r="O139" s="199">
        <f t="shared" si="17"/>
        <v>68.949600446721092</v>
      </c>
      <c r="P139" s="59">
        <f t="shared" si="18"/>
        <v>0</v>
      </c>
      <c r="Q139" s="75">
        <f t="shared" si="22"/>
        <v>0</v>
      </c>
      <c r="R139" s="230">
        <f t="shared" si="19"/>
        <v>68.949600446721092</v>
      </c>
      <c r="S139" s="199">
        <f t="shared" si="20"/>
        <v>-6.0503995532789077</v>
      </c>
      <c r="T139" s="229"/>
    </row>
    <row r="140" spans="1:20" x14ac:dyDescent="0.25">
      <c r="A140" s="61">
        <f>'A) Base RI'!A141</f>
        <v>5631</v>
      </c>
      <c r="B140" s="73" t="str">
        <f>'A) Base RI'!B141</f>
        <v>Denens</v>
      </c>
      <c r="C140" s="238">
        <v>2147380.1308884919</v>
      </c>
      <c r="D140" s="239">
        <v>1017138</v>
      </c>
      <c r="E140" s="240">
        <v>0</v>
      </c>
      <c r="F140" s="239">
        <v>0</v>
      </c>
      <c r="G140" s="239">
        <v>0</v>
      </c>
      <c r="H140" s="241">
        <f t="shared" si="23"/>
        <v>3164518.1308884919</v>
      </c>
      <c r="I140" s="311">
        <v>76527.023088235292</v>
      </c>
      <c r="J140" s="135">
        <f>'B) D RI'!U141</f>
        <v>34218.35955882354</v>
      </c>
      <c r="K140" s="92">
        <f t="shared" si="21"/>
        <v>41.351642899264718</v>
      </c>
      <c r="L140" s="43">
        <f>'B) D RI'!S141</f>
        <v>68</v>
      </c>
      <c r="M140" s="43">
        <f t="shared" si="16"/>
        <v>26.648357100735282</v>
      </c>
      <c r="N140" s="199">
        <f>'J) Plafonnement effort'!G139+'J) Plafonnement effort'!H139-'K) Plafonnement aide'!I139</f>
        <v>38.804650261906495</v>
      </c>
      <c r="O140" s="199">
        <f t="shared" si="17"/>
        <v>65.453007362641785</v>
      </c>
      <c r="P140" s="59">
        <f t="shared" si="18"/>
        <v>0</v>
      </c>
      <c r="Q140" s="75">
        <f t="shared" si="22"/>
        <v>0</v>
      </c>
      <c r="R140" s="230">
        <f t="shared" si="19"/>
        <v>65.453007362641785</v>
      </c>
      <c r="S140" s="199">
        <f t="shared" si="20"/>
        <v>-2.5469926373582155</v>
      </c>
      <c r="T140" s="229"/>
    </row>
    <row r="141" spans="1:20" x14ac:dyDescent="0.25">
      <c r="A141" s="61">
        <f>'A) Base RI'!A142</f>
        <v>5632</v>
      </c>
      <c r="B141" s="73" t="str">
        <f>'A) Base RI'!B142</f>
        <v>Denges</v>
      </c>
      <c r="C141" s="238">
        <v>1068456.5865711235</v>
      </c>
      <c r="D141" s="239">
        <v>680870.53097659175</v>
      </c>
      <c r="E141" s="240">
        <v>0</v>
      </c>
      <c r="F141" s="239">
        <v>0</v>
      </c>
      <c r="G141" s="239">
        <v>0</v>
      </c>
      <c r="H141" s="241">
        <f t="shared" si="23"/>
        <v>1749327.1175477151</v>
      </c>
      <c r="I141" s="311">
        <v>61597.331370967739</v>
      </c>
      <c r="J141" s="135">
        <f>'B) D RI'!U142</f>
        <v>70599.599193548376</v>
      </c>
      <c r="K141" s="92">
        <f t="shared" si="21"/>
        <v>28.399397808526064</v>
      </c>
      <c r="L141" s="43">
        <f>'B) D RI'!S142</f>
        <v>62</v>
      </c>
      <c r="M141" s="43">
        <f t="shared" si="16"/>
        <v>33.600602191473939</v>
      </c>
      <c r="N141" s="199">
        <f>'J) Plafonnement effort'!G140+'J) Plafonnement effort'!H140-'K) Plafonnement aide'!I140</f>
        <v>29.716769407374695</v>
      </c>
      <c r="O141" s="199">
        <f t="shared" si="17"/>
        <v>63.317371598848638</v>
      </c>
      <c r="P141" s="59">
        <f t="shared" si="18"/>
        <v>0</v>
      </c>
      <c r="Q141" s="75">
        <f t="shared" si="22"/>
        <v>0</v>
      </c>
      <c r="R141" s="230">
        <f t="shared" si="19"/>
        <v>63.317371598848638</v>
      </c>
      <c r="S141" s="199">
        <f t="shared" si="20"/>
        <v>1.3173715988486379</v>
      </c>
      <c r="T141" s="229"/>
    </row>
    <row r="142" spans="1:20" x14ac:dyDescent="0.25">
      <c r="A142" s="61">
        <f>'A) Base RI'!A143</f>
        <v>5633</v>
      </c>
      <c r="B142" s="73" t="str">
        <f>'A) Base RI'!B143</f>
        <v>Echandens</v>
      </c>
      <c r="C142" s="238">
        <v>1999302.3768765782</v>
      </c>
      <c r="D142" s="239">
        <v>1713708</v>
      </c>
      <c r="E142" s="240">
        <v>0</v>
      </c>
      <c r="F142" s="239">
        <v>0</v>
      </c>
      <c r="G142" s="239">
        <v>0</v>
      </c>
      <c r="H142" s="241">
        <f t="shared" si="23"/>
        <v>3713010.3768765782</v>
      </c>
      <c r="I142" s="311">
        <v>124899.1516129032</v>
      </c>
      <c r="J142" s="135">
        <f>'B) D RI'!U143</f>
        <v>123013.45645161292</v>
      </c>
      <c r="K142" s="92">
        <f t="shared" si="21"/>
        <v>29.728067236070732</v>
      </c>
      <c r="L142" s="43">
        <f>'B) D RI'!S143</f>
        <v>62</v>
      </c>
      <c r="M142" s="43">
        <f t="shared" si="16"/>
        <v>32.271932763929271</v>
      </c>
      <c r="N142" s="199">
        <f>'J) Plafonnement effort'!G141+'J) Plafonnement effort'!H141-'K) Plafonnement aide'!I141</f>
        <v>26.959147891097082</v>
      </c>
      <c r="O142" s="199">
        <f t="shared" si="17"/>
        <v>59.231080655026354</v>
      </c>
      <c r="P142" s="59">
        <f t="shared" si="18"/>
        <v>0</v>
      </c>
      <c r="Q142" s="75">
        <f t="shared" si="22"/>
        <v>0</v>
      </c>
      <c r="R142" s="230">
        <f t="shared" si="19"/>
        <v>59.231080655026354</v>
      </c>
      <c r="S142" s="199">
        <f t="shared" si="20"/>
        <v>-2.7689193449736464</v>
      </c>
      <c r="T142" s="229"/>
    </row>
    <row r="143" spans="1:20" x14ac:dyDescent="0.25">
      <c r="A143" s="61">
        <f>'A) Base RI'!A144</f>
        <v>5634</v>
      </c>
      <c r="B143" s="73" t="str">
        <f>'A) Base RI'!B144</f>
        <v>Echichens</v>
      </c>
      <c r="C143" s="238">
        <v>2037780.2497353889</v>
      </c>
      <c r="D143" s="239">
        <v>1727178</v>
      </c>
      <c r="E143" s="240">
        <v>0</v>
      </c>
      <c r="F143" s="239">
        <v>0</v>
      </c>
      <c r="G143" s="239">
        <v>0</v>
      </c>
      <c r="H143" s="241">
        <f t="shared" si="23"/>
        <v>3764958.2497353889</v>
      </c>
      <c r="I143" s="311">
        <v>128757.51117647058</v>
      </c>
      <c r="J143" s="135">
        <f>'B) D RI'!U144</f>
        <v>121660.2017647059</v>
      </c>
      <c r="K143" s="92">
        <f t="shared" si="21"/>
        <v>29.240688293324244</v>
      </c>
      <c r="L143" s="43">
        <f>'B) D RI'!S144</f>
        <v>68</v>
      </c>
      <c r="M143" s="43">
        <f t="shared" si="16"/>
        <v>38.75931170667576</v>
      </c>
      <c r="N143" s="199">
        <f>'J) Plafonnement effort'!G142+'J) Plafonnement effort'!H142-'K) Plafonnement aide'!I142</f>
        <v>29.607682651943239</v>
      </c>
      <c r="O143" s="199">
        <f t="shared" si="17"/>
        <v>68.366994358618996</v>
      </c>
      <c r="P143" s="59">
        <f t="shared" si="18"/>
        <v>0</v>
      </c>
      <c r="Q143" s="75">
        <f t="shared" si="22"/>
        <v>0</v>
      </c>
      <c r="R143" s="230">
        <f t="shared" si="19"/>
        <v>68.366994358618996</v>
      </c>
      <c r="S143" s="199">
        <f t="shared" si="20"/>
        <v>0.36699435861899588</v>
      </c>
      <c r="T143" s="229"/>
    </row>
    <row r="144" spans="1:20" x14ac:dyDescent="0.25">
      <c r="A144" s="61">
        <f>'A) Base RI'!A145</f>
        <v>5635</v>
      </c>
      <c r="B144" s="73" t="str">
        <f>'A) Base RI'!B145</f>
        <v>Ecublens</v>
      </c>
      <c r="C144" s="238">
        <v>7730466.3512059189</v>
      </c>
      <c r="D144" s="239">
        <v>300557.00426699501</v>
      </c>
      <c r="E144" s="240">
        <v>0</v>
      </c>
      <c r="F144" s="239">
        <v>0</v>
      </c>
      <c r="G144" s="239">
        <v>0</v>
      </c>
      <c r="H144" s="241">
        <f t="shared" si="23"/>
        <v>8031023.3554729139</v>
      </c>
      <c r="I144" s="311">
        <v>456934.05313242786</v>
      </c>
      <c r="J144" s="135">
        <f>'B) D RI'!U145</f>
        <v>470087.75038200343</v>
      </c>
      <c r="K144" s="92">
        <f t="shared" si="21"/>
        <v>17.57589153274461</v>
      </c>
      <c r="L144" s="43">
        <f>'B) D RI'!S145</f>
        <v>62</v>
      </c>
      <c r="M144" s="43">
        <f t="shared" si="16"/>
        <v>44.424108467255394</v>
      </c>
      <c r="N144" s="199">
        <f>'J) Plafonnement effort'!G143+'J) Plafonnement effort'!H143-'K) Plafonnement aide'!I143</f>
        <v>13.021176905126769</v>
      </c>
      <c r="O144" s="199">
        <f t="shared" si="17"/>
        <v>57.445285372382159</v>
      </c>
      <c r="P144" s="59">
        <f t="shared" si="18"/>
        <v>0</v>
      </c>
      <c r="Q144" s="75">
        <f t="shared" si="22"/>
        <v>0</v>
      </c>
      <c r="R144" s="230">
        <f t="shared" si="19"/>
        <v>57.445285372382159</v>
      </c>
      <c r="S144" s="199">
        <f t="shared" si="20"/>
        <v>-4.554714627617841</v>
      </c>
      <c r="T144" s="229"/>
    </row>
    <row r="145" spans="1:20" x14ac:dyDescent="0.25">
      <c r="A145" s="61">
        <f>'A) Base RI'!A146</f>
        <v>5636</v>
      </c>
      <c r="B145" s="73" t="str">
        <f>'A) Base RI'!B146</f>
        <v>Etoy</v>
      </c>
      <c r="C145" s="238">
        <v>2534401.4752098522</v>
      </c>
      <c r="D145" s="239">
        <v>1855393</v>
      </c>
      <c r="E145" s="240">
        <v>0</v>
      </c>
      <c r="F145" s="239">
        <v>0</v>
      </c>
      <c r="G145" s="239">
        <v>0</v>
      </c>
      <c r="H145" s="241">
        <f t="shared" si="23"/>
        <v>4389794.4752098527</v>
      </c>
      <c r="I145" s="311">
        <v>141771.26016393444</v>
      </c>
      <c r="J145" s="135">
        <f>'B) D RI'!U146</f>
        <v>158779.04229508198</v>
      </c>
      <c r="K145" s="92">
        <f t="shared" si="21"/>
        <v>30.963923648091999</v>
      </c>
      <c r="L145" s="43">
        <f>'B) D RI'!S146</f>
        <v>61</v>
      </c>
      <c r="M145" s="43">
        <f t="shared" si="16"/>
        <v>30.036076351908001</v>
      </c>
      <c r="N145" s="199">
        <f>'J) Plafonnement effort'!G144+'J) Plafonnement effort'!H144-'K) Plafonnement aide'!I144</f>
        <v>30.90664866631916</v>
      </c>
      <c r="O145" s="199">
        <f t="shared" si="17"/>
        <v>60.942725018227165</v>
      </c>
      <c r="P145" s="59">
        <f t="shared" si="18"/>
        <v>0</v>
      </c>
      <c r="Q145" s="75">
        <f t="shared" si="22"/>
        <v>0</v>
      </c>
      <c r="R145" s="230">
        <f t="shared" si="19"/>
        <v>60.942725018227165</v>
      </c>
      <c r="S145" s="199">
        <f t="shared" si="20"/>
        <v>-5.7274981772835076E-2</v>
      </c>
      <c r="T145" s="229"/>
    </row>
    <row r="146" spans="1:20" x14ac:dyDescent="0.25">
      <c r="A146" s="61">
        <f>'A) Base RI'!A147</f>
        <v>5637</v>
      </c>
      <c r="B146" s="73" t="str">
        <f>'A) Base RI'!B147</f>
        <v>Lavigny</v>
      </c>
      <c r="C146" s="238">
        <v>547576.80667533702</v>
      </c>
      <c r="D146" s="239">
        <v>232697.04401861771</v>
      </c>
      <c r="E146" s="240">
        <v>0</v>
      </c>
      <c r="F146" s="239">
        <v>0</v>
      </c>
      <c r="G146" s="239">
        <v>0</v>
      </c>
      <c r="H146" s="241">
        <f t="shared" si="23"/>
        <v>780273.85069395474</v>
      </c>
      <c r="I146" s="311">
        <v>30305.948814317679</v>
      </c>
      <c r="J146" s="135">
        <f>'B) D RI'!U147</f>
        <v>31075.388277404931</v>
      </c>
      <c r="K146" s="92">
        <f t="shared" si="21"/>
        <v>25.746557399493916</v>
      </c>
      <c r="L146" s="43">
        <f>'B) D RI'!S147</f>
        <v>74.5</v>
      </c>
      <c r="M146" s="43">
        <f t="shared" si="16"/>
        <v>48.753442600506084</v>
      </c>
      <c r="N146" s="199">
        <f>'J) Plafonnement effort'!G145+'J) Plafonnement effort'!H145-'K) Plafonnement aide'!I145</f>
        <v>20.413992677672397</v>
      </c>
      <c r="O146" s="199">
        <f t="shared" si="17"/>
        <v>69.167435278178488</v>
      </c>
      <c r="P146" s="59">
        <f t="shared" si="18"/>
        <v>0</v>
      </c>
      <c r="Q146" s="75">
        <f t="shared" si="22"/>
        <v>0</v>
      </c>
      <c r="R146" s="230">
        <f t="shared" si="19"/>
        <v>69.167435278178488</v>
      </c>
      <c r="S146" s="199">
        <f t="shared" si="20"/>
        <v>-5.3325647218215124</v>
      </c>
      <c r="T146" s="229"/>
    </row>
    <row r="147" spans="1:20" x14ac:dyDescent="0.25">
      <c r="A147" s="61">
        <f>'A) Base RI'!A148</f>
        <v>5638</v>
      </c>
      <c r="B147" s="73" t="str">
        <f>'A) Base RI'!B148</f>
        <v>Lonay</v>
      </c>
      <c r="C147" s="238">
        <v>2993854.3393395711</v>
      </c>
      <c r="D147" s="239">
        <v>1806075</v>
      </c>
      <c r="E147" s="240">
        <v>0</v>
      </c>
      <c r="F147" s="239">
        <v>0</v>
      </c>
      <c r="G147" s="239">
        <v>0</v>
      </c>
      <c r="H147" s="241">
        <f t="shared" si="23"/>
        <v>4799929.3393395711</v>
      </c>
      <c r="I147" s="311">
        <v>131856.2218181818</v>
      </c>
      <c r="J147" s="135">
        <f>'B) D RI'!U148</f>
        <v>152475.57054545457</v>
      </c>
      <c r="K147" s="92">
        <f t="shared" si="21"/>
        <v>36.402751975998932</v>
      </c>
      <c r="L147" s="43">
        <f>'B) D RI'!S148</f>
        <v>55</v>
      </c>
      <c r="M147" s="43">
        <f t="shared" si="16"/>
        <v>18.597248024001068</v>
      </c>
      <c r="N147" s="199">
        <f>'J) Plafonnement effort'!G146+'J) Plafonnement effort'!H146-'K) Plafonnement aide'!I146</f>
        <v>34.573663053904212</v>
      </c>
      <c r="O147" s="199">
        <f t="shared" si="17"/>
        <v>53.170911077905281</v>
      </c>
      <c r="P147" s="59">
        <f t="shared" si="18"/>
        <v>0</v>
      </c>
      <c r="Q147" s="75">
        <f t="shared" si="22"/>
        <v>0</v>
      </c>
      <c r="R147" s="230">
        <f t="shared" si="19"/>
        <v>53.170911077905281</v>
      </c>
      <c r="S147" s="199">
        <f t="shared" si="20"/>
        <v>-1.8290889220947193</v>
      </c>
      <c r="T147" s="229"/>
    </row>
    <row r="148" spans="1:20" x14ac:dyDescent="0.25">
      <c r="A148" s="61">
        <f>'A) Base RI'!A149</f>
        <v>5639</v>
      </c>
      <c r="B148" s="73" t="str">
        <f>'A) Base RI'!B149</f>
        <v>Lully</v>
      </c>
      <c r="C148" s="238">
        <v>627714.01475741039</v>
      </c>
      <c r="D148" s="239">
        <v>698546</v>
      </c>
      <c r="E148" s="240">
        <v>0</v>
      </c>
      <c r="F148" s="239">
        <v>0</v>
      </c>
      <c r="G148" s="239">
        <v>0</v>
      </c>
      <c r="H148" s="241">
        <f t="shared" si="23"/>
        <v>1326260.0147574104</v>
      </c>
      <c r="I148" s="311">
        <v>41983.035245901636</v>
      </c>
      <c r="J148" s="135">
        <f>'B) D RI'!U149</f>
        <v>42318.428360655736</v>
      </c>
      <c r="K148" s="92">
        <f t="shared" si="21"/>
        <v>31.590379470881139</v>
      </c>
      <c r="L148" s="43">
        <f>'B) D RI'!S149</f>
        <v>61</v>
      </c>
      <c r="M148" s="43">
        <f t="shared" si="16"/>
        <v>29.409620529118861</v>
      </c>
      <c r="N148" s="199">
        <f>'J) Plafonnement effort'!G147+'J) Plafonnement effort'!H147-'K) Plafonnement aide'!I147</f>
        <v>32.159833064684008</v>
      </c>
      <c r="O148" s="199">
        <f t="shared" si="17"/>
        <v>61.569453593802869</v>
      </c>
      <c r="P148" s="59">
        <f t="shared" si="18"/>
        <v>0</v>
      </c>
      <c r="Q148" s="75">
        <f t="shared" si="22"/>
        <v>0</v>
      </c>
      <c r="R148" s="230">
        <f t="shared" si="19"/>
        <v>61.569453593802869</v>
      </c>
      <c r="S148" s="199">
        <f t="shared" si="20"/>
        <v>0.56945359380286931</v>
      </c>
      <c r="T148" s="229"/>
    </row>
    <row r="149" spans="1:20" x14ac:dyDescent="0.25">
      <c r="A149" s="61">
        <f>'A) Base RI'!A150</f>
        <v>5640</v>
      </c>
      <c r="B149" s="73" t="str">
        <f>'A) Base RI'!B150</f>
        <v>Lussy-sur-Morges</v>
      </c>
      <c r="C149" s="238">
        <v>1104100.8542626051</v>
      </c>
      <c r="D149" s="239">
        <v>764049</v>
      </c>
      <c r="E149" s="240">
        <v>0</v>
      </c>
      <c r="F149" s="239">
        <v>0</v>
      </c>
      <c r="G149" s="239">
        <v>0</v>
      </c>
      <c r="H149" s="241">
        <f t="shared" si="23"/>
        <v>1868149.8542626051</v>
      </c>
      <c r="I149" s="311">
        <v>50734.215909090912</v>
      </c>
      <c r="J149" s="135">
        <f>'B) D RI'!U150</f>
        <v>45310.844393939391</v>
      </c>
      <c r="K149" s="92">
        <f t="shared" si="21"/>
        <v>36.822286908111195</v>
      </c>
      <c r="L149" s="43">
        <f>'B) D RI'!S150</f>
        <v>66</v>
      </c>
      <c r="M149" s="43">
        <f t="shared" si="16"/>
        <v>29.177713091888805</v>
      </c>
      <c r="N149" s="199">
        <f>'J) Plafonnement effort'!G148+'J) Plafonnement effort'!H148-'K) Plafonnement aide'!I148</f>
        <v>38.517045711176507</v>
      </c>
      <c r="O149" s="199">
        <f t="shared" si="17"/>
        <v>67.694758803065312</v>
      </c>
      <c r="P149" s="59">
        <f t="shared" si="18"/>
        <v>0</v>
      </c>
      <c r="Q149" s="75">
        <f t="shared" si="22"/>
        <v>0</v>
      </c>
      <c r="R149" s="230">
        <f t="shared" si="19"/>
        <v>67.694758803065312</v>
      </c>
      <c r="S149" s="199">
        <f t="shared" si="20"/>
        <v>1.6947588030653122</v>
      </c>
      <c r="T149" s="229"/>
    </row>
    <row r="150" spans="1:20" x14ac:dyDescent="0.25">
      <c r="A150" s="61">
        <f>'A) Base RI'!A151</f>
        <v>5642</v>
      </c>
      <c r="B150" s="73" t="str">
        <f>'A) Base RI'!B151</f>
        <v>Morges</v>
      </c>
      <c r="C150" s="238">
        <v>12502304.313061392</v>
      </c>
      <c r="D150" s="239">
        <v>3162736</v>
      </c>
      <c r="E150" s="240">
        <v>0</v>
      </c>
      <c r="F150" s="239">
        <v>0</v>
      </c>
      <c r="G150" s="239">
        <v>0</v>
      </c>
      <c r="H150" s="241">
        <f t="shared" si="23"/>
        <v>15665040.313061392</v>
      </c>
      <c r="I150" s="311">
        <v>722363.52321167884</v>
      </c>
      <c r="J150" s="135">
        <f>'B) D RI'!U151</f>
        <v>715380.13065693423</v>
      </c>
      <c r="K150" s="92">
        <f t="shared" si="21"/>
        <v>21.685813042460289</v>
      </c>
      <c r="L150" s="43">
        <f>'B) D RI'!S151</f>
        <v>68.5</v>
      </c>
      <c r="M150" s="43">
        <f t="shared" si="16"/>
        <v>46.814186957539711</v>
      </c>
      <c r="N150" s="199">
        <f>'J) Plafonnement effort'!G149+'J) Plafonnement effort'!H149-'K) Plafonnement aide'!I149</f>
        <v>21.603474701007435</v>
      </c>
      <c r="O150" s="199">
        <f t="shared" si="17"/>
        <v>68.417661658547146</v>
      </c>
      <c r="P150" s="59">
        <f t="shared" si="18"/>
        <v>0</v>
      </c>
      <c r="Q150" s="75">
        <f t="shared" si="22"/>
        <v>0</v>
      </c>
      <c r="R150" s="230">
        <f t="shared" si="19"/>
        <v>68.417661658547146</v>
      </c>
      <c r="S150" s="199">
        <f t="shared" si="20"/>
        <v>-8.233834145285357E-2</v>
      </c>
      <c r="T150" s="229"/>
    </row>
    <row r="151" spans="1:20" x14ac:dyDescent="0.25">
      <c r="A151" s="61">
        <f>'A) Base RI'!A152</f>
        <v>5643</v>
      </c>
      <c r="B151" s="73" t="str">
        <f>'A) Base RI'!B152</f>
        <v>Préverenges</v>
      </c>
      <c r="C151" s="238">
        <v>4808944.367975085</v>
      </c>
      <c r="D151" s="239">
        <v>2997907</v>
      </c>
      <c r="E151" s="240">
        <v>0</v>
      </c>
      <c r="F151" s="239">
        <v>0</v>
      </c>
      <c r="G151" s="239">
        <v>0</v>
      </c>
      <c r="H151" s="241">
        <f t="shared" si="23"/>
        <v>7806851.367975085</v>
      </c>
      <c r="I151" s="311">
        <v>265909.61515625002</v>
      </c>
      <c r="J151" s="135">
        <f>'B) D RI'!U152</f>
        <v>249793.53640625</v>
      </c>
      <c r="K151" s="92">
        <f t="shared" si="21"/>
        <v>29.359041279450292</v>
      </c>
      <c r="L151" s="43">
        <f>'B) D RI'!S152</f>
        <v>64</v>
      </c>
      <c r="M151" s="43">
        <f t="shared" si="16"/>
        <v>34.640958720549705</v>
      </c>
      <c r="N151" s="199">
        <f>'J) Plafonnement effort'!G150+'J) Plafonnement effort'!H150-'K) Plafonnement aide'!I150</f>
        <v>26.940849492036524</v>
      </c>
      <c r="O151" s="199">
        <f t="shared" si="17"/>
        <v>61.581808212586225</v>
      </c>
      <c r="P151" s="59">
        <f t="shared" si="18"/>
        <v>0</v>
      </c>
      <c r="Q151" s="75">
        <f t="shared" si="22"/>
        <v>0</v>
      </c>
      <c r="R151" s="230">
        <f t="shared" si="19"/>
        <v>61.581808212586225</v>
      </c>
      <c r="S151" s="199">
        <f t="shared" si="20"/>
        <v>-2.4181917874137753</v>
      </c>
      <c r="T151" s="229"/>
    </row>
    <row r="152" spans="1:20" x14ac:dyDescent="0.25">
      <c r="A152" s="61">
        <f>'A) Base RI'!A153</f>
        <v>5644</v>
      </c>
      <c r="B152" s="73" t="str">
        <f>'A) Base RI'!B153</f>
        <v>Reverolle</v>
      </c>
      <c r="C152" s="238">
        <v>223300.50690362166</v>
      </c>
      <c r="D152" s="239">
        <v>220286.77104917134</v>
      </c>
      <c r="E152" s="240">
        <v>0</v>
      </c>
      <c r="F152" s="239">
        <v>0</v>
      </c>
      <c r="G152" s="239">
        <v>0</v>
      </c>
      <c r="H152" s="241">
        <f t="shared" si="23"/>
        <v>443587.277952793</v>
      </c>
      <c r="I152" s="311">
        <v>14878.554871794875</v>
      </c>
      <c r="J152" s="135">
        <f>'B) D RI'!U153</f>
        <v>15594.857631578949</v>
      </c>
      <c r="K152" s="92">
        <f t="shared" si="21"/>
        <v>29.813868468751416</v>
      </c>
      <c r="L152" s="43">
        <f>'B) D RI'!S153</f>
        <v>76</v>
      </c>
      <c r="M152" s="43">
        <f t="shared" si="16"/>
        <v>46.186131531248584</v>
      </c>
      <c r="N152" s="199">
        <f>'J) Plafonnement effort'!G151+'J) Plafonnement effort'!H151-'K) Plafonnement aide'!I151</f>
        <v>29.0860219542351</v>
      </c>
      <c r="O152" s="199">
        <f t="shared" si="17"/>
        <v>75.272153485483685</v>
      </c>
      <c r="P152" s="59">
        <f t="shared" si="18"/>
        <v>0</v>
      </c>
      <c r="Q152" s="75">
        <f t="shared" si="22"/>
        <v>0</v>
      </c>
      <c r="R152" s="230">
        <f t="shared" si="19"/>
        <v>75.272153485483685</v>
      </c>
      <c r="S152" s="199">
        <f t="shared" si="20"/>
        <v>-0.72784651451631532</v>
      </c>
      <c r="T152" s="229"/>
    </row>
    <row r="153" spans="1:20" x14ac:dyDescent="0.25">
      <c r="A153" s="61">
        <f>'A) Base RI'!A154</f>
        <v>5645</v>
      </c>
      <c r="B153" s="73" t="str">
        <f>'A) Base RI'!B154</f>
        <v>Romanel-sur-Morges</v>
      </c>
      <c r="C153" s="238">
        <v>444909.36115714174</v>
      </c>
      <c r="D153" s="239">
        <v>412483</v>
      </c>
      <c r="E153" s="240">
        <v>0</v>
      </c>
      <c r="F153" s="239">
        <v>0</v>
      </c>
      <c r="G153" s="239">
        <v>0</v>
      </c>
      <c r="H153" s="241">
        <f t="shared" si="23"/>
        <v>857392.36115714174</v>
      </c>
      <c r="I153" s="311">
        <v>25051.786919642858</v>
      </c>
      <c r="J153" s="135">
        <f>'B) D RI'!U154</f>
        <v>25378.60526785714</v>
      </c>
      <c r="K153" s="92">
        <f t="shared" si="21"/>
        <v>34.224798570551023</v>
      </c>
      <c r="L153" s="43">
        <f>'B) D RI'!S154</f>
        <v>56</v>
      </c>
      <c r="M153" s="43">
        <f t="shared" si="16"/>
        <v>21.775201429448977</v>
      </c>
      <c r="N153" s="199">
        <f>'J) Plafonnement effort'!G152+'J) Plafonnement effort'!H152-'K) Plafonnement aide'!I152</f>
        <v>32.589433460471703</v>
      </c>
      <c r="O153" s="199">
        <f t="shared" si="17"/>
        <v>54.36463488992068</v>
      </c>
      <c r="P153" s="59">
        <f t="shared" si="18"/>
        <v>0</v>
      </c>
      <c r="Q153" s="75">
        <f t="shared" si="22"/>
        <v>0</v>
      </c>
      <c r="R153" s="230">
        <f t="shared" si="19"/>
        <v>54.36463488992068</v>
      </c>
      <c r="S153" s="199">
        <f t="shared" si="20"/>
        <v>-1.6353651100793201</v>
      </c>
      <c r="T153" s="229"/>
    </row>
    <row r="154" spans="1:20" x14ac:dyDescent="0.25">
      <c r="A154" s="61">
        <f>'A) Base RI'!A155</f>
        <v>5646</v>
      </c>
      <c r="B154" s="73" t="str">
        <f>'A) Base RI'!B155</f>
        <v>Saint-Prex</v>
      </c>
      <c r="C154" s="238">
        <v>11171372.969403239</v>
      </c>
      <c r="D154" s="239">
        <v>4371992</v>
      </c>
      <c r="E154" s="240">
        <v>0</v>
      </c>
      <c r="F154" s="239">
        <v>0</v>
      </c>
      <c r="G154" s="239">
        <v>0</v>
      </c>
      <c r="H154" s="241">
        <f t="shared" si="23"/>
        <v>15543364.969403239</v>
      </c>
      <c r="I154" s="311">
        <v>375526.35254545452</v>
      </c>
      <c r="J154" s="135">
        <f>'B) D RI'!U155</f>
        <v>307317.64145454549</v>
      </c>
      <c r="K154" s="92">
        <f t="shared" si="21"/>
        <v>41.390876736198791</v>
      </c>
      <c r="L154" s="43">
        <f>'B) D RI'!S155</f>
        <v>55</v>
      </c>
      <c r="M154" s="43">
        <f t="shared" si="16"/>
        <v>13.609123263801209</v>
      </c>
      <c r="N154" s="199">
        <f>'J) Plafonnement effort'!G153+'J) Plafonnement effort'!H153-'K) Plafonnement aide'!I153</f>
        <v>31.15751876058205</v>
      </c>
      <c r="O154" s="199">
        <f t="shared" si="17"/>
        <v>44.766642024383259</v>
      </c>
      <c r="P154" s="59">
        <f t="shared" si="18"/>
        <v>0</v>
      </c>
      <c r="Q154" s="75">
        <f t="shared" si="22"/>
        <v>0</v>
      </c>
      <c r="R154" s="230">
        <f t="shared" si="19"/>
        <v>44.766642024383259</v>
      </c>
      <c r="S154" s="199">
        <f t="shared" si="20"/>
        <v>-10.233357975616741</v>
      </c>
      <c r="T154" s="229"/>
    </row>
    <row r="155" spans="1:20" x14ac:dyDescent="0.25">
      <c r="A155" s="61">
        <f>'A) Base RI'!A156</f>
        <v>5648</v>
      </c>
      <c r="B155" s="73" t="str">
        <f>'A) Base RI'!B156</f>
        <v>Saint-Sulpice</v>
      </c>
      <c r="C155" s="238">
        <v>6465375.8712222576</v>
      </c>
      <c r="D155" s="239">
        <v>3575856</v>
      </c>
      <c r="E155" s="240">
        <v>0</v>
      </c>
      <c r="F155" s="239">
        <v>0</v>
      </c>
      <c r="G155" s="239">
        <v>0</v>
      </c>
      <c r="H155" s="241">
        <f t="shared" si="23"/>
        <v>10041231.871222258</v>
      </c>
      <c r="I155" s="311">
        <v>290036.18604545452</v>
      </c>
      <c r="J155" s="135">
        <f>'B) D RI'!U156</f>
        <v>307335.61263636366</v>
      </c>
      <c r="K155" s="92">
        <f t="shared" si="21"/>
        <v>34.620617544765928</v>
      </c>
      <c r="L155" s="43">
        <f>'B) D RI'!S156</f>
        <v>55</v>
      </c>
      <c r="M155" s="43">
        <f t="shared" si="16"/>
        <v>20.379382455234072</v>
      </c>
      <c r="N155" s="199">
        <f>'J) Plafonnement effort'!G154+'J) Plafonnement effort'!H154-'K) Plafonnement aide'!I154</f>
        <v>37.018644306585728</v>
      </c>
      <c r="O155" s="199">
        <f t="shared" si="17"/>
        <v>57.3980267618198</v>
      </c>
      <c r="P155" s="59">
        <f t="shared" si="18"/>
        <v>0</v>
      </c>
      <c r="Q155" s="75">
        <f t="shared" si="22"/>
        <v>0</v>
      </c>
      <c r="R155" s="230">
        <f t="shared" si="19"/>
        <v>57.3980267618198</v>
      </c>
      <c r="S155" s="199">
        <f t="shared" si="20"/>
        <v>2.3980267618197999</v>
      </c>
      <c r="T155" s="229"/>
    </row>
    <row r="156" spans="1:20" x14ac:dyDescent="0.25">
      <c r="A156" s="61">
        <f>'A) Base RI'!A157</f>
        <v>5649</v>
      </c>
      <c r="B156" s="73" t="str">
        <f>'A) Base RI'!B157</f>
        <v>Tolochenaz</v>
      </c>
      <c r="C156" s="238">
        <v>1826202.0621072126</v>
      </c>
      <c r="D156" s="239">
        <v>1501595</v>
      </c>
      <c r="E156" s="240">
        <v>0</v>
      </c>
      <c r="F156" s="239">
        <v>0</v>
      </c>
      <c r="G156" s="239">
        <v>0</v>
      </c>
      <c r="H156" s="241">
        <f t="shared" si="23"/>
        <v>3327797.0621072128</v>
      </c>
      <c r="I156" s="311">
        <v>103201.6483076923</v>
      </c>
      <c r="J156" s="135">
        <f>'B) D RI'!U157</f>
        <v>109360.12415384616</v>
      </c>
      <c r="K156" s="92">
        <f t="shared" si="21"/>
        <v>32.245580537488081</v>
      </c>
      <c r="L156" s="43">
        <f>'B) D RI'!S157</f>
        <v>65</v>
      </c>
      <c r="M156" s="43">
        <f t="shared" si="16"/>
        <v>32.754419462511919</v>
      </c>
      <c r="N156" s="199">
        <f>'J) Plafonnement effort'!G155+'J) Plafonnement effort'!H155-'K) Plafonnement aide'!I155</f>
        <v>32.67843872462938</v>
      </c>
      <c r="O156" s="199">
        <f t="shared" si="17"/>
        <v>65.432858187141306</v>
      </c>
      <c r="P156" s="59">
        <f t="shared" si="18"/>
        <v>0</v>
      </c>
      <c r="Q156" s="75">
        <f t="shared" si="22"/>
        <v>0</v>
      </c>
      <c r="R156" s="230">
        <f t="shared" si="19"/>
        <v>65.432858187141306</v>
      </c>
      <c r="S156" s="199">
        <f t="shared" si="20"/>
        <v>0.43285818714130642</v>
      </c>
      <c r="T156" s="229"/>
    </row>
    <row r="157" spans="1:20" x14ac:dyDescent="0.25">
      <c r="A157" s="61">
        <f>'A) Base RI'!A158</f>
        <v>5650</v>
      </c>
      <c r="B157" s="73" t="str">
        <f>'A) Base RI'!B158</f>
        <v>Vaux-sur-Morges</v>
      </c>
      <c r="C157" s="238">
        <v>4594565.7764820168</v>
      </c>
      <c r="D157" s="239">
        <v>1147719</v>
      </c>
      <c r="E157" s="240">
        <v>0</v>
      </c>
      <c r="F157" s="239">
        <v>0</v>
      </c>
      <c r="G157" s="239">
        <v>0</v>
      </c>
      <c r="H157" s="241">
        <f t="shared" si="23"/>
        <v>5742284.7764820168</v>
      </c>
      <c r="I157" s="311">
        <v>157222.88974358974</v>
      </c>
      <c r="J157" s="135">
        <f>'B) D RI'!U158</f>
        <v>185061.46846153846</v>
      </c>
      <c r="K157" s="92">
        <f t="shared" si="21"/>
        <v>36.523211002208029</v>
      </c>
      <c r="L157" s="43">
        <f>'B) D RI'!S158</f>
        <v>39</v>
      </c>
      <c r="M157" s="43">
        <f t="shared" si="16"/>
        <v>2.4767889977919708</v>
      </c>
      <c r="N157" s="199">
        <f>'J) Plafonnement effort'!G156+'J) Plafonnement effort'!H156-'K) Plafonnement aide'!I156</f>
        <v>47.693401895931892</v>
      </c>
      <c r="O157" s="199">
        <f t="shared" si="17"/>
        <v>50.170190893723863</v>
      </c>
      <c r="P157" s="59">
        <f t="shared" si="18"/>
        <v>0</v>
      </c>
      <c r="Q157" s="75">
        <f t="shared" si="22"/>
        <v>0</v>
      </c>
      <c r="R157" s="230">
        <f t="shared" si="19"/>
        <v>50.170190893723863</v>
      </c>
      <c r="S157" s="199">
        <f t="shared" si="20"/>
        <v>11.170190893723863</v>
      </c>
      <c r="T157" s="229"/>
    </row>
    <row r="158" spans="1:20" x14ac:dyDescent="0.25">
      <c r="A158" s="61">
        <f>'A) Base RI'!A159</f>
        <v>5651</v>
      </c>
      <c r="B158" s="73" t="str">
        <f>'A) Base RI'!B159</f>
        <v>Villars-Sainte-Croix</v>
      </c>
      <c r="C158" s="238">
        <v>915245.43599453662</v>
      </c>
      <c r="D158" s="239">
        <v>741818</v>
      </c>
      <c r="E158" s="240">
        <v>0</v>
      </c>
      <c r="F158" s="239">
        <v>0</v>
      </c>
      <c r="G158" s="239">
        <v>0</v>
      </c>
      <c r="H158" s="241">
        <f t="shared" si="23"/>
        <v>1657063.4359945366</v>
      </c>
      <c r="I158" s="311">
        <v>47709.999830508481</v>
      </c>
      <c r="J158" s="135">
        <f>'B) D RI'!U159</f>
        <v>37823.297796610175</v>
      </c>
      <c r="K158" s="92">
        <f t="shared" si="21"/>
        <v>34.731994170641691</v>
      </c>
      <c r="L158" s="43">
        <f>'B) D RI'!S159</f>
        <v>59</v>
      </c>
      <c r="M158" s="43">
        <f t="shared" si="16"/>
        <v>24.268005829358309</v>
      </c>
      <c r="N158" s="199">
        <f>'J) Plafonnement effort'!G157+'J) Plafonnement effort'!H157-'K) Plafonnement aide'!I157</f>
        <v>37.967329658855618</v>
      </c>
      <c r="O158" s="199">
        <f t="shared" si="17"/>
        <v>62.235335488213927</v>
      </c>
      <c r="P158" s="59">
        <f t="shared" si="18"/>
        <v>0</v>
      </c>
      <c r="Q158" s="75">
        <f t="shared" si="22"/>
        <v>0</v>
      </c>
      <c r="R158" s="230">
        <f t="shared" si="19"/>
        <v>62.235335488213927</v>
      </c>
      <c r="S158" s="199">
        <f t="shared" si="20"/>
        <v>3.2353354882139271</v>
      </c>
      <c r="T158" s="229"/>
    </row>
    <row r="159" spans="1:20" x14ac:dyDescent="0.25">
      <c r="A159" s="61">
        <f>'A) Base RI'!A160</f>
        <v>5652</v>
      </c>
      <c r="B159" s="73" t="str">
        <f>'A) Base RI'!B160</f>
        <v>Villars-sous-Yens</v>
      </c>
      <c r="C159" s="238">
        <v>353913.06666356156</v>
      </c>
      <c r="D159" s="239">
        <v>379261.3653309294</v>
      </c>
      <c r="E159" s="240">
        <v>0</v>
      </c>
      <c r="F159" s="239">
        <v>0</v>
      </c>
      <c r="G159" s="239">
        <v>0</v>
      </c>
      <c r="H159" s="241">
        <f t="shared" si="23"/>
        <v>733174.43199449102</v>
      </c>
      <c r="I159" s="311">
        <v>24426.645087719295</v>
      </c>
      <c r="J159" s="135">
        <f>'B) D RI'!U160</f>
        <v>23640.281403508772</v>
      </c>
      <c r="K159" s="92">
        <f t="shared" si="21"/>
        <v>30.015355336828502</v>
      </c>
      <c r="L159" s="43">
        <f>'B) D RI'!S160</f>
        <v>76</v>
      </c>
      <c r="M159" s="43">
        <f t="shared" si="16"/>
        <v>45.984644663171494</v>
      </c>
      <c r="N159" s="199">
        <f>'J) Plafonnement effort'!G158+'J) Plafonnement effort'!H158-'K) Plafonnement aide'!I158</f>
        <v>25.394347836393152</v>
      </c>
      <c r="O159" s="199">
        <f t="shared" si="17"/>
        <v>71.378992499564646</v>
      </c>
      <c r="P159" s="59">
        <f t="shared" si="18"/>
        <v>0</v>
      </c>
      <c r="Q159" s="75">
        <f t="shared" si="22"/>
        <v>0</v>
      </c>
      <c r="R159" s="230">
        <f t="shared" si="19"/>
        <v>71.378992499564646</v>
      </c>
      <c r="S159" s="199">
        <f t="shared" si="20"/>
        <v>-4.6210075004353541</v>
      </c>
      <c r="T159" s="229"/>
    </row>
    <row r="160" spans="1:20" x14ac:dyDescent="0.25">
      <c r="A160" s="61">
        <f>'A) Base RI'!A161</f>
        <v>5653</v>
      </c>
      <c r="B160" s="73" t="str">
        <f>'A) Base RI'!B161</f>
        <v>Vufflens-le-Château</v>
      </c>
      <c r="C160" s="238">
        <v>968609.79470647313</v>
      </c>
      <c r="D160" s="239">
        <v>861382</v>
      </c>
      <c r="E160" s="240">
        <v>0</v>
      </c>
      <c r="F160" s="239">
        <v>0</v>
      </c>
      <c r="G160" s="239">
        <v>0</v>
      </c>
      <c r="H160" s="241">
        <f t="shared" si="23"/>
        <v>1829991.7947064731</v>
      </c>
      <c r="I160" s="311">
        <v>54206.67831818181</v>
      </c>
      <c r="J160" s="135">
        <f>'B) D RI'!U161</f>
        <v>59809.956818181818</v>
      </c>
      <c r="K160" s="92">
        <f t="shared" si="21"/>
        <v>33.759526528535943</v>
      </c>
      <c r="L160" s="43">
        <f>'B) D RI'!S161</f>
        <v>55</v>
      </c>
      <c r="M160" s="43">
        <f t="shared" si="16"/>
        <v>21.240473471464057</v>
      </c>
      <c r="N160" s="199">
        <f>'J) Plafonnement effort'!G159+'J) Plafonnement effort'!H159-'K) Plafonnement aide'!I159</f>
        <v>36.567116347830691</v>
      </c>
      <c r="O160" s="199">
        <f t="shared" si="17"/>
        <v>57.807589819294748</v>
      </c>
      <c r="P160" s="59">
        <f t="shared" si="18"/>
        <v>0</v>
      </c>
      <c r="Q160" s="75">
        <f t="shared" si="22"/>
        <v>0</v>
      </c>
      <c r="R160" s="230">
        <f t="shared" si="19"/>
        <v>57.807589819294748</v>
      </c>
      <c r="S160" s="199">
        <f t="shared" si="20"/>
        <v>2.8075898192947477</v>
      </c>
      <c r="T160" s="229"/>
    </row>
    <row r="161" spans="1:20" x14ac:dyDescent="0.25">
      <c r="A161" s="61">
        <f>'A) Base RI'!A162</f>
        <v>5654</v>
      </c>
      <c r="B161" s="73" t="str">
        <f>'A) Base RI'!B162</f>
        <v>Vullierens</v>
      </c>
      <c r="C161" s="238">
        <v>282491.6900340023</v>
      </c>
      <c r="D161" s="239">
        <v>149807.99519698584</v>
      </c>
      <c r="E161" s="240">
        <v>0</v>
      </c>
      <c r="F161" s="239">
        <v>0</v>
      </c>
      <c r="G161" s="239">
        <v>0</v>
      </c>
      <c r="H161" s="241">
        <f t="shared" si="23"/>
        <v>432299.68523098814</v>
      </c>
      <c r="I161" s="311">
        <v>15860.891578947369</v>
      </c>
      <c r="J161" s="135">
        <f>'B) D RI'!U162</f>
        <v>16948.890394736845</v>
      </c>
      <c r="K161" s="92">
        <f t="shared" si="21"/>
        <v>27.255698904391497</v>
      </c>
      <c r="L161" s="43">
        <f>'B) D RI'!S162</f>
        <v>76</v>
      </c>
      <c r="M161" s="43">
        <f t="shared" si="16"/>
        <v>48.744301095608506</v>
      </c>
      <c r="N161" s="199">
        <f>'J) Plafonnement effort'!G160+'J) Plafonnement effort'!H160-'K) Plafonnement aide'!I160</f>
        <v>23.039948300059763</v>
      </c>
      <c r="O161" s="199">
        <f t="shared" si="17"/>
        <v>71.784249395668269</v>
      </c>
      <c r="P161" s="59">
        <f t="shared" si="18"/>
        <v>0</v>
      </c>
      <c r="Q161" s="75">
        <f t="shared" si="22"/>
        <v>0</v>
      </c>
      <c r="R161" s="230">
        <f t="shared" si="19"/>
        <v>71.784249395668269</v>
      </c>
      <c r="S161" s="199">
        <f t="shared" si="20"/>
        <v>-4.2157506043317312</v>
      </c>
      <c r="T161" s="229"/>
    </row>
    <row r="162" spans="1:20" x14ac:dyDescent="0.25">
      <c r="A162" s="61">
        <f>'A) Base RI'!A163</f>
        <v>5655</v>
      </c>
      <c r="B162" s="73" t="str">
        <f>'A) Base RI'!B163</f>
        <v>Yens</v>
      </c>
      <c r="C162" s="238">
        <v>1197857.0582790573</v>
      </c>
      <c r="D162" s="239">
        <v>1138007</v>
      </c>
      <c r="E162" s="240">
        <v>0</v>
      </c>
      <c r="F162" s="239">
        <v>0</v>
      </c>
      <c r="G162" s="239">
        <v>0</v>
      </c>
      <c r="H162" s="241">
        <f t="shared" si="23"/>
        <v>2335864.058279057</v>
      </c>
      <c r="I162" s="311">
        <v>73269.942328767123</v>
      </c>
      <c r="J162" s="135">
        <f>'B) D RI'!U163</f>
        <v>68107.282191780832</v>
      </c>
      <c r="K162" s="92">
        <f t="shared" si="21"/>
        <v>31.880249718197934</v>
      </c>
      <c r="L162" s="43">
        <f>'B) D RI'!S163</f>
        <v>73</v>
      </c>
      <c r="M162" s="43">
        <f t="shared" si="16"/>
        <v>41.119750281802069</v>
      </c>
      <c r="N162" s="199">
        <f>'J) Plafonnement effort'!G161+'J) Plafonnement effort'!H161-'K) Plafonnement aide'!I161</f>
        <v>35.458950792785551</v>
      </c>
      <c r="O162" s="199">
        <f t="shared" si="17"/>
        <v>76.578701074587627</v>
      </c>
      <c r="P162" s="59">
        <f t="shared" si="18"/>
        <v>0</v>
      </c>
      <c r="Q162" s="75">
        <f t="shared" si="22"/>
        <v>0</v>
      </c>
      <c r="R162" s="230">
        <f t="shared" si="19"/>
        <v>76.578701074587627</v>
      </c>
      <c r="S162" s="199">
        <f t="shared" si="20"/>
        <v>3.5787010745876273</v>
      </c>
      <c r="T162" s="229"/>
    </row>
    <row r="163" spans="1:20" x14ac:dyDescent="0.25">
      <c r="A163" s="61">
        <f>'A) Base RI'!A164</f>
        <v>5661</v>
      </c>
      <c r="B163" s="73" t="str">
        <f>'A) Base RI'!B164</f>
        <v>Boulens</v>
      </c>
      <c r="C163" s="238">
        <v>116209.99526447209</v>
      </c>
      <c r="D163" s="239">
        <v>-74213.971165342809</v>
      </c>
      <c r="E163" s="240">
        <v>0</v>
      </c>
      <c r="F163" s="239">
        <v>0</v>
      </c>
      <c r="G163" s="239">
        <v>0</v>
      </c>
      <c r="H163" s="241">
        <f t="shared" si="23"/>
        <v>41996.024099129281</v>
      </c>
      <c r="I163" s="311">
        <v>6901.8381012658238</v>
      </c>
      <c r="J163" s="135">
        <f>'B) D RI'!U164</f>
        <v>7277.4751898734185</v>
      </c>
      <c r="K163" s="92">
        <f t="shared" si="21"/>
        <v>6.0847593761185221</v>
      </c>
      <c r="L163" s="43">
        <f>'B) D RI'!S164</f>
        <v>79</v>
      </c>
      <c r="M163" s="43">
        <f t="shared" si="16"/>
        <v>72.915240623881473</v>
      </c>
      <c r="N163" s="199">
        <f>'J) Plafonnement effort'!G162+'J) Plafonnement effort'!H162-'K) Plafonnement aide'!I162</f>
        <v>1.317991294602483</v>
      </c>
      <c r="O163" s="199">
        <f t="shared" si="17"/>
        <v>74.233231918483952</v>
      </c>
      <c r="P163" s="59">
        <f t="shared" si="18"/>
        <v>0</v>
      </c>
      <c r="Q163" s="75">
        <f t="shared" si="22"/>
        <v>0</v>
      </c>
      <c r="R163" s="230">
        <f t="shared" si="19"/>
        <v>74.233231918483952</v>
      </c>
      <c r="S163" s="199">
        <f t="shared" si="20"/>
        <v>-4.766768081516048</v>
      </c>
      <c r="T163" s="229"/>
    </row>
    <row r="164" spans="1:20" x14ac:dyDescent="0.25">
      <c r="A164" s="61">
        <f>'A) Base RI'!A165</f>
        <v>5662</v>
      </c>
      <c r="B164" s="73" t="str">
        <f>'A) Base RI'!B165</f>
        <v>Brenles</v>
      </c>
      <c r="C164" s="238">
        <v>76858.713544552156</v>
      </c>
      <c r="D164" s="239">
        <v>4341.4093209908751</v>
      </c>
      <c r="E164" s="240">
        <v>0</v>
      </c>
      <c r="F164" s="239">
        <v>0</v>
      </c>
      <c r="G164" s="239">
        <v>0</v>
      </c>
      <c r="H164" s="241">
        <f t="shared" si="23"/>
        <v>81200.122865543031</v>
      </c>
      <c r="I164" s="311">
        <v>4031.2468945868945</v>
      </c>
      <c r="J164" s="135">
        <f>'B) D RI'!U165</f>
        <v>4680.0413390313388</v>
      </c>
      <c r="K164" s="92">
        <f t="shared" si="21"/>
        <v>20.142681653802324</v>
      </c>
      <c r="L164" s="43">
        <f>'B) D RI'!S165</f>
        <v>78</v>
      </c>
      <c r="M164" s="43">
        <f t="shared" si="16"/>
        <v>57.857318346197673</v>
      </c>
      <c r="N164" s="199">
        <f>'J) Plafonnement effort'!G163+'J) Plafonnement effort'!H163-'K) Plafonnement aide'!I163</f>
        <v>21.94578289808841</v>
      </c>
      <c r="O164" s="199">
        <f t="shared" si="17"/>
        <v>79.803101244286083</v>
      </c>
      <c r="P164" s="59">
        <f t="shared" si="18"/>
        <v>0</v>
      </c>
      <c r="Q164" s="75">
        <f t="shared" si="22"/>
        <v>0</v>
      </c>
      <c r="R164" s="230">
        <f t="shared" si="19"/>
        <v>79.803101244286083</v>
      </c>
      <c r="S164" s="199">
        <f t="shared" si="20"/>
        <v>1.8031012442860828</v>
      </c>
      <c r="T164" s="229"/>
    </row>
    <row r="165" spans="1:20" x14ac:dyDescent="0.25">
      <c r="A165" s="61">
        <f>'A) Base RI'!A166</f>
        <v>5663</v>
      </c>
      <c r="B165" s="73" t="str">
        <f>'A) Base RI'!B166</f>
        <v>Bussy-sur-Moudon</v>
      </c>
      <c r="C165" s="238">
        <v>78480.560825679335</v>
      </c>
      <c r="D165" s="239">
        <v>-13072.395404705414</v>
      </c>
      <c r="E165" s="240">
        <v>0</v>
      </c>
      <c r="F165" s="239">
        <v>0</v>
      </c>
      <c r="G165" s="239">
        <v>0</v>
      </c>
      <c r="H165" s="241">
        <f t="shared" si="23"/>
        <v>65408.165420973921</v>
      </c>
      <c r="I165" s="311">
        <v>5172.1214999999993</v>
      </c>
      <c r="J165" s="135">
        <f>'B) D RI'!U166</f>
        <v>4999.1039999999994</v>
      </c>
      <c r="K165" s="92">
        <f t="shared" si="21"/>
        <v>12.646293290088783</v>
      </c>
      <c r="L165" s="43">
        <f>'B) D RI'!S166</f>
        <v>80</v>
      </c>
      <c r="M165" s="43">
        <f t="shared" si="16"/>
        <v>67.353706709911222</v>
      </c>
      <c r="N165" s="199">
        <f>'J) Plafonnement effort'!G164+'J) Plafonnement effort'!H164-'K) Plafonnement aide'!I164</f>
        <v>9.8011406152093734</v>
      </c>
      <c r="O165" s="199">
        <f t="shared" si="17"/>
        <v>77.154847325120599</v>
      </c>
      <c r="P165" s="59">
        <f t="shared" si="18"/>
        <v>0</v>
      </c>
      <c r="Q165" s="75">
        <f t="shared" si="22"/>
        <v>0</v>
      </c>
      <c r="R165" s="230">
        <f t="shared" si="19"/>
        <v>77.154847325120599</v>
      </c>
      <c r="S165" s="199">
        <f t="shared" si="20"/>
        <v>-2.8451526748794009</v>
      </c>
      <c r="T165" s="229"/>
    </row>
    <row r="166" spans="1:20" x14ac:dyDescent="0.25">
      <c r="A166" s="61">
        <f>'A) Base RI'!A167</f>
        <v>5665</v>
      </c>
      <c r="B166" s="73" t="str">
        <f>'A) Base RI'!B167</f>
        <v>Chavannes-sur-Moudon</v>
      </c>
      <c r="C166" s="238">
        <v>52208.399461911285</v>
      </c>
      <c r="D166" s="239">
        <v>-89626.297660817247</v>
      </c>
      <c r="E166" s="240">
        <v>17020.997712794851</v>
      </c>
      <c r="F166" s="239">
        <v>0</v>
      </c>
      <c r="G166" s="239">
        <v>0</v>
      </c>
      <c r="H166" s="241">
        <f t="shared" si="23"/>
        <v>-20396.90048611111</v>
      </c>
      <c r="I166" s="311">
        <v>3708.5273611111106</v>
      </c>
      <c r="J166" s="135">
        <f>'B) D RI'!U167</f>
        <v>4834.5158333333329</v>
      </c>
      <c r="K166" s="92">
        <f t="shared" si="21"/>
        <v>-5.5</v>
      </c>
      <c r="L166" s="43">
        <f>'B) D RI'!S167</f>
        <v>72</v>
      </c>
      <c r="M166" s="43">
        <f t="shared" si="16"/>
        <v>77.5</v>
      </c>
      <c r="N166" s="199">
        <f>'J) Plafonnement effort'!G165+'J) Plafonnement effort'!H165-'K) Plafonnement aide'!I165</f>
        <v>3.3437572118640899</v>
      </c>
      <c r="O166" s="199">
        <f t="shared" si="17"/>
        <v>80.843757211864087</v>
      </c>
      <c r="P166" s="59">
        <f t="shared" si="18"/>
        <v>0</v>
      </c>
      <c r="Q166" s="75">
        <f t="shared" si="22"/>
        <v>0</v>
      </c>
      <c r="R166" s="230">
        <f t="shared" si="19"/>
        <v>80.843757211864087</v>
      </c>
      <c r="S166" s="199">
        <f t="shared" si="20"/>
        <v>8.8437572118640873</v>
      </c>
      <c r="T166" s="229"/>
    </row>
    <row r="167" spans="1:20" x14ac:dyDescent="0.25">
      <c r="A167" s="61">
        <f>'A) Base RI'!A168</f>
        <v>5666</v>
      </c>
      <c r="B167" s="73" t="str">
        <f>'A) Base RI'!B168</f>
        <v>Chesalles-sur-Moudon</v>
      </c>
      <c r="C167" s="238">
        <v>55774.762477368437</v>
      </c>
      <c r="D167" s="239">
        <v>-21049.49006302646</v>
      </c>
      <c r="E167" s="240">
        <v>0</v>
      </c>
      <c r="F167" s="239">
        <v>0</v>
      </c>
      <c r="G167" s="239">
        <v>0</v>
      </c>
      <c r="H167" s="241">
        <f t="shared" si="23"/>
        <v>34725.272414341976</v>
      </c>
      <c r="I167" s="311">
        <v>3731.231866666667</v>
      </c>
      <c r="J167" s="135">
        <f>'B) D RI'!U168</f>
        <v>3561.2682666666665</v>
      </c>
      <c r="K167" s="92">
        <f t="shared" si="21"/>
        <v>9.3066509011577843</v>
      </c>
      <c r="L167" s="43">
        <f>'B) D RI'!S168</f>
        <v>75</v>
      </c>
      <c r="M167" s="43">
        <f t="shared" si="16"/>
        <v>65.693349098842219</v>
      </c>
      <c r="N167" s="199">
        <f>'J) Plafonnement effort'!G166+'J) Plafonnement effort'!H166-'K) Plafonnement aide'!I166</f>
        <v>4.8875476224375376</v>
      </c>
      <c r="O167" s="199">
        <f t="shared" si="17"/>
        <v>70.580896721279757</v>
      </c>
      <c r="P167" s="59">
        <f t="shared" si="18"/>
        <v>0</v>
      </c>
      <c r="Q167" s="75">
        <f t="shared" si="22"/>
        <v>0</v>
      </c>
      <c r="R167" s="230">
        <f t="shared" si="19"/>
        <v>70.580896721279757</v>
      </c>
      <c r="S167" s="199">
        <f t="shared" si="20"/>
        <v>-4.4191032787202431</v>
      </c>
      <c r="T167" s="229"/>
    </row>
    <row r="168" spans="1:20" x14ac:dyDescent="0.25">
      <c r="A168" s="61">
        <f>'A) Base RI'!A169</f>
        <v>5668</v>
      </c>
      <c r="B168" s="73" t="str">
        <f>'A) Base RI'!B169</f>
        <v>Cremin</v>
      </c>
      <c r="C168" s="238">
        <v>13828.251055803144</v>
      </c>
      <c r="D168" s="239">
        <v>-15064.444512527814</v>
      </c>
      <c r="E168" s="240">
        <v>0</v>
      </c>
      <c r="F168" s="239">
        <v>0</v>
      </c>
      <c r="G168" s="239">
        <v>0</v>
      </c>
      <c r="H168" s="241">
        <f t="shared" si="23"/>
        <v>-1236.1934567246699</v>
      </c>
      <c r="I168" s="311">
        <v>1020.8936363636363</v>
      </c>
      <c r="J168" s="135">
        <f>'B) D RI'!U169</f>
        <v>902.96818181818162</v>
      </c>
      <c r="K168" s="92">
        <f t="shared" si="21"/>
        <v>-1.2108934885008382</v>
      </c>
      <c r="L168" s="43">
        <f>'B) D RI'!S169</f>
        <v>77</v>
      </c>
      <c r="M168" s="43">
        <f t="shared" si="16"/>
        <v>78.210893488500844</v>
      </c>
      <c r="N168" s="199">
        <f>'J) Plafonnement effort'!G167+'J) Plafonnement effort'!H167-'K) Plafonnement aide'!I167</f>
        <v>-5.5</v>
      </c>
      <c r="O168" s="199">
        <f t="shared" si="17"/>
        <v>72.710893488500844</v>
      </c>
      <c r="P168" s="59">
        <f t="shared" si="18"/>
        <v>0</v>
      </c>
      <c r="Q168" s="75">
        <f t="shared" si="22"/>
        <v>0</v>
      </c>
      <c r="R168" s="230">
        <f t="shared" si="19"/>
        <v>72.710893488500844</v>
      </c>
      <c r="S168" s="199">
        <f t="shared" si="20"/>
        <v>-4.2891065114991562</v>
      </c>
      <c r="T168" s="229"/>
    </row>
    <row r="169" spans="1:20" x14ac:dyDescent="0.25">
      <c r="A169" s="61">
        <f>'A) Base RI'!A170</f>
        <v>5669</v>
      </c>
      <c r="B169" s="73" t="str">
        <f>'A) Base RI'!B170</f>
        <v>Curtilles</v>
      </c>
      <c r="C169" s="238">
        <v>142637.48647925822</v>
      </c>
      <c r="D169" s="239">
        <v>8489.9765203648712</v>
      </c>
      <c r="E169" s="240">
        <v>0</v>
      </c>
      <c r="F169" s="239">
        <v>0</v>
      </c>
      <c r="G169" s="239">
        <v>0</v>
      </c>
      <c r="H169" s="241">
        <f t="shared" si="23"/>
        <v>151127.46299962309</v>
      </c>
      <c r="I169" s="311">
        <v>8099.7640277777791</v>
      </c>
      <c r="J169" s="135">
        <f>'B) D RI'!U170</f>
        <v>8707.7998611111107</v>
      </c>
      <c r="K169" s="92">
        <f t="shared" si="21"/>
        <v>18.658255040682445</v>
      </c>
      <c r="L169" s="43">
        <f>'B) D RI'!S170</f>
        <v>72</v>
      </c>
      <c r="M169" s="43">
        <f t="shared" si="16"/>
        <v>53.341744959317552</v>
      </c>
      <c r="N169" s="199">
        <f>'J) Plafonnement effort'!G168+'J) Plafonnement effort'!H168-'K) Plafonnement aide'!I168</f>
        <v>21.665366187301672</v>
      </c>
      <c r="O169" s="199">
        <f t="shared" si="17"/>
        <v>75.007111146619224</v>
      </c>
      <c r="P169" s="59">
        <f t="shared" si="18"/>
        <v>0</v>
      </c>
      <c r="Q169" s="75">
        <f t="shared" si="22"/>
        <v>0</v>
      </c>
      <c r="R169" s="230">
        <f t="shared" si="19"/>
        <v>75.007111146619224</v>
      </c>
      <c r="S169" s="199">
        <f t="shared" si="20"/>
        <v>3.0071111466192235</v>
      </c>
      <c r="T169" s="229"/>
    </row>
    <row r="170" spans="1:20" x14ac:dyDescent="0.25">
      <c r="A170" s="61">
        <f>'A) Base RI'!A171</f>
        <v>5671</v>
      </c>
      <c r="B170" s="73" t="str">
        <f>'A) Base RI'!B171</f>
        <v>Dompierre</v>
      </c>
      <c r="C170" s="238">
        <v>82800.713434385514</v>
      </c>
      <c r="D170" s="239">
        <v>-42838.126651477331</v>
      </c>
      <c r="E170" s="240">
        <v>0</v>
      </c>
      <c r="F170" s="239">
        <v>0</v>
      </c>
      <c r="G170" s="239">
        <v>0</v>
      </c>
      <c r="H170" s="241">
        <f t="shared" si="23"/>
        <v>39962.586782908184</v>
      </c>
      <c r="I170" s="311">
        <v>5882.5981250000004</v>
      </c>
      <c r="J170" s="135">
        <f>'B) D RI'!U171</f>
        <v>6226.6947500000006</v>
      </c>
      <c r="K170" s="92">
        <f t="shared" si="21"/>
        <v>6.7933565974997112</v>
      </c>
      <c r="L170" s="43">
        <f>'B) D RI'!S171</f>
        <v>80</v>
      </c>
      <c r="M170" s="43">
        <f t="shared" ref="M170:M224" si="24">L170-K170</f>
        <v>73.206643402500291</v>
      </c>
      <c r="N170" s="199">
        <f>'J) Plafonnement effort'!G169+'J) Plafonnement effort'!H169-'K) Plafonnement aide'!I169</f>
        <v>4.6901810396856902</v>
      </c>
      <c r="O170" s="199">
        <f t="shared" ref="O170:O224" si="25">M170+N170</f>
        <v>77.896824442185988</v>
      </c>
      <c r="P170" s="59">
        <f t="shared" ref="P170:P224" si="26">IF(O170&gt;$P$5,$P$5-O170,0)</f>
        <v>0</v>
      </c>
      <c r="Q170" s="75">
        <f t="shared" si="22"/>
        <v>0</v>
      </c>
      <c r="R170" s="230">
        <f t="shared" ref="R170:R224" si="27">O170+P170</f>
        <v>77.896824442185988</v>
      </c>
      <c r="S170" s="199">
        <f t="shared" ref="S170:S224" si="28">R170-L170</f>
        <v>-2.1031755578140121</v>
      </c>
      <c r="T170" s="229"/>
    </row>
    <row r="171" spans="1:20" x14ac:dyDescent="0.25">
      <c r="A171" s="61">
        <f>'A) Base RI'!A172</f>
        <v>5672</v>
      </c>
      <c r="B171" s="73" t="str">
        <f>'A) Base RI'!B172</f>
        <v>Forel-sur-Lucens</v>
      </c>
      <c r="C171" s="238">
        <v>66533.454828403454</v>
      </c>
      <c r="D171" s="239">
        <v>-8232.1327043653</v>
      </c>
      <c r="E171" s="240">
        <v>0</v>
      </c>
      <c r="F171" s="239">
        <v>0</v>
      </c>
      <c r="G171" s="239">
        <v>0</v>
      </c>
      <c r="H171" s="241">
        <f t="shared" si="23"/>
        <v>58301.322124038154</v>
      </c>
      <c r="I171" s="311">
        <v>3859.3261000000002</v>
      </c>
      <c r="J171" s="135">
        <f>'B) D RI'!U172</f>
        <v>4324.9200666666666</v>
      </c>
      <c r="K171" s="92">
        <f t="shared" ref="K171:K226" si="29">H171/I171</f>
        <v>15.106606856579999</v>
      </c>
      <c r="L171" s="43">
        <f>'B) D RI'!S172</f>
        <v>75</v>
      </c>
      <c r="M171" s="43">
        <f t="shared" si="24"/>
        <v>59.893393143419999</v>
      </c>
      <c r="N171" s="199">
        <f>'J) Plafonnement effort'!G170+'J) Plafonnement effort'!H170-'K) Plafonnement aide'!I170</f>
        <v>16.954689433132614</v>
      </c>
      <c r="O171" s="199">
        <f t="shared" si="25"/>
        <v>76.848082576552613</v>
      </c>
      <c r="P171" s="59">
        <f t="shared" si="26"/>
        <v>0</v>
      </c>
      <c r="Q171" s="75">
        <f t="shared" si="22"/>
        <v>0</v>
      </c>
      <c r="R171" s="230">
        <f t="shared" si="27"/>
        <v>76.848082576552613</v>
      </c>
      <c r="S171" s="199">
        <f t="shared" si="28"/>
        <v>1.8480825765526134</v>
      </c>
      <c r="T171" s="229"/>
    </row>
    <row r="172" spans="1:20" x14ac:dyDescent="0.25">
      <c r="A172" s="61">
        <f>'A) Base RI'!A173</f>
        <v>5673</v>
      </c>
      <c r="B172" s="73" t="str">
        <f>'A) Base RI'!B173</f>
        <v>Hermenches</v>
      </c>
      <c r="C172" s="238">
        <v>189998.79103286591</v>
      </c>
      <c r="D172" s="239">
        <v>-15.465940236521419</v>
      </c>
      <c r="E172" s="240">
        <v>0</v>
      </c>
      <c r="F172" s="239">
        <v>0</v>
      </c>
      <c r="G172" s="239">
        <v>0</v>
      </c>
      <c r="H172" s="241">
        <f t="shared" si="23"/>
        <v>189983.32509262938</v>
      </c>
      <c r="I172" s="311">
        <v>9584.1538967136148</v>
      </c>
      <c r="J172" s="135">
        <f>'B) D RI'!U173</f>
        <v>8854.2944888888887</v>
      </c>
      <c r="K172" s="92">
        <f t="shared" si="29"/>
        <v>19.82264967153483</v>
      </c>
      <c r="L172" s="43">
        <f>'B) D RI'!S173</f>
        <v>75</v>
      </c>
      <c r="M172" s="43">
        <f t="shared" si="24"/>
        <v>55.177350328465167</v>
      </c>
      <c r="N172" s="199">
        <f>'J) Plafonnement effort'!G171+'J) Plafonnement effort'!H171-'K) Plafonnement aide'!I171</f>
        <v>5.5751490217767437</v>
      </c>
      <c r="O172" s="199">
        <f t="shared" si="25"/>
        <v>60.752499350241912</v>
      </c>
      <c r="P172" s="59">
        <f t="shared" si="26"/>
        <v>0</v>
      </c>
      <c r="Q172" s="75">
        <f t="shared" ref="Q172:Q227" si="30">P172*J172</f>
        <v>0</v>
      </c>
      <c r="R172" s="230">
        <f t="shared" si="27"/>
        <v>60.752499350241912</v>
      </c>
      <c r="S172" s="199">
        <f t="shared" si="28"/>
        <v>-14.247500649758088</v>
      </c>
      <c r="T172" s="229"/>
    </row>
    <row r="173" spans="1:20" x14ac:dyDescent="0.25">
      <c r="A173" s="61">
        <f>'A) Base RI'!A174</f>
        <v>5674</v>
      </c>
      <c r="B173" s="73" t="str">
        <f>'A) Base RI'!B174</f>
        <v>Lovatens</v>
      </c>
      <c r="C173" s="238">
        <v>80034.18266134958</v>
      </c>
      <c r="D173" s="239">
        <v>84463.762753054441</v>
      </c>
      <c r="E173" s="240">
        <v>0</v>
      </c>
      <c r="F173" s="239">
        <v>0</v>
      </c>
      <c r="G173" s="239">
        <v>0</v>
      </c>
      <c r="H173" s="241">
        <f t="shared" si="23"/>
        <v>164497.94541440404</v>
      </c>
      <c r="I173" s="311">
        <v>5762.0609054325942</v>
      </c>
      <c r="J173" s="135">
        <f>'B) D RI'!U174</f>
        <v>3347.4317333333333</v>
      </c>
      <c r="K173" s="92">
        <f t="shared" si="29"/>
        <v>28.548456552986426</v>
      </c>
      <c r="L173" s="43">
        <f>'B) D RI'!S174</f>
        <v>75</v>
      </c>
      <c r="M173" s="43">
        <f t="shared" si="24"/>
        <v>46.451543447013577</v>
      </c>
      <c r="N173" s="199">
        <f>'J) Plafonnement effort'!G172+'J) Plafonnement effort'!H172-'K) Plafonnement aide'!I172</f>
        <v>3.4521855883217296</v>
      </c>
      <c r="O173" s="199">
        <f t="shared" si="25"/>
        <v>49.90372903533531</v>
      </c>
      <c r="P173" s="59">
        <f t="shared" si="26"/>
        <v>0</v>
      </c>
      <c r="Q173" s="75">
        <f t="shared" si="30"/>
        <v>0</v>
      </c>
      <c r="R173" s="230">
        <f t="shared" si="27"/>
        <v>49.90372903533531</v>
      </c>
      <c r="S173" s="199">
        <f t="shared" si="28"/>
        <v>-25.09627096466469</v>
      </c>
      <c r="T173" s="229"/>
    </row>
    <row r="174" spans="1:20" x14ac:dyDescent="0.25">
      <c r="A174" s="61">
        <f>'A) Base RI'!A175</f>
        <v>5675</v>
      </c>
      <c r="B174" s="73" t="str">
        <f>'A) Base RI'!B175</f>
        <v>Lucens</v>
      </c>
      <c r="C174" s="238">
        <v>1210259.313780935</v>
      </c>
      <c r="D174" s="239">
        <v>-598924.07000006037</v>
      </c>
      <c r="E174" s="240">
        <v>0</v>
      </c>
      <c r="F174" s="239">
        <v>0</v>
      </c>
      <c r="G174" s="239">
        <v>0</v>
      </c>
      <c r="H174" s="241">
        <f t="shared" si="23"/>
        <v>611335.24378087465</v>
      </c>
      <c r="I174" s="311">
        <v>78725.785578512397</v>
      </c>
      <c r="J174" s="135">
        <f>'B) D RI'!U175</f>
        <v>76574.855468319569</v>
      </c>
      <c r="K174" s="92">
        <f t="shared" si="29"/>
        <v>7.7653749567376043</v>
      </c>
      <c r="L174" s="43">
        <f>'B) D RI'!S175</f>
        <v>66</v>
      </c>
      <c r="M174" s="43">
        <f t="shared" si="24"/>
        <v>58.234625043262398</v>
      </c>
      <c r="N174" s="199">
        <f>'J) Plafonnement effort'!G173+'J) Plafonnement effort'!H173-'K) Plafonnement aide'!I173</f>
        <v>7.2778695169240759</v>
      </c>
      <c r="O174" s="199">
        <f t="shared" si="25"/>
        <v>65.512494560186468</v>
      </c>
      <c r="P174" s="59">
        <f t="shared" si="26"/>
        <v>0</v>
      </c>
      <c r="Q174" s="75">
        <f t="shared" si="30"/>
        <v>0</v>
      </c>
      <c r="R174" s="230">
        <f t="shared" si="27"/>
        <v>65.512494560186468</v>
      </c>
      <c r="S174" s="199">
        <f t="shared" si="28"/>
        <v>-0.48750543981353189</v>
      </c>
      <c r="T174" s="229"/>
    </row>
    <row r="175" spans="1:20" x14ac:dyDescent="0.25">
      <c r="A175" s="61">
        <f>'A) Base RI'!A176</f>
        <v>5678</v>
      </c>
      <c r="B175" s="73" t="str">
        <f>'A) Base RI'!B176</f>
        <v>Moudon</v>
      </c>
      <c r="C175" s="238">
        <v>1908642.2485273359</v>
      </c>
      <c r="D175" s="239">
        <v>-2896331.1393287303</v>
      </c>
      <c r="E175" s="240">
        <v>332857.53193472786</v>
      </c>
      <c r="F175" s="239">
        <v>0</v>
      </c>
      <c r="G175" s="239">
        <v>0</v>
      </c>
      <c r="H175" s="241">
        <f t="shared" si="23"/>
        <v>-654831.35886666644</v>
      </c>
      <c r="I175" s="311">
        <v>119060.24706666666</v>
      </c>
      <c r="J175" s="135">
        <f>'B) D RI'!U176</f>
        <v>122060.45639999998</v>
      </c>
      <c r="K175" s="92">
        <f t="shared" si="29"/>
        <v>-5.4999999999999982</v>
      </c>
      <c r="L175" s="43">
        <f>'B) D RI'!S176</f>
        <v>75</v>
      </c>
      <c r="M175" s="43">
        <f t="shared" si="24"/>
        <v>80.5</v>
      </c>
      <c r="N175" s="199">
        <f>'J) Plafonnement effort'!G174+'J) Plafonnement effort'!H174-'K) Plafonnement aide'!I174</f>
        <v>-15.052396320146794</v>
      </c>
      <c r="O175" s="199">
        <f t="shared" si="25"/>
        <v>65.447603679853202</v>
      </c>
      <c r="P175" s="59">
        <f t="shared" si="26"/>
        <v>0</v>
      </c>
      <c r="Q175" s="75">
        <f t="shared" si="30"/>
        <v>0</v>
      </c>
      <c r="R175" s="230">
        <f t="shared" si="27"/>
        <v>65.447603679853202</v>
      </c>
      <c r="S175" s="199">
        <f t="shared" si="28"/>
        <v>-9.5523963201467978</v>
      </c>
      <c r="T175" s="229"/>
    </row>
    <row r="176" spans="1:20" x14ac:dyDescent="0.25">
      <c r="A176" s="61">
        <f>'A) Base RI'!A177</f>
        <v>5680</v>
      </c>
      <c r="B176" s="73" t="str">
        <f>'A) Base RI'!B177</f>
        <v>Ogens</v>
      </c>
      <c r="C176" s="238">
        <v>99864.159621708328</v>
      </c>
      <c r="D176" s="239">
        <v>-23632.099024485447</v>
      </c>
      <c r="E176" s="240">
        <v>0</v>
      </c>
      <c r="F176" s="239">
        <v>0</v>
      </c>
      <c r="G176" s="239">
        <v>0</v>
      </c>
      <c r="H176" s="241">
        <f t="shared" si="23"/>
        <v>76232.06059722288</v>
      </c>
      <c r="I176" s="311">
        <v>6568.1873076923084</v>
      </c>
      <c r="J176" s="135">
        <f>'B) D RI'!U177</f>
        <v>8163.3689316239324</v>
      </c>
      <c r="K176" s="92">
        <f t="shared" si="29"/>
        <v>11.606255581040447</v>
      </c>
      <c r="L176" s="43">
        <f>'B) D RI'!S177</f>
        <v>78</v>
      </c>
      <c r="M176" s="43">
        <f t="shared" si="24"/>
        <v>66.393744418959557</v>
      </c>
      <c r="N176" s="199">
        <f>'J) Plafonnement effort'!G175+'J) Plafonnement effort'!H175-'K) Plafonnement aide'!I175</f>
        <v>17.845264374187238</v>
      </c>
      <c r="O176" s="199">
        <f t="shared" si="25"/>
        <v>84.239008793146795</v>
      </c>
      <c r="P176" s="59">
        <f t="shared" si="26"/>
        <v>0</v>
      </c>
      <c r="Q176" s="75">
        <f t="shared" si="30"/>
        <v>0</v>
      </c>
      <c r="R176" s="230">
        <f t="shared" si="27"/>
        <v>84.239008793146795</v>
      </c>
      <c r="S176" s="199">
        <f t="shared" si="28"/>
        <v>6.2390087931467946</v>
      </c>
      <c r="T176" s="229"/>
    </row>
    <row r="177" spans="1:20" x14ac:dyDescent="0.25">
      <c r="A177" s="61">
        <f>'A) Base RI'!A178</f>
        <v>5683</v>
      </c>
      <c r="B177" s="73" t="str">
        <f>'A) Base RI'!B178</f>
        <v>Prévonloup</v>
      </c>
      <c r="C177" s="238">
        <v>54979.353960941546</v>
      </c>
      <c r="D177" s="239">
        <v>-31664.215023419732</v>
      </c>
      <c r="E177" s="240">
        <v>0</v>
      </c>
      <c r="F177" s="239">
        <v>0</v>
      </c>
      <c r="G177" s="239">
        <v>0</v>
      </c>
      <c r="H177" s="241">
        <f t="shared" si="23"/>
        <v>23315.138937521813</v>
      </c>
      <c r="I177" s="311">
        <v>3760.4979729729735</v>
      </c>
      <c r="J177" s="135">
        <f>'B) D RI'!U178</f>
        <v>3618.5018918918922</v>
      </c>
      <c r="K177" s="92">
        <f t="shared" si="29"/>
        <v>6.2000136963481296</v>
      </c>
      <c r="L177" s="43">
        <f>'B) D RI'!S178</f>
        <v>74</v>
      </c>
      <c r="M177" s="43">
        <f t="shared" si="24"/>
        <v>67.799986303651878</v>
      </c>
      <c r="N177" s="199">
        <f>'J) Plafonnement effort'!G176+'J) Plafonnement effort'!H176-'K) Plafonnement aide'!I176</f>
        <v>2.1652591190981765</v>
      </c>
      <c r="O177" s="199">
        <f t="shared" si="25"/>
        <v>69.965245422750058</v>
      </c>
      <c r="P177" s="59">
        <f t="shared" si="26"/>
        <v>0</v>
      </c>
      <c r="Q177" s="75">
        <f t="shared" si="30"/>
        <v>0</v>
      </c>
      <c r="R177" s="230">
        <f t="shared" si="27"/>
        <v>69.965245422750058</v>
      </c>
      <c r="S177" s="199">
        <f t="shared" si="28"/>
        <v>-4.0347545772499416</v>
      </c>
      <c r="T177" s="229"/>
    </row>
    <row r="178" spans="1:20" x14ac:dyDescent="0.25">
      <c r="A178" s="61">
        <f>'A) Base RI'!A179</f>
        <v>5684</v>
      </c>
      <c r="B178" s="73" t="str">
        <f>'A) Base RI'!B179</f>
        <v>Rossenges</v>
      </c>
      <c r="C178" s="238">
        <v>17030.478670544708</v>
      </c>
      <c r="D178" s="239">
        <v>-4754.253678646357</v>
      </c>
      <c r="E178" s="240">
        <v>0</v>
      </c>
      <c r="F178" s="239">
        <v>0</v>
      </c>
      <c r="G178" s="239">
        <v>0</v>
      </c>
      <c r="H178" s="241">
        <f t="shared" si="23"/>
        <v>12276.224991898351</v>
      </c>
      <c r="I178" s="311">
        <v>1257.3034166666666</v>
      </c>
      <c r="J178" s="135">
        <f>'B) D RI'!U179</f>
        <v>2611.7396666666664</v>
      </c>
      <c r="K178" s="92">
        <f t="shared" si="29"/>
        <v>9.763931942891551</v>
      </c>
      <c r="L178" s="43">
        <f>'B) D RI'!S179</f>
        <v>60</v>
      </c>
      <c r="M178" s="43">
        <f t="shared" si="24"/>
        <v>50.236068057108447</v>
      </c>
      <c r="N178" s="199">
        <f>'J) Plafonnement effort'!G177+'J) Plafonnement effort'!H177-'K) Plafonnement aide'!I177</f>
        <v>29.170410185381982</v>
      </c>
      <c r="O178" s="199">
        <f t="shared" si="25"/>
        <v>79.406478242490437</v>
      </c>
      <c r="P178" s="59">
        <f t="shared" si="26"/>
        <v>0</v>
      </c>
      <c r="Q178" s="75">
        <f t="shared" si="30"/>
        <v>0</v>
      </c>
      <c r="R178" s="230">
        <f t="shared" si="27"/>
        <v>79.406478242490437</v>
      </c>
      <c r="S178" s="199">
        <f t="shared" si="28"/>
        <v>19.406478242490437</v>
      </c>
      <c r="T178" s="229"/>
    </row>
    <row r="179" spans="1:20" x14ac:dyDescent="0.25">
      <c r="A179" s="61">
        <f>'A) Base RI'!A180</f>
        <v>5686</v>
      </c>
      <c r="B179" s="73" t="str">
        <f>'A) Base RI'!B180</f>
        <v>Sarzens</v>
      </c>
      <c r="C179" s="238">
        <v>30804.603312235016</v>
      </c>
      <c r="D179" s="239">
        <v>-33122.731469811399</v>
      </c>
      <c r="E179" s="240">
        <v>0</v>
      </c>
      <c r="F179" s="239">
        <v>0</v>
      </c>
      <c r="G179" s="239">
        <v>0</v>
      </c>
      <c r="H179" s="241">
        <f t="shared" si="23"/>
        <v>-2318.1281575763824</v>
      </c>
      <c r="I179" s="311">
        <v>1531.7207894736844</v>
      </c>
      <c r="J179" s="135">
        <f>'B) D RI'!U180</f>
        <v>1857.3194594594593</v>
      </c>
      <c r="K179" s="92">
        <f t="shared" si="29"/>
        <v>-1.5134143072987316</v>
      </c>
      <c r="L179" s="43">
        <f>'B) D RI'!S180</f>
        <v>74</v>
      </c>
      <c r="M179" s="43">
        <f t="shared" si="24"/>
        <v>75.513414307298731</v>
      </c>
      <c r="N179" s="199">
        <f>'J) Plafonnement effort'!G178+'J) Plafonnement effort'!H178-'K) Plafonnement aide'!I178</f>
        <v>14.199044213346607</v>
      </c>
      <c r="O179" s="199">
        <f t="shared" si="25"/>
        <v>89.712458520645342</v>
      </c>
      <c r="P179" s="59">
        <f t="shared" si="26"/>
        <v>0</v>
      </c>
      <c r="Q179" s="75">
        <f t="shared" si="30"/>
        <v>0</v>
      </c>
      <c r="R179" s="230">
        <f t="shared" si="27"/>
        <v>89.712458520645342</v>
      </c>
      <c r="S179" s="199">
        <f t="shared" si="28"/>
        <v>15.712458520645342</v>
      </c>
      <c r="T179" s="229"/>
    </row>
    <row r="180" spans="1:20" x14ac:dyDescent="0.25">
      <c r="A180" s="61">
        <f>'A) Base RI'!A181</f>
        <v>5688</v>
      </c>
      <c r="B180" s="73" t="str">
        <f>'A) Base RI'!B181</f>
        <v>Syens</v>
      </c>
      <c r="C180" s="238">
        <v>64664.785337974281</v>
      </c>
      <c r="D180" s="239">
        <v>51050.289190105701</v>
      </c>
      <c r="E180" s="240">
        <v>0</v>
      </c>
      <c r="F180" s="239">
        <v>0</v>
      </c>
      <c r="G180" s="239">
        <v>0</v>
      </c>
      <c r="H180" s="241">
        <f t="shared" si="23"/>
        <v>115715.07452807997</v>
      </c>
      <c r="I180" s="311">
        <v>4602.8089947089957</v>
      </c>
      <c r="J180" s="135">
        <f>'B) D RI'!U181</f>
        <v>5385.636772486775</v>
      </c>
      <c r="K180" s="92">
        <f t="shared" si="29"/>
        <v>25.140099157079156</v>
      </c>
      <c r="L180" s="43">
        <f>'B) D RI'!S181</f>
        <v>75.599999999999994</v>
      </c>
      <c r="M180" s="43">
        <f t="shared" si="24"/>
        <v>50.459900842920838</v>
      </c>
      <c r="N180" s="199">
        <f>'J) Plafonnement effort'!G179+'J) Plafonnement effort'!H179-'K) Plafonnement aide'!I179</f>
        <v>28.691146098616187</v>
      </c>
      <c r="O180" s="199">
        <f t="shared" si="25"/>
        <v>79.151046941537032</v>
      </c>
      <c r="P180" s="59">
        <f t="shared" si="26"/>
        <v>0</v>
      </c>
      <c r="Q180" s="75">
        <f t="shared" si="30"/>
        <v>0</v>
      </c>
      <c r="R180" s="230">
        <f t="shared" si="27"/>
        <v>79.151046941537032</v>
      </c>
      <c r="S180" s="199">
        <f t="shared" si="28"/>
        <v>3.551046941537038</v>
      </c>
      <c r="T180" s="229"/>
    </row>
    <row r="181" spans="1:20" x14ac:dyDescent="0.25">
      <c r="A181" s="61">
        <f>'A) Base RI'!A182</f>
        <v>5690</v>
      </c>
      <c r="B181" s="73" t="str">
        <f>'A) Base RI'!B182</f>
        <v>Villars-le-Comte</v>
      </c>
      <c r="C181" s="238">
        <v>42820.937390632142</v>
      </c>
      <c r="D181" s="239">
        <v>-39631.139088861426</v>
      </c>
      <c r="E181" s="240">
        <v>0</v>
      </c>
      <c r="F181" s="239">
        <v>0</v>
      </c>
      <c r="G181" s="239">
        <v>0</v>
      </c>
      <c r="H181" s="241">
        <f t="shared" si="23"/>
        <v>3189.7983017707156</v>
      </c>
      <c r="I181" s="311">
        <v>3143.0732894736843</v>
      </c>
      <c r="J181" s="135">
        <f>'B) D RI'!U182</f>
        <v>3468.3659210526316</v>
      </c>
      <c r="K181" s="92">
        <f t="shared" si="29"/>
        <v>1.0148660269722363</v>
      </c>
      <c r="L181" s="43">
        <f>'B) D RI'!S182</f>
        <v>76</v>
      </c>
      <c r="M181" s="43">
        <f t="shared" si="24"/>
        <v>74.985133973027757</v>
      </c>
      <c r="N181" s="199">
        <f>'J) Plafonnement effort'!G180+'J) Plafonnement effort'!H180-'K) Plafonnement aide'!I180</f>
        <v>9.6750525297733549</v>
      </c>
      <c r="O181" s="199">
        <f t="shared" si="25"/>
        <v>84.66018650280111</v>
      </c>
      <c r="P181" s="59">
        <f t="shared" si="26"/>
        <v>0</v>
      </c>
      <c r="Q181" s="75">
        <f t="shared" si="30"/>
        <v>0</v>
      </c>
      <c r="R181" s="230">
        <f t="shared" si="27"/>
        <v>84.66018650280111</v>
      </c>
      <c r="S181" s="199">
        <f t="shared" si="28"/>
        <v>8.6601865028011105</v>
      </c>
      <c r="T181" s="229"/>
    </row>
    <row r="182" spans="1:20" x14ac:dyDescent="0.25">
      <c r="A182" s="61">
        <f>'A) Base RI'!A183</f>
        <v>5692</v>
      </c>
      <c r="B182" s="73" t="str">
        <f>'A) Base RI'!B183</f>
        <v>Vucherens</v>
      </c>
      <c r="C182" s="238">
        <v>241217.34586499166</v>
      </c>
      <c r="D182" s="239">
        <v>58305.437123937474</v>
      </c>
      <c r="E182" s="240">
        <v>0</v>
      </c>
      <c r="F182" s="239">
        <v>0</v>
      </c>
      <c r="G182" s="239">
        <v>0</v>
      </c>
      <c r="H182" s="241">
        <f t="shared" si="23"/>
        <v>299522.78298892913</v>
      </c>
      <c r="I182" s="311">
        <v>15992.362531645569</v>
      </c>
      <c r="J182" s="135">
        <f>'B) D RI'!U183</f>
        <v>15125.888354430383</v>
      </c>
      <c r="K182" s="92">
        <f t="shared" si="29"/>
        <v>18.729114125335496</v>
      </c>
      <c r="L182" s="43">
        <f>'B) D RI'!S183</f>
        <v>79</v>
      </c>
      <c r="M182" s="43">
        <f t="shared" si="24"/>
        <v>60.270885874664501</v>
      </c>
      <c r="N182" s="199">
        <f>'J) Plafonnement effort'!G181+'J) Plafonnement effort'!H181-'K) Plafonnement aide'!I181</f>
        <v>13.696561361904878</v>
      </c>
      <c r="O182" s="199">
        <f t="shared" si="25"/>
        <v>73.967447236569384</v>
      </c>
      <c r="P182" s="59">
        <f t="shared" si="26"/>
        <v>0</v>
      </c>
      <c r="Q182" s="75">
        <f t="shared" si="30"/>
        <v>0</v>
      </c>
      <c r="R182" s="230">
        <f t="shared" si="27"/>
        <v>73.967447236569384</v>
      </c>
      <c r="S182" s="199">
        <f t="shared" si="28"/>
        <v>-5.0325527634306155</v>
      </c>
      <c r="T182" s="229"/>
    </row>
    <row r="183" spans="1:20" x14ac:dyDescent="0.25">
      <c r="A183" s="61">
        <f>'A) Base RI'!A184</f>
        <v>5693</v>
      </c>
      <c r="B183" s="73" t="str">
        <f>'A) Base RI'!B184</f>
        <v>Montanaire</v>
      </c>
      <c r="C183" s="238">
        <v>949495.6481922497</v>
      </c>
      <c r="D183" s="239">
        <v>-502706.64325369103</v>
      </c>
      <c r="E183" s="240">
        <v>0</v>
      </c>
      <c r="F183" s="239">
        <v>0</v>
      </c>
      <c r="G183" s="239">
        <v>0</v>
      </c>
      <c r="H183" s="241">
        <f t="shared" si="23"/>
        <v>446789.00493855868</v>
      </c>
      <c r="I183" s="311">
        <v>59073.542638888895</v>
      </c>
      <c r="J183" s="135">
        <f>'B) D RI'!U184</f>
        <v>62987.795555555575</v>
      </c>
      <c r="K183" s="92">
        <f>H183/I183</f>
        <v>7.5632674964110169</v>
      </c>
      <c r="L183" s="43">
        <f>'B) D RI'!S184</f>
        <v>72</v>
      </c>
      <c r="M183" s="43">
        <f>L183-K183</f>
        <v>64.436732503588985</v>
      </c>
      <c r="N183" s="199">
        <f>'J) Plafonnement effort'!G182+'J) Plafonnement effort'!H182-'K) Plafonnement aide'!I182</f>
        <v>5.6651151310359289</v>
      </c>
      <c r="O183" s="199">
        <f>M183+N183</f>
        <v>70.101847634624917</v>
      </c>
      <c r="P183" s="59">
        <f t="shared" si="26"/>
        <v>0</v>
      </c>
      <c r="Q183" s="75">
        <f>P183*J183</f>
        <v>0</v>
      </c>
      <c r="R183" s="230">
        <f>O183+P183</f>
        <v>70.101847634624917</v>
      </c>
      <c r="S183" s="199">
        <f>R183-L183</f>
        <v>-1.8981523653750827</v>
      </c>
      <c r="T183" s="229"/>
    </row>
    <row r="184" spans="1:20" x14ac:dyDescent="0.25">
      <c r="A184" s="61">
        <f>'A) Base RI'!A185</f>
        <v>5701</v>
      </c>
      <c r="B184" s="73" t="str">
        <f>'A) Base RI'!B185</f>
        <v>Arnex-sur-Nyon</v>
      </c>
      <c r="C184" s="238">
        <v>289474.89642720425</v>
      </c>
      <c r="D184" s="239">
        <v>218949</v>
      </c>
      <c r="E184" s="240">
        <v>0</v>
      </c>
      <c r="F184" s="239">
        <v>0</v>
      </c>
      <c r="G184" s="239">
        <v>0</v>
      </c>
      <c r="H184" s="241">
        <f t="shared" si="23"/>
        <v>508423.89642720425</v>
      </c>
      <c r="I184" s="311">
        <v>14424.549365079363</v>
      </c>
      <c r="J184" s="135">
        <f>'B) D RI'!U185</f>
        <v>14386.456307692306</v>
      </c>
      <c r="K184" s="92">
        <f>H184/I184</f>
        <v>35.247125130858947</v>
      </c>
      <c r="L184" s="43">
        <f>'B) D RI'!S185</f>
        <v>65</v>
      </c>
      <c r="M184" s="43">
        <f>L184-K184</f>
        <v>29.752874869141053</v>
      </c>
      <c r="N184" s="199">
        <f>'J) Plafonnement effort'!G183+'J) Plafonnement effort'!H183-'K) Plafonnement aide'!I183</f>
        <v>36.731467171479792</v>
      </c>
      <c r="O184" s="199">
        <f>M184+N184</f>
        <v>66.484342040620845</v>
      </c>
      <c r="P184" s="59">
        <f t="shared" si="26"/>
        <v>0</v>
      </c>
      <c r="Q184" s="75">
        <f>P184*J184</f>
        <v>0</v>
      </c>
      <c r="R184" s="230">
        <f>O184+P184</f>
        <v>66.484342040620845</v>
      </c>
      <c r="S184" s="199">
        <f>R184-L184</f>
        <v>1.4843420406208452</v>
      </c>
      <c r="T184" s="229"/>
    </row>
    <row r="185" spans="1:20" x14ac:dyDescent="0.25">
      <c r="A185" s="61">
        <f>'A) Base RI'!A186</f>
        <v>5702</v>
      </c>
      <c r="B185" s="73" t="str">
        <f>'A) Base RI'!B186</f>
        <v>Arzier-Le Muids</v>
      </c>
      <c r="C185" s="238">
        <v>2057907.4673269212</v>
      </c>
      <c r="D185" s="239">
        <v>1682557</v>
      </c>
      <c r="E185" s="240">
        <v>0</v>
      </c>
      <c r="F185" s="239">
        <v>0</v>
      </c>
      <c r="G185" s="239">
        <v>0</v>
      </c>
      <c r="H185" s="241">
        <f t="shared" si="23"/>
        <v>3740464.4673269214</v>
      </c>
      <c r="I185" s="311">
        <v>123913.10833333334</v>
      </c>
      <c r="J185" s="135">
        <f>'B) D RI'!U186</f>
        <v>137336.67807291666</v>
      </c>
      <c r="K185" s="92">
        <f t="shared" si="29"/>
        <v>30.186188673960615</v>
      </c>
      <c r="L185" s="43">
        <f>'B) D RI'!S186</f>
        <v>64</v>
      </c>
      <c r="M185" s="43">
        <f t="shared" si="24"/>
        <v>33.813811326039385</v>
      </c>
      <c r="N185" s="199">
        <f>'J) Plafonnement effort'!G184+'J) Plafonnement effort'!H184-'K) Plafonnement aide'!I184</f>
        <v>29.60758175816656</v>
      </c>
      <c r="O185" s="199">
        <f t="shared" si="25"/>
        <v>63.421393084205945</v>
      </c>
      <c r="P185" s="59">
        <f t="shared" si="26"/>
        <v>0</v>
      </c>
      <c r="Q185" s="75">
        <f t="shared" si="30"/>
        <v>0</v>
      </c>
      <c r="R185" s="230">
        <f t="shared" si="27"/>
        <v>63.421393084205945</v>
      </c>
      <c r="S185" s="199">
        <f t="shared" si="28"/>
        <v>-0.57860691579405454</v>
      </c>
      <c r="T185" s="229"/>
    </row>
    <row r="186" spans="1:20" x14ac:dyDescent="0.25">
      <c r="A186" s="61">
        <f>'A) Base RI'!A187</f>
        <v>5703</v>
      </c>
      <c r="B186" s="73" t="str">
        <f>'A) Base RI'!B187</f>
        <v>Bassins</v>
      </c>
      <c r="C186" s="238">
        <v>903589.36978969886</v>
      </c>
      <c r="D186" s="239">
        <v>658361.58634159341</v>
      </c>
      <c r="E186" s="240">
        <v>0</v>
      </c>
      <c r="F186" s="239">
        <v>0</v>
      </c>
      <c r="G186" s="239">
        <v>0</v>
      </c>
      <c r="H186" s="241">
        <f t="shared" si="23"/>
        <v>1561950.9561312923</v>
      </c>
      <c r="I186" s="311">
        <v>52680.758714285716</v>
      </c>
      <c r="J186" s="135">
        <f>'B) D RI'!U187</f>
        <v>51617.647746478862</v>
      </c>
      <c r="K186" s="92">
        <f t="shared" si="29"/>
        <v>29.649363339706987</v>
      </c>
      <c r="L186" s="43">
        <f>'B) D RI'!S187</f>
        <v>71</v>
      </c>
      <c r="M186" s="43">
        <f t="shared" si="24"/>
        <v>41.350636660293013</v>
      </c>
      <c r="N186" s="199">
        <f>'J) Plafonnement effort'!G185+'J) Plafonnement effort'!H185-'K) Plafonnement aide'!I185</f>
        <v>22.20006013756894</v>
      </c>
      <c r="O186" s="199">
        <f t="shared" si="25"/>
        <v>63.550696797861953</v>
      </c>
      <c r="P186" s="59">
        <f t="shared" si="26"/>
        <v>0</v>
      </c>
      <c r="Q186" s="75">
        <f t="shared" si="30"/>
        <v>0</v>
      </c>
      <c r="R186" s="230">
        <f t="shared" si="27"/>
        <v>63.550696797861953</v>
      </c>
      <c r="S186" s="199">
        <f t="shared" si="28"/>
        <v>-7.4493032021380472</v>
      </c>
      <c r="T186" s="229"/>
    </row>
    <row r="187" spans="1:20" x14ac:dyDescent="0.25">
      <c r="A187" s="61">
        <f>'A) Base RI'!A188</f>
        <v>5704</v>
      </c>
      <c r="B187" s="73" t="str">
        <f>'A) Base RI'!B188</f>
        <v>Begnins</v>
      </c>
      <c r="C187" s="238">
        <v>2159960.5446333755</v>
      </c>
      <c r="D187" s="239">
        <v>1444994</v>
      </c>
      <c r="E187" s="240">
        <v>0</v>
      </c>
      <c r="F187" s="239">
        <v>0</v>
      </c>
      <c r="G187" s="239">
        <v>0</v>
      </c>
      <c r="H187" s="241">
        <f t="shared" si="23"/>
        <v>3604954.5446333755</v>
      </c>
      <c r="I187" s="311">
        <v>98583.13114427861</v>
      </c>
      <c r="J187" s="135">
        <f>'B) D RI'!U188</f>
        <v>109192.54039800997</v>
      </c>
      <c r="K187" s="92">
        <f t="shared" si="29"/>
        <v>36.567661249848555</v>
      </c>
      <c r="L187" s="43">
        <f>'B) D RI'!S188</f>
        <v>67</v>
      </c>
      <c r="M187" s="43">
        <f t="shared" si="24"/>
        <v>30.432338750151445</v>
      </c>
      <c r="N187" s="199">
        <f>'J) Plafonnement effort'!G186+'J) Plafonnement effort'!H186-'K) Plafonnement aide'!I186</f>
        <v>49.042898670499355</v>
      </c>
      <c r="O187" s="199">
        <f t="shared" si="25"/>
        <v>79.475237420650799</v>
      </c>
      <c r="P187" s="59">
        <f t="shared" si="26"/>
        <v>0</v>
      </c>
      <c r="Q187" s="75">
        <f t="shared" si="30"/>
        <v>0</v>
      </c>
      <c r="R187" s="230">
        <f t="shared" si="27"/>
        <v>79.475237420650799</v>
      </c>
      <c r="S187" s="199">
        <f t="shared" si="28"/>
        <v>12.475237420650799</v>
      </c>
      <c r="T187" s="229"/>
    </row>
    <row r="188" spans="1:20" x14ac:dyDescent="0.25">
      <c r="A188" s="61">
        <f>'A) Base RI'!A189</f>
        <v>5705</v>
      </c>
      <c r="B188" s="73" t="str">
        <f>'A) Base RI'!B189</f>
        <v>Bogis-Bossey</v>
      </c>
      <c r="C188" s="238">
        <v>672729.60289771436</v>
      </c>
      <c r="D188" s="239">
        <v>719352</v>
      </c>
      <c r="E188" s="240">
        <v>0</v>
      </c>
      <c r="F188" s="239">
        <v>0</v>
      </c>
      <c r="G188" s="239">
        <v>0</v>
      </c>
      <c r="H188" s="241">
        <f t="shared" si="23"/>
        <v>1392081.6028977144</v>
      </c>
      <c r="I188" s="311">
        <v>43467.757968750004</v>
      </c>
      <c r="J188" s="135">
        <f>'B) D RI'!U189</f>
        <v>49393.857499999991</v>
      </c>
      <c r="K188" s="92">
        <f t="shared" si="29"/>
        <v>32.025613188941435</v>
      </c>
      <c r="L188" s="43">
        <f>'B) D RI'!S189</f>
        <v>64</v>
      </c>
      <c r="M188" s="43">
        <f t="shared" si="24"/>
        <v>31.974386811058565</v>
      </c>
      <c r="N188" s="199">
        <f>'J) Plafonnement effort'!G187+'J) Plafonnement effort'!H187-'K) Plafonnement aide'!I187</f>
        <v>36.163913122515936</v>
      </c>
      <c r="O188" s="199">
        <f t="shared" si="25"/>
        <v>68.138299933574501</v>
      </c>
      <c r="P188" s="59">
        <f t="shared" si="26"/>
        <v>0</v>
      </c>
      <c r="Q188" s="75">
        <f t="shared" si="30"/>
        <v>0</v>
      </c>
      <c r="R188" s="230">
        <f t="shared" si="27"/>
        <v>68.138299933574501</v>
      </c>
      <c r="S188" s="199">
        <f t="shared" si="28"/>
        <v>4.1382999335745012</v>
      </c>
      <c r="T188" s="229"/>
    </row>
    <row r="189" spans="1:20" x14ac:dyDescent="0.25">
      <c r="A189" s="61">
        <f>'A) Base RI'!A190</f>
        <v>5706</v>
      </c>
      <c r="B189" s="73" t="str">
        <f>'A) Base RI'!B190</f>
        <v>Borex</v>
      </c>
      <c r="C189" s="238">
        <v>2282528.4445229876</v>
      </c>
      <c r="D189" s="239">
        <v>1274939</v>
      </c>
      <c r="E189" s="240">
        <v>0</v>
      </c>
      <c r="F189" s="239">
        <v>0</v>
      </c>
      <c r="G189" s="239">
        <v>0</v>
      </c>
      <c r="H189" s="241">
        <f t="shared" si="23"/>
        <v>3557467.4445229876</v>
      </c>
      <c r="I189" s="311">
        <v>92938.421228070161</v>
      </c>
      <c r="J189" s="135">
        <f>'B) D RI'!U190</f>
        <v>61064.931696969696</v>
      </c>
      <c r="K189" s="92">
        <f t="shared" si="29"/>
        <v>38.277683196199234</v>
      </c>
      <c r="L189" s="43">
        <f>'B) D RI'!S190</f>
        <v>55</v>
      </c>
      <c r="M189" s="43">
        <f t="shared" si="24"/>
        <v>16.722316803800766</v>
      </c>
      <c r="N189" s="199">
        <f>'J) Plafonnement effort'!G188+'J) Plafonnement effort'!H188-'K) Plafonnement aide'!I188</f>
        <v>37.934038136686752</v>
      </c>
      <c r="O189" s="199">
        <f t="shared" si="25"/>
        <v>54.656354940487518</v>
      </c>
      <c r="P189" s="59">
        <f t="shared" si="26"/>
        <v>0</v>
      </c>
      <c r="Q189" s="75">
        <f t="shared" si="30"/>
        <v>0</v>
      </c>
      <c r="R189" s="230">
        <f t="shared" si="27"/>
        <v>54.656354940487518</v>
      </c>
      <c r="S189" s="199">
        <f t="shared" si="28"/>
        <v>-0.34364505951248248</v>
      </c>
      <c r="T189" s="229"/>
    </row>
    <row r="190" spans="1:20" x14ac:dyDescent="0.25">
      <c r="A190" s="61">
        <f>'A) Base RI'!A191</f>
        <v>5707</v>
      </c>
      <c r="B190" s="73" t="str">
        <f>'A) Base RI'!B191</f>
        <v>Chavannes-de-Bogis</v>
      </c>
      <c r="C190" s="238">
        <v>2315767.5275088493</v>
      </c>
      <c r="D190" s="239">
        <v>1390666</v>
      </c>
      <c r="E190" s="240">
        <v>0</v>
      </c>
      <c r="F190" s="239">
        <v>0</v>
      </c>
      <c r="G190" s="239">
        <v>0</v>
      </c>
      <c r="H190" s="241">
        <f t="shared" si="23"/>
        <v>3706433.5275088493</v>
      </c>
      <c r="I190" s="311">
        <v>97999.943502824884</v>
      </c>
      <c r="J190" s="135">
        <f>'B) D RI'!U191</f>
        <v>90099.169661016946</v>
      </c>
      <c r="K190" s="92">
        <f t="shared" si="29"/>
        <v>37.820772084445231</v>
      </c>
      <c r="L190" s="43">
        <f>'B) D RI'!S191</f>
        <v>59</v>
      </c>
      <c r="M190" s="43">
        <f t="shared" si="24"/>
        <v>21.179227915554769</v>
      </c>
      <c r="N190" s="199">
        <f>'J) Plafonnement effort'!G189+'J) Plafonnement effort'!H189-'K) Plafonnement aide'!I189</f>
        <v>38.286758010451344</v>
      </c>
      <c r="O190" s="199">
        <f t="shared" si="25"/>
        <v>59.465985926006113</v>
      </c>
      <c r="P190" s="59">
        <f t="shared" si="26"/>
        <v>0</v>
      </c>
      <c r="Q190" s="75">
        <f t="shared" si="30"/>
        <v>0</v>
      </c>
      <c r="R190" s="230">
        <f t="shared" si="27"/>
        <v>59.465985926006113</v>
      </c>
      <c r="S190" s="199">
        <f t="shared" si="28"/>
        <v>0.46598592600611255</v>
      </c>
      <c r="T190" s="229"/>
    </row>
    <row r="191" spans="1:20" x14ac:dyDescent="0.25">
      <c r="A191" s="61">
        <f>'A) Base RI'!A192</f>
        <v>5708</v>
      </c>
      <c r="B191" s="73" t="str">
        <f>'A) Base RI'!B192</f>
        <v>Chavannes-des-Bois</v>
      </c>
      <c r="C191" s="238">
        <v>1263220.5436113039</v>
      </c>
      <c r="D191" s="239">
        <v>915367</v>
      </c>
      <c r="E191" s="240">
        <v>0</v>
      </c>
      <c r="F191" s="239">
        <v>0</v>
      </c>
      <c r="G191" s="239">
        <v>0</v>
      </c>
      <c r="H191" s="241">
        <f t="shared" si="23"/>
        <v>2178587.5436113039</v>
      </c>
      <c r="I191" s="311">
        <v>60199.422131147534</v>
      </c>
      <c r="J191" s="135">
        <f>'B) D RI'!U192</f>
        <v>61956.418196721308</v>
      </c>
      <c r="K191" s="92">
        <f t="shared" si="29"/>
        <v>36.189509242549519</v>
      </c>
      <c r="L191" s="43">
        <f>'B) D RI'!S192</f>
        <v>61</v>
      </c>
      <c r="M191" s="43">
        <f t="shared" si="24"/>
        <v>24.810490757450481</v>
      </c>
      <c r="N191" s="199">
        <f>'J) Plafonnement effort'!G190+'J) Plafonnement effort'!H190-'K) Plafonnement aide'!I190</f>
        <v>40.1644177407466</v>
      </c>
      <c r="O191" s="199">
        <f t="shared" si="25"/>
        <v>64.974908498197081</v>
      </c>
      <c r="P191" s="59">
        <f t="shared" si="26"/>
        <v>0</v>
      </c>
      <c r="Q191" s="75">
        <f t="shared" si="30"/>
        <v>0</v>
      </c>
      <c r="R191" s="230">
        <f t="shared" si="27"/>
        <v>64.974908498197081</v>
      </c>
      <c r="S191" s="199">
        <f t="shared" si="28"/>
        <v>3.974908498197081</v>
      </c>
      <c r="T191" s="229"/>
    </row>
    <row r="192" spans="1:20" x14ac:dyDescent="0.25">
      <c r="A192" s="61">
        <f>'A) Base RI'!A193</f>
        <v>5709</v>
      </c>
      <c r="B192" s="73" t="str">
        <f>'A) Base RI'!B193</f>
        <v>Chéserex</v>
      </c>
      <c r="C192" s="238">
        <v>3579837.9629764268</v>
      </c>
      <c r="D192" s="239">
        <v>1822564</v>
      </c>
      <c r="E192" s="240">
        <v>0</v>
      </c>
      <c r="F192" s="239">
        <v>0</v>
      </c>
      <c r="G192" s="239">
        <v>0</v>
      </c>
      <c r="H192" s="241">
        <f t="shared" si="23"/>
        <v>5402401.9629764268</v>
      </c>
      <c r="I192" s="311">
        <v>145967.90288461538</v>
      </c>
      <c r="J192" s="135">
        <f>'B) D RI'!U193</f>
        <v>139220.21615384615</v>
      </c>
      <c r="K192" s="92">
        <f t="shared" si="29"/>
        <v>37.010889765587123</v>
      </c>
      <c r="L192" s="43">
        <f>'B) D RI'!S193</f>
        <v>52</v>
      </c>
      <c r="M192" s="43">
        <f t="shared" si="24"/>
        <v>14.989110234412877</v>
      </c>
      <c r="N192" s="199">
        <f>'J) Plafonnement effort'!G191+'J) Plafonnement effort'!H191-'K) Plafonnement aide'!I191</f>
        <v>41.538137080422715</v>
      </c>
      <c r="O192" s="199">
        <f t="shared" si="25"/>
        <v>56.527247314835591</v>
      </c>
      <c r="P192" s="59">
        <f t="shared" si="26"/>
        <v>0</v>
      </c>
      <c r="Q192" s="75">
        <f t="shared" si="30"/>
        <v>0</v>
      </c>
      <c r="R192" s="230">
        <f t="shared" si="27"/>
        <v>56.527247314835591</v>
      </c>
      <c r="S192" s="199">
        <f t="shared" si="28"/>
        <v>4.5272473148355914</v>
      </c>
      <c r="T192" s="229"/>
    </row>
    <row r="193" spans="1:20" x14ac:dyDescent="0.25">
      <c r="A193" s="61">
        <f>'A) Base RI'!A194</f>
        <v>5710</v>
      </c>
      <c r="B193" s="73" t="str">
        <f>'A) Base RI'!B194</f>
        <v>Coinsins</v>
      </c>
      <c r="C193" s="238">
        <v>2625799.1282867054</v>
      </c>
      <c r="D193" s="239">
        <v>993997</v>
      </c>
      <c r="E193" s="240">
        <v>0</v>
      </c>
      <c r="F193" s="239">
        <v>0</v>
      </c>
      <c r="G193" s="239">
        <v>0</v>
      </c>
      <c r="H193" s="241">
        <f t="shared" si="23"/>
        <v>3619796.1282867054</v>
      </c>
      <c r="I193" s="311">
        <v>102493.90717948719</v>
      </c>
      <c r="J193" s="135">
        <f>'B) D RI'!U194</f>
        <v>112738.70512195122</v>
      </c>
      <c r="K193" s="92">
        <f t="shared" si="29"/>
        <v>35.317183507774011</v>
      </c>
      <c r="L193" s="43">
        <f>'B) D RI'!S194</f>
        <v>41</v>
      </c>
      <c r="M193" s="43">
        <f t="shared" si="24"/>
        <v>5.6828164922259887</v>
      </c>
      <c r="N193" s="199">
        <f>'J) Plafonnement effort'!G192+'J) Plafonnement effort'!H192-'K) Plafonnement aide'!I192</f>
        <v>45.801420447067301</v>
      </c>
      <c r="O193" s="199">
        <f t="shared" si="25"/>
        <v>51.484236939293289</v>
      </c>
      <c r="P193" s="59">
        <f t="shared" si="26"/>
        <v>0</v>
      </c>
      <c r="Q193" s="75">
        <f t="shared" si="30"/>
        <v>0</v>
      </c>
      <c r="R193" s="230">
        <f t="shared" si="27"/>
        <v>51.484236939293289</v>
      </c>
      <c r="S193" s="199">
        <f t="shared" si="28"/>
        <v>10.484236939293289</v>
      </c>
      <c r="T193" s="229"/>
    </row>
    <row r="194" spans="1:20" x14ac:dyDescent="0.25">
      <c r="A194" s="61">
        <f>'A) Base RI'!A195</f>
        <v>5711</v>
      </c>
      <c r="B194" s="73" t="str">
        <f>'A) Base RI'!B195</f>
        <v>Commugny</v>
      </c>
      <c r="C194" s="238">
        <v>5545598.2835800387</v>
      </c>
      <c r="D194" s="239">
        <v>2963820</v>
      </c>
      <c r="E194" s="240">
        <v>0</v>
      </c>
      <c r="F194" s="239">
        <v>0</v>
      </c>
      <c r="G194" s="239">
        <v>0</v>
      </c>
      <c r="H194" s="241">
        <f t="shared" si="23"/>
        <v>8509418.2835800387</v>
      </c>
      <c r="I194" s="311">
        <v>235951.75200265253</v>
      </c>
      <c r="J194" s="135">
        <f>'B) D RI'!U195</f>
        <v>236913.245596817</v>
      </c>
      <c r="K194" s="92">
        <f t="shared" si="29"/>
        <v>36.064230129066289</v>
      </c>
      <c r="L194" s="43">
        <f>'B) D RI'!S195</f>
        <v>58</v>
      </c>
      <c r="M194" s="43">
        <f t="shared" si="24"/>
        <v>21.935769870933711</v>
      </c>
      <c r="N194" s="199">
        <f>'J) Plafonnement effort'!G193+'J) Plafonnement effort'!H193-'K) Plafonnement aide'!I193</f>
        <v>38.939970714009341</v>
      </c>
      <c r="O194" s="199">
        <f t="shared" si="25"/>
        <v>60.875740584943053</v>
      </c>
      <c r="P194" s="59">
        <f t="shared" si="26"/>
        <v>0</v>
      </c>
      <c r="Q194" s="75">
        <f t="shared" si="30"/>
        <v>0</v>
      </c>
      <c r="R194" s="230">
        <f t="shared" si="27"/>
        <v>60.875740584943053</v>
      </c>
      <c r="S194" s="199">
        <f t="shared" si="28"/>
        <v>2.8757405849430526</v>
      </c>
      <c r="T194" s="229"/>
    </row>
    <row r="195" spans="1:20" x14ac:dyDescent="0.25">
      <c r="A195" s="61">
        <f>'A) Base RI'!A196</f>
        <v>5712</v>
      </c>
      <c r="B195" s="73" t="str">
        <f>'A) Base RI'!B196</f>
        <v>Coppet</v>
      </c>
      <c r="C195" s="238">
        <v>7382576.535919806</v>
      </c>
      <c r="D195" s="239">
        <v>3540471</v>
      </c>
      <c r="E195" s="240">
        <v>0</v>
      </c>
      <c r="F195" s="239">
        <v>0</v>
      </c>
      <c r="G195" s="239">
        <v>0</v>
      </c>
      <c r="H195" s="241">
        <f t="shared" si="23"/>
        <v>10923047.535919806</v>
      </c>
      <c r="I195" s="311">
        <v>292636.3057232704</v>
      </c>
      <c r="J195" s="135">
        <f>'B) D RI'!U196</f>
        <v>309642.37182389939</v>
      </c>
      <c r="K195" s="92">
        <f t="shared" si="29"/>
        <v>37.326358084389959</v>
      </c>
      <c r="L195" s="43">
        <f>'B) D RI'!S196</f>
        <v>53</v>
      </c>
      <c r="M195" s="43">
        <f t="shared" si="24"/>
        <v>15.673641915610041</v>
      </c>
      <c r="N195" s="199">
        <f>'J) Plafonnement effort'!G194+'J) Plafonnement effort'!H194-'K) Plafonnement aide'!I194</f>
        <v>42.05102333177183</v>
      </c>
      <c r="O195" s="199">
        <f t="shared" si="25"/>
        <v>57.724665247381871</v>
      </c>
      <c r="P195" s="59">
        <f t="shared" si="26"/>
        <v>0</v>
      </c>
      <c r="Q195" s="75">
        <f t="shared" si="30"/>
        <v>0</v>
      </c>
      <c r="R195" s="230">
        <f t="shared" si="27"/>
        <v>57.724665247381871</v>
      </c>
      <c r="S195" s="199">
        <f t="shared" si="28"/>
        <v>4.7246652473818713</v>
      </c>
      <c r="T195" s="229"/>
    </row>
    <row r="196" spans="1:20" x14ac:dyDescent="0.25">
      <c r="A196" s="61">
        <f>'A) Base RI'!A197</f>
        <v>5713</v>
      </c>
      <c r="B196" s="73" t="str">
        <f>'A) Base RI'!B197</f>
        <v>Crans-près-Céligny</v>
      </c>
      <c r="C196" s="238">
        <v>10207863.169391572</v>
      </c>
      <c r="D196" s="239">
        <v>3528882</v>
      </c>
      <c r="E196" s="240">
        <v>0</v>
      </c>
      <c r="F196" s="239">
        <v>0</v>
      </c>
      <c r="G196" s="239">
        <v>0</v>
      </c>
      <c r="H196" s="241">
        <f t="shared" si="23"/>
        <v>13736745.169391572</v>
      </c>
      <c r="I196" s="311">
        <v>335979.11377358483</v>
      </c>
      <c r="J196" s="135">
        <f>'B) D RI'!U197</f>
        <v>259331.62150943396</v>
      </c>
      <c r="K196" s="92">
        <f t="shared" si="29"/>
        <v>40.885711659590598</v>
      </c>
      <c r="L196" s="43">
        <f>'B) D RI'!S197</f>
        <v>53</v>
      </c>
      <c r="M196" s="43">
        <f t="shared" si="24"/>
        <v>12.114288340409402</v>
      </c>
      <c r="N196" s="199">
        <f>'J) Plafonnement effort'!G195+'J) Plafonnement effort'!H195-'K) Plafonnement aide'!I195</f>
        <v>43.618364176114817</v>
      </c>
      <c r="O196" s="199">
        <f t="shared" si="25"/>
        <v>55.732652516524219</v>
      </c>
      <c r="P196" s="59">
        <f t="shared" si="26"/>
        <v>0</v>
      </c>
      <c r="Q196" s="75">
        <f t="shared" si="30"/>
        <v>0</v>
      </c>
      <c r="R196" s="230">
        <f t="shared" si="27"/>
        <v>55.732652516524219</v>
      </c>
      <c r="S196" s="199">
        <f t="shared" si="28"/>
        <v>2.7326525165242188</v>
      </c>
      <c r="T196" s="229"/>
    </row>
    <row r="197" spans="1:20" x14ac:dyDescent="0.25">
      <c r="A197" s="61">
        <f>'A) Base RI'!A198</f>
        <v>5714</v>
      </c>
      <c r="B197" s="73" t="str">
        <f>'A) Base RI'!B198</f>
        <v>Crassier</v>
      </c>
      <c r="C197" s="238">
        <v>1200905.9189266854</v>
      </c>
      <c r="D197" s="239">
        <v>1030659</v>
      </c>
      <c r="E197" s="240">
        <v>0</v>
      </c>
      <c r="F197" s="239">
        <v>0</v>
      </c>
      <c r="G197" s="239">
        <v>0</v>
      </c>
      <c r="H197" s="241">
        <f t="shared" si="23"/>
        <v>2231564.9189266851</v>
      </c>
      <c r="I197" s="311">
        <v>64394.622031249986</v>
      </c>
      <c r="J197" s="135">
        <f>'B) D RI'!U198</f>
        <v>74990.560937499991</v>
      </c>
      <c r="K197" s="92">
        <f t="shared" si="29"/>
        <v>34.654523134614124</v>
      </c>
      <c r="L197" s="43">
        <f>'B) D RI'!S198</f>
        <v>64</v>
      </c>
      <c r="M197" s="43">
        <f t="shared" si="24"/>
        <v>29.345476865385876</v>
      </c>
      <c r="N197" s="199">
        <f>'J) Plafonnement effort'!G196+'J) Plafonnement effort'!H196-'K) Plafonnement aide'!I196</f>
        <v>35.995705191532608</v>
      </c>
      <c r="O197" s="199">
        <f t="shared" si="25"/>
        <v>65.341182056918484</v>
      </c>
      <c r="P197" s="59">
        <f t="shared" si="26"/>
        <v>0</v>
      </c>
      <c r="Q197" s="75">
        <f t="shared" si="30"/>
        <v>0</v>
      </c>
      <c r="R197" s="230">
        <f t="shared" si="27"/>
        <v>65.341182056918484</v>
      </c>
      <c r="S197" s="199">
        <f t="shared" si="28"/>
        <v>1.341182056918484</v>
      </c>
      <c r="T197" s="229"/>
    </row>
    <row r="198" spans="1:20" x14ac:dyDescent="0.25">
      <c r="A198" s="61">
        <f>'A) Base RI'!A199</f>
        <v>5715</v>
      </c>
      <c r="B198" s="73" t="str">
        <f>'A) Base RI'!B199</f>
        <v>Duillier</v>
      </c>
      <c r="C198" s="238">
        <v>932546.94567111577</v>
      </c>
      <c r="D198" s="239">
        <v>982039</v>
      </c>
      <c r="E198" s="240">
        <v>0</v>
      </c>
      <c r="F198" s="239">
        <v>0</v>
      </c>
      <c r="G198" s="239">
        <v>0</v>
      </c>
      <c r="H198" s="241">
        <f t="shared" si="23"/>
        <v>1914585.9456711158</v>
      </c>
      <c r="I198" s="311">
        <v>60430.509848484849</v>
      </c>
      <c r="J198" s="135">
        <f>'B) D RI'!U199</f>
        <v>58313.27166666666</v>
      </c>
      <c r="K198" s="92">
        <f t="shared" si="29"/>
        <v>31.682439060525638</v>
      </c>
      <c r="L198" s="43">
        <f>'B) D RI'!S199</f>
        <v>66</v>
      </c>
      <c r="M198" s="43">
        <f t="shared" si="24"/>
        <v>34.317560939474362</v>
      </c>
      <c r="N198" s="199">
        <f>'J) Plafonnement effort'!G197+'J) Plafonnement effort'!H197-'K) Plafonnement aide'!I197</f>
        <v>37.491446735691682</v>
      </c>
      <c r="O198" s="199">
        <f t="shared" si="25"/>
        <v>71.809007675166043</v>
      </c>
      <c r="P198" s="59">
        <f t="shared" si="26"/>
        <v>0</v>
      </c>
      <c r="Q198" s="75">
        <f t="shared" si="30"/>
        <v>0</v>
      </c>
      <c r="R198" s="230">
        <f t="shared" si="27"/>
        <v>71.809007675166043</v>
      </c>
      <c r="S198" s="199">
        <f t="shared" si="28"/>
        <v>5.8090076751660433</v>
      </c>
      <c r="T198" s="229"/>
    </row>
    <row r="199" spans="1:20" x14ac:dyDescent="0.25">
      <c r="A199" s="61">
        <f>'A) Base RI'!A200</f>
        <v>5716</v>
      </c>
      <c r="B199" s="73" t="str">
        <f>'A) Base RI'!B200</f>
        <v>Eysins</v>
      </c>
      <c r="C199" s="238">
        <v>3516213.556201702</v>
      </c>
      <c r="D199" s="239">
        <v>1829515</v>
      </c>
      <c r="E199" s="240">
        <v>0</v>
      </c>
      <c r="F199" s="239">
        <v>0</v>
      </c>
      <c r="G199" s="239">
        <v>0</v>
      </c>
      <c r="H199" s="241">
        <f t="shared" ref="H199:H262" si="31">SUM(C199:G199)</f>
        <v>5345728.556201702</v>
      </c>
      <c r="I199" s="311">
        <v>137603.84967213115</v>
      </c>
      <c r="J199" s="135">
        <f>'B) D RI'!U200</f>
        <v>124360.51655737706</v>
      </c>
      <c r="K199" s="92">
        <f t="shared" si="29"/>
        <v>38.848684603948037</v>
      </c>
      <c r="L199" s="43">
        <f>'B) D RI'!S200</f>
        <v>61</v>
      </c>
      <c r="M199" s="43">
        <f t="shared" si="24"/>
        <v>22.151315396051963</v>
      </c>
      <c r="N199" s="199">
        <f>'J) Plafonnement effort'!G198+'J) Plafonnement effort'!H198-'K) Plafonnement aide'!I198</f>
        <v>40.198929694180535</v>
      </c>
      <c r="O199" s="199">
        <f t="shared" si="25"/>
        <v>62.350245090232498</v>
      </c>
      <c r="P199" s="59">
        <f t="shared" si="26"/>
        <v>0</v>
      </c>
      <c r="Q199" s="75">
        <f t="shared" si="30"/>
        <v>0</v>
      </c>
      <c r="R199" s="230">
        <f t="shared" si="27"/>
        <v>62.350245090232498</v>
      </c>
      <c r="S199" s="199">
        <f t="shared" si="28"/>
        <v>1.3502450902324981</v>
      </c>
      <c r="T199" s="229"/>
    </row>
    <row r="200" spans="1:20" x14ac:dyDescent="0.25">
      <c r="A200" s="61">
        <f>'A) Base RI'!A201</f>
        <v>5717</v>
      </c>
      <c r="B200" s="73" t="str">
        <f>'A) Base RI'!B201</f>
        <v>Founex</v>
      </c>
      <c r="C200" s="238">
        <v>8770383.1893815938</v>
      </c>
      <c r="D200" s="239">
        <v>3937894</v>
      </c>
      <c r="E200" s="240">
        <v>0</v>
      </c>
      <c r="F200" s="239">
        <v>0</v>
      </c>
      <c r="G200" s="239">
        <v>0</v>
      </c>
      <c r="H200" s="241">
        <f t="shared" si="31"/>
        <v>12708277.189381594</v>
      </c>
      <c r="I200" s="311">
        <v>331728.2661403509</v>
      </c>
      <c r="J200" s="135">
        <f>'B) D RI'!U201</f>
        <v>345595.68736842106</v>
      </c>
      <c r="K200" s="92">
        <f t="shared" si="29"/>
        <v>38.309298563074059</v>
      </c>
      <c r="L200" s="43">
        <f>'B) D RI'!S201</f>
        <v>57</v>
      </c>
      <c r="M200" s="43">
        <f t="shared" si="24"/>
        <v>18.690701436925941</v>
      </c>
      <c r="N200" s="199">
        <f>'J) Plafonnement effort'!G199+'J) Plafonnement effort'!H199-'K) Plafonnement aide'!I199</f>
        <v>41.698253602836516</v>
      </c>
      <c r="O200" s="199">
        <f t="shared" si="25"/>
        <v>60.388955039762457</v>
      </c>
      <c r="P200" s="59">
        <f t="shared" si="26"/>
        <v>0</v>
      </c>
      <c r="Q200" s="75">
        <f t="shared" si="30"/>
        <v>0</v>
      </c>
      <c r="R200" s="230">
        <f t="shared" si="27"/>
        <v>60.388955039762457</v>
      </c>
      <c r="S200" s="199">
        <f t="shared" si="28"/>
        <v>3.3889550397624575</v>
      </c>
      <c r="T200" s="229"/>
    </row>
    <row r="201" spans="1:20" x14ac:dyDescent="0.25">
      <c r="A201" s="61">
        <f>'A) Base RI'!A202</f>
        <v>5718</v>
      </c>
      <c r="B201" s="73" t="str">
        <f>'A) Base RI'!B202</f>
        <v>Genolier</v>
      </c>
      <c r="C201" s="238">
        <v>4384147.0089637255</v>
      </c>
      <c r="D201" s="239">
        <v>2293451</v>
      </c>
      <c r="E201" s="240">
        <v>0</v>
      </c>
      <c r="F201" s="239">
        <v>0</v>
      </c>
      <c r="G201" s="239">
        <v>0</v>
      </c>
      <c r="H201" s="241">
        <f t="shared" si="31"/>
        <v>6677598.0089637255</v>
      </c>
      <c r="I201" s="311">
        <v>178659.63072727274</v>
      </c>
      <c r="J201" s="135">
        <f>'B) D RI'!U202</f>
        <v>147563.83054545455</v>
      </c>
      <c r="K201" s="92">
        <f t="shared" si="29"/>
        <v>37.376087601777279</v>
      </c>
      <c r="L201" s="43">
        <f>'B) D RI'!S202</f>
        <v>55</v>
      </c>
      <c r="M201" s="43">
        <f t="shared" si="24"/>
        <v>17.623912398222721</v>
      </c>
      <c r="N201" s="199">
        <f>'J) Plafonnement effort'!G200+'J) Plafonnement effort'!H200-'K) Plafonnement aide'!I200</f>
        <v>38.385387499933501</v>
      </c>
      <c r="O201" s="199">
        <f t="shared" si="25"/>
        <v>56.009299898156222</v>
      </c>
      <c r="P201" s="59">
        <f t="shared" si="26"/>
        <v>0</v>
      </c>
      <c r="Q201" s="75">
        <f t="shared" si="30"/>
        <v>0</v>
      </c>
      <c r="R201" s="230">
        <f t="shared" si="27"/>
        <v>56.009299898156222</v>
      </c>
      <c r="S201" s="199">
        <f t="shared" si="28"/>
        <v>1.0092998981562218</v>
      </c>
      <c r="T201" s="229"/>
    </row>
    <row r="202" spans="1:20" x14ac:dyDescent="0.25">
      <c r="A202" s="61">
        <f>'A) Base RI'!A203</f>
        <v>5719</v>
      </c>
      <c r="B202" s="73" t="str">
        <f>'A) Base RI'!B203</f>
        <v>Gingins</v>
      </c>
      <c r="C202" s="238">
        <v>1966366.0449111422</v>
      </c>
      <c r="D202" s="239">
        <v>1385080</v>
      </c>
      <c r="E202" s="240">
        <v>0</v>
      </c>
      <c r="F202" s="239">
        <v>0</v>
      </c>
      <c r="G202" s="239">
        <v>0</v>
      </c>
      <c r="H202" s="241">
        <f t="shared" si="31"/>
        <v>3351446.0449111424</v>
      </c>
      <c r="I202" s="311">
        <v>96095.319738562102</v>
      </c>
      <c r="J202" s="135">
        <f>'B) D RI'!U203</f>
        <v>96514.726140350875</v>
      </c>
      <c r="K202" s="92">
        <f t="shared" si="29"/>
        <v>34.876267169193262</v>
      </c>
      <c r="L202" s="43">
        <f>'B) D RI'!S203</f>
        <v>57</v>
      </c>
      <c r="M202" s="43">
        <f t="shared" si="24"/>
        <v>22.123732830806738</v>
      </c>
      <c r="N202" s="199">
        <f>'J) Plafonnement effort'!G201+'J) Plafonnement effort'!H201-'K) Plafonnement aide'!I201</f>
        <v>39.796690283062347</v>
      </c>
      <c r="O202" s="199">
        <f t="shared" si="25"/>
        <v>61.920423113869084</v>
      </c>
      <c r="P202" s="59">
        <f t="shared" si="26"/>
        <v>0</v>
      </c>
      <c r="Q202" s="75">
        <f t="shared" si="30"/>
        <v>0</v>
      </c>
      <c r="R202" s="230">
        <f t="shared" si="27"/>
        <v>61.920423113869084</v>
      </c>
      <c r="S202" s="199">
        <f t="shared" si="28"/>
        <v>4.9204231138690844</v>
      </c>
      <c r="T202" s="229"/>
    </row>
    <row r="203" spans="1:20" x14ac:dyDescent="0.25">
      <c r="A203" s="61">
        <f>'A) Base RI'!A204</f>
        <v>5720</v>
      </c>
      <c r="B203" s="73" t="str">
        <f>'A) Base RI'!B204</f>
        <v>Givrins</v>
      </c>
      <c r="C203" s="238">
        <v>1604653.8995675358</v>
      </c>
      <c r="D203" s="239">
        <v>1121390</v>
      </c>
      <c r="E203" s="240">
        <v>0</v>
      </c>
      <c r="F203" s="239">
        <v>0</v>
      </c>
      <c r="G203" s="239">
        <v>0</v>
      </c>
      <c r="H203" s="241">
        <f t="shared" si="31"/>
        <v>2726043.8995675361</v>
      </c>
      <c r="I203" s="311">
        <v>74875.243533697634</v>
      </c>
      <c r="J203" s="135">
        <f>'B) D RI'!U204</f>
        <v>81037.865428051009</v>
      </c>
      <c r="K203" s="92">
        <f t="shared" si="29"/>
        <v>36.407813462946251</v>
      </c>
      <c r="L203" s="43">
        <f>'B) D RI'!S204</f>
        <v>61</v>
      </c>
      <c r="M203" s="43">
        <f t="shared" si="24"/>
        <v>24.592186537053749</v>
      </c>
      <c r="N203" s="199">
        <f>'J) Plafonnement effort'!G202+'J) Plafonnement effort'!H202-'K) Plafonnement aide'!I202</f>
        <v>42.62239389729627</v>
      </c>
      <c r="O203" s="199">
        <f t="shared" si="25"/>
        <v>67.214580434350012</v>
      </c>
      <c r="P203" s="59">
        <f t="shared" si="26"/>
        <v>0</v>
      </c>
      <c r="Q203" s="75">
        <f t="shared" si="30"/>
        <v>0</v>
      </c>
      <c r="R203" s="230">
        <f t="shared" si="27"/>
        <v>67.214580434350012</v>
      </c>
      <c r="S203" s="199">
        <f t="shared" si="28"/>
        <v>6.2145804343500117</v>
      </c>
      <c r="T203" s="229"/>
    </row>
    <row r="204" spans="1:20" x14ac:dyDescent="0.25">
      <c r="A204" s="61">
        <f>'A) Base RI'!A205</f>
        <v>5721</v>
      </c>
      <c r="B204" s="73" t="str">
        <f>'A) Base RI'!B205</f>
        <v>Gland</v>
      </c>
      <c r="C204" s="238">
        <v>9198468.5583046675</v>
      </c>
      <c r="D204" s="239">
        <v>2774457.5675616283</v>
      </c>
      <c r="E204" s="240">
        <v>0</v>
      </c>
      <c r="F204" s="239">
        <v>0</v>
      </c>
      <c r="G204" s="239">
        <v>0</v>
      </c>
      <c r="H204" s="241">
        <f t="shared" si="31"/>
        <v>11972926.125866296</v>
      </c>
      <c r="I204" s="311">
        <v>545180.59375999996</v>
      </c>
      <c r="J204" s="135">
        <f>'B) D RI'!U205</f>
        <v>556574.85335272714</v>
      </c>
      <c r="K204" s="92">
        <f t="shared" si="29"/>
        <v>21.96139455972094</v>
      </c>
      <c r="L204" s="43">
        <f>'B) D RI'!S205</f>
        <v>62.5</v>
      </c>
      <c r="M204" s="43">
        <f t="shared" si="24"/>
        <v>40.538605440279056</v>
      </c>
      <c r="N204" s="199">
        <f>'J) Plafonnement effort'!G203+'J) Plafonnement effort'!H203-'K) Plafonnement aide'!I203</f>
        <v>27.414510802751195</v>
      </c>
      <c r="O204" s="199">
        <f t="shared" si="25"/>
        <v>67.953116243030252</v>
      </c>
      <c r="P204" s="59">
        <f t="shared" si="26"/>
        <v>0</v>
      </c>
      <c r="Q204" s="75">
        <f t="shared" si="30"/>
        <v>0</v>
      </c>
      <c r="R204" s="230">
        <f t="shared" si="27"/>
        <v>67.953116243030252</v>
      </c>
      <c r="S204" s="199">
        <f t="shared" si="28"/>
        <v>5.4531162430302516</v>
      </c>
      <c r="T204" s="229"/>
    </row>
    <row r="205" spans="1:20" x14ac:dyDescent="0.25">
      <c r="A205" s="61">
        <f>'A) Base RI'!A206</f>
        <v>5722</v>
      </c>
      <c r="B205" s="73" t="str">
        <f>'A) Base RI'!B206</f>
        <v>Grens</v>
      </c>
      <c r="C205" s="238">
        <v>269954.80035715736</v>
      </c>
      <c r="D205" s="239">
        <v>295156</v>
      </c>
      <c r="E205" s="240">
        <v>0</v>
      </c>
      <c r="F205" s="239">
        <v>0</v>
      </c>
      <c r="G205" s="239">
        <v>0</v>
      </c>
      <c r="H205" s="241">
        <f t="shared" si="31"/>
        <v>565110.80035715736</v>
      </c>
      <c r="I205" s="311">
        <v>17973.033684210524</v>
      </c>
      <c r="J205" s="135">
        <f>'B) D RI'!U206</f>
        <v>25010.62</v>
      </c>
      <c r="K205" s="92">
        <f t="shared" si="29"/>
        <v>31.442148848450241</v>
      </c>
      <c r="L205" s="43">
        <f>'B) D RI'!S206</f>
        <v>57</v>
      </c>
      <c r="M205" s="43">
        <f t="shared" si="24"/>
        <v>25.557851151549759</v>
      </c>
      <c r="N205" s="199">
        <f>'J) Plafonnement effort'!G204+'J) Plafonnement effort'!H204-'K) Plafonnement aide'!I204</f>
        <v>34.610942127882495</v>
      </c>
      <c r="O205" s="199">
        <f t="shared" si="25"/>
        <v>60.168793279432251</v>
      </c>
      <c r="P205" s="59">
        <f t="shared" si="26"/>
        <v>0</v>
      </c>
      <c r="Q205" s="75">
        <f t="shared" si="30"/>
        <v>0</v>
      </c>
      <c r="R205" s="230">
        <f t="shared" si="27"/>
        <v>60.168793279432251</v>
      </c>
      <c r="S205" s="199">
        <f t="shared" si="28"/>
        <v>3.1687932794322506</v>
      </c>
      <c r="T205" s="229"/>
    </row>
    <row r="206" spans="1:20" x14ac:dyDescent="0.25">
      <c r="A206" s="61">
        <f>'A) Base RI'!A207</f>
        <v>5723</v>
      </c>
      <c r="B206" s="73" t="str">
        <f>'A) Base RI'!B207</f>
        <v>Mies</v>
      </c>
      <c r="C206" s="238">
        <v>7404686.2201254051</v>
      </c>
      <c r="D206" s="239">
        <v>2392001</v>
      </c>
      <c r="E206" s="240">
        <v>0</v>
      </c>
      <c r="F206" s="239">
        <v>-2063.6437409959162</v>
      </c>
      <c r="G206" s="239">
        <v>0</v>
      </c>
      <c r="H206" s="241">
        <f t="shared" si="31"/>
        <v>9794623.5763844084</v>
      </c>
      <c r="I206" s="311">
        <v>194683.98403846152</v>
      </c>
      <c r="J206" s="135">
        <f>'B) D RI'!U207</f>
        <v>265838.70510204078</v>
      </c>
      <c r="K206" s="92">
        <f t="shared" si="29"/>
        <v>50.310371573500341</v>
      </c>
      <c r="L206" s="43">
        <f>'B) D RI'!S207</f>
        <v>49</v>
      </c>
      <c r="M206" s="43">
        <f t="shared" si="24"/>
        <v>-1.3103715735003405</v>
      </c>
      <c r="N206" s="199">
        <f>'J) Plafonnement effort'!G205+'J) Plafonnement effort'!H205-'K) Plafonnement aide'!I205</f>
        <v>44.207340497287319</v>
      </c>
      <c r="O206" s="199">
        <f t="shared" si="25"/>
        <v>42.896968923786979</v>
      </c>
      <c r="P206" s="59">
        <f t="shared" si="26"/>
        <v>0</v>
      </c>
      <c r="Q206" s="75">
        <f t="shared" si="30"/>
        <v>0</v>
      </c>
      <c r="R206" s="230">
        <f t="shared" si="27"/>
        <v>42.896968923786979</v>
      </c>
      <c r="S206" s="199">
        <f t="shared" si="28"/>
        <v>-6.1030310762130213</v>
      </c>
      <c r="T206" s="229"/>
    </row>
    <row r="207" spans="1:20" x14ac:dyDescent="0.25">
      <c r="A207" s="61">
        <f>'A) Base RI'!A208</f>
        <v>5724</v>
      </c>
      <c r="B207" s="73" t="str">
        <f>'A) Base RI'!B208</f>
        <v>Nyon</v>
      </c>
      <c r="C207" s="238">
        <v>24444160.480630375</v>
      </c>
      <c r="D207" s="239">
        <v>7707097</v>
      </c>
      <c r="E207" s="240">
        <v>0</v>
      </c>
      <c r="F207" s="239">
        <v>0</v>
      </c>
      <c r="G207" s="239">
        <v>0</v>
      </c>
      <c r="H207" s="241">
        <f t="shared" si="31"/>
        <v>32151257.480630375</v>
      </c>
      <c r="I207" s="311">
        <v>1278048.420189155</v>
      </c>
      <c r="J207" s="135">
        <f>'B) D RI'!U208</f>
        <v>1373447.3453593946</v>
      </c>
      <c r="K207" s="92">
        <f t="shared" si="29"/>
        <v>25.156525349698324</v>
      </c>
      <c r="L207" s="43">
        <f>'B) D RI'!S208</f>
        <v>61</v>
      </c>
      <c r="M207" s="43">
        <f t="shared" si="24"/>
        <v>35.843474650301673</v>
      </c>
      <c r="N207" s="199">
        <f>'J) Plafonnement effort'!G206+'J) Plafonnement effort'!H206-'K) Plafonnement aide'!I206</f>
        <v>27.568704915814642</v>
      </c>
      <c r="O207" s="199">
        <f t="shared" si="25"/>
        <v>63.412179566116315</v>
      </c>
      <c r="P207" s="59">
        <f t="shared" si="26"/>
        <v>0</v>
      </c>
      <c r="Q207" s="75">
        <f t="shared" si="30"/>
        <v>0</v>
      </c>
      <c r="R207" s="230">
        <f t="shared" si="27"/>
        <v>63.412179566116315</v>
      </c>
      <c r="S207" s="199">
        <f t="shared" si="28"/>
        <v>2.4121795661163148</v>
      </c>
      <c r="T207" s="229"/>
    </row>
    <row r="208" spans="1:20" x14ac:dyDescent="0.25">
      <c r="A208" s="61">
        <f>'A) Base RI'!A209</f>
        <v>5725</v>
      </c>
      <c r="B208" s="73" t="str">
        <f>'A) Base RI'!B209</f>
        <v>Prangins</v>
      </c>
      <c r="C208" s="238">
        <v>7903261.1267758608</v>
      </c>
      <c r="D208" s="239">
        <v>3981219</v>
      </c>
      <c r="E208" s="240">
        <v>0</v>
      </c>
      <c r="F208" s="239">
        <v>0</v>
      </c>
      <c r="G208" s="239">
        <v>0</v>
      </c>
      <c r="H208" s="241">
        <f t="shared" si="31"/>
        <v>11884480.126775861</v>
      </c>
      <c r="I208" s="311">
        <v>330908.64043367346</v>
      </c>
      <c r="J208" s="135">
        <f>'B) D RI'!U209</f>
        <v>279071.20818877552</v>
      </c>
      <c r="K208" s="92">
        <f t="shared" si="29"/>
        <v>35.914686637377052</v>
      </c>
      <c r="L208" s="43">
        <f>'B) D RI'!S209</f>
        <v>56</v>
      </c>
      <c r="M208" s="43">
        <f t="shared" si="24"/>
        <v>20.085313362622948</v>
      </c>
      <c r="N208" s="199">
        <f>'J) Plafonnement effort'!G207+'J) Plafonnement effort'!H207-'K) Plafonnement aide'!I207</f>
        <v>35.474929681270609</v>
      </c>
      <c r="O208" s="199">
        <f t="shared" si="25"/>
        <v>55.560243043893557</v>
      </c>
      <c r="P208" s="59">
        <f t="shared" si="26"/>
        <v>0</v>
      </c>
      <c r="Q208" s="75">
        <f t="shared" si="30"/>
        <v>0</v>
      </c>
      <c r="R208" s="230">
        <f t="shared" si="27"/>
        <v>55.560243043893557</v>
      </c>
      <c r="S208" s="199">
        <f t="shared" si="28"/>
        <v>-0.43975695610644294</v>
      </c>
      <c r="T208" s="229"/>
    </row>
    <row r="209" spans="1:20" x14ac:dyDescent="0.25">
      <c r="A209" s="61">
        <f>'A) Base RI'!A210</f>
        <v>5726</v>
      </c>
      <c r="B209" s="73" t="str">
        <f>'A) Base RI'!B210</f>
        <v>La Rippe</v>
      </c>
      <c r="C209" s="238">
        <v>829292.68270746118</v>
      </c>
      <c r="D209" s="239">
        <v>847416</v>
      </c>
      <c r="E209" s="240">
        <v>0</v>
      </c>
      <c r="F209" s="239">
        <v>0</v>
      </c>
      <c r="G209" s="239">
        <v>0</v>
      </c>
      <c r="H209" s="241">
        <f t="shared" si="31"/>
        <v>1676708.6827074611</v>
      </c>
      <c r="I209" s="311">
        <v>52407.476615384607</v>
      </c>
      <c r="J209" s="135">
        <f>'B) D RI'!U210</f>
        <v>60430.074769230778</v>
      </c>
      <c r="K209" s="92">
        <f t="shared" si="29"/>
        <v>31.993692331587106</v>
      </c>
      <c r="L209" s="43">
        <f>'B) D RI'!S210</f>
        <v>65</v>
      </c>
      <c r="M209" s="43">
        <f t="shared" si="24"/>
        <v>33.006307668412894</v>
      </c>
      <c r="N209" s="199">
        <f>'J) Plafonnement effort'!G208+'J) Plafonnement effort'!H208-'K) Plafonnement aide'!I208</f>
        <v>33.919650511100755</v>
      </c>
      <c r="O209" s="199">
        <f t="shared" si="25"/>
        <v>66.925958179513657</v>
      </c>
      <c r="P209" s="59">
        <f t="shared" si="26"/>
        <v>0</v>
      </c>
      <c r="Q209" s="75">
        <f t="shared" si="30"/>
        <v>0</v>
      </c>
      <c r="R209" s="230">
        <f t="shared" si="27"/>
        <v>66.925958179513657</v>
      </c>
      <c r="S209" s="199">
        <f t="shared" si="28"/>
        <v>1.9259581795136569</v>
      </c>
      <c r="T209" s="229"/>
    </row>
    <row r="210" spans="1:20" x14ac:dyDescent="0.25">
      <c r="A210" s="61">
        <f>'A) Base RI'!A211</f>
        <v>5727</v>
      </c>
      <c r="B210" s="73" t="str">
        <f>'A) Base RI'!B211</f>
        <v>Saint-Cergue</v>
      </c>
      <c r="C210" s="238">
        <v>1510056.6512565147</v>
      </c>
      <c r="D210" s="239">
        <v>735909.7718490666</v>
      </c>
      <c r="E210" s="240">
        <v>0</v>
      </c>
      <c r="F210" s="239">
        <v>0</v>
      </c>
      <c r="G210" s="239">
        <v>0</v>
      </c>
      <c r="H210" s="241">
        <f t="shared" si="31"/>
        <v>2245966.4231055812</v>
      </c>
      <c r="I210" s="311">
        <v>86282.692626262622</v>
      </c>
      <c r="J210" s="135">
        <f>'B) D RI'!U211</f>
        <v>92384.571565656559</v>
      </c>
      <c r="K210" s="92">
        <f t="shared" si="29"/>
        <v>26.030323750257612</v>
      </c>
      <c r="L210" s="43">
        <f>'B) D RI'!S211</f>
        <v>66</v>
      </c>
      <c r="M210" s="43">
        <f t="shared" si="24"/>
        <v>39.969676249742392</v>
      </c>
      <c r="N210" s="199">
        <f>'J) Plafonnement effort'!G209+'J) Plafonnement effort'!H209-'K) Plafonnement aide'!I209</f>
        <v>26.141556427992537</v>
      </c>
      <c r="O210" s="199">
        <f t="shared" si="25"/>
        <v>66.111232677734932</v>
      </c>
      <c r="P210" s="59">
        <f t="shared" si="26"/>
        <v>0</v>
      </c>
      <c r="Q210" s="75">
        <f t="shared" si="30"/>
        <v>0</v>
      </c>
      <c r="R210" s="230">
        <f t="shared" si="27"/>
        <v>66.111232677734932</v>
      </c>
      <c r="S210" s="199">
        <f t="shared" si="28"/>
        <v>0.11123267773493239</v>
      </c>
      <c r="T210" s="229"/>
    </row>
    <row r="211" spans="1:20" x14ac:dyDescent="0.25">
      <c r="A211" s="61">
        <f>'A) Base RI'!A212</f>
        <v>5728</v>
      </c>
      <c r="B211" s="73" t="str">
        <f>'A) Base RI'!B212</f>
        <v>Signy-Avenex</v>
      </c>
      <c r="C211" s="238">
        <v>921118.32207919797</v>
      </c>
      <c r="D211" s="239">
        <v>570334</v>
      </c>
      <c r="E211" s="240">
        <v>0</v>
      </c>
      <c r="F211" s="239">
        <v>0</v>
      </c>
      <c r="G211" s="239">
        <v>0</v>
      </c>
      <c r="H211" s="241">
        <f t="shared" si="31"/>
        <v>1491452.322079198</v>
      </c>
      <c r="I211" s="311">
        <v>39079.357857142866</v>
      </c>
      <c r="J211" s="135">
        <f>'B) D RI'!U212</f>
        <v>31185.312142857143</v>
      </c>
      <c r="K211" s="92">
        <f t="shared" si="29"/>
        <v>38.164709039777442</v>
      </c>
      <c r="L211" s="43">
        <f>'B) D RI'!S212</f>
        <v>56</v>
      </c>
      <c r="M211" s="43">
        <f t="shared" si="24"/>
        <v>17.835290960222558</v>
      </c>
      <c r="N211" s="199">
        <f>'J) Plafonnement effort'!G210+'J) Plafonnement effort'!H210-'K) Plafonnement aide'!I210</f>
        <v>38.434595689607548</v>
      </c>
      <c r="O211" s="199">
        <f t="shared" si="25"/>
        <v>56.269886649830106</v>
      </c>
      <c r="P211" s="59">
        <f t="shared" si="26"/>
        <v>0</v>
      </c>
      <c r="Q211" s="75">
        <f t="shared" si="30"/>
        <v>0</v>
      </c>
      <c r="R211" s="230">
        <f t="shared" si="27"/>
        <v>56.269886649830106</v>
      </c>
      <c r="S211" s="199">
        <f t="shared" si="28"/>
        <v>0.2698866498301058</v>
      </c>
      <c r="T211" s="229"/>
    </row>
    <row r="212" spans="1:20" x14ac:dyDescent="0.25">
      <c r="A212" s="61">
        <f>'A) Base RI'!A213</f>
        <v>5729</v>
      </c>
      <c r="B212" s="73" t="str">
        <f>'A) Base RI'!B213</f>
        <v>Tannay</v>
      </c>
      <c r="C212" s="238">
        <v>3966739.9165091896</v>
      </c>
      <c r="D212" s="239">
        <v>1963139</v>
      </c>
      <c r="E212" s="240">
        <v>0</v>
      </c>
      <c r="F212" s="239">
        <v>0</v>
      </c>
      <c r="G212" s="239">
        <v>0</v>
      </c>
      <c r="H212" s="241">
        <f t="shared" si="31"/>
        <v>5929878.9165091896</v>
      </c>
      <c r="I212" s="311">
        <v>152150.21945355195</v>
      </c>
      <c r="J212" s="135">
        <f>'B) D RI'!U213</f>
        <v>138438.0717486339</v>
      </c>
      <c r="K212" s="92">
        <f t="shared" si="29"/>
        <v>38.97384399316919</v>
      </c>
      <c r="L212" s="43">
        <f>'B) D RI'!S213</f>
        <v>61</v>
      </c>
      <c r="M212" s="43">
        <f t="shared" si="24"/>
        <v>22.02615600683081</v>
      </c>
      <c r="N212" s="199">
        <f>'J) Plafonnement effort'!G211+'J) Plafonnement effort'!H211-'K) Plafonnement aide'!I211</f>
        <v>41.278541919244638</v>
      </c>
      <c r="O212" s="199">
        <f t="shared" si="25"/>
        <v>63.304697926075448</v>
      </c>
      <c r="P212" s="59">
        <f t="shared" si="26"/>
        <v>0</v>
      </c>
      <c r="Q212" s="75">
        <f t="shared" si="30"/>
        <v>0</v>
      </c>
      <c r="R212" s="230">
        <f t="shared" si="27"/>
        <v>63.304697926075448</v>
      </c>
      <c r="S212" s="199">
        <f t="shared" si="28"/>
        <v>2.3046979260754483</v>
      </c>
      <c r="T212" s="229"/>
    </row>
    <row r="213" spans="1:20" x14ac:dyDescent="0.25">
      <c r="A213" s="61">
        <f>'A) Base RI'!A214</f>
        <v>5730</v>
      </c>
      <c r="B213" s="73" t="str">
        <f>'A) Base RI'!B214</f>
        <v>Trélex</v>
      </c>
      <c r="C213" s="238">
        <v>3275148.1275244551</v>
      </c>
      <c r="D213" s="239">
        <v>1849079</v>
      </c>
      <c r="E213" s="240">
        <v>0</v>
      </c>
      <c r="F213" s="239">
        <v>0</v>
      </c>
      <c r="G213" s="239">
        <v>0</v>
      </c>
      <c r="H213" s="241">
        <f t="shared" si="31"/>
        <v>5124227.1275244551</v>
      </c>
      <c r="I213" s="311">
        <v>142541.33792452831</v>
      </c>
      <c r="J213" s="135">
        <f>'B) D RI'!U214</f>
        <v>149022.17830188677</v>
      </c>
      <c r="K213" s="92">
        <f t="shared" si="29"/>
        <v>35.949060126246266</v>
      </c>
      <c r="L213" s="43">
        <f>'B) D RI'!S214</f>
        <v>53</v>
      </c>
      <c r="M213" s="43">
        <f t="shared" si="24"/>
        <v>17.050939873753734</v>
      </c>
      <c r="N213" s="199">
        <f>'J) Plafonnement effort'!G212+'J) Plafonnement effort'!H212-'K) Plafonnement aide'!I212</f>
        <v>40.639935778840197</v>
      </c>
      <c r="O213" s="199">
        <f t="shared" si="25"/>
        <v>57.690875652593931</v>
      </c>
      <c r="P213" s="59">
        <f t="shared" si="26"/>
        <v>0</v>
      </c>
      <c r="Q213" s="75">
        <f t="shared" si="30"/>
        <v>0</v>
      </c>
      <c r="R213" s="230">
        <f t="shared" si="27"/>
        <v>57.690875652593931</v>
      </c>
      <c r="S213" s="199">
        <f t="shared" si="28"/>
        <v>4.690875652593931</v>
      </c>
      <c r="T213" s="229"/>
    </row>
    <row r="214" spans="1:20" x14ac:dyDescent="0.25">
      <c r="A214" s="61">
        <f>'A) Base RI'!A215</f>
        <v>5731</v>
      </c>
      <c r="B214" s="73" t="str">
        <f>'A) Base RI'!B215</f>
        <v>Le Vaud</v>
      </c>
      <c r="C214" s="238">
        <v>670600.15616870858</v>
      </c>
      <c r="D214" s="239">
        <v>401713.99668688199</v>
      </c>
      <c r="E214" s="240">
        <v>0</v>
      </c>
      <c r="F214" s="239">
        <v>0</v>
      </c>
      <c r="G214" s="239">
        <v>0</v>
      </c>
      <c r="H214" s="241">
        <f t="shared" si="31"/>
        <v>1072314.1528555905</v>
      </c>
      <c r="I214" s="311">
        <v>44154.497155555553</v>
      </c>
      <c r="J214" s="135">
        <f>'B) D RI'!U215</f>
        <v>46449.882799999999</v>
      </c>
      <c r="K214" s="92">
        <f t="shared" si="29"/>
        <v>24.285502540722991</v>
      </c>
      <c r="L214" s="43">
        <f>'B) D RI'!S215</f>
        <v>75</v>
      </c>
      <c r="M214" s="43">
        <f t="shared" si="24"/>
        <v>50.714497459277013</v>
      </c>
      <c r="N214" s="199">
        <f>'J) Plafonnement effort'!G213+'J) Plafonnement effort'!H213-'K) Plafonnement aide'!I213</f>
        <v>24.98503303496426</v>
      </c>
      <c r="O214" s="199">
        <f t="shared" si="25"/>
        <v>75.699530494241273</v>
      </c>
      <c r="P214" s="59">
        <f t="shared" si="26"/>
        <v>0</v>
      </c>
      <c r="Q214" s="75">
        <f t="shared" si="30"/>
        <v>0</v>
      </c>
      <c r="R214" s="230">
        <f t="shared" si="27"/>
        <v>75.699530494241273</v>
      </c>
      <c r="S214" s="199">
        <f t="shared" si="28"/>
        <v>0.699530494241273</v>
      </c>
      <c r="T214" s="229"/>
    </row>
    <row r="215" spans="1:20" x14ac:dyDescent="0.25">
      <c r="A215" s="61">
        <f>'A) Base RI'!A216</f>
        <v>5732</v>
      </c>
      <c r="B215" s="73" t="str">
        <f>'A) Base RI'!B216</f>
        <v>Vich</v>
      </c>
      <c r="C215" s="238">
        <v>829626.8597071995</v>
      </c>
      <c r="D215" s="239">
        <v>669244</v>
      </c>
      <c r="E215" s="240">
        <v>0</v>
      </c>
      <c r="F215" s="239">
        <v>0</v>
      </c>
      <c r="G215" s="239">
        <v>0</v>
      </c>
      <c r="H215" s="241">
        <f t="shared" si="31"/>
        <v>1498870.8597071995</v>
      </c>
      <c r="I215" s="311">
        <v>40390.161857142848</v>
      </c>
      <c r="J215" s="135">
        <f>'B) D RI'!U216</f>
        <v>57292.894852941186</v>
      </c>
      <c r="K215" s="92">
        <f t="shared" si="29"/>
        <v>37.10980077298526</v>
      </c>
      <c r="L215" s="43">
        <f>'B) D RI'!S216</f>
        <v>68</v>
      </c>
      <c r="M215" s="43">
        <f t="shared" si="24"/>
        <v>30.89019922701474</v>
      </c>
      <c r="N215" s="199">
        <f>'J) Plafonnement effort'!G214+'J) Plafonnement effort'!H214-'K) Plafonnement aide'!I214</f>
        <v>40.588829240200511</v>
      </c>
      <c r="O215" s="199">
        <f t="shared" si="25"/>
        <v>71.479028467215244</v>
      </c>
      <c r="P215" s="59">
        <f t="shared" si="26"/>
        <v>0</v>
      </c>
      <c r="Q215" s="75">
        <f t="shared" si="30"/>
        <v>0</v>
      </c>
      <c r="R215" s="230">
        <f t="shared" si="27"/>
        <v>71.479028467215244</v>
      </c>
      <c r="S215" s="199">
        <f t="shared" si="28"/>
        <v>3.4790284672152438</v>
      </c>
      <c r="T215" s="229"/>
    </row>
    <row r="216" spans="1:20" x14ac:dyDescent="0.25">
      <c r="A216" s="61">
        <f>'A) Base RI'!A217</f>
        <v>5741</v>
      </c>
      <c r="B216" s="73" t="str">
        <f>'A) Base RI'!B217</f>
        <v>L'Abergement</v>
      </c>
      <c r="C216" s="238">
        <v>100932.04745152988</v>
      </c>
      <c r="D216" s="239">
        <v>-59742.328417359298</v>
      </c>
      <c r="E216" s="240">
        <v>0</v>
      </c>
      <c r="F216" s="239">
        <v>0</v>
      </c>
      <c r="G216" s="239">
        <v>0</v>
      </c>
      <c r="H216" s="241">
        <f t="shared" si="31"/>
        <v>41189.719034170586</v>
      </c>
      <c r="I216" s="311">
        <v>5658.7408436213982</v>
      </c>
      <c r="J216" s="135">
        <f>'B) D RI'!U217</f>
        <v>6994.8889917695487</v>
      </c>
      <c r="K216" s="92">
        <f t="shared" si="29"/>
        <v>7.2789548368521135</v>
      </c>
      <c r="L216" s="43">
        <f>'B) D RI'!S217</f>
        <v>81</v>
      </c>
      <c r="M216" s="43">
        <f t="shared" si="24"/>
        <v>73.721045163147892</v>
      </c>
      <c r="N216" s="199">
        <f>'J) Plafonnement effort'!G215+'J) Plafonnement effort'!H215-'K) Plafonnement aide'!I215</f>
        <v>5.2881425083453433</v>
      </c>
      <c r="O216" s="199">
        <f t="shared" si="25"/>
        <v>79.009187671493237</v>
      </c>
      <c r="P216" s="59">
        <f t="shared" si="26"/>
        <v>0</v>
      </c>
      <c r="Q216" s="75">
        <f t="shared" si="30"/>
        <v>0</v>
      </c>
      <c r="R216" s="230">
        <f t="shared" si="27"/>
        <v>79.009187671493237</v>
      </c>
      <c r="S216" s="199">
        <f t="shared" si="28"/>
        <v>-1.9908123285067632</v>
      </c>
      <c r="T216" s="229"/>
    </row>
    <row r="217" spans="1:20" x14ac:dyDescent="0.25">
      <c r="A217" s="61">
        <f>'A) Base RI'!A218</f>
        <v>5742</v>
      </c>
      <c r="B217" s="73" t="str">
        <f>'A) Base RI'!B218</f>
        <v>Agiez</v>
      </c>
      <c r="C217" s="238">
        <v>148204.92387243223</v>
      </c>
      <c r="D217" s="239">
        <v>22338.720635460661</v>
      </c>
      <c r="E217" s="240">
        <v>0</v>
      </c>
      <c r="F217" s="239">
        <v>0</v>
      </c>
      <c r="G217" s="239">
        <v>0</v>
      </c>
      <c r="H217" s="241">
        <f t="shared" si="31"/>
        <v>170543.6445078929</v>
      </c>
      <c r="I217" s="311">
        <v>8497.199342105263</v>
      </c>
      <c r="J217" s="135">
        <f>'B) D RI'!U218</f>
        <v>9274.0430263157905</v>
      </c>
      <c r="K217" s="92">
        <f t="shared" si="29"/>
        <v>20.070571213130922</v>
      </c>
      <c r="L217" s="43">
        <f>'B) D RI'!S218</f>
        <v>76</v>
      </c>
      <c r="M217" s="43">
        <f t="shared" si="24"/>
        <v>55.929428786869082</v>
      </c>
      <c r="N217" s="199">
        <f>'J) Plafonnement effort'!G216+'J) Plafonnement effort'!H216-'K) Plafonnement aide'!I216</f>
        <v>16.625159307090428</v>
      </c>
      <c r="O217" s="199">
        <f t="shared" si="25"/>
        <v>72.554588093959509</v>
      </c>
      <c r="P217" s="59">
        <f t="shared" si="26"/>
        <v>0</v>
      </c>
      <c r="Q217" s="75">
        <f t="shared" si="30"/>
        <v>0</v>
      </c>
      <c r="R217" s="230">
        <f t="shared" si="27"/>
        <v>72.554588093959509</v>
      </c>
      <c r="S217" s="199">
        <f t="shared" si="28"/>
        <v>-3.4454119060404906</v>
      </c>
      <c r="T217" s="229"/>
    </row>
    <row r="218" spans="1:20" x14ac:dyDescent="0.25">
      <c r="A218" s="61">
        <f>'A) Base RI'!A219</f>
        <v>5743</v>
      </c>
      <c r="B218" s="73" t="str">
        <f>'A) Base RI'!B219</f>
        <v>Arnex-sur-Orbe</v>
      </c>
      <c r="C218" s="238">
        <v>261546.34717467288</v>
      </c>
      <c r="D218" s="239">
        <v>-70186.383897975553</v>
      </c>
      <c r="E218" s="240">
        <v>0</v>
      </c>
      <c r="F218" s="239">
        <v>0</v>
      </c>
      <c r="G218" s="239">
        <v>0</v>
      </c>
      <c r="H218" s="241">
        <f t="shared" si="31"/>
        <v>191359.96327669732</v>
      </c>
      <c r="I218" s="311">
        <v>14235.259246575342</v>
      </c>
      <c r="J218" s="135">
        <f>'B) D RI'!U219</f>
        <v>17348.834349315071</v>
      </c>
      <c r="K218" s="92">
        <f t="shared" si="29"/>
        <v>13.442674977818468</v>
      </c>
      <c r="L218" s="43">
        <f>'B) D RI'!S219</f>
        <v>73</v>
      </c>
      <c r="M218" s="43">
        <f t="shared" si="24"/>
        <v>59.55732502218153</v>
      </c>
      <c r="N218" s="199">
        <f>'J) Plafonnement effort'!G217+'J) Plafonnement effort'!H217-'K) Plafonnement aide'!I217</f>
        <v>16.59115382190274</v>
      </c>
      <c r="O218" s="199">
        <f t="shared" si="25"/>
        <v>76.148478844084266</v>
      </c>
      <c r="P218" s="59">
        <f t="shared" si="26"/>
        <v>0</v>
      </c>
      <c r="Q218" s="75">
        <f t="shared" si="30"/>
        <v>0</v>
      </c>
      <c r="R218" s="230">
        <f t="shared" si="27"/>
        <v>76.148478844084266</v>
      </c>
      <c r="S218" s="199">
        <f t="shared" si="28"/>
        <v>3.1484788440842664</v>
      </c>
      <c r="T218" s="229"/>
    </row>
    <row r="219" spans="1:20" x14ac:dyDescent="0.25">
      <c r="A219" s="61">
        <f>'A) Base RI'!A220</f>
        <v>5744</v>
      </c>
      <c r="B219" s="73" t="str">
        <f>'A) Base RI'!B220</f>
        <v>Ballaigues</v>
      </c>
      <c r="C219" s="238">
        <v>2649185.8135934947</v>
      </c>
      <c r="D219" s="239">
        <v>1388200</v>
      </c>
      <c r="E219" s="240">
        <v>0</v>
      </c>
      <c r="F219" s="239">
        <v>0</v>
      </c>
      <c r="G219" s="239">
        <v>0</v>
      </c>
      <c r="H219" s="241">
        <f t="shared" si="31"/>
        <v>4037385.8135934947</v>
      </c>
      <c r="I219" s="311">
        <v>99800.089242424234</v>
      </c>
      <c r="J219" s="135">
        <f>'B) D RI'!U220</f>
        <v>53212.458333333336</v>
      </c>
      <c r="K219" s="92">
        <f t="shared" si="29"/>
        <v>40.454731496144127</v>
      </c>
      <c r="L219" s="43">
        <f>'B) D RI'!S220</f>
        <v>66</v>
      </c>
      <c r="M219" s="43">
        <f t="shared" si="24"/>
        <v>25.545268503855873</v>
      </c>
      <c r="N219" s="199">
        <f>'J) Plafonnement effort'!G218+'J) Plafonnement effort'!H218-'K) Plafonnement aide'!I218</f>
        <v>28.03582768568614</v>
      </c>
      <c r="O219" s="199">
        <f t="shared" si="25"/>
        <v>53.581096189542009</v>
      </c>
      <c r="P219" s="59">
        <f t="shared" si="26"/>
        <v>0</v>
      </c>
      <c r="Q219" s="75">
        <f t="shared" si="30"/>
        <v>0</v>
      </c>
      <c r="R219" s="230">
        <f t="shared" si="27"/>
        <v>53.581096189542009</v>
      </c>
      <c r="S219" s="199">
        <f t="shared" si="28"/>
        <v>-12.418903810457991</v>
      </c>
      <c r="T219" s="229"/>
    </row>
    <row r="220" spans="1:20" x14ac:dyDescent="0.25">
      <c r="A220" s="61">
        <f>'A) Base RI'!A221</f>
        <v>5745</v>
      </c>
      <c r="B220" s="73" t="str">
        <f>'A) Base RI'!B221</f>
        <v>Baulmes</v>
      </c>
      <c r="C220" s="238">
        <v>455376.76241015189</v>
      </c>
      <c r="D220" s="239">
        <v>-26923.740127121564</v>
      </c>
      <c r="E220" s="240">
        <v>0</v>
      </c>
      <c r="F220" s="239">
        <v>0</v>
      </c>
      <c r="G220" s="239">
        <v>0</v>
      </c>
      <c r="H220" s="241">
        <f t="shared" si="31"/>
        <v>428453.02228303032</v>
      </c>
      <c r="I220" s="311">
        <v>27286.676794871797</v>
      </c>
      <c r="J220" s="135">
        <f>'B) D RI'!U221</f>
        <v>27522.151666666668</v>
      </c>
      <c r="K220" s="92">
        <f t="shared" si="29"/>
        <v>15.701912897049922</v>
      </c>
      <c r="L220" s="43">
        <f>'B) D RI'!S221</f>
        <v>78</v>
      </c>
      <c r="M220" s="43">
        <f t="shared" si="24"/>
        <v>62.298087102950078</v>
      </c>
      <c r="N220" s="199">
        <f>'J) Plafonnement effort'!G219+'J) Plafonnement effort'!H219-'K) Plafonnement aide'!I219</f>
        <v>5.7818680831327089</v>
      </c>
      <c r="O220" s="199">
        <f t="shared" si="25"/>
        <v>68.079955186082785</v>
      </c>
      <c r="P220" s="59">
        <f t="shared" si="26"/>
        <v>0</v>
      </c>
      <c r="Q220" s="75">
        <f t="shared" si="30"/>
        <v>0</v>
      </c>
      <c r="R220" s="230">
        <f t="shared" si="27"/>
        <v>68.079955186082785</v>
      </c>
      <c r="S220" s="199">
        <f t="shared" si="28"/>
        <v>-9.9200448139172153</v>
      </c>
      <c r="T220" s="229"/>
    </row>
    <row r="221" spans="1:20" x14ac:dyDescent="0.25">
      <c r="A221" s="61">
        <f>'A) Base RI'!A222</f>
        <v>5746</v>
      </c>
      <c r="B221" s="73" t="str">
        <f>'A) Base RI'!B222</f>
        <v>Bavois</v>
      </c>
      <c r="C221" s="238">
        <v>402092.10769342585</v>
      </c>
      <c r="D221" s="239">
        <v>41397.507172814163</v>
      </c>
      <c r="E221" s="240">
        <v>0</v>
      </c>
      <c r="F221" s="239">
        <v>0</v>
      </c>
      <c r="G221" s="239">
        <v>0</v>
      </c>
      <c r="H221" s="241">
        <f t="shared" si="31"/>
        <v>443489.61486624001</v>
      </c>
      <c r="I221" s="311">
        <v>24960.640433789951</v>
      </c>
      <c r="J221" s="135">
        <f>'B) D RI'!U222</f>
        <v>23930.083584474884</v>
      </c>
      <c r="K221" s="92">
        <f t="shared" si="29"/>
        <v>17.767557528927629</v>
      </c>
      <c r="L221" s="43">
        <f>'B) D RI'!S222</f>
        <v>73</v>
      </c>
      <c r="M221" s="43">
        <f t="shared" si="24"/>
        <v>55.232442471072375</v>
      </c>
      <c r="N221" s="199">
        <f>'J) Plafonnement effort'!G220+'J) Plafonnement effort'!H220-'K) Plafonnement aide'!I220</f>
        <v>9.3067215800910361</v>
      </c>
      <c r="O221" s="199">
        <f t="shared" si="25"/>
        <v>64.539164051163411</v>
      </c>
      <c r="P221" s="59">
        <f t="shared" si="26"/>
        <v>0</v>
      </c>
      <c r="Q221" s="75">
        <f t="shared" si="30"/>
        <v>0</v>
      </c>
      <c r="R221" s="230">
        <f t="shared" si="27"/>
        <v>64.539164051163411</v>
      </c>
      <c r="S221" s="199">
        <f t="shared" si="28"/>
        <v>-8.4608359488365892</v>
      </c>
      <c r="T221" s="229"/>
    </row>
    <row r="222" spans="1:20" x14ac:dyDescent="0.25">
      <c r="A222" s="61">
        <f>'A) Base RI'!A223</f>
        <v>5747</v>
      </c>
      <c r="B222" s="73" t="str">
        <f>'A) Base RI'!B223</f>
        <v>Bofflens</v>
      </c>
      <c r="C222" s="238">
        <v>88209.924498070424</v>
      </c>
      <c r="D222" s="239">
        <v>27317.135037314816</v>
      </c>
      <c r="E222" s="240">
        <v>0</v>
      </c>
      <c r="F222" s="239">
        <v>0</v>
      </c>
      <c r="G222" s="239">
        <v>0</v>
      </c>
      <c r="H222" s="241">
        <f t="shared" si="31"/>
        <v>115527.05953538524</v>
      </c>
      <c r="I222" s="311">
        <v>5444.2446376811595</v>
      </c>
      <c r="J222" s="135">
        <f>'B) D RI'!U223</f>
        <v>5183.441884057971</v>
      </c>
      <c r="K222" s="92">
        <f t="shared" si="29"/>
        <v>21.220034591353542</v>
      </c>
      <c r="L222" s="43">
        <f>'B) D RI'!S223</f>
        <v>69</v>
      </c>
      <c r="M222" s="43">
        <f t="shared" si="24"/>
        <v>47.779965408646461</v>
      </c>
      <c r="N222" s="199">
        <f>'J) Plafonnement effort'!G221+'J) Plafonnement effort'!H221-'K) Plafonnement aide'!I221</f>
        <v>18.194502032642813</v>
      </c>
      <c r="O222" s="199">
        <f t="shared" si="25"/>
        <v>65.974467441289278</v>
      </c>
      <c r="P222" s="59">
        <f t="shared" si="26"/>
        <v>0</v>
      </c>
      <c r="Q222" s="75">
        <f t="shared" si="30"/>
        <v>0</v>
      </c>
      <c r="R222" s="230">
        <f t="shared" si="27"/>
        <v>65.974467441289278</v>
      </c>
      <c r="S222" s="199">
        <f t="shared" si="28"/>
        <v>-3.0255325587107222</v>
      </c>
      <c r="T222" s="229"/>
    </row>
    <row r="223" spans="1:20" x14ac:dyDescent="0.25">
      <c r="A223" s="61">
        <f>'A) Base RI'!A224</f>
        <v>5748</v>
      </c>
      <c r="B223" s="73" t="str">
        <f>'A) Base RI'!B224</f>
        <v>Bretonnières</v>
      </c>
      <c r="C223" s="238">
        <v>87508.412947076809</v>
      </c>
      <c r="D223" s="239">
        <v>-41658.535657527915</v>
      </c>
      <c r="E223" s="240">
        <v>0</v>
      </c>
      <c r="F223" s="239">
        <v>0</v>
      </c>
      <c r="G223" s="239">
        <v>0</v>
      </c>
      <c r="H223" s="241">
        <f t="shared" si="31"/>
        <v>45849.877289548895</v>
      </c>
      <c r="I223" s="311">
        <v>4853.6245714285715</v>
      </c>
      <c r="J223" s="135">
        <f>'B) D RI'!U224</f>
        <v>6140.8540277777784</v>
      </c>
      <c r="K223" s="92">
        <f t="shared" si="29"/>
        <v>9.4465232353259374</v>
      </c>
      <c r="L223" s="43">
        <f>'B) D RI'!S224</f>
        <v>72</v>
      </c>
      <c r="M223" s="43">
        <f t="shared" si="24"/>
        <v>62.553476764674059</v>
      </c>
      <c r="N223" s="199">
        <f>'J) Plafonnement effort'!G222+'J) Plafonnement effort'!H222-'K) Plafonnement aide'!I222</f>
        <v>9.2404780187941959</v>
      </c>
      <c r="O223" s="199">
        <f t="shared" si="25"/>
        <v>71.793954783468251</v>
      </c>
      <c r="P223" s="59">
        <f t="shared" si="26"/>
        <v>0</v>
      </c>
      <c r="Q223" s="75">
        <f t="shared" si="30"/>
        <v>0</v>
      </c>
      <c r="R223" s="230">
        <f t="shared" si="27"/>
        <v>71.793954783468251</v>
      </c>
      <c r="S223" s="199">
        <f t="shared" si="28"/>
        <v>-0.20604521653174857</v>
      </c>
      <c r="T223" s="229"/>
    </row>
    <row r="224" spans="1:20" x14ac:dyDescent="0.25">
      <c r="A224" s="61">
        <f>'A) Base RI'!A225</f>
        <v>5749</v>
      </c>
      <c r="B224" s="73" t="str">
        <f>'A) Base RI'!B225</f>
        <v>Chavornay</v>
      </c>
      <c r="C224" s="238">
        <v>2173796.7829295089</v>
      </c>
      <c r="D224" s="239">
        <v>-210266.95053530578</v>
      </c>
      <c r="E224" s="240">
        <v>0</v>
      </c>
      <c r="F224" s="239">
        <v>0</v>
      </c>
      <c r="G224" s="239">
        <v>0</v>
      </c>
      <c r="H224" s="241">
        <f t="shared" si="31"/>
        <v>1963529.8323942032</v>
      </c>
      <c r="I224" s="311">
        <v>122489.22791666667</v>
      </c>
      <c r="J224" s="135">
        <f>'B) D RI'!U225</f>
        <v>110381.46250000001</v>
      </c>
      <c r="K224" s="92">
        <f t="shared" si="29"/>
        <v>16.030224582116357</v>
      </c>
      <c r="L224" s="43">
        <f>'B) D RI'!S225</f>
        <v>72</v>
      </c>
      <c r="M224" s="43">
        <f t="shared" si="24"/>
        <v>55.969775417883639</v>
      </c>
      <c r="N224" s="199">
        <f>'J) Plafonnement effort'!G223+'J) Plafonnement effort'!H223-'K) Plafonnement aide'!I223</f>
        <v>6.1300584715714894</v>
      </c>
      <c r="O224" s="199">
        <f t="shared" si="25"/>
        <v>62.099833889455127</v>
      </c>
      <c r="P224" s="59">
        <f t="shared" si="26"/>
        <v>0</v>
      </c>
      <c r="Q224" s="75">
        <f t="shared" si="30"/>
        <v>0</v>
      </c>
      <c r="R224" s="230">
        <f t="shared" si="27"/>
        <v>62.099833889455127</v>
      </c>
      <c r="S224" s="199">
        <f t="shared" si="28"/>
        <v>-9.9001661105448733</v>
      </c>
      <c r="T224" s="229"/>
    </row>
    <row r="225" spans="1:20" x14ac:dyDescent="0.25">
      <c r="A225" s="61">
        <f>'A) Base RI'!A226</f>
        <v>5750</v>
      </c>
      <c r="B225" s="73" t="str">
        <f>'A) Base RI'!B226</f>
        <v>Les Clées</v>
      </c>
      <c r="C225" s="238">
        <v>67263.397913010631</v>
      </c>
      <c r="D225" s="239">
        <v>-6197.5984543277591</v>
      </c>
      <c r="E225" s="240">
        <v>0</v>
      </c>
      <c r="F225" s="239">
        <v>0</v>
      </c>
      <c r="G225" s="239">
        <v>0</v>
      </c>
      <c r="H225" s="241">
        <f t="shared" si="31"/>
        <v>61065.799458682872</v>
      </c>
      <c r="I225" s="311">
        <v>4745.5921666666673</v>
      </c>
      <c r="J225" s="135">
        <f>'B) D RI'!U226</f>
        <v>4366.1146666666664</v>
      </c>
      <c r="K225" s="92">
        <f t="shared" si="29"/>
        <v>12.867898739300191</v>
      </c>
      <c r="L225" s="43">
        <f>'B) D RI'!S226</f>
        <v>80</v>
      </c>
      <c r="M225" s="43">
        <f t="shared" ref="M225:M269" si="32">L225-K225</f>
        <v>67.132101260699812</v>
      </c>
      <c r="N225" s="199">
        <f>'J) Plafonnement effort'!G224+'J) Plafonnement effort'!H224-'K) Plafonnement aide'!I224</f>
        <v>1.3596775816492261</v>
      </c>
      <c r="O225" s="199">
        <f t="shared" ref="O225:O269" si="33">M225+N225</f>
        <v>68.491778842349035</v>
      </c>
      <c r="P225" s="59">
        <f t="shared" ref="P225:P269" si="34">IF(O225&gt;$P$5,$P$5-O225,0)</f>
        <v>0</v>
      </c>
      <c r="Q225" s="75">
        <f t="shared" si="30"/>
        <v>0</v>
      </c>
      <c r="R225" s="230">
        <f t="shared" ref="R225:R269" si="35">O225+P225</f>
        <v>68.491778842349035</v>
      </c>
      <c r="S225" s="199">
        <f t="shared" ref="S225:S269" si="36">R225-L225</f>
        <v>-11.508221157650965</v>
      </c>
      <c r="T225" s="229"/>
    </row>
    <row r="226" spans="1:20" x14ac:dyDescent="0.25">
      <c r="A226" s="61">
        <f>'A) Base RI'!A227</f>
        <v>5751</v>
      </c>
      <c r="B226" s="73" t="str">
        <f>'A) Base RI'!B227</f>
        <v>Corcelles-sur-Chavornay</v>
      </c>
      <c r="C226" s="238">
        <v>155063.77835138212</v>
      </c>
      <c r="D226" s="239">
        <v>-19211.194343981595</v>
      </c>
      <c r="E226" s="240">
        <v>0</v>
      </c>
      <c r="F226" s="239">
        <v>0</v>
      </c>
      <c r="G226" s="239">
        <v>0</v>
      </c>
      <c r="H226" s="241">
        <f t="shared" si="31"/>
        <v>135852.58400740052</v>
      </c>
      <c r="I226" s="311">
        <v>8378.5938157894743</v>
      </c>
      <c r="J226" s="135">
        <f>'B) D RI'!U227</f>
        <v>8804.0960526315775</v>
      </c>
      <c r="K226" s="92">
        <f t="shared" si="29"/>
        <v>16.214246327514541</v>
      </c>
      <c r="L226" s="43">
        <f>'B) D RI'!S227</f>
        <v>76</v>
      </c>
      <c r="M226" s="43">
        <f t="shared" si="32"/>
        <v>59.785753672485455</v>
      </c>
      <c r="N226" s="199">
        <f>'J) Plafonnement effort'!G225+'J) Plafonnement effort'!H225-'K) Plafonnement aide'!I225</f>
        <v>8.8110076482169823</v>
      </c>
      <c r="O226" s="199">
        <f t="shared" si="33"/>
        <v>68.596761320702441</v>
      </c>
      <c r="P226" s="59">
        <f t="shared" si="34"/>
        <v>0</v>
      </c>
      <c r="Q226" s="75">
        <f t="shared" si="30"/>
        <v>0</v>
      </c>
      <c r="R226" s="230">
        <f t="shared" si="35"/>
        <v>68.596761320702441</v>
      </c>
      <c r="S226" s="199">
        <f t="shared" si="36"/>
        <v>-7.4032386792975586</v>
      </c>
      <c r="T226" s="229"/>
    </row>
    <row r="227" spans="1:20" x14ac:dyDescent="0.25">
      <c r="A227" s="61">
        <f>'A) Base RI'!A228</f>
        <v>5752</v>
      </c>
      <c r="B227" s="73" t="str">
        <f>'A) Base RI'!B228</f>
        <v>Croy</v>
      </c>
      <c r="C227" s="238">
        <v>124325.40404572929</v>
      </c>
      <c r="D227" s="239">
        <v>-12485.932208002429</v>
      </c>
      <c r="E227" s="240">
        <v>0</v>
      </c>
      <c r="F227" s="239">
        <v>0</v>
      </c>
      <c r="G227" s="239">
        <v>0</v>
      </c>
      <c r="H227" s="241">
        <f t="shared" si="31"/>
        <v>111839.47183772686</v>
      </c>
      <c r="I227" s="311">
        <v>8127.3322007722018</v>
      </c>
      <c r="J227" s="135">
        <f>'B) D RI'!U228</f>
        <v>14303.968204633204</v>
      </c>
      <c r="K227" s="92">
        <f t="shared" ref="K227:K273" si="37">H227/I227</f>
        <v>13.760908139955282</v>
      </c>
      <c r="L227" s="43">
        <f>'B) D RI'!S228</f>
        <v>74</v>
      </c>
      <c r="M227" s="43">
        <f t="shared" si="32"/>
        <v>60.239091860044716</v>
      </c>
      <c r="N227" s="199">
        <f>'J) Plafonnement effort'!G226+'J) Plafonnement effort'!H226-'K) Plafonnement aide'!I226</f>
        <v>13.011177870350025</v>
      </c>
      <c r="O227" s="199">
        <f t="shared" si="33"/>
        <v>73.250269730394734</v>
      </c>
      <c r="P227" s="59">
        <f t="shared" si="34"/>
        <v>0</v>
      </c>
      <c r="Q227" s="75">
        <f t="shared" si="30"/>
        <v>0</v>
      </c>
      <c r="R227" s="230">
        <f t="shared" si="35"/>
        <v>73.250269730394734</v>
      </c>
      <c r="S227" s="199">
        <f t="shared" si="36"/>
        <v>-0.74973026960526568</v>
      </c>
      <c r="T227" s="229"/>
    </row>
    <row r="228" spans="1:20" x14ac:dyDescent="0.25">
      <c r="A228" s="61">
        <f>'A) Base RI'!A229</f>
        <v>5754</v>
      </c>
      <c r="B228" s="73" t="str">
        <f>'A) Base RI'!B229</f>
        <v>Juriens</v>
      </c>
      <c r="C228" s="238">
        <v>95127.016822232035</v>
      </c>
      <c r="D228" s="239">
        <v>-72373.317139949737</v>
      </c>
      <c r="E228" s="240">
        <v>0</v>
      </c>
      <c r="F228" s="239">
        <v>0</v>
      </c>
      <c r="G228" s="239">
        <v>0</v>
      </c>
      <c r="H228" s="241">
        <f t="shared" si="31"/>
        <v>22753.699682282298</v>
      </c>
      <c r="I228" s="311">
        <v>6779.1981012658243</v>
      </c>
      <c r="J228" s="135">
        <f>'B) D RI'!U229</f>
        <v>6475.8115189873415</v>
      </c>
      <c r="K228" s="92">
        <f t="shared" si="37"/>
        <v>3.3563998783327613</v>
      </c>
      <c r="L228" s="43">
        <f>'B) D RI'!S229</f>
        <v>79</v>
      </c>
      <c r="M228" s="43">
        <f t="shared" si="32"/>
        <v>75.643600121667234</v>
      </c>
      <c r="N228" s="199">
        <f>'J) Plafonnement effort'!G227+'J) Plafonnement effort'!H227-'K) Plafonnement aide'!I227</f>
        <v>0.39174079734705103</v>
      </c>
      <c r="O228" s="199">
        <f t="shared" si="33"/>
        <v>76.035340919014288</v>
      </c>
      <c r="P228" s="59">
        <f t="shared" si="34"/>
        <v>0</v>
      </c>
      <c r="Q228" s="75">
        <f t="shared" ref="Q228:Q274" si="38">P228*J228</f>
        <v>0</v>
      </c>
      <c r="R228" s="230">
        <f t="shared" si="35"/>
        <v>76.035340919014288</v>
      </c>
      <c r="S228" s="199">
        <f t="shared" si="36"/>
        <v>-2.9646590809857116</v>
      </c>
      <c r="T228" s="229"/>
    </row>
    <row r="229" spans="1:20" x14ac:dyDescent="0.25">
      <c r="A229" s="61">
        <f>'A) Base RI'!A230</f>
        <v>5755</v>
      </c>
      <c r="B229" s="73" t="str">
        <f>'A) Base RI'!B230</f>
        <v>Lignerolle</v>
      </c>
      <c r="C229" s="238">
        <v>165617.60879501939</v>
      </c>
      <c r="D229" s="239">
        <v>-87018.598312053189</v>
      </c>
      <c r="E229" s="240">
        <v>0</v>
      </c>
      <c r="F229" s="239">
        <v>0</v>
      </c>
      <c r="G229" s="239">
        <v>0</v>
      </c>
      <c r="H229" s="241">
        <f t="shared" si="31"/>
        <v>78599.010482966201</v>
      </c>
      <c r="I229" s="311">
        <v>8994.3248324514989</v>
      </c>
      <c r="J229" s="135">
        <f>'B) D RI'!U230</f>
        <v>8871.4906525573169</v>
      </c>
      <c r="K229" s="92">
        <f t="shared" si="37"/>
        <v>8.7387338068313021</v>
      </c>
      <c r="L229" s="43">
        <f>'B) D RI'!S230</f>
        <v>81</v>
      </c>
      <c r="M229" s="43">
        <f t="shared" si="32"/>
        <v>72.261266193168694</v>
      </c>
      <c r="N229" s="199">
        <f>'J) Plafonnement effort'!G228+'J) Plafonnement effort'!H228-'K) Plafonnement aide'!I228</f>
        <v>-23.609788033940973</v>
      </c>
      <c r="O229" s="199">
        <f t="shared" si="33"/>
        <v>48.651478159227722</v>
      </c>
      <c r="P229" s="59">
        <f t="shared" si="34"/>
        <v>0</v>
      </c>
      <c r="Q229" s="75">
        <f t="shared" si="38"/>
        <v>0</v>
      </c>
      <c r="R229" s="230">
        <f t="shared" si="35"/>
        <v>48.651478159227722</v>
      </c>
      <c r="S229" s="199">
        <f t="shared" si="36"/>
        <v>-32.348521840772278</v>
      </c>
      <c r="T229" s="229"/>
    </row>
    <row r="230" spans="1:20" x14ac:dyDescent="0.25">
      <c r="A230" s="61">
        <f>'A) Base RI'!A231</f>
        <v>5756</v>
      </c>
      <c r="B230" s="73" t="str">
        <f>'A) Base RI'!B231</f>
        <v>Montcherand</v>
      </c>
      <c r="C230" s="238">
        <v>253041.06559855858</v>
      </c>
      <c r="D230" s="239">
        <v>147575.86461702868</v>
      </c>
      <c r="E230" s="240">
        <v>0</v>
      </c>
      <c r="F230" s="239">
        <v>0</v>
      </c>
      <c r="G230" s="239">
        <v>0</v>
      </c>
      <c r="H230" s="241">
        <f t="shared" si="31"/>
        <v>400616.93021558726</v>
      </c>
      <c r="I230" s="311">
        <v>15693.326135265701</v>
      </c>
      <c r="J230" s="135">
        <f>'B) D RI'!U231</f>
        <v>14808.245169082125</v>
      </c>
      <c r="K230" s="92">
        <f t="shared" si="37"/>
        <v>25.527853481317106</v>
      </c>
      <c r="L230" s="43">
        <f>'B) D RI'!S231</f>
        <v>69</v>
      </c>
      <c r="M230" s="43">
        <f t="shared" si="32"/>
        <v>43.472146518682891</v>
      </c>
      <c r="N230" s="199">
        <f>'J) Plafonnement effort'!G229+'J) Plafonnement effort'!H229-'K) Plafonnement aide'!I229</f>
        <v>20.520001338792945</v>
      </c>
      <c r="O230" s="199">
        <f t="shared" si="33"/>
        <v>63.992147857475835</v>
      </c>
      <c r="P230" s="59">
        <f t="shared" si="34"/>
        <v>0</v>
      </c>
      <c r="Q230" s="75">
        <f t="shared" si="38"/>
        <v>0</v>
      </c>
      <c r="R230" s="230">
        <f t="shared" si="35"/>
        <v>63.992147857475835</v>
      </c>
      <c r="S230" s="199">
        <f t="shared" si="36"/>
        <v>-5.0078521425241647</v>
      </c>
      <c r="T230" s="229"/>
    </row>
    <row r="231" spans="1:20" x14ac:dyDescent="0.25">
      <c r="A231" s="61">
        <f>'A) Base RI'!A232</f>
        <v>5757</v>
      </c>
      <c r="B231" s="73" t="str">
        <f>'A) Base RI'!B232</f>
        <v>Orbe</v>
      </c>
      <c r="C231" s="238">
        <v>3888734.9711298039</v>
      </c>
      <c r="D231" s="239">
        <v>-838912.25318064541</v>
      </c>
      <c r="E231" s="240">
        <v>0</v>
      </c>
      <c r="F231" s="239">
        <v>0</v>
      </c>
      <c r="G231" s="239">
        <v>0</v>
      </c>
      <c r="H231" s="241">
        <f t="shared" si="31"/>
        <v>3049822.7179491585</v>
      </c>
      <c r="I231" s="311">
        <v>203617.2094202899</v>
      </c>
      <c r="J231" s="135">
        <f>'B) D RI'!U232</f>
        <v>210430.38166666671</v>
      </c>
      <c r="K231" s="92">
        <f t="shared" si="37"/>
        <v>14.978216854224563</v>
      </c>
      <c r="L231" s="43">
        <f>'B) D RI'!S232</f>
        <v>72</v>
      </c>
      <c r="M231" s="43">
        <f t="shared" si="32"/>
        <v>57.021783145775437</v>
      </c>
      <c r="N231" s="199">
        <f>'J) Plafonnement effort'!G230+'J) Plafonnement effort'!H230-'K) Plafonnement aide'!I230</f>
        <v>8.8995037676726056</v>
      </c>
      <c r="O231" s="199">
        <f t="shared" si="33"/>
        <v>65.921286913448043</v>
      </c>
      <c r="P231" s="59">
        <f t="shared" si="34"/>
        <v>0</v>
      </c>
      <c r="Q231" s="75">
        <f t="shared" si="38"/>
        <v>0</v>
      </c>
      <c r="R231" s="230">
        <f t="shared" si="35"/>
        <v>65.921286913448043</v>
      </c>
      <c r="S231" s="199">
        <f t="shared" si="36"/>
        <v>-6.0787130865519572</v>
      </c>
      <c r="T231" s="229"/>
    </row>
    <row r="232" spans="1:20" x14ac:dyDescent="0.25">
      <c r="A232" s="61">
        <f>'A) Base RI'!A233</f>
        <v>5758</v>
      </c>
      <c r="B232" s="73" t="str">
        <f>'A) Base RI'!B233</f>
        <v>La Praz</v>
      </c>
      <c r="C232" s="238">
        <v>64773.230311817133</v>
      </c>
      <c r="D232" s="239">
        <v>-26804.502696500684</v>
      </c>
      <c r="E232" s="240">
        <v>0</v>
      </c>
      <c r="F232" s="239">
        <v>0</v>
      </c>
      <c r="G232" s="239">
        <v>-16548.251263563026</v>
      </c>
      <c r="H232" s="241">
        <f t="shared" si="31"/>
        <v>21420.476351753423</v>
      </c>
      <c r="I232" s="311">
        <v>3854.1398125836677</v>
      </c>
      <c r="J232" s="135">
        <f>'B) D RI'!U233</f>
        <v>3864.2083668005353</v>
      </c>
      <c r="K232" s="92">
        <f t="shared" si="37"/>
        <v>5.557783939704553</v>
      </c>
      <c r="L232" s="43">
        <f>'B) D RI'!S233</f>
        <v>83</v>
      </c>
      <c r="M232" s="43">
        <f t="shared" si="32"/>
        <v>77.442216060295451</v>
      </c>
      <c r="N232" s="199">
        <f>'J) Plafonnement effort'!G231+'J) Plafonnement effort'!H231-'K) Plafonnement aide'!I231</f>
        <v>-0.26692901981405015</v>
      </c>
      <c r="O232" s="199">
        <f t="shared" si="33"/>
        <v>77.175287040481408</v>
      </c>
      <c r="P232" s="59">
        <f t="shared" si="34"/>
        <v>0</v>
      </c>
      <c r="Q232" s="75">
        <f t="shared" si="38"/>
        <v>0</v>
      </c>
      <c r="R232" s="230">
        <f t="shared" si="35"/>
        <v>77.175287040481408</v>
      </c>
      <c r="S232" s="199">
        <f t="shared" si="36"/>
        <v>-5.8247129595185925</v>
      </c>
      <c r="T232" s="229"/>
    </row>
    <row r="233" spans="1:20" x14ac:dyDescent="0.25">
      <c r="A233" s="61">
        <f>'A) Base RI'!A234</f>
        <v>5759</v>
      </c>
      <c r="B233" s="73" t="str">
        <f>'A) Base RI'!B234</f>
        <v>Premier</v>
      </c>
      <c r="C233" s="238">
        <v>66504.003195225814</v>
      </c>
      <c r="D233" s="239">
        <v>-53915.915315633989</v>
      </c>
      <c r="E233" s="240">
        <v>0</v>
      </c>
      <c r="F233" s="239">
        <v>0</v>
      </c>
      <c r="G233" s="239">
        <v>0</v>
      </c>
      <c r="H233" s="241">
        <f t="shared" si="31"/>
        <v>12588.087879591825</v>
      </c>
      <c r="I233" s="311">
        <v>3885.6082716049386</v>
      </c>
      <c r="J233" s="135">
        <f>'B) D RI'!U234</f>
        <v>4558.7250617283944</v>
      </c>
      <c r="K233" s="92">
        <f t="shared" si="37"/>
        <v>3.2396698276515541</v>
      </c>
      <c r="L233" s="43">
        <f>'B) D RI'!S234</f>
        <v>81</v>
      </c>
      <c r="M233" s="43">
        <f t="shared" si="32"/>
        <v>77.760330172348446</v>
      </c>
      <c r="N233" s="199">
        <f>'J) Plafonnement effort'!G232+'J) Plafonnement effort'!H232-'K) Plafonnement aide'!I232</f>
        <v>1.5906118482646701</v>
      </c>
      <c r="O233" s="199">
        <f t="shared" si="33"/>
        <v>79.350942020613118</v>
      </c>
      <c r="P233" s="59">
        <f t="shared" si="34"/>
        <v>0</v>
      </c>
      <c r="Q233" s="75">
        <f t="shared" si="38"/>
        <v>0</v>
      </c>
      <c r="R233" s="230">
        <f t="shared" si="35"/>
        <v>79.350942020613118</v>
      </c>
      <c r="S233" s="199">
        <f t="shared" si="36"/>
        <v>-1.6490579793868818</v>
      </c>
      <c r="T233" s="229"/>
    </row>
    <row r="234" spans="1:20" x14ac:dyDescent="0.25">
      <c r="A234" s="61">
        <f>'A) Base RI'!A235</f>
        <v>5760</v>
      </c>
      <c r="B234" s="73" t="str">
        <f>'A) Base RI'!B235</f>
        <v>Rances</v>
      </c>
      <c r="C234" s="238">
        <v>183478.06565699447</v>
      </c>
      <c r="D234" s="239">
        <v>-24431.853480737831</v>
      </c>
      <c r="E234" s="240">
        <v>0</v>
      </c>
      <c r="F234" s="239">
        <v>0</v>
      </c>
      <c r="G234" s="239">
        <v>0</v>
      </c>
      <c r="H234" s="241">
        <f t="shared" si="31"/>
        <v>159046.21217625664</v>
      </c>
      <c r="I234" s="311">
        <v>11324.841153846155</v>
      </c>
      <c r="J234" s="135">
        <f>'B) D RI'!U235</f>
        <v>11470.274871794873</v>
      </c>
      <c r="K234" s="92">
        <f t="shared" si="37"/>
        <v>14.044012628136615</v>
      </c>
      <c r="L234" s="43">
        <f>'B) D RI'!S235</f>
        <v>78</v>
      </c>
      <c r="M234" s="43">
        <f t="shared" si="32"/>
        <v>63.955987371863387</v>
      </c>
      <c r="N234" s="199">
        <f>'J) Plafonnement effort'!G233+'J) Plafonnement effort'!H233-'K) Plafonnement aide'!I233</f>
        <v>-0.88070089589598943</v>
      </c>
      <c r="O234" s="199">
        <f t="shared" si="33"/>
        <v>63.075286475967395</v>
      </c>
      <c r="P234" s="59">
        <f t="shared" si="34"/>
        <v>0</v>
      </c>
      <c r="Q234" s="75">
        <f t="shared" si="38"/>
        <v>0</v>
      </c>
      <c r="R234" s="230">
        <f t="shared" si="35"/>
        <v>63.075286475967395</v>
      </c>
      <c r="S234" s="199">
        <f t="shared" si="36"/>
        <v>-14.924713524032605</v>
      </c>
      <c r="T234" s="229"/>
    </row>
    <row r="235" spans="1:20" x14ac:dyDescent="0.25">
      <c r="A235" s="61">
        <f>'A) Base RI'!A236</f>
        <v>5761</v>
      </c>
      <c r="B235" s="73" t="str">
        <f>'A) Base RI'!B236</f>
        <v>Romainmôtier-Envy</v>
      </c>
      <c r="C235" s="238">
        <v>211258.21878650197</v>
      </c>
      <c r="D235" s="239">
        <v>-85123.665498967341</v>
      </c>
      <c r="E235" s="240">
        <v>0</v>
      </c>
      <c r="F235" s="239">
        <v>0</v>
      </c>
      <c r="G235" s="239">
        <v>0</v>
      </c>
      <c r="H235" s="241">
        <f t="shared" si="31"/>
        <v>126134.55328753463</v>
      </c>
      <c r="I235" s="311">
        <v>12066.350855263157</v>
      </c>
      <c r="J235" s="135">
        <f>'B) D RI'!U236</f>
        <v>11347.35572368421</v>
      </c>
      <c r="K235" s="92">
        <f t="shared" si="37"/>
        <v>10.453413364200053</v>
      </c>
      <c r="L235" s="43">
        <f>'B) D RI'!S236</f>
        <v>76</v>
      </c>
      <c r="M235" s="43">
        <f t="shared" si="32"/>
        <v>65.54658663579994</v>
      </c>
      <c r="N235" s="199">
        <f>'J) Plafonnement effort'!G234+'J) Plafonnement effort'!H234-'K) Plafonnement aide'!I234</f>
        <v>2.3986361170826722</v>
      </c>
      <c r="O235" s="199">
        <f t="shared" si="33"/>
        <v>67.945222752882614</v>
      </c>
      <c r="P235" s="59">
        <f t="shared" si="34"/>
        <v>0</v>
      </c>
      <c r="Q235" s="75">
        <f t="shared" si="38"/>
        <v>0</v>
      </c>
      <c r="R235" s="230">
        <f t="shared" si="35"/>
        <v>67.945222752882614</v>
      </c>
      <c r="S235" s="199">
        <f t="shared" si="36"/>
        <v>-8.0547772471173857</v>
      </c>
      <c r="T235" s="229"/>
    </row>
    <row r="236" spans="1:20" x14ac:dyDescent="0.25">
      <c r="A236" s="61">
        <f>'A) Base RI'!A237</f>
        <v>5762</v>
      </c>
      <c r="B236" s="73" t="str">
        <f>'A) Base RI'!B237</f>
        <v>Sergey</v>
      </c>
      <c r="C236" s="238">
        <v>62510.988095035093</v>
      </c>
      <c r="D236" s="239">
        <v>7411.595387717447</v>
      </c>
      <c r="E236" s="240">
        <v>0</v>
      </c>
      <c r="F236" s="239">
        <v>0</v>
      </c>
      <c r="G236" s="239">
        <v>-28867.057186525519</v>
      </c>
      <c r="H236" s="241">
        <f t="shared" si="31"/>
        <v>41055.526296227021</v>
      </c>
      <c r="I236" s="311">
        <v>4226.1104938271601</v>
      </c>
      <c r="J236" s="135">
        <f>'B) D RI'!U237</f>
        <v>3104.8092592592593</v>
      </c>
      <c r="K236" s="92">
        <f t="shared" si="37"/>
        <v>9.7147309224864085</v>
      </c>
      <c r="L236" s="43">
        <f>'B) D RI'!S237</f>
        <v>81</v>
      </c>
      <c r="M236" s="43">
        <f t="shared" si="32"/>
        <v>71.28526907751359</v>
      </c>
      <c r="N236" s="199">
        <f>'J) Plafonnement effort'!G235+'J) Plafonnement effort'!H235-'K) Plafonnement aide'!I235</f>
        <v>-0.35094209924304609</v>
      </c>
      <c r="O236" s="199">
        <f t="shared" si="33"/>
        <v>70.934326978270548</v>
      </c>
      <c r="P236" s="59">
        <f t="shared" si="34"/>
        <v>0</v>
      </c>
      <c r="Q236" s="75">
        <f t="shared" si="38"/>
        <v>0</v>
      </c>
      <c r="R236" s="230">
        <f t="shared" si="35"/>
        <v>70.934326978270548</v>
      </c>
      <c r="S236" s="199">
        <f t="shared" si="36"/>
        <v>-10.065673021729452</v>
      </c>
      <c r="T236" s="229"/>
    </row>
    <row r="237" spans="1:20" x14ac:dyDescent="0.25">
      <c r="A237" s="61">
        <f>'A) Base RI'!A238</f>
        <v>5763</v>
      </c>
      <c r="B237" s="73" t="str">
        <f>'A) Base RI'!B238</f>
        <v>Valeyres-sous-Rances</v>
      </c>
      <c r="C237" s="238">
        <v>284713.39208406536</v>
      </c>
      <c r="D237" s="239">
        <v>49828.112595454935</v>
      </c>
      <c r="E237" s="240">
        <v>0</v>
      </c>
      <c r="F237" s="239">
        <v>0</v>
      </c>
      <c r="G237" s="239">
        <v>0</v>
      </c>
      <c r="H237" s="241">
        <f t="shared" si="31"/>
        <v>334541.50467952027</v>
      </c>
      <c r="I237" s="311">
        <v>15753.099264705883</v>
      </c>
      <c r="J237" s="135">
        <f>'B) D RI'!U238</f>
        <v>16129.151764705883</v>
      </c>
      <c r="K237" s="92">
        <f t="shared" si="37"/>
        <v>21.236551554591266</v>
      </c>
      <c r="L237" s="43">
        <f>'B) D RI'!S238</f>
        <v>68</v>
      </c>
      <c r="M237" s="43">
        <f t="shared" si="32"/>
        <v>46.763448445408734</v>
      </c>
      <c r="N237" s="199">
        <f>'J) Plafonnement effort'!G236+'J) Plafonnement effort'!H236-'K) Plafonnement aide'!I236</f>
        <v>14.135048507634171</v>
      </c>
      <c r="O237" s="199">
        <f t="shared" si="33"/>
        <v>60.898496953042908</v>
      </c>
      <c r="P237" s="59">
        <f t="shared" si="34"/>
        <v>0</v>
      </c>
      <c r="Q237" s="75">
        <f t="shared" si="38"/>
        <v>0</v>
      </c>
      <c r="R237" s="230">
        <f t="shared" si="35"/>
        <v>60.898496953042908</v>
      </c>
      <c r="S237" s="199">
        <f t="shared" si="36"/>
        <v>-7.1015030469570917</v>
      </c>
      <c r="T237" s="229"/>
    </row>
    <row r="238" spans="1:20" x14ac:dyDescent="0.25">
      <c r="A238" s="61">
        <f>'A) Base RI'!A239</f>
        <v>5764</v>
      </c>
      <c r="B238" s="73" t="str">
        <f>'A) Base RI'!B239</f>
        <v>Vallorbe</v>
      </c>
      <c r="C238" s="238">
        <v>1887952.6830997746</v>
      </c>
      <c r="D238" s="239">
        <v>-1305173.9309682013</v>
      </c>
      <c r="E238" s="240">
        <v>0</v>
      </c>
      <c r="F238" s="239">
        <v>0</v>
      </c>
      <c r="G238" s="239">
        <v>0</v>
      </c>
      <c r="H238" s="241">
        <f t="shared" si="31"/>
        <v>582778.75213157339</v>
      </c>
      <c r="I238" s="311">
        <v>79459.361216216217</v>
      </c>
      <c r="J238" s="135">
        <f>'B) D RI'!U239</f>
        <v>84393.993513513502</v>
      </c>
      <c r="K238" s="92">
        <f t="shared" si="37"/>
        <v>7.3342994860703561</v>
      </c>
      <c r="L238" s="43">
        <f>'B) D RI'!S239</f>
        <v>74</v>
      </c>
      <c r="M238" s="43">
        <f t="shared" si="32"/>
        <v>66.66570051392965</v>
      </c>
      <c r="N238" s="199">
        <f>'J) Plafonnement effort'!G237+'J) Plafonnement effort'!H237-'K) Plafonnement aide'!I237</f>
        <v>-6.584250777162902</v>
      </c>
      <c r="O238" s="199">
        <f t="shared" si="33"/>
        <v>60.08144973676675</v>
      </c>
      <c r="P238" s="59">
        <f t="shared" si="34"/>
        <v>0</v>
      </c>
      <c r="Q238" s="75">
        <f t="shared" si="38"/>
        <v>0</v>
      </c>
      <c r="R238" s="230">
        <f t="shared" si="35"/>
        <v>60.08144973676675</v>
      </c>
      <c r="S238" s="199">
        <f t="shared" si="36"/>
        <v>-13.91855026323325</v>
      </c>
      <c r="T238" s="229"/>
    </row>
    <row r="239" spans="1:20" x14ac:dyDescent="0.25">
      <c r="A239" s="61">
        <f>'A) Base RI'!A240</f>
        <v>5765</v>
      </c>
      <c r="B239" s="73" t="str">
        <f>'A) Base RI'!B240</f>
        <v>Vaulion</v>
      </c>
      <c r="C239" s="238">
        <v>178794.65116243914</v>
      </c>
      <c r="D239" s="239">
        <v>-147475.56587295164</v>
      </c>
      <c r="E239" s="240">
        <v>0</v>
      </c>
      <c r="F239" s="239">
        <v>0</v>
      </c>
      <c r="G239" s="239">
        <v>0</v>
      </c>
      <c r="H239" s="241">
        <f t="shared" si="31"/>
        <v>31319.085289487499</v>
      </c>
      <c r="I239" s="311">
        <v>10213.279999999997</v>
      </c>
      <c r="J239" s="135">
        <f>'B) D RI'!U240</f>
        <v>9305.5603703703709</v>
      </c>
      <c r="K239" s="92">
        <f t="shared" si="37"/>
        <v>3.0665060871226002</v>
      </c>
      <c r="L239" s="43">
        <f>'B) D RI'!S240</f>
        <v>81</v>
      </c>
      <c r="M239" s="43">
        <f t="shared" si="32"/>
        <v>77.933493912877395</v>
      </c>
      <c r="N239" s="199">
        <f>'J) Plafonnement effort'!G238+'J) Plafonnement effort'!H238-'K) Plafonnement aide'!I238</f>
        <v>-17.895088685759074</v>
      </c>
      <c r="O239" s="199">
        <f t="shared" si="33"/>
        <v>60.038405227118318</v>
      </c>
      <c r="P239" s="59">
        <f t="shared" si="34"/>
        <v>0</v>
      </c>
      <c r="Q239" s="75">
        <f t="shared" si="38"/>
        <v>0</v>
      </c>
      <c r="R239" s="230">
        <f t="shared" si="35"/>
        <v>60.038405227118318</v>
      </c>
      <c r="S239" s="199">
        <f t="shared" si="36"/>
        <v>-20.961594772881682</v>
      </c>
      <c r="T239" s="229"/>
    </row>
    <row r="240" spans="1:20" x14ac:dyDescent="0.25">
      <c r="A240" s="61">
        <f>'A) Base RI'!A241</f>
        <v>5766</v>
      </c>
      <c r="B240" s="73" t="str">
        <f>'A) Base RI'!B241</f>
        <v>Vuiteboeuf</v>
      </c>
      <c r="C240" s="238">
        <v>202072.22929101586</v>
      </c>
      <c r="D240" s="239">
        <v>-32273.514388908981</v>
      </c>
      <c r="E240" s="240">
        <v>0</v>
      </c>
      <c r="F240" s="239">
        <v>0</v>
      </c>
      <c r="G240" s="239">
        <v>0</v>
      </c>
      <c r="H240" s="241">
        <f t="shared" si="31"/>
        <v>169798.71490210688</v>
      </c>
      <c r="I240" s="311">
        <v>13186.718497217067</v>
      </c>
      <c r="J240" s="135">
        <f>'B) D RI'!U241</f>
        <v>11614.965899814471</v>
      </c>
      <c r="K240" s="92">
        <f t="shared" si="37"/>
        <v>12.876495008059912</v>
      </c>
      <c r="L240" s="43">
        <f>'B) D RI'!S241</f>
        <v>77</v>
      </c>
      <c r="M240" s="43">
        <f t="shared" si="32"/>
        <v>64.123504991940081</v>
      </c>
      <c r="N240" s="199">
        <f>'J) Plafonnement effort'!G239+'J) Plafonnement effort'!H239-'K) Plafonnement aide'!I239</f>
        <v>-7.6678946572293682E-2</v>
      </c>
      <c r="O240" s="199">
        <f t="shared" si="33"/>
        <v>64.046826045367794</v>
      </c>
      <c r="P240" s="59">
        <f t="shared" si="34"/>
        <v>0</v>
      </c>
      <c r="Q240" s="75">
        <f t="shared" si="38"/>
        <v>0</v>
      </c>
      <c r="R240" s="230">
        <f t="shared" si="35"/>
        <v>64.046826045367794</v>
      </c>
      <c r="S240" s="199">
        <f t="shared" si="36"/>
        <v>-12.953173954632206</v>
      </c>
      <c r="T240" s="229"/>
    </row>
    <row r="241" spans="1:20" x14ac:dyDescent="0.25">
      <c r="A241" s="61">
        <f>'A) Base RI'!A242</f>
        <v>5782</v>
      </c>
      <c r="B241" s="73" t="str">
        <f>'A) Base RI'!B242</f>
        <v>Carrouge</v>
      </c>
      <c r="C241" s="238">
        <v>487314.75189348724</v>
      </c>
      <c r="D241" s="239">
        <v>26598.995014011394</v>
      </c>
      <c r="E241" s="240">
        <v>0</v>
      </c>
      <c r="F241" s="239">
        <v>0</v>
      </c>
      <c r="G241" s="239">
        <v>0</v>
      </c>
      <c r="H241" s="241">
        <f t="shared" si="31"/>
        <v>513913.74690749863</v>
      </c>
      <c r="I241" s="311">
        <v>30558.004133333339</v>
      </c>
      <c r="J241" s="135">
        <f>'B) D RI'!U242</f>
        <v>30069.638421052627</v>
      </c>
      <c r="K241" s="92">
        <f t="shared" si="37"/>
        <v>16.817647666553924</v>
      </c>
      <c r="L241" s="43">
        <f>'B) D RI'!S242</f>
        <v>76</v>
      </c>
      <c r="M241" s="43">
        <f t="shared" si="32"/>
        <v>59.182352333446076</v>
      </c>
      <c r="N241" s="199">
        <f>'J) Plafonnement effort'!G240+'J) Plafonnement effort'!H240-'K) Plafonnement aide'!I240</f>
        <v>1.3295582405598854</v>
      </c>
      <c r="O241" s="199">
        <f t="shared" si="33"/>
        <v>60.51191057400596</v>
      </c>
      <c r="P241" s="59">
        <f t="shared" si="34"/>
        <v>0</v>
      </c>
      <c r="Q241" s="75">
        <f t="shared" si="38"/>
        <v>0</v>
      </c>
      <c r="R241" s="230">
        <f t="shared" si="35"/>
        <v>60.51191057400596</v>
      </c>
      <c r="S241" s="199">
        <f t="shared" si="36"/>
        <v>-15.48808942599404</v>
      </c>
      <c r="T241" s="229"/>
    </row>
    <row r="242" spans="1:20" x14ac:dyDescent="0.25">
      <c r="A242" s="61">
        <f>'A) Base RI'!A243</f>
        <v>5785</v>
      </c>
      <c r="B242" s="73" t="str">
        <f>'A) Base RI'!B243</f>
        <v>Corcelles-le-Jorat</v>
      </c>
      <c r="C242" s="238">
        <v>248286.40364290649</v>
      </c>
      <c r="D242" s="239">
        <v>130960.94622460657</v>
      </c>
      <c r="E242" s="240">
        <v>0</v>
      </c>
      <c r="F242" s="239">
        <v>0</v>
      </c>
      <c r="G242" s="239">
        <v>0</v>
      </c>
      <c r="H242" s="241">
        <f t="shared" si="31"/>
        <v>379247.34986751305</v>
      </c>
      <c r="I242" s="311">
        <v>15220.93759493671</v>
      </c>
      <c r="J242" s="135">
        <f>'B) D RI'!U243</f>
        <v>12293.058354430379</v>
      </c>
      <c r="K242" s="92">
        <f t="shared" si="37"/>
        <v>24.916162194480766</v>
      </c>
      <c r="L242" s="43">
        <f>'B) D RI'!S243</f>
        <v>79</v>
      </c>
      <c r="M242" s="43">
        <f t="shared" si="32"/>
        <v>54.083837805519238</v>
      </c>
      <c r="N242" s="199">
        <f>'J) Plafonnement effort'!G241+'J) Plafonnement effort'!H241-'K) Plafonnement aide'!I241</f>
        <v>10.514125160892284</v>
      </c>
      <c r="O242" s="199">
        <f t="shared" si="33"/>
        <v>64.597962966411529</v>
      </c>
      <c r="P242" s="59">
        <f t="shared" si="34"/>
        <v>0</v>
      </c>
      <c r="Q242" s="75">
        <f t="shared" si="38"/>
        <v>0</v>
      </c>
      <c r="R242" s="230">
        <f t="shared" si="35"/>
        <v>64.597962966411529</v>
      </c>
      <c r="S242" s="199">
        <f t="shared" si="36"/>
        <v>-14.402037033588471</v>
      </c>
      <c r="T242" s="229"/>
    </row>
    <row r="243" spans="1:20" x14ac:dyDescent="0.25">
      <c r="A243" s="61">
        <f>'A) Base RI'!A244</f>
        <v>5788</v>
      </c>
      <c r="B243" s="73" t="str">
        <f>'A) Base RI'!B244</f>
        <v>Essertes</v>
      </c>
      <c r="C243" s="238">
        <v>130577.87142995908</v>
      </c>
      <c r="D243" s="239">
        <v>37429.864596390398</v>
      </c>
      <c r="E243" s="240">
        <v>0</v>
      </c>
      <c r="F243" s="239">
        <v>0</v>
      </c>
      <c r="G243" s="239">
        <v>0</v>
      </c>
      <c r="H243" s="241">
        <f t="shared" si="31"/>
        <v>168007.73602634948</v>
      </c>
      <c r="I243" s="311">
        <v>9308.1854285714289</v>
      </c>
      <c r="J243" s="135">
        <f>'B) D RI'!U244</f>
        <v>10412.319857142857</v>
      </c>
      <c r="K243" s="92">
        <f t="shared" si="37"/>
        <v>18.0494616609861</v>
      </c>
      <c r="L243" s="43">
        <f>'B) D RI'!S244</f>
        <v>70</v>
      </c>
      <c r="M243" s="43">
        <f t="shared" si="32"/>
        <v>51.950538339013903</v>
      </c>
      <c r="N243" s="199">
        <f>'J) Plafonnement effort'!G242+'J) Plafonnement effort'!H242-'K) Plafonnement aide'!I242</f>
        <v>20.31753028125965</v>
      </c>
      <c r="O243" s="199">
        <f t="shared" si="33"/>
        <v>72.268068620273553</v>
      </c>
      <c r="P243" s="59">
        <f t="shared" si="34"/>
        <v>0</v>
      </c>
      <c r="Q243" s="75">
        <f t="shared" si="38"/>
        <v>0</v>
      </c>
      <c r="R243" s="230">
        <f t="shared" si="35"/>
        <v>72.268068620273553</v>
      </c>
      <c r="S243" s="199">
        <f t="shared" si="36"/>
        <v>2.2680686202735529</v>
      </c>
      <c r="T243" s="229"/>
    </row>
    <row r="244" spans="1:20" x14ac:dyDescent="0.25">
      <c r="A244" s="61">
        <f>'A) Base RI'!A245</f>
        <v>5789</v>
      </c>
      <c r="B244" s="73" t="str">
        <f>'A) Base RI'!B245</f>
        <v>Ferlens</v>
      </c>
      <c r="C244" s="238">
        <v>137324.63952934631</v>
      </c>
      <c r="D244" s="239">
        <v>24060.863224531815</v>
      </c>
      <c r="E244" s="240">
        <v>0</v>
      </c>
      <c r="F244" s="239">
        <v>0</v>
      </c>
      <c r="G244" s="239">
        <v>0</v>
      </c>
      <c r="H244" s="241">
        <f t="shared" si="31"/>
        <v>161385.50275387813</v>
      </c>
      <c r="I244" s="311">
        <v>9496.6311688311671</v>
      </c>
      <c r="J244" s="135">
        <f>'B) D RI'!U245</f>
        <v>10073.464805194806</v>
      </c>
      <c r="K244" s="92">
        <f t="shared" si="37"/>
        <v>16.993973956107769</v>
      </c>
      <c r="L244" s="43">
        <f>'B) D RI'!S245</f>
        <v>77</v>
      </c>
      <c r="M244" s="43">
        <f t="shared" si="32"/>
        <v>60.006026043892234</v>
      </c>
      <c r="N244" s="199">
        <f>'J) Plafonnement effort'!G243+'J) Plafonnement effort'!H243-'K) Plafonnement aide'!I243</f>
        <v>21.233794914650932</v>
      </c>
      <c r="O244" s="199">
        <f t="shared" si="33"/>
        <v>81.239820958543163</v>
      </c>
      <c r="P244" s="59">
        <f t="shared" si="34"/>
        <v>0</v>
      </c>
      <c r="Q244" s="75">
        <f t="shared" si="38"/>
        <v>0</v>
      </c>
      <c r="R244" s="230">
        <f t="shared" si="35"/>
        <v>81.239820958543163</v>
      </c>
      <c r="S244" s="199">
        <f t="shared" si="36"/>
        <v>4.239820958543163</v>
      </c>
      <c r="T244" s="229"/>
    </row>
    <row r="245" spans="1:20" x14ac:dyDescent="0.25">
      <c r="A245" s="61">
        <f>'A) Base RI'!A246</f>
        <v>5790</v>
      </c>
      <c r="B245" s="73" t="str">
        <f>'A) Base RI'!B246</f>
        <v>Maracon</v>
      </c>
      <c r="C245" s="238">
        <v>188399.06108970882</v>
      </c>
      <c r="D245" s="239">
        <v>-14826.321687869495</v>
      </c>
      <c r="E245" s="240">
        <v>0</v>
      </c>
      <c r="F245" s="239">
        <v>0</v>
      </c>
      <c r="G245" s="239">
        <v>0</v>
      </c>
      <c r="H245" s="241">
        <f t="shared" si="31"/>
        <v>173572.73940183932</v>
      </c>
      <c r="I245" s="311">
        <v>11539.028947368422</v>
      </c>
      <c r="J245" s="135">
        <f>'B) D RI'!U246</f>
        <v>12107.709078947366</v>
      </c>
      <c r="K245" s="92">
        <f t="shared" si="37"/>
        <v>15.042231039850552</v>
      </c>
      <c r="L245" s="43">
        <f>'B) D RI'!S246</f>
        <v>76</v>
      </c>
      <c r="M245" s="43">
        <f t="shared" si="32"/>
        <v>60.957768960149451</v>
      </c>
      <c r="N245" s="199">
        <f>'J) Plafonnement effort'!G244+'J) Plafonnement effort'!H244-'K) Plafonnement aide'!I244</f>
        <v>15.34889674735563</v>
      </c>
      <c r="O245" s="199">
        <f t="shared" si="33"/>
        <v>76.306665707505076</v>
      </c>
      <c r="P245" s="59">
        <f t="shared" si="34"/>
        <v>0</v>
      </c>
      <c r="Q245" s="75">
        <f t="shared" si="38"/>
        <v>0</v>
      </c>
      <c r="R245" s="230">
        <f t="shared" si="35"/>
        <v>76.306665707505076</v>
      </c>
      <c r="S245" s="199">
        <f t="shared" si="36"/>
        <v>0.3066657075050756</v>
      </c>
      <c r="T245" s="229"/>
    </row>
    <row r="246" spans="1:20" x14ac:dyDescent="0.25">
      <c r="A246" s="61">
        <f>'A) Base RI'!A247</f>
        <v>5791</v>
      </c>
      <c r="B246" s="73" t="str">
        <f>'A) Base RI'!B247</f>
        <v>Mézières</v>
      </c>
      <c r="C246" s="238">
        <v>660985.80016212969</v>
      </c>
      <c r="D246" s="239">
        <v>353763.0087564938</v>
      </c>
      <c r="E246" s="240">
        <v>0</v>
      </c>
      <c r="F246" s="239">
        <v>0</v>
      </c>
      <c r="G246" s="239">
        <v>0</v>
      </c>
      <c r="H246" s="241">
        <f t="shared" si="31"/>
        <v>1014748.8089186235</v>
      </c>
      <c r="I246" s="311">
        <v>41636.080964912282</v>
      </c>
      <c r="J246" s="135">
        <f>'B) D RI'!U247</f>
        <v>42914.858070175447</v>
      </c>
      <c r="K246" s="92">
        <f t="shared" si="37"/>
        <v>24.371861745916398</v>
      </c>
      <c r="L246" s="43">
        <f>'B) D RI'!S247</f>
        <v>76</v>
      </c>
      <c r="M246" s="43">
        <f t="shared" si="32"/>
        <v>51.628138254083602</v>
      </c>
      <c r="N246" s="199">
        <f>'J) Plafonnement effort'!G245+'J) Plafonnement effort'!H245-'K) Plafonnement aide'!I245</f>
        <v>18.330372167816485</v>
      </c>
      <c r="O246" s="199">
        <f t="shared" si="33"/>
        <v>69.958510421900087</v>
      </c>
      <c r="P246" s="59">
        <f t="shared" si="34"/>
        <v>0</v>
      </c>
      <c r="Q246" s="75">
        <f t="shared" si="38"/>
        <v>0</v>
      </c>
      <c r="R246" s="230">
        <f t="shared" si="35"/>
        <v>69.958510421900087</v>
      </c>
      <c r="S246" s="199">
        <f t="shared" si="36"/>
        <v>-6.0414895780999132</v>
      </c>
      <c r="T246" s="229"/>
    </row>
    <row r="247" spans="1:20" x14ac:dyDescent="0.25">
      <c r="A247" s="61">
        <f>'A) Base RI'!A248</f>
        <v>5792</v>
      </c>
      <c r="B247" s="73" t="str">
        <f>'A) Base RI'!B248</f>
        <v>Montpreveyres</v>
      </c>
      <c r="C247" s="238">
        <v>275652.66758139868</v>
      </c>
      <c r="D247" s="239">
        <v>26755.958520147484</v>
      </c>
      <c r="E247" s="240">
        <v>0</v>
      </c>
      <c r="F247" s="239">
        <v>0</v>
      </c>
      <c r="G247" s="239">
        <v>0</v>
      </c>
      <c r="H247" s="241">
        <f t="shared" si="31"/>
        <v>302408.62610154616</v>
      </c>
      <c r="I247" s="311">
        <v>17052.817341772152</v>
      </c>
      <c r="J247" s="135">
        <f>'B) D RI'!U248</f>
        <v>19088.494155844161</v>
      </c>
      <c r="K247" s="92">
        <f t="shared" si="37"/>
        <v>17.733646003512487</v>
      </c>
      <c r="L247" s="43">
        <f>'B) D RI'!S248</f>
        <v>77</v>
      </c>
      <c r="M247" s="43">
        <f t="shared" si="32"/>
        <v>59.26635399648751</v>
      </c>
      <c r="N247" s="199">
        <f>'J) Plafonnement effort'!G246+'J) Plafonnement effort'!H246-'K) Plafonnement aide'!I246</f>
        <v>15.182089944881419</v>
      </c>
      <c r="O247" s="199">
        <f t="shared" si="33"/>
        <v>74.448443941368936</v>
      </c>
      <c r="P247" s="59">
        <f t="shared" si="34"/>
        <v>0</v>
      </c>
      <c r="Q247" s="75">
        <f t="shared" si="38"/>
        <v>0</v>
      </c>
      <c r="R247" s="230">
        <f t="shared" si="35"/>
        <v>74.448443941368936</v>
      </c>
      <c r="S247" s="199">
        <f t="shared" si="36"/>
        <v>-2.5515560586310642</v>
      </c>
      <c r="T247" s="229"/>
    </row>
    <row r="248" spans="1:20" x14ac:dyDescent="0.25">
      <c r="A248" s="61">
        <f>'A) Base RI'!A249</f>
        <v>5798</v>
      </c>
      <c r="B248" s="73" t="str">
        <f>'A) Base RI'!B249</f>
        <v>Ropraz</v>
      </c>
      <c r="C248" s="238">
        <v>201201.45926845493</v>
      </c>
      <c r="D248" s="239">
        <v>8375.3113146137912</v>
      </c>
      <c r="E248" s="240">
        <v>0</v>
      </c>
      <c r="F248" s="239">
        <v>0</v>
      </c>
      <c r="G248" s="239">
        <v>0</v>
      </c>
      <c r="H248" s="241">
        <f t="shared" si="31"/>
        <v>209576.77058306872</v>
      </c>
      <c r="I248" s="311">
        <v>11308.746838709676</v>
      </c>
      <c r="J248" s="135">
        <f>'B) D RI'!U249</f>
        <v>9558.3067096774193</v>
      </c>
      <c r="K248" s="92">
        <f t="shared" si="37"/>
        <v>18.532271839855014</v>
      </c>
      <c r="L248" s="43">
        <f>'B) D RI'!S249</f>
        <v>77.5</v>
      </c>
      <c r="M248" s="43">
        <f t="shared" si="32"/>
        <v>58.967728160144986</v>
      </c>
      <c r="N248" s="199">
        <f>'J) Plafonnement effort'!G247+'J) Plafonnement effort'!H247-'K) Plafonnement aide'!I247</f>
        <v>3.9165778789451586</v>
      </c>
      <c r="O248" s="199">
        <f t="shared" si="33"/>
        <v>62.884306039090148</v>
      </c>
      <c r="P248" s="59">
        <f t="shared" si="34"/>
        <v>0</v>
      </c>
      <c r="Q248" s="75">
        <f t="shared" si="38"/>
        <v>0</v>
      </c>
      <c r="R248" s="230">
        <f t="shared" si="35"/>
        <v>62.884306039090148</v>
      </c>
      <c r="S248" s="199">
        <f t="shared" si="36"/>
        <v>-14.615693960909852</v>
      </c>
      <c r="T248" s="229"/>
    </row>
    <row r="249" spans="1:20" x14ac:dyDescent="0.25">
      <c r="A249" s="61">
        <f>'A) Base RI'!A250</f>
        <v>5799</v>
      </c>
      <c r="B249" s="73" t="str">
        <f>'A) Base RI'!B250</f>
        <v>Servion</v>
      </c>
      <c r="C249" s="238">
        <v>1250110.9029128342</v>
      </c>
      <c r="D249" s="239">
        <v>567485.37591802131</v>
      </c>
      <c r="E249" s="240">
        <v>0</v>
      </c>
      <c r="F249" s="239">
        <v>0</v>
      </c>
      <c r="G249" s="239">
        <v>0</v>
      </c>
      <c r="H249" s="241">
        <f t="shared" si="31"/>
        <v>1817596.2788308556</v>
      </c>
      <c r="I249" s="311">
        <v>68357.530144927528</v>
      </c>
      <c r="J249" s="135">
        <f>'B) D RI'!U250</f>
        <v>51366.477681159435</v>
      </c>
      <c r="K249" s="92">
        <f t="shared" si="37"/>
        <v>26.589554581291882</v>
      </c>
      <c r="L249" s="43">
        <f>'B) D RI'!S250</f>
        <v>69</v>
      </c>
      <c r="M249" s="43">
        <f t="shared" si="32"/>
        <v>42.410445418708122</v>
      </c>
      <c r="N249" s="199">
        <f>'J) Plafonnement effort'!G248+'J) Plafonnement effort'!H248-'K) Plafonnement aide'!I248</f>
        <v>13.413716298786856</v>
      </c>
      <c r="O249" s="199">
        <f t="shared" si="33"/>
        <v>55.824161717494974</v>
      </c>
      <c r="P249" s="59">
        <f t="shared" si="34"/>
        <v>0</v>
      </c>
      <c r="Q249" s="75">
        <f t="shared" si="38"/>
        <v>0</v>
      </c>
      <c r="R249" s="230">
        <f t="shared" si="35"/>
        <v>55.824161717494974</v>
      </c>
      <c r="S249" s="199">
        <f t="shared" si="36"/>
        <v>-13.175838282505026</v>
      </c>
      <c r="T249" s="229"/>
    </row>
    <row r="250" spans="1:20" x14ac:dyDescent="0.25">
      <c r="A250" s="61">
        <f>'A) Base RI'!A251</f>
        <v>5803</v>
      </c>
      <c r="B250" s="73" t="str">
        <f>'A) Base RI'!B251</f>
        <v>Vulliens</v>
      </c>
      <c r="C250" s="238">
        <v>291871.9857247622</v>
      </c>
      <c r="D250" s="239">
        <v>77855.123913600284</v>
      </c>
      <c r="E250" s="240">
        <v>0</v>
      </c>
      <c r="F250" s="239">
        <v>0</v>
      </c>
      <c r="G250" s="239">
        <v>-16002.931982258231</v>
      </c>
      <c r="H250" s="241">
        <f t="shared" si="31"/>
        <v>353724.17765610426</v>
      </c>
      <c r="I250" s="311">
        <v>14122.679753086417</v>
      </c>
      <c r="J250" s="135">
        <f>'B) D RI'!U251</f>
        <v>12589.149382716048</v>
      </c>
      <c r="K250" s="92">
        <f t="shared" si="37"/>
        <v>25.046533932683719</v>
      </c>
      <c r="L250" s="43">
        <f>'B) D RI'!S251</f>
        <v>81</v>
      </c>
      <c r="M250" s="43">
        <f t="shared" si="32"/>
        <v>55.953466067316285</v>
      </c>
      <c r="N250" s="199">
        <f>'J) Plafonnement effort'!G249+'J) Plafonnement effort'!H249-'K) Plafonnement aide'!I249</f>
        <v>14.71182930980542</v>
      </c>
      <c r="O250" s="199">
        <f t="shared" si="33"/>
        <v>70.665295377121708</v>
      </c>
      <c r="P250" s="59">
        <f t="shared" si="34"/>
        <v>0</v>
      </c>
      <c r="Q250" s="75">
        <f t="shared" si="38"/>
        <v>0</v>
      </c>
      <c r="R250" s="230">
        <f t="shared" si="35"/>
        <v>70.665295377121708</v>
      </c>
      <c r="S250" s="199">
        <f t="shared" si="36"/>
        <v>-10.334704622878292</v>
      </c>
      <c r="T250" s="229"/>
    </row>
    <row r="251" spans="1:20" x14ac:dyDescent="0.25">
      <c r="A251" s="61">
        <f>'A) Base RI'!A252</f>
        <v>5804</v>
      </c>
      <c r="B251" s="73" t="str">
        <f>'A) Base RI'!B252</f>
        <v>Jorat-Menthue</v>
      </c>
      <c r="C251" s="238">
        <v>632418.2120366788</v>
      </c>
      <c r="D251" s="239">
        <v>73062.637628600234</v>
      </c>
      <c r="E251" s="240">
        <v>0</v>
      </c>
      <c r="F251" s="239">
        <v>0</v>
      </c>
      <c r="G251" s="239">
        <v>0</v>
      </c>
      <c r="H251" s="241">
        <f t="shared" si="31"/>
        <v>705480.84966527903</v>
      </c>
      <c r="I251" s="311">
        <v>42711.248333333329</v>
      </c>
      <c r="J251" s="135">
        <f>'B) D RI'!U252</f>
        <v>41163.666944444441</v>
      </c>
      <c r="K251" s="92">
        <f>H251/I251</f>
        <v>16.517448615864911</v>
      </c>
      <c r="L251" s="43">
        <f>'B) D RI'!S252</f>
        <v>72</v>
      </c>
      <c r="M251" s="43">
        <f>L251-K251</f>
        <v>55.482551384135093</v>
      </c>
      <c r="N251" s="199">
        <f>'J) Plafonnement effort'!G250+'J) Plafonnement effort'!H250-'K) Plafonnement aide'!I250</f>
        <v>6.4232662673597822</v>
      </c>
      <c r="O251" s="199">
        <f>M251+N251</f>
        <v>61.905817651494871</v>
      </c>
      <c r="P251" s="59">
        <f t="shared" si="34"/>
        <v>0</v>
      </c>
      <c r="Q251" s="75">
        <f>P251*J251</f>
        <v>0</v>
      </c>
      <c r="R251" s="230">
        <f>O251+P251</f>
        <v>61.905817651494871</v>
      </c>
      <c r="S251" s="199">
        <f>R251-L251</f>
        <v>-10.094182348505129</v>
      </c>
      <c r="T251" s="229"/>
    </row>
    <row r="252" spans="1:20" x14ac:dyDescent="0.25">
      <c r="A252" s="61">
        <f>'A) Base RI'!A253</f>
        <v>5805</v>
      </c>
      <c r="B252" s="73" t="str">
        <f>'A) Base RI'!B253</f>
        <v>Oron</v>
      </c>
      <c r="C252" s="238">
        <v>2274752.4934733254</v>
      </c>
      <c r="D252" s="239">
        <v>-787657.3647734886</v>
      </c>
      <c r="E252" s="240">
        <v>0</v>
      </c>
      <c r="F252" s="239">
        <v>0</v>
      </c>
      <c r="G252" s="239">
        <v>0</v>
      </c>
      <c r="H252" s="241">
        <f t="shared" si="31"/>
        <v>1487095.1286998368</v>
      </c>
      <c r="I252" s="311">
        <v>145299.16422924903</v>
      </c>
      <c r="J252" s="135">
        <f>'B) D RI'!U253</f>
        <v>146504.50986824767</v>
      </c>
      <c r="K252" s="92">
        <f>H252/I252</f>
        <v>10.234712199400811</v>
      </c>
      <c r="L252" s="43">
        <f>'B) D RI'!S253</f>
        <v>69</v>
      </c>
      <c r="M252" s="43">
        <f>L252-K252</f>
        <v>58.765287800599189</v>
      </c>
      <c r="N252" s="199">
        <f>'J) Plafonnement effort'!G251+'J) Plafonnement effort'!H251-'K) Plafonnement aide'!I251</f>
        <v>5.2419149582978894</v>
      </c>
      <c r="O252" s="199">
        <f>M252+N252</f>
        <v>64.00720275889708</v>
      </c>
      <c r="P252" s="59">
        <f t="shared" si="34"/>
        <v>0</v>
      </c>
      <c r="Q252" s="75">
        <f>P252*J252</f>
        <v>0</v>
      </c>
      <c r="R252" s="230">
        <f>O252+P252</f>
        <v>64.00720275889708</v>
      </c>
      <c r="S252" s="199">
        <f>R252-L252</f>
        <v>-4.9927972411029202</v>
      </c>
      <c r="T252" s="229"/>
    </row>
    <row r="253" spans="1:20" x14ac:dyDescent="0.25">
      <c r="A253" s="61">
        <f>'A) Base RI'!A254</f>
        <v>5812</v>
      </c>
      <c r="B253" s="73" t="str">
        <f>'A) Base RI'!B254</f>
        <v>Champtauroz</v>
      </c>
      <c r="C253" s="238">
        <v>44417.847042706999</v>
      </c>
      <c r="D253" s="239">
        <v>-39889.305963741164</v>
      </c>
      <c r="E253" s="240">
        <v>0</v>
      </c>
      <c r="F253" s="239">
        <v>0</v>
      </c>
      <c r="G253" s="239">
        <v>0</v>
      </c>
      <c r="H253" s="241">
        <f t="shared" si="31"/>
        <v>4528.5410789658345</v>
      </c>
      <c r="I253" s="311">
        <v>2756.1429220779223</v>
      </c>
      <c r="J253" s="135">
        <f>'B) D RI'!U254</f>
        <v>2420.1879870129869</v>
      </c>
      <c r="K253" s="92">
        <f>H253/I253</f>
        <v>1.6430719331317036</v>
      </c>
      <c r="L253" s="43">
        <f>'B) D RI'!S254</f>
        <v>77</v>
      </c>
      <c r="M253" s="43">
        <f>L253-K253</f>
        <v>75.356928066868292</v>
      </c>
      <c r="N253" s="199">
        <f>'J) Plafonnement effort'!G252+'J) Plafonnement effort'!H252-'K) Plafonnement aide'!I252</f>
        <v>-12.759111564431114</v>
      </c>
      <c r="O253" s="199">
        <f>M253+N253</f>
        <v>62.597816502437176</v>
      </c>
      <c r="P253" s="59">
        <f t="shared" si="34"/>
        <v>0</v>
      </c>
      <c r="Q253" s="75">
        <f>P253*J253</f>
        <v>0</v>
      </c>
      <c r="R253" s="230">
        <f>O253+P253</f>
        <v>62.597816502437176</v>
      </c>
      <c r="S253" s="199">
        <f>R253-L253</f>
        <v>-14.402183497562824</v>
      </c>
      <c r="T253" s="229"/>
    </row>
    <row r="254" spans="1:20" x14ac:dyDescent="0.25">
      <c r="A254" s="61">
        <f>'A) Base RI'!A255</f>
        <v>5813</v>
      </c>
      <c r="B254" s="73" t="str">
        <f>'A) Base RI'!B255</f>
        <v>Chevroux</v>
      </c>
      <c r="C254" s="238">
        <v>189819.6442208614</v>
      </c>
      <c r="D254" s="239">
        <v>34051.136288685957</v>
      </c>
      <c r="E254" s="240">
        <v>0</v>
      </c>
      <c r="F254" s="239">
        <v>0</v>
      </c>
      <c r="G254" s="239">
        <v>0</v>
      </c>
      <c r="H254" s="241">
        <f t="shared" si="31"/>
        <v>223870.78050954736</v>
      </c>
      <c r="I254" s="311">
        <v>11438.318904761907</v>
      </c>
      <c r="J254" s="135">
        <f>'B) D RI'!U255</f>
        <v>11590.298571428571</v>
      </c>
      <c r="K254" s="92">
        <f t="shared" si="37"/>
        <v>19.572000254018736</v>
      </c>
      <c r="L254" s="43">
        <f>'B) D RI'!S255</f>
        <v>70</v>
      </c>
      <c r="M254" s="43">
        <f t="shared" si="32"/>
        <v>50.427999745981268</v>
      </c>
      <c r="N254" s="199">
        <f>'J) Plafonnement effort'!G253+'J) Plafonnement effort'!H253-'K) Plafonnement aide'!I253</f>
        <v>19.236304754139809</v>
      </c>
      <c r="O254" s="199">
        <f t="shared" si="33"/>
        <v>69.664304500121077</v>
      </c>
      <c r="P254" s="59">
        <f t="shared" si="34"/>
        <v>0</v>
      </c>
      <c r="Q254" s="75">
        <f t="shared" si="38"/>
        <v>0</v>
      </c>
      <c r="R254" s="230">
        <f t="shared" si="35"/>
        <v>69.664304500121077</v>
      </c>
      <c r="S254" s="199">
        <f t="shared" si="36"/>
        <v>-0.33569549987892344</v>
      </c>
      <c r="T254" s="229"/>
    </row>
    <row r="255" spans="1:20" x14ac:dyDescent="0.25">
      <c r="A255" s="61">
        <f>'A) Base RI'!A256</f>
        <v>5816</v>
      </c>
      <c r="B255" s="73" t="str">
        <f>'A) Base RI'!B256</f>
        <v>Corcelles-près-Payerne</v>
      </c>
      <c r="C255" s="238">
        <v>912654.68333963398</v>
      </c>
      <c r="D255" s="239">
        <v>-372188.94307782035</v>
      </c>
      <c r="E255" s="240">
        <v>0</v>
      </c>
      <c r="F255" s="239">
        <v>0</v>
      </c>
      <c r="G255" s="239">
        <v>0</v>
      </c>
      <c r="H255" s="241">
        <f t="shared" si="31"/>
        <v>540465.74026181363</v>
      </c>
      <c r="I255" s="311">
        <v>51319.201507936508</v>
      </c>
      <c r="J255" s="135">
        <f>'B) D RI'!U256</f>
        <v>52953.608154761903</v>
      </c>
      <c r="K255" s="92">
        <f t="shared" si="37"/>
        <v>10.531452641137268</v>
      </c>
      <c r="L255" s="43">
        <f>'B) D RI'!S256</f>
        <v>72</v>
      </c>
      <c r="M255" s="43">
        <f t="shared" si="32"/>
        <v>61.468547358862736</v>
      </c>
      <c r="N255" s="199">
        <f>'J) Plafonnement effort'!G254+'J) Plafonnement effort'!H254-'K) Plafonnement aide'!I254</f>
        <v>5.5501274021191271</v>
      </c>
      <c r="O255" s="199">
        <f t="shared" si="33"/>
        <v>67.018674760981867</v>
      </c>
      <c r="P255" s="59">
        <f t="shared" si="34"/>
        <v>0</v>
      </c>
      <c r="Q255" s="75">
        <f t="shared" si="38"/>
        <v>0</v>
      </c>
      <c r="R255" s="230">
        <f t="shared" si="35"/>
        <v>67.018674760981867</v>
      </c>
      <c r="S255" s="199">
        <f t="shared" si="36"/>
        <v>-4.9813252390181333</v>
      </c>
      <c r="T255" s="229"/>
    </row>
    <row r="256" spans="1:20" x14ac:dyDescent="0.25">
      <c r="A256" s="61">
        <f>'A) Base RI'!A257</f>
        <v>5817</v>
      </c>
      <c r="B256" s="73" t="str">
        <f>'A) Base RI'!B257</f>
        <v>Grandcour</v>
      </c>
      <c r="C256" s="238">
        <v>314674.20348721673</v>
      </c>
      <c r="D256" s="239">
        <v>-163902.58761536365</v>
      </c>
      <c r="E256" s="240">
        <v>0</v>
      </c>
      <c r="F256" s="239">
        <v>0</v>
      </c>
      <c r="G256" s="239">
        <v>0</v>
      </c>
      <c r="H256" s="241">
        <f t="shared" si="31"/>
        <v>150771.61587185308</v>
      </c>
      <c r="I256" s="311">
        <v>20100.413081761009</v>
      </c>
      <c r="J256" s="135">
        <f>'B) D RI'!U257</f>
        <v>20895.78968553459</v>
      </c>
      <c r="K256" s="92">
        <f t="shared" si="37"/>
        <v>7.5009212625914792</v>
      </c>
      <c r="L256" s="43">
        <f>'B) D RI'!S257</f>
        <v>79.5</v>
      </c>
      <c r="M256" s="43">
        <f t="shared" si="32"/>
        <v>71.999078737408524</v>
      </c>
      <c r="N256" s="199">
        <f>'J) Plafonnement effort'!G255+'J) Plafonnement effort'!H255-'K) Plafonnement aide'!I255</f>
        <v>6.0473726724148706</v>
      </c>
      <c r="O256" s="199">
        <f t="shared" si="33"/>
        <v>78.046451409823391</v>
      </c>
      <c r="P256" s="59">
        <f t="shared" si="34"/>
        <v>0</v>
      </c>
      <c r="Q256" s="75">
        <f t="shared" si="38"/>
        <v>0</v>
      </c>
      <c r="R256" s="230">
        <f t="shared" si="35"/>
        <v>78.046451409823391</v>
      </c>
      <c r="S256" s="199">
        <f t="shared" si="36"/>
        <v>-1.4535485901766094</v>
      </c>
      <c r="T256" s="229"/>
    </row>
    <row r="257" spans="1:20" x14ac:dyDescent="0.25">
      <c r="A257" s="61">
        <f>'A) Base RI'!A258</f>
        <v>5819</v>
      </c>
      <c r="B257" s="73" t="str">
        <f>'A) Base RI'!B258</f>
        <v>Henniez</v>
      </c>
      <c r="C257" s="238">
        <v>143079.93373031024</v>
      </c>
      <c r="D257" s="239">
        <v>104911.29322873482</v>
      </c>
      <c r="E257" s="240">
        <v>0</v>
      </c>
      <c r="F257" s="239">
        <v>0</v>
      </c>
      <c r="G257" s="239">
        <v>0</v>
      </c>
      <c r="H257" s="241">
        <f t="shared" si="31"/>
        <v>247991.22695904505</v>
      </c>
      <c r="I257" s="311">
        <v>9884.2255223880602</v>
      </c>
      <c r="J257" s="135">
        <f>'B) D RI'!U258</f>
        <v>13106.979402985076</v>
      </c>
      <c r="K257" s="92">
        <f t="shared" si="37"/>
        <v>25.089596185086798</v>
      </c>
      <c r="L257" s="43">
        <f>'B) D RI'!S258</f>
        <v>67</v>
      </c>
      <c r="M257" s="43">
        <f t="shared" si="32"/>
        <v>41.910403814913202</v>
      </c>
      <c r="N257" s="199">
        <f>'J) Plafonnement effort'!G256+'J) Plafonnement effort'!H256-'K) Plafonnement aide'!I256</f>
        <v>24.53083226616695</v>
      </c>
      <c r="O257" s="199">
        <f t="shared" si="33"/>
        <v>66.441236081080149</v>
      </c>
      <c r="P257" s="59">
        <f t="shared" si="34"/>
        <v>0</v>
      </c>
      <c r="Q257" s="75">
        <f t="shared" si="38"/>
        <v>0</v>
      </c>
      <c r="R257" s="230">
        <f t="shared" si="35"/>
        <v>66.441236081080149</v>
      </c>
      <c r="S257" s="199">
        <f t="shared" si="36"/>
        <v>-0.55876391891985122</v>
      </c>
      <c r="T257" s="229"/>
    </row>
    <row r="258" spans="1:20" x14ac:dyDescent="0.25">
      <c r="A258" s="61">
        <f>'A) Base RI'!A259</f>
        <v>5821</v>
      </c>
      <c r="B258" s="73" t="str">
        <f>'A) Base RI'!B259</f>
        <v>Missy</v>
      </c>
      <c r="C258" s="238">
        <v>137317.62751897675</v>
      </c>
      <c r="D258" s="239">
        <v>-44246.870463287836</v>
      </c>
      <c r="E258" s="240">
        <v>0</v>
      </c>
      <c r="F258" s="239">
        <v>0</v>
      </c>
      <c r="G258" s="239">
        <v>0</v>
      </c>
      <c r="H258" s="241">
        <f t="shared" si="31"/>
        <v>93070.757055688911</v>
      </c>
      <c r="I258" s="311">
        <v>7497.2731944444431</v>
      </c>
      <c r="J258" s="135">
        <f>'B) D RI'!U259</f>
        <v>7313.8070833333331</v>
      </c>
      <c r="K258" s="92">
        <f t="shared" si="37"/>
        <v>12.413947663619261</v>
      </c>
      <c r="L258" s="43">
        <f>'B) D RI'!S259</f>
        <v>72</v>
      </c>
      <c r="M258" s="43">
        <f t="shared" si="32"/>
        <v>59.586052336380739</v>
      </c>
      <c r="N258" s="199">
        <f>'J) Plafonnement effort'!G257+'J) Plafonnement effort'!H257-'K) Plafonnement aide'!I257</f>
        <v>2.6378764105747425</v>
      </c>
      <c r="O258" s="199">
        <f t="shared" si="33"/>
        <v>62.22392874695548</v>
      </c>
      <c r="P258" s="59">
        <f t="shared" si="34"/>
        <v>0</v>
      </c>
      <c r="Q258" s="75">
        <f t="shared" si="38"/>
        <v>0</v>
      </c>
      <c r="R258" s="230">
        <f t="shared" si="35"/>
        <v>62.22392874695548</v>
      </c>
      <c r="S258" s="199">
        <f t="shared" si="36"/>
        <v>-9.7760712530445204</v>
      </c>
      <c r="T258" s="229"/>
    </row>
    <row r="259" spans="1:20" x14ac:dyDescent="0.25">
      <c r="A259" s="61">
        <f>'A) Base RI'!A260</f>
        <v>5822</v>
      </c>
      <c r="B259" s="73" t="str">
        <f>'A) Base RI'!B260</f>
        <v>Payerne</v>
      </c>
      <c r="C259" s="238">
        <v>3995654.7936954927</v>
      </c>
      <c r="D259" s="239">
        <v>-3750187.1511974186</v>
      </c>
      <c r="E259" s="240">
        <v>0</v>
      </c>
      <c r="F259" s="239">
        <v>0</v>
      </c>
      <c r="G259" s="239">
        <v>0</v>
      </c>
      <c r="H259" s="241">
        <f t="shared" si="31"/>
        <v>245467.6424980741</v>
      </c>
      <c r="I259" s="311">
        <v>232171.67534246575</v>
      </c>
      <c r="J259" s="135">
        <f>'B) D RI'!U260</f>
        <v>224445.50853333328</v>
      </c>
      <c r="K259" s="92">
        <f t="shared" si="37"/>
        <v>1.057267826215218</v>
      </c>
      <c r="L259" s="43">
        <f>'B) D RI'!S260</f>
        <v>75</v>
      </c>
      <c r="M259" s="43">
        <f t="shared" si="32"/>
        <v>73.942732173784776</v>
      </c>
      <c r="N259" s="199">
        <f>'J) Plafonnement effort'!G258+'J) Plafonnement effort'!H258-'K) Plafonnement aide'!I258</f>
        <v>-6.8401838612749302</v>
      </c>
      <c r="O259" s="199">
        <f t="shared" si="33"/>
        <v>67.102548312509839</v>
      </c>
      <c r="P259" s="59">
        <f t="shared" si="34"/>
        <v>0</v>
      </c>
      <c r="Q259" s="75">
        <f t="shared" si="38"/>
        <v>0</v>
      </c>
      <c r="R259" s="230">
        <f t="shared" si="35"/>
        <v>67.102548312509839</v>
      </c>
      <c r="S259" s="199">
        <f t="shared" si="36"/>
        <v>-7.897451687490161</v>
      </c>
      <c r="T259" s="229"/>
    </row>
    <row r="260" spans="1:20" x14ac:dyDescent="0.25">
      <c r="A260" s="61">
        <f>'A) Base RI'!A261</f>
        <v>5827</v>
      </c>
      <c r="B260" s="73" t="str">
        <f>'A) Base RI'!B261</f>
        <v>Trey</v>
      </c>
      <c r="C260" s="238">
        <v>96777.593960354352</v>
      </c>
      <c r="D260" s="239">
        <v>-55548.540924525412</v>
      </c>
      <c r="E260" s="240">
        <v>0</v>
      </c>
      <c r="F260" s="239">
        <v>0</v>
      </c>
      <c r="G260" s="239">
        <v>0</v>
      </c>
      <c r="H260" s="241">
        <f t="shared" si="31"/>
        <v>41229.05303582894</v>
      </c>
      <c r="I260" s="311">
        <v>6148.4623749999992</v>
      </c>
      <c r="J260" s="135">
        <f>'B) D RI'!U261</f>
        <v>6544.3336250000011</v>
      </c>
      <c r="K260" s="92">
        <f t="shared" si="37"/>
        <v>6.7055875959278266</v>
      </c>
      <c r="L260" s="43">
        <f>'B) D RI'!S261</f>
        <v>80</v>
      </c>
      <c r="M260" s="43">
        <f t="shared" si="32"/>
        <v>73.294412404072176</v>
      </c>
      <c r="N260" s="199">
        <f>'J) Plafonnement effort'!G259+'J) Plafonnement effort'!H259-'K) Plafonnement aide'!I259</f>
        <v>8.2555598381797033</v>
      </c>
      <c r="O260" s="199">
        <f t="shared" si="33"/>
        <v>81.549972242251883</v>
      </c>
      <c r="P260" s="59">
        <f t="shared" si="34"/>
        <v>0</v>
      </c>
      <c r="Q260" s="75">
        <f t="shared" si="38"/>
        <v>0</v>
      </c>
      <c r="R260" s="230">
        <f t="shared" si="35"/>
        <v>81.549972242251883</v>
      </c>
      <c r="S260" s="199">
        <f t="shared" si="36"/>
        <v>1.5499722422518829</v>
      </c>
      <c r="T260" s="229"/>
    </row>
    <row r="261" spans="1:20" x14ac:dyDescent="0.25">
      <c r="A261" s="61">
        <f>'A) Base RI'!A262</f>
        <v>5828</v>
      </c>
      <c r="B261" s="73" t="str">
        <f>'A) Base RI'!B262</f>
        <v>Treytorrens (Payerne)</v>
      </c>
      <c r="C261" s="238">
        <v>44934.602802535039</v>
      </c>
      <c r="D261" s="239">
        <v>-45734.25806401929</v>
      </c>
      <c r="E261" s="240">
        <v>0</v>
      </c>
      <c r="F261" s="239">
        <v>0</v>
      </c>
      <c r="G261" s="239">
        <v>0</v>
      </c>
      <c r="H261" s="241">
        <f t="shared" si="31"/>
        <v>-799.65526148425124</v>
      </c>
      <c r="I261" s="311">
        <v>2457.9002380952379</v>
      </c>
      <c r="J261" s="135">
        <f>'B) D RI'!U262</f>
        <v>2136.5168650793653</v>
      </c>
      <c r="K261" s="92">
        <f t="shared" si="37"/>
        <v>-0.3253408128980646</v>
      </c>
      <c r="L261" s="43">
        <f>'B) D RI'!S262</f>
        <v>84</v>
      </c>
      <c r="M261" s="43">
        <f t="shared" si="32"/>
        <v>84.325340812898062</v>
      </c>
      <c r="N261" s="199">
        <f>'J) Plafonnement effort'!G260+'J) Plafonnement effort'!H260-'K) Plafonnement aide'!I260</f>
        <v>-30.42419045934777</v>
      </c>
      <c r="O261" s="199">
        <f t="shared" si="33"/>
        <v>53.901150353550292</v>
      </c>
      <c r="P261" s="59">
        <f t="shared" si="34"/>
        <v>0</v>
      </c>
      <c r="Q261" s="75">
        <f t="shared" si="38"/>
        <v>0</v>
      </c>
      <c r="R261" s="230">
        <f t="shared" si="35"/>
        <v>53.901150353550292</v>
      </c>
      <c r="S261" s="199">
        <f t="shared" si="36"/>
        <v>-30.098849646449708</v>
      </c>
      <c r="T261" s="229"/>
    </row>
    <row r="262" spans="1:20" x14ac:dyDescent="0.25">
      <c r="A262" s="61">
        <f>'A) Base RI'!A263</f>
        <v>5830</v>
      </c>
      <c r="B262" s="73" t="str">
        <f>'A) Base RI'!B263</f>
        <v>Villarzel</v>
      </c>
      <c r="C262" s="238">
        <v>162429.2595867661</v>
      </c>
      <c r="D262" s="239">
        <v>-74630.649912333814</v>
      </c>
      <c r="E262" s="240">
        <v>0</v>
      </c>
      <c r="F262" s="239">
        <v>0</v>
      </c>
      <c r="G262" s="239">
        <v>0</v>
      </c>
      <c r="H262" s="241">
        <f t="shared" si="31"/>
        <v>87798.609674432286</v>
      </c>
      <c r="I262" s="311">
        <v>9888.3237037037015</v>
      </c>
      <c r="J262" s="135">
        <f>'B) D RI'!U263</f>
        <v>10236.981518987341</v>
      </c>
      <c r="K262" s="92">
        <f t="shared" si="37"/>
        <v>8.8790185581755434</v>
      </c>
      <c r="L262" s="43">
        <f>'B) D RI'!S263</f>
        <v>79</v>
      </c>
      <c r="M262" s="43">
        <f t="shared" si="32"/>
        <v>70.120981441824455</v>
      </c>
      <c r="N262" s="199">
        <f>'J) Plafonnement effort'!G261+'J) Plafonnement effort'!H261-'K) Plafonnement aide'!I261</f>
        <v>1.104242772739557</v>
      </c>
      <c r="O262" s="199">
        <f t="shared" si="33"/>
        <v>71.225224214564008</v>
      </c>
      <c r="P262" s="59">
        <f t="shared" si="34"/>
        <v>0</v>
      </c>
      <c r="Q262" s="75">
        <f t="shared" si="38"/>
        <v>0</v>
      </c>
      <c r="R262" s="230">
        <f t="shared" si="35"/>
        <v>71.225224214564008</v>
      </c>
      <c r="S262" s="199">
        <f t="shared" si="36"/>
        <v>-7.7747757854359918</v>
      </c>
      <c r="T262" s="229"/>
    </row>
    <row r="263" spans="1:20" x14ac:dyDescent="0.25">
      <c r="A263" s="61">
        <f>'A) Base RI'!A264</f>
        <v>5831</v>
      </c>
      <c r="B263" s="73" t="str">
        <f>'A) Base RI'!B264</f>
        <v>Valbroye</v>
      </c>
      <c r="C263" s="238">
        <v>1119826.9726251226</v>
      </c>
      <c r="D263" s="239">
        <v>-707649.89131437847</v>
      </c>
      <c r="E263" s="240">
        <v>0</v>
      </c>
      <c r="F263" s="239">
        <v>0</v>
      </c>
      <c r="G263" s="239">
        <v>0</v>
      </c>
      <c r="H263" s="241">
        <f t="shared" ref="H263:H323" si="39">SUM(C263:G263)</f>
        <v>412177.08131074416</v>
      </c>
      <c r="I263" s="311">
        <v>72189.06751111109</v>
      </c>
      <c r="J263" s="135">
        <f>'B) D RI'!U264</f>
        <v>78037.716438356161</v>
      </c>
      <c r="K263" s="92">
        <f>H263/I263</f>
        <v>5.709688399109786</v>
      </c>
      <c r="L263" s="43">
        <f>'B) D RI'!S264</f>
        <v>73</v>
      </c>
      <c r="M263" s="43">
        <f>L263-K263</f>
        <v>67.29031160089022</v>
      </c>
      <c r="N263" s="199">
        <f>'J) Plafonnement effort'!G262+'J) Plafonnement effort'!H262-'K) Plafonnement aide'!I262</f>
        <v>2.5995239992782473</v>
      </c>
      <c r="O263" s="199">
        <f>M263+N263</f>
        <v>69.889835600168468</v>
      </c>
      <c r="P263" s="59">
        <f t="shared" si="34"/>
        <v>0</v>
      </c>
      <c r="Q263" s="75">
        <f>P263*J263</f>
        <v>0</v>
      </c>
      <c r="R263" s="230">
        <f>O263+P263</f>
        <v>69.889835600168468</v>
      </c>
      <c r="S263" s="199">
        <f>R263-L263</f>
        <v>-3.1101643998315325</v>
      </c>
      <c r="T263" s="229"/>
    </row>
    <row r="264" spans="1:20" x14ac:dyDescent="0.25">
      <c r="A264" s="61">
        <f>'A) Base RI'!A265</f>
        <v>5841</v>
      </c>
      <c r="B264" s="73" t="str">
        <f>'A) Base RI'!B265</f>
        <v>Château-d'Oex</v>
      </c>
      <c r="C264" s="238">
        <v>1935949.8134495972</v>
      </c>
      <c r="D264" s="239">
        <v>-239199.83166184649</v>
      </c>
      <c r="E264" s="240">
        <v>0</v>
      </c>
      <c r="F264" s="239">
        <v>0</v>
      </c>
      <c r="G264" s="239">
        <v>0</v>
      </c>
      <c r="H264" s="241">
        <f t="shared" si="39"/>
        <v>1696749.9817877507</v>
      </c>
      <c r="I264" s="311">
        <v>107402.16457831326</v>
      </c>
      <c r="J264" s="135">
        <f>'B) D RI'!U265</f>
        <v>107525.73574297188</v>
      </c>
      <c r="K264" s="92">
        <f>H264/I264</f>
        <v>15.798098562069018</v>
      </c>
      <c r="L264" s="43">
        <f>'B) D RI'!S265</f>
        <v>83</v>
      </c>
      <c r="M264" s="43">
        <f>L264-K264</f>
        <v>67.201901437930985</v>
      </c>
      <c r="N264" s="199">
        <f>'J) Plafonnement effort'!G263+'J) Plafonnement effort'!H263-'K) Plafonnement aide'!I263</f>
        <v>2.4974965503530235</v>
      </c>
      <c r="O264" s="199">
        <f>M264+N264</f>
        <v>69.699397988284005</v>
      </c>
      <c r="P264" s="59">
        <f t="shared" si="34"/>
        <v>0</v>
      </c>
      <c r="Q264" s="75">
        <f>P264*J264</f>
        <v>0</v>
      </c>
      <c r="R264" s="230">
        <f>O264+P264</f>
        <v>69.699397988284005</v>
      </c>
      <c r="S264" s="199">
        <f>R264-L264</f>
        <v>-13.300602011715995</v>
      </c>
      <c r="T264" s="229"/>
    </row>
    <row r="265" spans="1:20" x14ac:dyDescent="0.25">
      <c r="A265" s="61">
        <f>'A) Base RI'!A266</f>
        <v>5842</v>
      </c>
      <c r="B265" s="73" t="str">
        <f>'A) Base RI'!B266</f>
        <v>Rossinière</v>
      </c>
      <c r="C265" s="238">
        <v>239856.95991635567</v>
      </c>
      <c r="D265" s="239">
        <v>-39991.41534960689</v>
      </c>
      <c r="E265" s="240">
        <v>0</v>
      </c>
      <c r="F265" s="239">
        <v>0</v>
      </c>
      <c r="G265" s="239">
        <v>0</v>
      </c>
      <c r="H265" s="241">
        <f t="shared" si="39"/>
        <v>199865.54456674878</v>
      </c>
      <c r="I265" s="311">
        <v>14557.548271604937</v>
      </c>
      <c r="J265" s="135">
        <f>'B) D RI'!U266</f>
        <v>16554.125349794238</v>
      </c>
      <c r="K265" s="92">
        <f t="shared" si="37"/>
        <v>13.729341015244598</v>
      </c>
      <c r="L265" s="43">
        <f>'B) D RI'!S266</f>
        <v>81</v>
      </c>
      <c r="M265" s="43">
        <f t="shared" si="32"/>
        <v>67.2706589847554</v>
      </c>
      <c r="N265" s="199">
        <f>'J) Plafonnement effort'!G264+'J) Plafonnement effort'!H264-'K) Plafonnement aide'!I264</f>
        <v>2.4940509311112251</v>
      </c>
      <c r="O265" s="199">
        <f t="shared" si="33"/>
        <v>69.764709915866632</v>
      </c>
      <c r="P265" s="59">
        <f t="shared" si="34"/>
        <v>0</v>
      </c>
      <c r="Q265" s="75">
        <f t="shared" si="38"/>
        <v>0</v>
      </c>
      <c r="R265" s="230">
        <f t="shared" si="35"/>
        <v>69.764709915866632</v>
      </c>
      <c r="S265" s="199">
        <f t="shared" si="36"/>
        <v>-11.235290084133368</v>
      </c>
      <c r="T265" s="229"/>
    </row>
    <row r="266" spans="1:20" x14ac:dyDescent="0.25">
      <c r="A266" s="61">
        <f>'A) Base RI'!A267</f>
        <v>5843</v>
      </c>
      <c r="B266" s="73" t="str">
        <f>'A) Base RI'!B267</f>
        <v>Rougemont</v>
      </c>
      <c r="C266" s="238">
        <v>2600935.4164232709</v>
      </c>
      <c r="D266" s="239">
        <v>1151040</v>
      </c>
      <c r="E266" s="240">
        <v>0</v>
      </c>
      <c r="F266" s="239">
        <v>0</v>
      </c>
      <c r="G266" s="239">
        <v>0</v>
      </c>
      <c r="H266" s="241">
        <f t="shared" si="39"/>
        <v>3751975.4164232709</v>
      </c>
      <c r="I266" s="311">
        <v>80469.50922705316</v>
      </c>
      <c r="J266" s="135">
        <f>'B) D RI'!U267</f>
        <v>92297.453816425128</v>
      </c>
      <c r="K266" s="92">
        <f t="shared" si="37"/>
        <v>46.626050692526022</v>
      </c>
      <c r="L266" s="43">
        <f>'B) D RI'!S267</f>
        <v>69</v>
      </c>
      <c r="M266" s="43">
        <f t="shared" si="32"/>
        <v>22.373949307473978</v>
      </c>
      <c r="N266" s="199">
        <f>'J) Plafonnement effort'!G265+'J) Plafonnement effort'!H265-'K) Plafonnement aide'!I265</f>
        <v>41.161022073416802</v>
      </c>
      <c r="O266" s="199">
        <f t="shared" si="33"/>
        <v>63.534971380890781</v>
      </c>
      <c r="P266" s="59">
        <f t="shared" si="34"/>
        <v>0</v>
      </c>
      <c r="Q266" s="75">
        <f t="shared" si="38"/>
        <v>0</v>
      </c>
      <c r="R266" s="230">
        <f t="shared" si="35"/>
        <v>63.534971380890781</v>
      </c>
      <c r="S266" s="199">
        <f t="shared" si="36"/>
        <v>-5.4650286191092192</v>
      </c>
      <c r="T266" s="229"/>
    </row>
    <row r="267" spans="1:20" x14ac:dyDescent="0.25">
      <c r="A267" s="61">
        <f>'A) Base RI'!A268</f>
        <v>5851</v>
      </c>
      <c r="B267" s="73" t="str">
        <f>'A) Base RI'!B268</f>
        <v>Allaman</v>
      </c>
      <c r="C267" s="238">
        <v>753640.85612135485</v>
      </c>
      <c r="D267" s="239">
        <v>398877</v>
      </c>
      <c r="E267" s="240">
        <v>0</v>
      </c>
      <c r="F267" s="239">
        <v>0</v>
      </c>
      <c r="G267" s="239">
        <v>0</v>
      </c>
      <c r="H267" s="241">
        <f t="shared" si="39"/>
        <v>1152517.8561213547</v>
      </c>
      <c r="I267" s="311">
        <v>24671.087704918031</v>
      </c>
      <c r="J267" s="135">
        <f>'B) D RI'!U268</f>
        <v>26311.895293255133</v>
      </c>
      <c r="K267" s="92">
        <f t="shared" si="37"/>
        <v>46.715324022442971</v>
      </c>
      <c r="L267" s="43">
        <f>'B) D RI'!S268</f>
        <v>62</v>
      </c>
      <c r="M267" s="43">
        <f t="shared" si="32"/>
        <v>15.284675977557029</v>
      </c>
      <c r="N267" s="199">
        <f>'J) Plafonnement effort'!G266+'J) Plafonnement effort'!H266-'K) Plafonnement aide'!I266</f>
        <v>25.182408611251642</v>
      </c>
      <c r="O267" s="199">
        <f t="shared" si="33"/>
        <v>40.467084588808675</v>
      </c>
      <c r="P267" s="59">
        <f t="shared" si="34"/>
        <v>0</v>
      </c>
      <c r="Q267" s="75">
        <f t="shared" si="38"/>
        <v>0</v>
      </c>
      <c r="R267" s="230">
        <f t="shared" si="35"/>
        <v>40.467084588808675</v>
      </c>
      <c r="S267" s="199">
        <f t="shared" si="36"/>
        <v>-21.532915411191325</v>
      </c>
      <c r="T267" s="229"/>
    </row>
    <row r="268" spans="1:20" x14ac:dyDescent="0.25">
      <c r="A268" s="61">
        <f>'A) Base RI'!A269</f>
        <v>5852</v>
      </c>
      <c r="B268" s="73" t="str">
        <f>'A) Base RI'!B269</f>
        <v>Bursinel</v>
      </c>
      <c r="C268" s="238">
        <v>527729.32981812384</v>
      </c>
      <c r="D268" s="239">
        <v>479577</v>
      </c>
      <c r="E268" s="240">
        <v>0</v>
      </c>
      <c r="F268" s="239">
        <v>0</v>
      </c>
      <c r="G268" s="239">
        <v>0</v>
      </c>
      <c r="H268" s="241">
        <f t="shared" si="39"/>
        <v>1007306.3298181238</v>
      </c>
      <c r="I268" s="311">
        <v>29914.872845528454</v>
      </c>
      <c r="J268" s="135">
        <f>'B) D RI'!U269</f>
        <v>31632.546141732284</v>
      </c>
      <c r="K268" s="92">
        <f t="shared" si="37"/>
        <v>33.672425586415009</v>
      </c>
      <c r="L268" s="43">
        <f>'B) D RI'!S269</f>
        <v>63.5</v>
      </c>
      <c r="M268" s="43">
        <f t="shared" si="32"/>
        <v>29.827574413584991</v>
      </c>
      <c r="N268" s="199">
        <f>'J) Plafonnement effort'!G267+'J) Plafonnement effort'!H267-'K) Plafonnement aide'!I267</f>
        <v>37.384031449614533</v>
      </c>
      <c r="O268" s="199">
        <f t="shared" si="33"/>
        <v>67.211605863199523</v>
      </c>
      <c r="P268" s="59">
        <f t="shared" si="34"/>
        <v>0</v>
      </c>
      <c r="Q268" s="75">
        <f t="shared" si="38"/>
        <v>0</v>
      </c>
      <c r="R268" s="230">
        <f t="shared" si="35"/>
        <v>67.211605863199523</v>
      </c>
      <c r="S268" s="199">
        <f t="shared" si="36"/>
        <v>3.711605863199523</v>
      </c>
      <c r="T268" s="229"/>
    </row>
    <row r="269" spans="1:20" x14ac:dyDescent="0.25">
      <c r="A269" s="61">
        <f>'A) Base RI'!A270</f>
        <v>5853</v>
      </c>
      <c r="B269" s="73" t="str">
        <f>'A) Base RI'!B270</f>
        <v>Bursins</v>
      </c>
      <c r="C269" s="238">
        <v>605487.06191748718</v>
      </c>
      <c r="D269" s="239">
        <v>582022</v>
      </c>
      <c r="E269" s="240">
        <v>0</v>
      </c>
      <c r="F269" s="239">
        <v>0</v>
      </c>
      <c r="G269" s="239">
        <v>0</v>
      </c>
      <c r="H269" s="241">
        <f t="shared" si="39"/>
        <v>1187509.0619174871</v>
      </c>
      <c r="I269" s="311">
        <v>35670.275774647889</v>
      </c>
      <c r="J269" s="135">
        <f>'B) D RI'!U270</f>
        <v>37118.734366197183</v>
      </c>
      <c r="K269" s="92">
        <f t="shared" si="37"/>
        <v>33.291277853295746</v>
      </c>
      <c r="L269" s="43">
        <f>'B) D RI'!S270</f>
        <v>71</v>
      </c>
      <c r="M269" s="43">
        <f t="shared" si="32"/>
        <v>37.708722146704254</v>
      </c>
      <c r="N269" s="199">
        <f>'J) Plafonnement effort'!G268+'J) Plafonnement effort'!H268-'K) Plafonnement aide'!I268</f>
        <v>34.791409770406588</v>
      </c>
      <c r="O269" s="199">
        <f t="shared" si="33"/>
        <v>72.500131917110849</v>
      </c>
      <c r="P269" s="59">
        <f t="shared" si="34"/>
        <v>0</v>
      </c>
      <c r="Q269" s="75">
        <f t="shared" si="38"/>
        <v>0</v>
      </c>
      <c r="R269" s="230">
        <f t="shared" si="35"/>
        <v>72.500131917110849</v>
      </c>
      <c r="S269" s="199">
        <f t="shared" si="36"/>
        <v>1.5001319171108491</v>
      </c>
      <c r="T269" s="229"/>
    </row>
    <row r="270" spans="1:20" x14ac:dyDescent="0.25">
      <c r="A270" s="61">
        <f>'A) Base RI'!A271</f>
        <v>5854</v>
      </c>
      <c r="B270" s="73" t="str">
        <f>'A) Base RI'!B271</f>
        <v>Burtigny</v>
      </c>
      <c r="C270" s="238">
        <v>168799.9587263602</v>
      </c>
      <c r="D270" s="239">
        <v>40878.146642059321</v>
      </c>
      <c r="E270" s="240">
        <v>0</v>
      </c>
      <c r="F270" s="239">
        <v>0</v>
      </c>
      <c r="G270" s="239">
        <v>0</v>
      </c>
      <c r="H270" s="241">
        <f t="shared" si="39"/>
        <v>209678.10536841952</v>
      </c>
      <c r="I270" s="311">
        <v>10927.480438596491</v>
      </c>
      <c r="J270" s="135">
        <f>'B) D RI'!U271</f>
        <v>10244.164041666669</v>
      </c>
      <c r="K270" s="92">
        <f t="shared" si="37"/>
        <v>19.188147400184253</v>
      </c>
      <c r="L270" s="43">
        <f>'B) D RI'!S271</f>
        <v>80</v>
      </c>
      <c r="M270" s="43">
        <f t="shared" ref="M270:M299" si="40">L270-K270</f>
        <v>60.811852599815751</v>
      </c>
      <c r="N270" s="199">
        <f>'J) Plafonnement effort'!G269+'J) Plafonnement effort'!H269-'K) Plafonnement aide'!I269</f>
        <v>15.480237184371411</v>
      </c>
      <c r="O270" s="199">
        <f t="shared" ref="O270:O323" si="41">M270+N270</f>
        <v>76.292089784187169</v>
      </c>
      <c r="P270" s="59">
        <f t="shared" ref="P270:P323" si="42">IF(O270&gt;$P$5,$P$5-O270,0)</f>
        <v>0</v>
      </c>
      <c r="Q270" s="75">
        <f t="shared" si="38"/>
        <v>0</v>
      </c>
      <c r="R270" s="230">
        <f t="shared" ref="R270:R323" si="43">O270+P270</f>
        <v>76.292089784187169</v>
      </c>
      <c r="S270" s="199">
        <f t="shared" ref="S270:S323" si="44">R270-L270</f>
        <v>-3.7079102158128308</v>
      </c>
      <c r="T270" s="229"/>
    </row>
    <row r="271" spans="1:20" x14ac:dyDescent="0.25">
      <c r="A271" s="61">
        <f>'A) Base RI'!A272</f>
        <v>5855</v>
      </c>
      <c r="B271" s="73" t="str">
        <f>'A) Base RI'!B272</f>
        <v>Dully</v>
      </c>
      <c r="C271" s="238">
        <v>2212237.5719792247</v>
      </c>
      <c r="D271" s="239">
        <v>998434</v>
      </c>
      <c r="E271" s="240">
        <v>0</v>
      </c>
      <c r="F271" s="239">
        <v>0</v>
      </c>
      <c r="G271" s="239">
        <v>0</v>
      </c>
      <c r="H271" s="241">
        <f t="shared" si="39"/>
        <v>3210671.5719792247</v>
      </c>
      <c r="I271" s="311">
        <v>80286.552448979593</v>
      </c>
      <c r="J271" s="135">
        <f>'B) D RI'!U272</f>
        <v>65353.176326530607</v>
      </c>
      <c r="K271" s="92">
        <f t="shared" si="37"/>
        <v>39.990153693789985</v>
      </c>
      <c r="L271" s="43">
        <f>'B) D RI'!S272</f>
        <v>49</v>
      </c>
      <c r="M271" s="43">
        <f t="shared" si="40"/>
        <v>9.0098463062100151</v>
      </c>
      <c r="N271" s="199">
        <f>'J) Plafonnement effort'!G270+'J) Plafonnement effort'!H270-'K) Plafonnement aide'!I270</f>
        <v>45.955597713226418</v>
      </c>
      <c r="O271" s="199">
        <f t="shared" si="41"/>
        <v>54.965444019436433</v>
      </c>
      <c r="P271" s="59">
        <f t="shared" si="42"/>
        <v>0</v>
      </c>
      <c r="Q271" s="75">
        <f t="shared" si="38"/>
        <v>0</v>
      </c>
      <c r="R271" s="230">
        <f t="shared" si="43"/>
        <v>54.965444019436433</v>
      </c>
      <c r="S271" s="199">
        <f t="shared" si="44"/>
        <v>5.9654440194364327</v>
      </c>
      <c r="T271" s="229"/>
    </row>
    <row r="272" spans="1:20" x14ac:dyDescent="0.25">
      <c r="A272" s="61">
        <f>'A) Base RI'!A273</f>
        <v>5856</v>
      </c>
      <c r="B272" s="73" t="str">
        <f>'A) Base RI'!B273</f>
        <v>Essertines-sur-Rolle</v>
      </c>
      <c r="C272" s="238">
        <v>556198.42177669914</v>
      </c>
      <c r="D272" s="239">
        <v>620035</v>
      </c>
      <c r="E272" s="240">
        <v>0</v>
      </c>
      <c r="F272" s="239">
        <v>0</v>
      </c>
      <c r="G272" s="239">
        <v>0</v>
      </c>
      <c r="H272" s="241">
        <f t="shared" si="39"/>
        <v>1176233.4217766991</v>
      </c>
      <c r="I272" s="311">
        <v>37372.082975113124</v>
      </c>
      <c r="J272" s="135">
        <f>'B) D RI'!U273</f>
        <v>28766.256402714938</v>
      </c>
      <c r="K272" s="92">
        <f t="shared" si="37"/>
        <v>31.473584776100875</v>
      </c>
      <c r="L272" s="43">
        <f>'B) D RI'!S273</f>
        <v>68</v>
      </c>
      <c r="M272" s="43">
        <f t="shared" si="40"/>
        <v>36.526415223899122</v>
      </c>
      <c r="N272" s="199">
        <f>'J) Plafonnement effort'!G271+'J) Plafonnement effort'!H271-'K) Plafonnement aide'!I271</f>
        <v>28.011789653449661</v>
      </c>
      <c r="O272" s="199">
        <f t="shared" si="41"/>
        <v>64.53820487734879</v>
      </c>
      <c r="P272" s="59">
        <f t="shared" si="42"/>
        <v>0</v>
      </c>
      <c r="Q272" s="75">
        <f t="shared" si="38"/>
        <v>0</v>
      </c>
      <c r="R272" s="230">
        <f t="shared" si="43"/>
        <v>64.53820487734879</v>
      </c>
      <c r="S272" s="199">
        <f t="shared" si="44"/>
        <v>-3.4617951226512105</v>
      </c>
      <c r="T272" s="229"/>
    </row>
    <row r="273" spans="1:20" x14ac:dyDescent="0.25">
      <c r="A273" s="61">
        <f>'A) Base RI'!A274</f>
        <v>5857</v>
      </c>
      <c r="B273" s="73" t="str">
        <f>'A) Base RI'!B274</f>
        <v>Gilly</v>
      </c>
      <c r="C273" s="238">
        <v>1336553.3191209701</v>
      </c>
      <c r="D273" s="239">
        <v>1028306</v>
      </c>
      <c r="E273" s="240">
        <v>0</v>
      </c>
      <c r="F273" s="239">
        <v>0</v>
      </c>
      <c r="G273" s="239">
        <v>0</v>
      </c>
      <c r="H273" s="241">
        <f t="shared" si="39"/>
        <v>2364859.3191209701</v>
      </c>
      <c r="I273" s="311">
        <v>64256.086818181808</v>
      </c>
      <c r="J273" s="135">
        <f>'B) D RI'!U274</f>
        <v>55694.918787878785</v>
      </c>
      <c r="K273" s="92">
        <f t="shared" si="37"/>
        <v>36.803662286695818</v>
      </c>
      <c r="L273" s="43">
        <f>'B) D RI'!S274</f>
        <v>66</v>
      </c>
      <c r="M273" s="43">
        <f t="shared" si="40"/>
        <v>29.196337713304182</v>
      </c>
      <c r="N273" s="199">
        <f>'J) Plafonnement effort'!G272+'J) Plafonnement effort'!H272-'K) Plafonnement aide'!I272</f>
        <v>36.563908120657118</v>
      </c>
      <c r="O273" s="199">
        <f t="shared" si="41"/>
        <v>65.760245833961307</v>
      </c>
      <c r="P273" s="59">
        <f t="shared" si="42"/>
        <v>0</v>
      </c>
      <c r="Q273" s="75">
        <f t="shared" si="38"/>
        <v>0</v>
      </c>
      <c r="R273" s="230">
        <f t="shared" si="43"/>
        <v>65.760245833961307</v>
      </c>
      <c r="S273" s="199">
        <f t="shared" si="44"/>
        <v>-0.23975416603869348</v>
      </c>
      <c r="T273" s="229"/>
    </row>
    <row r="274" spans="1:20" x14ac:dyDescent="0.25">
      <c r="A274" s="61">
        <f>'A) Base RI'!A275</f>
        <v>5858</v>
      </c>
      <c r="B274" s="73" t="str">
        <f>'A) Base RI'!B275</f>
        <v>Luins</v>
      </c>
      <c r="C274" s="238">
        <v>574868.66436550638</v>
      </c>
      <c r="D274" s="239">
        <v>583046</v>
      </c>
      <c r="E274" s="240">
        <v>0</v>
      </c>
      <c r="F274" s="239">
        <v>0</v>
      </c>
      <c r="G274" s="239">
        <v>0</v>
      </c>
      <c r="H274" s="241">
        <f t="shared" si="39"/>
        <v>1157914.6643655063</v>
      </c>
      <c r="I274" s="311">
        <v>35566.654611111124</v>
      </c>
      <c r="J274" s="135">
        <f>'B) D RI'!U275</f>
        <v>33594.571611111111</v>
      </c>
      <c r="K274" s="92">
        <f t="shared" ref="K274:K323" si="45">H274/I274</f>
        <v>32.556187165372883</v>
      </c>
      <c r="L274" s="43">
        <f>'B) D RI'!S275</f>
        <v>60</v>
      </c>
      <c r="M274" s="43">
        <f t="shared" si="40"/>
        <v>27.443812834627117</v>
      </c>
      <c r="N274" s="199">
        <f>'J) Plafonnement effort'!G273+'J) Plafonnement effort'!H273-'K) Plafonnement aide'!I273</f>
        <v>31.88437194275938</v>
      </c>
      <c r="O274" s="199">
        <f t="shared" si="41"/>
        <v>59.328184777386497</v>
      </c>
      <c r="P274" s="59">
        <f t="shared" si="42"/>
        <v>0</v>
      </c>
      <c r="Q274" s="75">
        <f t="shared" si="38"/>
        <v>0</v>
      </c>
      <c r="R274" s="230">
        <f t="shared" si="43"/>
        <v>59.328184777386497</v>
      </c>
      <c r="S274" s="199">
        <f t="shared" si="44"/>
        <v>-0.67181522261350324</v>
      </c>
      <c r="T274" s="229"/>
    </row>
    <row r="275" spans="1:20" x14ac:dyDescent="0.25">
      <c r="A275" s="61">
        <f>'A) Base RI'!A276</f>
        <v>5859</v>
      </c>
      <c r="B275" s="73" t="str">
        <f>'A) Base RI'!B276</f>
        <v>Mont-sur-Rolle</v>
      </c>
      <c r="C275" s="238">
        <v>2251668.8622796126</v>
      </c>
      <c r="D275" s="239">
        <v>1848637</v>
      </c>
      <c r="E275" s="240">
        <v>0</v>
      </c>
      <c r="F275" s="239">
        <v>0</v>
      </c>
      <c r="G275" s="239">
        <v>0</v>
      </c>
      <c r="H275" s="241">
        <f t="shared" si="39"/>
        <v>4100305.8622796126</v>
      </c>
      <c r="I275" s="311">
        <v>135944.39825396828</v>
      </c>
      <c r="J275" s="135">
        <f>'B) D RI'!U276</f>
        <v>147627.58999999997</v>
      </c>
      <c r="K275" s="92">
        <f t="shared" si="45"/>
        <v>30.161638985811781</v>
      </c>
      <c r="L275" s="43">
        <f>'B) D RI'!S276</f>
        <v>63</v>
      </c>
      <c r="M275" s="43">
        <f t="shared" si="40"/>
        <v>32.838361014188223</v>
      </c>
      <c r="N275" s="199">
        <f>'J) Plafonnement effort'!G274+'J) Plafonnement effort'!H274-'K) Plafonnement aide'!I274</f>
        <v>30.920404591969309</v>
      </c>
      <c r="O275" s="199">
        <f t="shared" si="41"/>
        <v>63.758765606157532</v>
      </c>
      <c r="P275" s="59">
        <f t="shared" si="42"/>
        <v>0</v>
      </c>
      <c r="Q275" s="75">
        <f t="shared" ref="Q275:Q323" si="46">P275*J275</f>
        <v>0</v>
      </c>
      <c r="R275" s="230">
        <f t="shared" si="43"/>
        <v>63.758765606157532</v>
      </c>
      <c r="S275" s="199">
        <f t="shared" si="44"/>
        <v>0.75876560615753164</v>
      </c>
      <c r="T275" s="229"/>
    </row>
    <row r="276" spans="1:20" x14ac:dyDescent="0.25">
      <c r="A276" s="61">
        <f>'A) Base RI'!A277</f>
        <v>5860</v>
      </c>
      <c r="B276" s="73" t="str">
        <f>'A) Base RI'!B277</f>
        <v>Perroy</v>
      </c>
      <c r="C276" s="238">
        <v>1151676.0780039856</v>
      </c>
      <c r="D276" s="239">
        <v>1072194</v>
      </c>
      <c r="E276" s="240">
        <v>0</v>
      </c>
      <c r="F276" s="239">
        <v>0</v>
      </c>
      <c r="G276" s="239">
        <v>0</v>
      </c>
      <c r="H276" s="241">
        <f t="shared" si="39"/>
        <v>2223870.0780039858</v>
      </c>
      <c r="I276" s="311">
        <v>70993.86</v>
      </c>
      <c r="J276" s="135">
        <f>'B) D RI'!U277</f>
        <v>88241.731705128201</v>
      </c>
      <c r="K276" s="92">
        <f t="shared" si="45"/>
        <v>31.324822710076418</v>
      </c>
      <c r="L276" s="43">
        <f>'B) D RI'!S277</f>
        <v>60</v>
      </c>
      <c r="M276" s="43">
        <f t="shared" si="40"/>
        <v>28.675177289923582</v>
      </c>
      <c r="N276" s="199">
        <f>'J) Plafonnement effort'!G275+'J) Plafonnement effort'!H275-'K) Plafonnement aide'!I275</f>
        <v>35.554822788661895</v>
      </c>
      <c r="O276" s="199">
        <f t="shared" si="41"/>
        <v>64.230000078585476</v>
      </c>
      <c r="P276" s="59">
        <f t="shared" si="42"/>
        <v>0</v>
      </c>
      <c r="Q276" s="75">
        <f t="shared" si="46"/>
        <v>0</v>
      </c>
      <c r="R276" s="230">
        <f t="shared" si="43"/>
        <v>64.230000078585476</v>
      </c>
      <c r="S276" s="199">
        <f t="shared" si="44"/>
        <v>4.2300000785854763</v>
      </c>
      <c r="T276" s="229"/>
    </row>
    <row r="277" spans="1:20" x14ac:dyDescent="0.25">
      <c r="A277" s="61">
        <f>'A) Base RI'!A278</f>
        <v>5861</v>
      </c>
      <c r="B277" s="73" t="str">
        <f>'A) Base RI'!B278</f>
        <v>Rolle</v>
      </c>
      <c r="C277" s="238">
        <v>6597347.6801525</v>
      </c>
      <c r="D277" s="239">
        <v>4042438</v>
      </c>
      <c r="E277" s="240">
        <v>0</v>
      </c>
      <c r="F277" s="239">
        <v>0</v>
      </c>
      <c r="G277" s="239">
        <v>0</v>
      </c>
      <c r="H277" s="241">
        <f t="shared" si="39"/>
        <v>10639785.6801525</v>
      </c>
      <c r="I277" s="311">
        <v>356530.16436974786</v>
      </c>
      <c r="J277" s="135">
        <f>'B) D RI'!U278</f>
        <v>641127.68151260505</v>
      </c>
      <c r="K277" s="92">
        <f t="shared" si="45"/>
        <v>29.842596064657979</v>
      </c>
      <c r="L277" s="43">
        <f>'B) D RI'!S278</f>
        <v>59.5</v>
      </c>
      <c r="M277" s="43">
        <f t="shared" si="40"/>
        <v>29.657403935342021</v>
      </c>
      <c r="N277" s="199">
        <f>'J) Plafonnement effort'!G276+'J) Plafonnement effort'!H276-'K) Plafonnement aide'!I276</f>
        <v>40.049557409301556</v>
      </c>
      <c r="O277" s="199">
        <f t="shared" si="41"/>
        <v>69.706961344643574</v>
      </c>
      <c r="P277" s="59">
        <f t="shared" si="42"/>
        <v>0</v>
      </c>
      <c r="Q277" s="75">
        <f t="shared" si="46"/>
        <v>0</v>
      </c>
      <c r="R277" s="230">
        <f t="shared" si="43"/>
        <v>69.706961344643574</v>
      </c>
      <c r="S277" s="199">
        <f t="shared" si="44"/>
        <v>10.206961344643574</v>
      </c>
      <c r="T277" s="229"/>
    </row>
    <row r="278" spans="1:20" x14ac:dyDescent="0.25">
      <c r="A278" s="61">
        <f>'A) Base RI'!A279</f>
        <v>5862</v>
      </c>
      <c r="B278" s="73" t="str">
        <f>'A) Base RI'!B279</f>
        <v>Tartegnin</v>
      </c>
      <c r="C278" s="238">
        <v>157256.72125612124</v>
      </c>
      <c r="D278" s="239">
        <v>55714.7510285998</v>
      </c>
      <c r="E278" s="240">
        <v>0</v>
      </c>
      <c r="F278" s="239">
        <v>0</v>
      </c>
      <c r="G278" s="239">
        <v>0</v>
      </c>
      <c r="H278" s="241">
        <f t="shared" si="39"/>
        <v>212971.47228472104</v>
      </c>
      <c r="I278" s="311">
        <v>7735.2980158730161</v>
      </c>
      <c r="J278" s="135">
        <f>'B) D RI'!U279</f>
        <v>9990.8663492063497</v>
      </c>
      <c r="K278" s="92">
        <f t="shared" si="45"/>
        <v>27.532419804343476</v>
      </c>
      <c r="L278" s="43">
        <f>'B) D RI'!S279</f>
        <v>84</v>
      </c>
      <c r="M278" s="43">
        <f t="shared" si="40"/>
        <v>56.467580195656524</v>
      </c>
      <c r="N278" s="199">
        <f>'J) Plafonnement effort'!G277+'J) Plafonnement effort'!H277-'K) Plafonnement aide'!I277</f>
        <v>31.93542919398395</v>
      </c>
      <c r="O278" s="199">
        <f t="shared" si="41"/>
        <v>88.403009389640474</v>
      </c>
      <c r="P278" s="59">
        <f t="shared" si="42"/>
        <v>0</v>
      </c>
      <c r="Q278" s="75">
        <f t="shared" si="46"/>
        <v>0</v>
      </c>
      <c r="R278" s="230">
        <f t="shared" si="43"/>
        <v>88.403009389640474</v>
      </c>
      <c r="S278" s="199">
        <f t="shared" si="44"/>
        <v>4.4030093896404736</v>
      </c>
      <c r="T278" s="229"/>
    </row>
    <row r="279" spans="1:20" x14ac:dyDescent="0.25">
      <c r="A279" s="61">
        <f>'A) Base RI'!A280</f>
        <v>5863</v>
      </c>
      <c r="B279" s="73" t="str">
        <f>'A) Base RI'!B280</f>
        <v>Vinzel</v>
      </c>
      <c r="C279" s="238">
        <v>325478.78163700167</v>
      </c>
      <c r="D279" s="239">
        <v>343687</v>
      </c>
      <c r="E279" s="240">
        <v>0</v>
      </c>
      <c r="F279" s="239">
        <v>0</v>
      </c>
      <c r="G279" s="239">
        <v>0</v>
      </c>
      <c r="H279" s="241">
        <f t="shared" si="39"/>
        <v>669165.78163700167</v>
      </c>
      <c r="I279" s="311">
        <v>21110.455753424656</v>
      </c>
      <c r="J279" s="135">
        <f>'B) D RI'!U280</f>
        <v>25660.793857142853</v>
      </c>
      <c r="K279" s="92">
        <f t="shared" si="45"/>
        <v>31.69831051745275</v>
      </c>
      <c r="L279" s="43">
        <f>'B) D RI'!S280</f>
        <v>70</v>
      </c>
      <c r="M279" s="43">
        <f t="shared" si="40"/>
        <v>38.301689482547246</v>
      </c>
      <c r="N279" s="199">
        <f>'J) Plafonnement effort'!G278+'J) Plafonnement effort'!H278-'K) Plafonnement aide'!I278</f>
        <v>37.836874305367878</v>
      </c>
      <c r="O279" s="199">
        <f t="shared" si="41"/>
        <v>76.138563787915132</v>
      </c>
      <c r="P279" s="59">
        <f t="shared" si="42"/>
        <v>0</v>
      </c>
      <c r="Q279" s="75">
        <f t="shared" si="46"/>
        <v>0</v>
      </c>
      <c r="R279" s="230">
        <f t="shared" si="43"/>
        <v>76.138563787915132</v>
      </c>
      <c r="S279" s="199">
        <f t="shared" si="44"/>
        <v>6.1385637879151318</v>
      </c>
      <c r="T279" s="229"/>
    </row>
    <row r="280" spans="1:20" x14ac:dyDescent="0.25">
      <c r="A280" s="61">
        <f>'A) Base RI'!A281</f>
        <v>5871</v>
      </c>
      <c r="B280" s="73" t="str">
        <f>'A) Base RI'!B281</f>
        <v>L'Abbaye</v>
      </c>
      <c r="C280" s="238">
        <v>1103208.511235964</v>
      </c>
      <c r="D280" s="239">
        <v>823285.67960793199</v>
      </c>
      <c r="E280" s="240">
        <v>0</v>
      </c>
      <c r="F280" s="239">
        <v>0</v>
      </c>
      <c r="G280" s="239">
        <v>0</v>
      </c>
      <c r="H280" s="241">
        <f t="shared" si="39"/>
        <v>1926494.190843896</v>
      </c>
      <c r="I280" s="311">
        <v>60910.131722525337</v>
      </c>
      <c r="J280" s="135">
        <f>'B) D RI'!U281</f>
        <v>49270.614706263776</v>
      </c>
      <c r="K280" s="92">
        <f t="shared" si="45"/>
        <v>31.62846863671211</v>
      </c>
      <c r="L280" s="43">
        <f>'B) D RI'!S281</f>
        <v>77.11</v>
      </c>
      <c r="M280" s="43">
        <f t="shared" si="40"/>
        <v>45.481531363287885</v>
      </c>
      <c r="N280" s="199">
        <f>'J) Plafonnement effort'!G279+'J) Plafonnement effort'!H279-'K) Plafonnement aide'!I279</f>
        <v>20.770088800910347</v>
      </c>
      <c r="O280" s="199">
        <f t="shared" si="41"/>
        <v>66.251620164198229</v>
      </c>
      <c r="P280" s="59">
        <f t="shared" si="42"/>
        <v>0</v>
      </c>
      <c r="Q280" s="75">
        <f t="shared" si="46"/>
        <v>0</v>
      </c>
      <c r="R280" s="230">
        <f t="shared" si="43"/>
        <v>66.251620164198229</v>
      </c>
      <c r="S280" s="199">
        <f t="shared" si="44"/>
        <v>-10.85837983580177</v>
      </c>
      <c r="T280" s="229"/>
    </row>
    <row r="281" spans="1:20" x14ac:dyDescent="0.25">
      <c r="A281" s="61">
        <f>'A) Base RI'!A282</f>
        <v>5872</v>
      </c>
      <c r="B281" s="73" t="str">
        <f>'A) Base RI'!B282</f>
        <v>Le Chenit</v>
      </c>
      <c r="C281" s="238">
        <v>10368188.442714408</v>
      </c>
      <c r="D281" s="239">
        <v>4405818</v>
      </c>
      <c r="E281" s="240">
        <v>0</v>
      </c>
      <c r="F281" s="239">
        <v>0</v>
      </c>
      <c r="G281" s="239">
        <v>0</v>
      </c>
      <c r="H281" s="241">
        <f t="shared" si="39"/>
        <v>14774006.442714408</v>
      </c>
      <c r="I281" s="311">
        <v>373754.29606892174</v>
      </c>
      <c r="J281" s="135">
        <f>'B) D RI'!U282</f>
        <v>312565.48082674423</v>
      </c>
      <c r="K281" s="92">
        <f t="shared" si="45"/>
        <v>39.528659865865528</v>
      </c>
      <c r="L281" s="43">
        <f>'B) D RI'!S282</f>
        <v>69.739999999999995</v>
      </c>
      <c r="M281" s="43">
        <f t="shared" si="40"/>
        <v>30.211340134134467</v>
      </c>
      <c r="N281" s="199">
        <f>'J) Plafonnement effort'!G280+'J) Plafonnement effort'!H280-'K) Plafonnement aide'!I280</f>
        <v>31.733866477467004</v>
      </c>
      <c r="O281" s="199">
        <f t="shared" si="41"/>
        <v>61.945206611601471</v>
      </c>
      <c r="P281" s="59">
        <f t="shared" si="42"/>
        <v>0</v>
      </c>
      <c r="Q281" s="75">
        <f t="shared" si="46"/>
        <v>0</v>
      </c>
      <c r="R281" s="230">
        <f t="shared" si="43"/>
        <v>61.945206611601471</v>
      </c>
      <c r="S281" s="199">
        <f t="shared" si="44"/>
        <v>-7.7947933883985243</v>
      </c>
      <c r="T281" s="229"/>
    </row>
    <row r="282" spans="1:20" x14ac:dyDescent="0.25">
      <c r="A282" s="61">
        <f>'A) Base RI'!A283</f>
        <v>5873</v>
      </c>
      <c r="B282" s="73" t="str">
        <f>'A) Base RI'!B283</f>
        <v>Le Lieu</v>
      </c>
      <c r="C282" s="238">
        <v>878984.79205586412</v>
      </c>
      <c r="D282" s="239">
        <v>641113</v>
      </c>
      <c r="E282" s="240">
        <v>0</v>
      </c>
      <c r="F282" s="239">
        <v>0</v>
      </c>
      <c r="G282" s="239">
        <v>0</v>
      </c>
      <c r="H282" s="241">
        <f t="shared" si="39"/>
        <v>1520097.7920558641</v>
      </c>
      <c r="I282" s="311">
        <v>39370.007846153843</v>
      </c>
      <c r="J282" s="135">
        <f>'B) D RI'!U283</f>
        <v>35906.558461538458</v>
      </c>
      <c r="K282" s="92">
        <f t="shared" si="45"/>
        <v>38.610553444539541</v>
      </c>
      <c r="L282" s="43">
        <f>'B) D RI'!S283</f>
        <v>65</v>
      </c>
      <c r="M282" s="43">
        <f t="shared" si="40"/>
        <v>26.389446555460459</v>
      </c>
      <c r="N282" s="199">
        <f>'J) Plafonnement effort'!G281+'J) Plafonnement effort'!H281-'K) Plafonnement aide'!I281</f>
        <v>18.673680491113132</v>
      </c>
      <c r="O282" s="199">
        <f t="shared" si="41"/>
        <v>45.063127046573591</v>
      </c>
      <c r="P282" s="59">
        <f t="shared" si="42"/>
        <v>0</v>
      </c>
      <c r="Q282" s="75">
        <f t="shared" si="46"/>
        <v>0</v>
      </c>
      <c r="R282" s="230">
        <f t="shared" si="43"/>
        <v>45.063127046573591</v>
      </c>
      <c r="S282" s="199">
        <f t="shared" si="44"/>
        <v>-19.936872953426409</v>
      </c>
      <c r="T282" s="229"/>
    </row>
    <row r="283" spans="1:20" x14ac:dyDescent="0.25">
      <c r="A283" s="61">
        <f>'A) Base RI'!A284</f>
        <v>5881</v>
      </c>
      <c r="B283" s="73" t="str">
        <f>'A) Base RI'!B284</f>
        <v>Blonay</v>
      </c>
      <c r="C283" s="238">
        <v>5263693.8270304538</v>
      </c>
      <c r="D283" s="239">
        <v>3660164</v>
      </c>
      <c r="E283" s="240">
        <v>0</v>
      </c>
      <c r="F283" s="239">
        <v>0</v>
      </c>
      <c r="G283" s="239">
        <v>0</v>
      </c>
      <c r="H283" s="241">
        <f t="shared" si="39"/>
        <v>8923857.8270304538</v>
      </c>
      <c r="I283" s="311">
        <v>331887.5422222222</v>
      </c>
      <c r="J283" s="135">
        <f>'B) D RI'!U284</f>
        <v>350302.66257142869</v>
      </c>
      <c r="K283" s="92">
        <f t="shared" si="45"/>
        <v>26.888197632483894</v>
      </c>
      <c r="L283" s="43">
        <f>'B) D RI'!S284</f>
        <v>70</v>
      </c>
      <c r="M283" s="43">
        <f t="shared" si="40"/>
        <v>43.111802367516106</v>
      </c>
      <c r="N283" s="199">
        <f>'J) Plafonnement effort'!G282+'J) Plafonnement effort'!H282-'K) Plafonnement aide'!I282</f>
        <v>27.003532939673775</v>
      </c>
      <c r="O283" s="199">
        <f t="shared" si="41"/>
        <v>70.115335307189881</v>
      </c>
      <c r="P283" s="59">
        <f t="shared" si="42"/>
        <v>0</v>
      </c>
      <c r="Q283" s="75">
        <f t="shared" si="46"/>
        <v>0</v>
      </c>
      <c r="R283" s="230">
        <f t="shared" si="43"/>
        <v>70.115335307189881</v>
      </c>
      <c r="S283" s="199">
        <f t="shared" si="44"/>
        <v>0.11533530718988061</v>
      </c>
      <c r="T283" s="229"/>
    </row>
    <row r="284" spans="1:20" x14ac:dyDescent="0.25">
      <c r="A284" s="61">
        <f>'A) Base RI'!A285</f>
        <v>5882</v>
      </c>
      <c r="B284" s="73" t="str">
        <f>'A) Base RI'!B285</f>
        <v>Chardonne</v>
      </c>
      <c r="C284" s="238">
        <v>3787810.1357245212</v>
      </c>
      <c r="D284" s="239">
        <v>2205362</v>
      </c>
      <c r="E284" s="240">
        <v>0</v>
      </c>
      <c r="F284" s="239">
        <v>0</v>
      </c>
      <c r="G284" s="239">
        <v>0</v>
      </c>
      <c r="H284" s="241">
        <f t="shared" si="39"/>
        <v>5993172.1357245212</v>
      </c>
      <c r="I284" s="311">
        <v>161225.34606060604</v>
      </c>
      <c r="J284" s="135">
        <f>'B) D RI'!U285</f>
        <v>162874.24803030302</v>
      </c>
      <c r="K284" s="92">
        <f t="shared" si="45"/>
        <v>37.172642404945648</v>
      </c>
      <c r="L284" s="43">
        <f>'B) D RI'!S285</f>
        <v>66</v>
      </c>
      <c r="M284" s="43">
        <f t="shared" si="40"/>
        <v>28.827357595054352</v>
      </c>
      <c r="N284" s="199">
        <f>'J) Plafonnement effort'!G283+'J) Plafonnement effort'!H283-'K) Plafonnement aide'!I283</f>
        <v>31.296352518779301</v>
      </c>
      <c r="O284" s="199">
        <f t="shared" si="41"/>
        <v>60.123710113833653</v>
      </c>
      <c r="P284" s="59">
        <f t="shared" si="42"/>
        <v>0</v>
      </c>
      <c r="Q284" s="75">
        <f t="shared" si="46"/>
        <v>0</v>
      </c>
      <c r="R284" s="230">
        <f t="shared" si="43"/>
        <v>60.123710113833653</v>
      </c>
      <c r="S284" s="199">
        <f t="shared" si="44"/>
        <v>-5.8762898861663473</v>
      </c>
      <c r="T284" s="229"/>
    </row>
    <row r="285" spans="1:20" x14ac:dyDescent="0.25">
      <c r="A285" s="61">
        <f>'A) Base RI'!A286</f>
        <v>5883</v>
      </c>
      <c r="B285" s="73" t="str">
        <f>'A) Base RI'!B286</f>
        <v>Corseaux</v>
      </c>
      <c r="C285" s="238">
        <v>3355150.007777025</v>
      </c>
      <c r="D285" s="239">
        <v>2153289</v>
      </c>
      <c r="E285" s="240">
        <v>0</v>
      </c>
      <c r="F285" s="239">
        <v>0</v>
      </c>
      <c r="G285" s="239">
        <v>0</v>
      </c>
      <c r="H285" s="241">
        <f t="shared" si="39"/>
        <v>5508439.007777025</v>
      </c>
      <c r="I285" s="311">
        <v>159212.38328124999</v>
      </c>
      <c r="J285" s="135">
        <f>'B) D RI'!U286</f>
        <v>144418.05406250001</v>
      </c>
      <c r="K285" s="92">
        <f t="shared" si="45"/>
        <v>34.598056346197154</v>
      </c>
      <c r="L285" s="43">
        <f>'B) D RI'!S286</f>
        <v>64</v>
      </c>
      <c r="M285" s="43">
        <f t="shared" si="40"/>
        <v>29.401943653802846</v>
      </c>
      <c r="N285" s="199">
        <f>'J) Plafonnement effort'!G284+'J) Plafonnement effort'!H284-'K) Plafonnement aide'!I284</f>
        <v>36.112428595092076</v>
      </c>
      <c r="O285" s="199">
        <f t="shared" si="41"/>
        <v>65.514372248894915</v>
      </c>
      <c r="P285" s="59">
        <f t="shared" si="42"/>
        <v>0</v>
      </c>
      <c r="Q285" s="75">
        <f t="shared" si="46"/>
        <v>0</v>
      </c>
      <c r="R285" s="230">
        <f t="shared" si="43"/>
        <v>65.514372248894915</v>
      </c>
      <c r="S285" s="199">
        <f t="shared" si="44"/>
        <v>1.5143722488949152</v>
      </c>
      <c r="T285" s="229"/>
    </row>
    <row r="286" spans="1:20" x14ac:dyDescent="0.25">
      <c r="A286" s="61">
        <f>'A) Base RI'!A287</f>
        <v>5884</v>
      </c>
      <c r="B286" s="73" t="str">
        <f>'A) Base RI'!B287</f>
        <v>Corsier-sur-Vevey</v>
      </c>
      <c r="C286" s="238">
        <v>2556832.156379119</v>
      </c>
      <c r="D286" s="239">
        <v>2110986</v>
      </c>
      <c r="E286" s="240">
        <v>0</v>
      </c>
      <c r="F286" s="239">
        <v>0</v>
      </c>
      <c r="G286" s="239">
        <v>0</v>
      </c>
      <c r="H286" s="241">
        <f t="shared" si="39"/>
        <v>4667818.1563791186</v>
      </c>
      <c r="I286" s="311">
        <v>168349.34338383839</v>
      </c>
      <c r="J286" s="135">
        <f>'B) D RI'!U287</f>
        <v>132379.93277777778</v>
      </c>
      <c r="K286" s="92">
        <f t="shared" si="45"/>
        <v>27.726975719391081</v>
      </c>
      <c r="L286" s="43">
        <f>'B) D RI'!S287</f>
        <v>66</v>
      </c>
      <c r="M286" s="43">
        <f t="shared" si="40"/>
        <v>38.273024280608922</v>
      </c>
      <c r="N286" s="199">
        <f>'J) Plafonnement effort'!G285+'J) Plafonnement effort'!H285-'K) Plafonnement aide'!I285</f>
        <v>20.544030280477852</v>
      </c>
      <c r="O286" s="199">
        <f t="shared" si="41"/>
        <v>58.817054561086778</v>
      </c>
      <c r="P286" s="59">
        <f t="shared" si="42"/>
        <v>0</v>
      </c>
      <c r="Q286" s="75">
        <f t="shared" si="46"/>
        <v>0</v>
      </c>
      <c r="R286" s="230">
        <f t="shared" si="43"/>
        <v>58.817054561086778</v>
      </c>
      <c r="S286" s="199">
        <f t="shared" si="44"/>
        <v>-7.1829454389132223</v>
      </c>
      <c r="T286" s="229"/>
    </row>
    <row r="287" spans="1:20" x14ac:dyDescent="0.25">
      <c r="A287" s="61">
        <f>'A) Base RI'!A288</f>
        <v>5885</v>
      </c>
      <c r="B287" s="73" t="str">
        <f>'A) Base RI'!B288</f>
        <v>Jongny</v>
      </c>
      <c r="C287" s="238">
        <v>1231493.4184448835</v>
      </c>
      <c r="D287" s="239">
        <v>1140285</v>
      </c>
      <c r="E287" s="240">
        <v>0</v>
      </c>
      <c r="F287" s="239">
        <v>0</v>
      </c>
      <c r="G287" s="239">
        <v>0</v>
      </c>
      <c r="H287" s="241">
        <f t="shared" si="39"/>
        <v>2371778.4184448835</v>
      </c>
      <c r="I287" s="311">
        <v>76199.638309178743</v>
      </c>
      <c r="J287" s="135">
        <f>'B) D RI'!U288</f>
        <v>197476.07983091791</v>
      </c>
      <c r="K287" s="92">
        <f t="shared" si="45"/>
        <v>31.125848771373857</v>
      </c>
      <c r="L287" s="43">
        <f>'B) D RI'!S288</f>
        <v>69</v>
      </c>
      <c r="M287" s="43">
        <f t="shared" si="40"/>
        <v>37.874151228626147</v>
      </c>
      <c r="N287" s="199">
        <f>'J) Plafonnement effort'!G286+'J) Plafonnement effort'!H286-'K) Plafonnement aide'!I286</f>
        <v>47.697938806435282</v>
      </c>
      <c r="O287" s="199">
        <f t="shared" si="41"/>
        <v>85.572090035061422</v>
      </c>
      <c r="P287" s="59">
        <f t="shared" si="42"/>
        <v>0</v>
      </c>
      <c r="Q287" s="75">
        <f t="shared" si="46"/>
        <v>0</v>
      </c>
      <c r="R287" s="230">
        <f t="shared" si="43"/>
        <v>85.572090035061422</v>
      </c>
      <c r="S287" s="199">
        <f t="shared" si="44"/>
        <v>16.572090035061422</v>
      </c>
      <c r="T287" s="229"/>
    </row>
    <row r="288" spans="1:20" x14ac:dyDescent="0.25">
      <c r="A288" s="61">
        <f>'A) Base RI'!A289</f>
        <v>5886</v>
      </c>
      <c r="B288" s="73" t="str">
        <f>'A) Base RI'!B289</f>
        <v>Montreux</v>
      </c>
      <c r="C288" s="238">
        <v>20417745.730272055</v>
      </c>
      <c r="D288" s="239">
        <v>-1164447.8400961682</v>
      </c>
      <c r="E288" s="240">
        <v>0</v>
      </c>
      <c r="F288" s="239">
        <v>0</v>
      </c>
      <c r="G288" s="239">
        <v>0</v>
      </c>
      <c r="H288" s="241">
        <f t="shared" si="39"/>
        <v>19253297.890175886</v>
      </c>
      <c r="I288" s="311">
        <v>1119854.9833838383</v>
      </c>
      <c r="J288" s="135">
        <f>'B) D RI'!U289</f>
        <v>1113145.3400000003</v>
      </c>
      <c r="K288" s="92">
        <f t="shared" si="45"/>
        <v>17.192670636691432</v>
      </c>
      <c r="L288" s="43">
        <f>'B) D RI'!S289</f>
        <v>65</v>
      </c>
      <c r="M288" s="43">
        <f t="shared" si="40"/>
        <v>47.807329363308568</v>
      </c>
      <c r="N288" s="199">
        <f>'J) Plafonnement effort'!G287+'J) Plafonnement effort'!H287-'K) Plafonnement aide'!I287</f>
        <v>15.34865540275127</v>
      </c>
      <c r="O288" s="199">
        <f t="shared" si="41"/>
        <v>63.155984766059838</v>
      </c>
      <c r="P288" s="59">
        <f t="shared" si="42"/>
        <v>0</v>
      </c>
      <c r="Q288" s="75">
        <f t="shared" si="46"/>
        <v>0</v>
      </c>
      <c r="R288" s="230">
        <f t="shared" si="43"/>
        <v>63.155984766059838</v>
      </c>
      <c r="S288" s="199">
        <f t="shared" si="44"/>
        <v>-1.8440152339401621</v>
      </c>
      <c r="T288" s="229"/>
    </row>
    <row r="289" spans="1:20" x14ac:dyDescent="0.25">
      <c r="A289" s="61">
        <f>'A) Base RI'!A290</f>
        <v>5888</v>
      </c>
      <c r="B289" s="73" t="str">
        <f>'A) Base RI'!B290</f>
        <v>Saint-Légier-La Chiésaz</v>
      </c>
      <c r="C289" s="238">
        <v>6910413.5461720824</v>
      </c>
      <c r="D289" s="239">
        <v>4233095</v>
      </c>
      <c r="E289" s="240">
        <v>0</v>
      </c>
      <c r="F289" s="239">
        <v>0</v>
      </c>
      <c r="G289" s="239">
        <v>0</v>
      </c>
      <c r="H289" s="241">
        <f t="shared" si="39"/>
        <v>11143508.546172082</v>
      </c>
      <c r="I289" s="311">
        <v>357526.04545454547</v>
      </c>
      <c r="J289" s="135">
        <f>'B) D RI'!U290</f>
        <v>313348.84833333333</v>
      </c>
      <c r="K289" s="92">
        <f t="shared" si="45"/>
        <v>31.168382521627578</v>
      </c>
      <c r="L289" s="43">
        <f>'B) D RI'!S290</f>
        <v>66</v>
      </c>
      <c r="M289" s="43">
        <f t="shared" si="40"/>
        <v>34.831617478372422</v>
      </c>
      <c r="N289" s="199">
        <f>'J) Plafonnement effort'!G288+'J) Plafonnement effort'!H288-'K) Plafonnement aide'!I288</f>
        <v>25.239876542419228</v>
      </c>
      <c r="O289" s="199">
        <f t="shared" si="41"/>
        <v>60.071494020791647</v>
      </c>
      <c r="P289" s="59">
        <f t="shared" si="42"/>
        <v>0</v>
      </c>
      <c r="Q289" s="75">
        <f t="shared" si="46"/>
        <v>0</v>
      </c>
      <c r="R289" s="230">
        <f t="shared" si="43"/>
        <v>60.071494020791647</v>
      </c>
      <c r="S289" s="199">
        <f t="shared" si="44"/>
        <v>-5.928505979208353</v>
      </c>
      <c r="T289" s="229"/>
    </row>
    <row r="290" spans="1:20" x14ac:dyDescent="0.25">
      <c r="A290" s="61">
        <f>'A) Base RI'!A291</f>
        <v>5889</v>
      </c>
      <c r="B290" s="73" t="str">
        <f>'A) Base RI'!B291</f>
        <v>La Tour-de-Peilz</v>
      </c>
      <c r="C290" s="238">
        <v>9451756.8594415411</v>
      </c>
      <c r="D290" s="239">
        <v>4870509</v>
      </c>
      <c r="E290" s="240">
        <v>0</v>
      </c>
      <c r="F290" s="239">
        <v>0</v>
      </c>
      <c r="G290" s="239">
        <v>0</v>
      </c>
      <c r="H290" s="241">
        <f t="shared" si="39"/>
        <v>14322265.859441541</v>
      </c>
      <c r="I290" s="311">
        <v>593029.02942708356</v>
      </c>
      <c r="J290" s="135">
        <f>'B) D RI'!U291</f>
        <v>590141.45856770838</v>
      </c>
      <c r="K290" s="92">
        <f t="shared" si="45"/>
        <v>24.151036709413816</v>
      </c>
      <c r="L290" s="43">
        <f>'B) D RI'!S291</f>
        <v>64</v>
      </c>
      <c r="M290" s="43">
        <f t="shared" si="40"/>
        <v>39.848963290586184</v>
      </c>
      <c r="N290" s="199">
        <f>'J) Plafonnement effort'!G289+'J) Plafonnement effort'!H289-'K) Plafonnement aide'!I289</f>
        <v>24.192929477216037</v>
      </c>
      <c r="O290" s="199">
        <f t="shared" si="41"/>
        <v>64.041892767802224</v>
      </c>
      <c r="P290" s="59">
        <f t="shared" si="42"/>
        <v>0</v>
      </c>
      <c r="Q290" s="75">
        <f t="shared" si="46"/>
        <v>0</v>
      </c>
      <c r="R290" s="230">
        <f t="shared" si="43"/>
        <v>64.041892767802224</v>
      </c>
      <c r="S290" s="199">
        <f t="shared" si="44"/>
        <v>4.1892767802224284E-2</v>
      </c>
      <c r="T290" s="229"/>
    </row>
    <row r="291" spans="1:20" x14ac:dyDescent="0.25">
      <c r="A291" s="61">
        <f>'A) Base RI'!A292</f>
        <v>5890</v>
      </c>
      <c r="B291" s="73" t="str">
        <f>'A) Base RI'!B292</f>
        <v>Vevey</v>
      </c>
      <c r="C291" s="238">
        <v>14675123.468409808</v>
      </c>
      <c r="D291" s="239">
        <v>3202896</v>
      </c>
      <c r="E291" s="240">
        <v>0</v>
      </c>
      <c r="F291" s="239">
        <v>0</v>
      </c>
      <c r="G291" s="239">
        <v>0</v>
      </c>
      <c r="H291" s="241">
        <f t="shared" si="39"/>
        <v>17878019.468409806</v>
      </c>
      <c r="I291" s="311">
        <v>920050.18059360737</v>
      </c>
      <c r="J291" s="135">
        <f>'B) D RI'!U292</f>
        <v>922155.6933561645</v>
      </c>
      <c r="K291" s="92">
        <f t="shared" si="45"/>
        <v>19.431569979014714</v>
      </c>
      <c r="L291" s="43">
        <f>'B) D RI'!S292</f>
        <v>73</v>
      </c>
      <c r="M291" s="43">
        <f t="shared" si="40"/>
        <v>53.568430020985289</v>
      </c>
      <c r="N291" s="199">
        <f>'J) Plafonnement effort'!G290+'J) Plafonnement effort'!H290-'K) Plafonnement aide'!I290</f>
        <v>19.166846943465433</v>
      </c>
      <c r="O291" s="199">
        <f t="shared" si="41"/>
        <v>72.735276964450719</v>
      </c>
      <c r="P291" s="59">
        <f t="shared" si="42"/>
        <v>0</v>
      </c>
      <c r="Q291" s="75">
        <f t="shared" si="46"/>
        <v>0</v>
      </c>
      <c r="R291" s="230">
        <f t="shared" si="43"/>
        <v>72.735276964450719</v>
      </c>
      <c r="S291" s="199">
        <f t="shared" si="44"/>
        <v>-0.26472303554928089</v>
      </c>
      <c r="T291" s="229"/>
    </row>
    <row r="292" spans="1:20" x14ac:dyDescent="0.25">
      <c r="A292" s="61">
        <f>'A) Base RI'!A293</f>
        <v>5891</v>
      </c>
      <c r="B292" s="73" t="str">
        <f>'A) Base RI'!B293</f>
        <v>Veytaux</v>
      </c>
      <c r="C292" s="238">
        <v>811705.10172576539</v>
      </c>
      <c r="D292" s="239">
        <v>610235</v>
      </c>
      <c r="E292" s="240">
        <v>0</v>
      </c>
      <c r="F292" s="239">
        <v>0</v>
      </c>
      <c r="G292" s="239">
        <v>0</v>
      </c>
      <c r="H292" s="241">
        <f t="shared" si="39"/>
        <v>1421940.1017257655</v>
      </c>
      <c r="I292" s="311">
        <v>37637.543719806752</v>
      </c>
      <c r="J292" s="135">
        <f>'B) D RI'!U293</f>
        <v>37259.444879227056</v>
      </c>
      <c r="K292" s="92">
        <f t="shared" si="45"/>
        <v>37.779832613717289</v>
      </c>
      <c r="L292" s="43">
        <f>'B) D RI'!S293</f>
        <v>69</v>
      </c>
      <c r="M292" s="43">
        <f t="shared" si="40"/>
        <v>31.220167386282711</v>
      </c>
      <c r="N292" s="199">
        <f>'J) Plafonnement effort'!G291+'J) Plafonnement effort'!H291-'K) Plafonnement aide'!I291</f>
        <v>24.871849988918036</v>
      </c>
      <c r="O292" s="199">
        <f t="shared" si="41"/>
        <v>56.092017375200747</v>
      </c>
      <c r="P292" s="59">
        <f t="shared" si="42"/>
        <v>0</v>
      </c>
      <c r="Q292" s="75">
        <f t="shared" si="46"/>
        <v>0</v>
      </c>
      <c r="R292" s="230">
        <f t="shared" si="43"/>
        <v>56.092017375200747</v>
      </c>
      <c r="S292" s="199">
        <f t="shared" si="44"/>
        <v>-12.907982624799253</v>
      </c>
      <c r="T292" s="229"/>
    </row>
    <row r="293" spans="1:20" x14ac:dyDescent="0.25">
      <c r="A293" s="61">
        <f>'A) Base RI'!A294</f>
        <v>5902</v>
      </c>
      <c r="B293" s="73" t="str">
        <f>'A) Base RI'!B294</f>
        <v>Belmont-sur-Yverdon</v>
      </c>
      <c r="C293" s="238">
        <v>164268.1694031099</v>
      </c>
      <c r="D293" s="239">
        <v>-31349.893119599961</v>
      </c>
      <c r="E293" s="240">
        <v>0</v>
      </c>
      <c r="F293" s="239">
        <v>0</v>
      </c>
      <c r="G293" s="239">
        <v>0</v>
      </c>
      <c r="H293" s="241">
        <f t="shared" si="39"/>
        <v>132918.27628350994</v>
      </c>
      <c r="I293" s="311">
        <v>8809.0856578947369</v>
      </c>
      <c r="J293" s="135">
        <f>'B) D RI'!U294</f>
        <v>8642.2247368421067</v>
      </c>
      <c r="K293" s="92">
        <f t="shared" si="45"/>
        <v>15.088771008190625</v>
      </c>
      <c r="L293" s="43">
        <f>'B) D RI'!S294</f>
        <v>76</v>
      </c>
      <c r="M293" s="43">
        <f t="shared" si="40"/>
        <v>60.911228991809374</v>
      </c>
      <c r="N293" s="199">
        <f>'J) Plafonnement effort'!G292+'J) Plafonnement effort'!H292-'K) Plafonnement aide'!I292</f>
        <v>-2.4268691058054142</v>
      </c>
      <c r="O293" s="199">
        <f t="shared" si="41"/>
        <v>58.484359886003958</v>
      </c>
      <c r="P293" s="59">
        <f t="shared" si="42"/>
        <v>0</v>
      </c>
      <c r="Q293" s="75">
        <f t="shared" si="46"/>
        <v>0</v>
      </c>
      <c r="R293" s="230">
        <f t="shared" si="43"/>
        <v>58.484359886003958</v>
      </c>
      <c r="S293" s="199">
        <f t="shared" si="44"/>
        <v>-17.515640113996042</v>
      </c>
      <c r="T293" s="229"/>
    </row>
    <row r="294" spans="1:20" x14ac:dyDescent="0.25">
      <c r="A294" s="61">
        <f>'A) Base RI'!A295</f>
        <v>5903</v>
      </c>
      <c r="B294" s="73" t="str">
        <f>'A) Base RI'!B295</f>
        <v>Bioley-Magnoux</v>
      </c>
      <c r="C294" s="238">
        <v>90370.890803925824</v>
      </c>
      <c r="D294" s="239">
        <v>37700.135616093467</v>
      </c>
      <c r="E294" s="240">
        <v>0</v>
      </c>
      <c r="F294" s="239">
        <v>0</v>
      </c>
      <c r="G294" s="239">
        <v>0</v>
      </c>
      <c r="H294" s="241">
        <f t="shared" si="39"/>
        <v>128071.02642001929</v>
      </c>
      <c r="I294" s="311">
        <v>6088.8460038610028</v>
      </c>
      <c r="J294" s="135">
        <f>'B) D RI'!U295</f>
        <v>6046.5271621621623</v>
      </c>
      <c r="K294" s="92">
        <f t="shared" si="45"/>
        <v>21.033710877037795</v>
      </c>
      <c r="L294" s="43">
        <f>'B) D RI'!S295</f>
        <v>74</v>
      </c>
      <c r="M294" s="43">
        <f t="shared" si="40"/>
        <v>52.966289122962209</v>
      </c>
      <c r="N294" s="199">
        <f>'J) Plafonnement effort'!G293+'J) Plafonnement effort'!H293-'K) Plafonnement aide'!I293</f>
        <v>0.5399182802250877</v>
      </c>
      <c r="O294" s="199">
        <f t="shared" si="41"/>
        <v>53.506207403187297</v>
      </c>
      <c r="P294" s="59">
        <f t="shared" si="42"/>
        <v>0</v>
      </c>
      <c r="Q294" s="75">
        <f t="shared" si="46"/>
        <v>0</v>
      </c>
      <c r="R294" s="230">
        <f t="shared" si="43"/>
        <v>53.506207403187297</v>
      </c>
      <c r="S294" s="199">
        <f t="shared" si="44"/>
        <v>-20.493792596812703</v>
      </c>
      <c r="T294" s="229"/>
    </row>
    <row r="295" spans="1:20" x14ac:dyDescent="0.25">
      <c r="A295" s="61">
        <f>'A) Base RI'!A296</f>
        <v>5904</v>
      </c>
      <c r="B295" s="73" t="str">
        <f>'A) Base RI'!B296</f>
        <v>Chamblon</v>
      </c>
      <c r="C295" s="238">
        <v>321844.65655669023</v>
      </c>
      <c r="D295" s="239">
        <v>265255.34306888317</v>
      </c>
      <c r="E295" s="240">
        <v>0</v>
      </c>
      <c r="F295" s="239">
        <v>0</v>
      </c>
      <c r="G295" s="239">
        <v>0</v>
      </c>
      <c r="H295" s="241">
        <f t="shared" si="39"/>
        <v>587099.9996255734</v>
      </c>
      <c r="I295" s="311">
        <v>21622.015909090911</v>
      </c>
      <c r="J295" s="135">
        <f>'B) D RI'!U296</f>
        <v>20170.434545454544</v>
      </c>
      <c r="K295" s="92">
        <f t="shared" si="45"/>
        <v>27.152879828320216</v>
      </c>
      <c r="L295" s="43">
        <f>'B) D RI'!S296</f>
        <v>66</v>
      </c>
      <c r="M295" s="43">
        <f t="shared" si="40"/>
        <v>38.847120171679784</v>
      </c>
      <c r="N295" s="199">
        <f>'J) Plafonnement effort'!G294+'J) Plafonnement effort'!H294-'K) Plafonnement aide'!I294</f>
        <v>29.865902393767595</v>
      </c>
      <c r="O295" s="199">
        <f t="shared" si="41"/>
        <v>68.713022565447375</v>
      </c>
      <c r="P295" s="59">
        <f t="shared" si="42"/>
        <v>0</v>
      </c>
      <c r="Q295" s="75">
        <f t="shared" si="46"/>
        <v>0</v>
      </c>
      <c r="R295" s="230">
        <f t="shared" si="43"/>
        <v>68.713022565447375</v>
      </c>
      <c r="S295" s="199">
        <f t="shared" si="44"/>
        <v>2.7130225654473747</v>
      </c>
      <c r="T295" s="229"/>
    </row>
    <row r="296" spans="1:20" x14ac:dyDescent="0.25">
      <c r="A296" s="61">
        <f>'A) Base RI'!A297</f>
        <v>5905</v>
      </c>
      <c r="B296" s="73" t="str">
        <f>'A) Base RI'!B297</f>
        <v>Champvent</v>
      </c>
      <c r="C296" s="238">
        <v>335632.31313241948</v>
      </c>
      <c r="D296" s="239">
        <v>193363.26171668686</v>
      </c>
      <c r="E296" s="240">
        <v>0</v>
      </c>
      <c r="F296" s="239">
        <v>0</v>
      </c>
      <c r="G296" s="239">
        <v>0</v>
      </c>
      <c r="H296" s="241">
        <f t="shared" si="39"/>
        <v>528995.57484910637</v>
      </c>
      <c r="I296" s="311">
        <v>20315.716338028171</v>
      </c>
      <c r="J296" s="135">
        <f>'B) D RI'!U297</f>
        <v>18220.765633802814</v>
      </c>
      <c r="K296" s="92">
        <f t="shared" si="45"/>
        <v>26.038736023248212</v>
      </c>
      <c r="L296" s="43">
        <f>'B) D RI'!S297</f>
        <v>71</v>
      </c>
      <c r="M296" s="43">
        <f t="shared" si="40"/>
        <v>44.961263976751788</v>
      </c>
      <c r="N296" s="199">
        <f>'J) Plafonnement effort'!G295+'J) Plafonnement effort'!H295-'K) Plafonnement aide'!I295</f>
        <v>17.663072917403774</v>
      </c>
      <c r="O296" s="199">
        <f t="shared" si="41"/>
        <v>62.624336894155562</v>
      </c>
      <c r="P296" s="59">
        <f t="shared" si="42"/>
        <v>0</v>
      </c>
      <c r="Q296" s="75">
        <f t="shared" si="46"/>
        <v>0</v>
      </c>
      <c r="R296" s="230">
        <f t="shared" si="43"/>
        <v>62.624336894155562</v>
      </c>
      <c r="S296" s="199">
        <f t="shared" si="44"/>
        <v>-8.3756631058444384</v>
      </c>
      <c r="T296" s="229"/>
    </row>
    <row r="297" spans="1:20" x14ac:dyDescent="0.25">
      <c r="A297" s="61">
        <f>'A) Base RI'!A298</f>
        <v>5907</v>
      </c>
      <c r="B297" s="73" t="str">
        <f>'A) Base RI'!B298</f>
        <v>Chavannes-le-Chêne</v>
      </c>
      <c r="C297" s="238">
        <v>102470.04505988491</v>
      </c>
      <c r="D297" s="239">
        <v>-30132.899610656663</v>
      </c>
      <c r="E297" s="240">
        <v>0</v>
      </c>
      <c r="F297" s="239">
        <v>0</v>
      </c>
      <c r="G297" s="239">
        <v>0</v>
      </c>
      <c r="H297" s="241">
        <f t="shared" si="39"/>
        <v>72337.14544922825</v>
      </c>
      <c r="I297" s="311">
        <v>6770.541794871795</v>
      </c>
      <c r="J297" s="135">
        <f>'B) D RI'!U298</f>
        <v>6951.74782051282</v>
      </c>
      <c r="K297" s="92">
        <f t="shared" si="45"/>
        <v>10.684099979121095</v>
      </c>
      <c r="L297" s="43">
        <f>'B) D RI'!S298</f>
        <v>78</v>
      </c>
      <c r="M297" s="43">
        <f t="shared" si="40"/>
        <v>67.3159000208789</v>
      </c>
      <c r="N297" s="199">
        <f>'J) Plafonnement effort'!G296+'J) Plafonnement effort'!H296-'K) Plafonnement aide'!I296</f>
        <v>1.2081196294542043</v>
      </c>
      <c r="O297" s="199">
        <f t="shared" si="41"/>
        <v>68.524019650333102</v>
      </c>
      <c r="P297" s="59">
        <f t="shared" si="42"/>
        <v>0</v>
      </c>
      <c r="Q297" s="75">
        <f t="shared" si="46"/>
        <v>0</v>
      </c>
      <c r="R297" s="230">
        <f t="shared" si="43"/>
        <v>68.524019650333102</v>
      </c>
      <c r="S297" s="199">
        <f t="shared" si="44"/>
        <v>-9.475980349666898</v>
      </c>
      <c r="T297" s="229"/>
    </row>
    <row r="298" spans="1:20" x14ac:dyDescent="0.25">
      <c r="A298" s="61">
        <f>'A) Base RI'!A299</f>
        <v>5908</v>
      </c>
      <c r="B298" s="73" t="str">
        <f>'A) Base RI'!B299</f>
        <v>Chêne-Pâquier</v>
      </c>
      <c r="C298" s="238">
        <v>62826.423339407003</v>
      </c>
      <c r="D298" s="239">
        <v>-13298.488002948841</v>
      </c>
      <c r="E298" s="240">
        <v>0</v>
      </c>
      <c r="F298" s="239">
        <v>0</v>
      </c>
      <c r="G298" s="239">
        <v>0</v>
      </c>
      <c r="H298" s="241">
        <f t="shared" si="39"/>
        <v>49527.935336458162</v>
      </c>
      <c r="I298" s="311">
        <v>3326.5444303797472</v>
      </c>
      <c r="J298" s="135">
        <f>'B) D RI'!U299</f>
        <v>2899.0017721518989</v>
      </c>
      <c r="K298" s="92">
        <f t="shared" si="45"/>
        <v>14.888703990887089</v>
      </c>
      <c r="L298" s="43">
        <f>'B) D RI'!S299</f>
        <v>79</v>
      </c>
      <c r="M298" s="43">
        <f t="shared" si="40"/>
        <v>64.111296009112905</v>
      </c>
      <c r="N298" s="199">
        <f>'J) Plafonnement effort'!G297+'J) Plafonnement effort'!H297-'K) Plafonnement aide'!I297</f>
        <v>-1.1604288269602367</v>
      </c>
      <c r="O298" s="199">
        <f t="shared" si="41"/>
        <v>62.95086718215267</v>
      </c>
      <c r="P298" s="59">
        <f t="shared" si="42"/>
        <v>0</v>
      </c>
      <c r="Q298" s="75">
        <f t="shared" si="46"/>
        <v>0</v>
      </c>
      <c r="R298" s="230">
        <f t="shared" si="43"/>
        <v>62.95086718215267</v>
      </c>
      <c r="S298" s="199">
        <f t="shared" si="44"/>
        <v>-16.04913281784733</v>
      </c>
      <c r="T298" s="229"/>
    </row>
    <row r="299" spans="1:20" x14ac:dyDescent="0.25">
      <c r="A299" s="61">
        <f>'A) Base RI'!A300</f>
        <v>5909</v>
      </c>
      <c r="B299" s="73" t="str">
        <f>'A) Base RI'!B300</f>
        <v>Cheseaux-Noréaz</v>
      </c>
      <c r="C299" s="238">
        <v>582574.92751118075</v>
      </c>
      <c r="D299" s="239">
        <v>499848</v>
      </c>
      <c r="E299" s="240">
        <v>0</v>
      </c>
      <c r="F299" s="239">
        <v>0</v>
      </c>
      <c r="G299" s="239">
        <v>0</v>
      </c>
      <c r="H299" s="241">
        <f t="shared" si="39"/>
        <v>1082422.9275111808</v>
      </c>
      <c r="I299" s="311">
        <v>30671.321093750001</v>
      </c>
      <c r="J299" s="135">
        <f>'B) D RI'!U300</f>
        <v>22661.846714285719</v>
      </c>
      <c r="K299" s="92">
        <f t="shared" si="45"/>
        <v>35.291043519209538</v>
      </c>
      <c r="L299" s="43">
        <f>'B) D RI'!S300</f>
        <v>70</v>
      </c>
      <c r="M299" s="43">
        <f t="shared" si="40"/>
        <v>34.708956480790462</v>
      </c>
      <c r="N299" s="199">
        <f>'J) Plafonnement effort'!G298+'J) Plafonnement effort'!H298-'K) Plafonnement aide'!I298</f>
        <v>21.298977217561021</v>
      </c>
      <c r="O299" s="199">
        <f t="shared" si="41"/>
        <v>56.007933698351479</v>
      </c>
      <c r="P299" s="59">
        <f t="shared" si="42"/>
        <v>0</v>
      </c>
      <c r="Q299" s="75">
        <f t="shared" si="46"/>
        <v>0</v>
      </c>
      <c r="R299" s="230">
        <f t="shared" si="43"/>
        <v>56.007933698351479</v>
      </c>
      <c r="S299" s="199">
        <f t="shared" si="44"/>
        <v>-13.992066301648521</v>
      </c>
      <c r="T299" s="229"/>
    </row>
    <row r="300" spans="1:20" x14ac:dyDescent="0.25">
      <c r="A300" s="61">
        <f>'A) Base RI'!A301</f>
        <v>5910</v>
      </c>
      <c r="B300" s="73" t="str">
        <f>'A) Base RI'!B301</f>
        <v>Cronay</v>
      </c>
      <c r="C300" s="238">
        <v>147676.84264089272</v>
      </c>
      <c r="D300" s="239">
        <v>-25072.466210337006</v>
      </c>
      <c r="E300" s="240">
        <v>0</v>
      </c>
      <c r="F300" s="239">
        <v>0</v>
      </c>
      <c r="G300" s="239">
        <v>0</v>
      </c>
      <c r="H300" s="241">
        <f t="shared" si="39"/>
        <v>122604.37643055571</v>
      </c>
      <c r="I300" s="311">
        <v>9292.7018518518507</v>
      </c>
      <c r="J300" s="135">
        <f>'B) D RI'!U301</f>
        <v>10409.753209876544</v>
      </c>
      <c r="K300" s="92">
        <f t="shared" si="45"/>
        <v>13.193619938007922</v>
      </c>
      <c r="L300" s="43">
        <f>'B) D RI'!S301</f>
        <v>81</v>
      </c>
      <c r="M300" s="43">
        <f t="shared" ref="M300:M323" si="47">L300-K300</f>
        <v>67.806380061992073</v>
      </c>
      <c r="N300" s="199">
        <f>'J) Plafonnement effort'!G299+'J) Plafonnement effort'!H299-'K) Plafonnement aide'!I299</f>
        <v>11.331910489602933</v>
      </c>
      <c r="O300" s="199">
        <f t="shared" si="41"/>
        <v>79.138290551595006</v>
      </c>
      <c r="P300" s="59">
        <f t="shared" si="42"/>
        <v>0</v>
      </c>
      <c r="Q300" s="75">
        <f t="shared" si="46"/>
        <v>0</v>
      </c>
      <c r="R300" s="230">
        <f t="shared" si="43"/>
        <v>79.138290551595006</v>
      </c>
      <c r="S300" s="199">
        <f t="shared" si="44"/>
        <v>-1.8617094484049943</v>
      </c>
      <c r="T300" s="229"/>
    </row>
    <row r="301" spans="1:20" x14ac:dyDescent="0.25">
      <c r="A301" s="61">
        <f>'A) Base RI'!A302</f>
        <v>5911</v>
      </c>
      <c r="B301" s="73" t="str">
        <f>'A) Base RI'!B302</f>
        <v>Cuarny</v>
      </c>
      <c r="C301" s="238">
        <v>103402.46687573487</v>
      </c>
      <c r="D301" s="239">
        <v>49175.40567315543</v>
      </c>
      <c r="E301" s="240">
        <v>0</v>
      </c>
      <c r="F301" s="239">
        <v>0</v>
      </c>
      <c r="G301" s="239">
        <v>0</v>
      </c>
      <c r="H301" s="241">
        <f>SUM(C301:G301)</f>
        <v>152577.8725488903</v>
      </c>
      <c r="I301" s="311">
        <v>6815.3613580246902</v>
      </c>
      <c r="J301" s="135">
        <f>'B) D RI'!U302</f>
        <v>6783.6280246913584</v>
      </c>
      <c r="K301" s="92">
        <f t="shared" si="45"/>
        <v>22.387348892254813</v>
      </c>
      <c r="L301" s="43">
        <f>'B) D RI'!S302</f>
        <v>81</v>
      </c>
      <c r="M301" s="43">
        <f t="shared" si="47"/>
        <v>58.612651107745187</v>
      </c>
      <c r="N301" s="199">
        <f>'J) Plafonnement effort'!G300+'J) Plafonnement effort'!H300-'K) Plafonnement aide'!I300</f>
        <v>18.710711749758371</v>
      </c>
      <c r="O301" s="199">
        <f t="shared" si="41"/>
        <v>77.323362857503554</v>
      </c>
      <c r="P301" s="59">
        <f t="shared" si="42"/>
        <v>0</v>
      </c>
      <c r="Q301" s="75">
        <f t="shared" si="46"/>
        <v>0</v>
      </c>
      <c r="R301" s="230">
        <f t="shared" si="43"/>
        <v>77.323362857503554</v>
      </c>
      <c r="S301" s="199">
        <f t="shared" si="44"/>
        <v>-3.6766371424964461</v>
      </c>
      <c r="T301" s="229"/>
    </row>
    <row r="302" spans="1:20" x14ac:dyDescent="0.25">
      <c r="A302" s="61">
        <f>'A) Base RI'!A303</f>
        <v>5912</v>
      </c>
      <c r="B302" s="73" t="str">
        <f>'A) Base RI'!B303</f>
        <v>Démoret</v>
      </c>
      <c r="C302" s="238">
        <v>42399.818312341005</v>
      </c>
      <c r="D302" s="239">
        <v>-16867.302825252467</v>
      </c>
      <c r="E302" s="240">
        <v>0</v>
      </c>
      <c r="F302" s="239">
        <v>0</v>
      </c>
      <c r="G302" s="239">
        <v>0</v>
      </c>
      <c r="H302" s="241">
        <f t="shared" si="39"/>
        <v>25532.515487088538</v>
      </c>
      <c r="I302" s="311">
        <v>3149.2327160493824</v>
      </c>
      <c r="J302" s="135">
        <f>'B) D RI'!U303</f>
        <v>3146.6025925925924</v>
      </c>
      <c r="K302" s="92">
        <f t="shared" si="45"/>
        <v>8.1075353234353251</v>
      </c>
      <c r="L302" s="43">
        <f>'B) D RI'!S303</f>
        <v>81</v>
      </c>
      <c r="M302" s="43">
        <f t="shared" si="47"/>
        <v>72.892464676564671</v>
      </c>
      <c r="N302" s="199">
        <f>'J) Plafonnement effort'!G301+'J) Plafonnement effort'!H301-'K) Plafonnement aide'!I301</f>
        <v>17.989935998620094</v>
      </c>
      <c r="O302" s="199">
        <f t="shared" si="41"/>
        <v>90.882400675184769</v>
      </c>
      <c r="P302" s="59">
        <f t="shared" si="42"/>
        <v>-0.58410626193681026</v>
      </c>
      <c r="Q302" s="75">
        <f t="shared" si="46"/>
        <v>-1837.9502781599349</v>
      </c>
      <c r="R302" s="230">
        <f t="shared" si="43"/>
        <v>90.298294413247959</v>
      </c>
      <c r="S302" s="199">
        <f t="shared" si="44"/>
        <v>9.2982944132479588</v>
      </c>
      <c r="T302" s="229"/>
    </row>
    <row r="303" spans="1:20" x14ac:dyDescent="0.25">
      <c r="A303" s="61">
        <f>'A) Base RI'!A304</f>
        <v>5913</v>
      </c>
      <c r="B303" s="73" t="str">
        <f>'A) Base RI'!B304</f>
        <v>Donneloye</v>
      </c>
      <c r="C303" s="238">
        <v>356578.99265041261</v>
      </c>
      <c r="D303" s="239">
        <v>166623.1555400131</v>
      </c>
      <c r="E303" s="240">
        <v>0</v>
      </c>
      <c r="F303" s="239">
        <v>0</v>
      </c>
      <c r="G303" s="239">
        <v>0</v>
      </c>
      <c r="H303" s="241">
        <f t="shared" si="39"/>
        <v>523202.14819042571</v>
      </c>
      <c r="I303" s="311">
        <v>23147.804931506846</v>
      </c>
      <c r="J303" s="135">
        <f>'B) D RI'!U304</f>
        <v>23116.238767123283</v>
      </c>
      <c r="K303" s="92">
        <f t="shared" si="45"/>
        <v>22.602667930654924</v>
      </c>
      <c r="L303" s="43">
        <f>'B) D RI'!S304</f>
        <v>73</v>
      </c>
      <c r="M303" s="43">
        <f t="shared" si="47"/>
        <v>50.397332069345076</v>
      </c>
      <c r="N303" s="199">
        <f>'J) Plafonnement effort'!G302+'J) Plafonnement effort'!H302-'K) Plafonnement aide'!I302</f>
        <v>21.776275391315334</v>
      </c>
      <c r="O303" s="199">
        <f t="shared" si="41"/>
        <v>72.173607460660406</v>
      </c>
      <c r="P303" s="59">
        <f t="shared" si="42"/>
        <v>0</v>
      </c>
      <c r="Q303" s="75">
        <f t="shared" si="46"/>
        <v>0</v>
      </c>
      <c r="R303" s="230">
        <f t="shared" si="43"/>
        <v>72.173607460660406</v>
      </c>
      <c r="S303" s="199">
        <f t="shared" si="44"/>
        <v>-0.82639253933959367</v>
      </c>
      <c r="T303" s="229"/>
    </row>
    <row r="304" spans="1:20" x14ac:dyDescent="0.25">
      <c r="A304" s="61">
        <f>'A) Base RI'!A305</f>
        <v>5914</v>
      </c>
      <c r="B304" s="73" t="str">
        <f>'A) Base RI'!B305</f>
        <v>Ependes</v>
      </c>
      <c r="C304" s="238">
        <v>122891.93859809692</v>
      </c>
      <c r="D304" s="239">
        <v>-16839.499025009834</v>
      </c>
      <c r="E304" s="240">
        <v>0</v>
      </c>
      <c r="F304" s="239">
        <v>0</v>
      </c>
      <c r="G304" s="239">
        <v>0</v>
      </c>
      <c r="H304" s="241">
        <f t="shared" si="39"/>
        <v>106052.43957308709</v>
      </c>
      <c r="I304" s="311">
        <v>8718.0938666666661</v>
      </c>
      <c r="J304" s="135">
        <f>'B) D RI'!U305</f>
        <v>8750.2923999999985</v>
      </c>
      <c r="K304" s="92">
        <f t="shared" si="45"/>
        <v>12.164636122877154</v>
      </c>
      <c r="L304" s="43">
        <f>'B) D RI'!S305</f>
        <v>75</v>
      </c>
      <c r="M304" s="43">
        <f t="shared" si="47"/>
        <v>62.835363877122845</v>
      </c>
      <c r="N304" s="199">
        <f>'J) Plafonnement effort'!G303+'J) Plafonnement effort'!H303-'K) Plafonnement aide'!I303</f>
        <v>10.43730374497073</v>
      </c>
      <c r="O304" s="199">
        <f t="shared" si="41"/>
        <v>73.272667622093579</v>
      </c>
      <c r="P304" s="59">
        <f t="shared" si="42"/>
        <v>0</v>
      </c>
      <c r="Q304" s="75">
        <f t="shared" si="46"/>
        <v>0</v>
      </c>
      <c r="R304" s="230">
        <f t="shared" si="43"/>
        <v>73.272667622093579</v>
      </c>
      <c r="S304" s="199">
        <f t="shared" si="44"/>
        <v>-1.7273323779064214</v>
      </c>
      <c r="T304" s="229"/>
    </row>
    <row r="305" spans="1:20" x14ac:dyDescent="0.25">
      <c r="A305" s="61">
        <f>'A) Base RI'!A306</f>
        <v>5915</v>
      </c>
      <c r="B305" s="73" t="str">
        <f>'A) Base RI'!B306</f>
        <v>Essert-Pittet</v>
      </c>
      <c r="C305" s="238">
        <v>60506.946145478636</v>
      </c>
      <c r="D305" s="239">
        <v>-21998.337879768209</v>
      </c>
      <c r="E305" s="240">
        <v>0</v>
      </c>
      <c r="F305" s="239">
        <v>0</v>
      </c>
      <c r="G305" s="239">
        <v>0</v>
      </c>
      <c r="H305" s="241">
        <f t="shared" si="39"/>
        <v>38508.608265710427</v>
      </c>
      <c r="I305" s="311">
        <v>3469.1017098039219</v>
      </c>
      <c r="J305" s="135">
        <f>'B) D RI'!U306</f>
        <v>5181.7059529411763</v>
      </c>
      <c r="K305" s="92">
        <f t="shared" si="45"/>
        <v>11.100455243754437</v>
      </c>
      <c r="L305" s="43">
        <f>'B) D RI'!S306</f>
        <v>75</v>
      </c>
      <c r="M305" s="43">
        <f t="shared" si="47"/>
        <v>63.899544756245561</v>
      </c>
      <c r="N305" s="199">
        <f>'J) Plafonnement effort'!G304+'J) Plafonnement effort'!H304-'K) Plafonnement aide'!I304</f>
        <v>19.223921990969401</v>
      </c>
      <c r="O305" s="199">
        <f t="shared" si="41"/>
        <v>83.123466747214962</v>
      </c>
      <c r="P305" s="59">
        <f t="shared" si="42"/>
        <v>0</v>
      </c>
      <c r="Q305" s="75">
        <f t="shared" si="46"/>
        <v>0</v>
      </c>
      <c r="R305" s="230">
        <f t="shared" si="43"/>
        <v>83.123466747214962</v>
      </c>
      <c r="S305" s="199">
        <f t="shared" si="44"/>
        <v>8.1234667472149624</v>
      </c>
      <c r="T305" s="229"/>
    </row>
    <row r="306" spans="1:20" x14ac:dyDescent="0.25">
      <c r="A306" s="61">
        <f>'A) Base RI'!A307</f>
        <v>5919</v>
      </c>
      <c r="B306" s="73" t="str">
        <f>'A) Base RI'!B307</f>
        <v>Mathod</v>
      </c>
      <c r="C306" s="238">
        <v>256368.24575871215</v>
      </c>
      <c r="D306" s="239">
        <v>7318.7601395815727</v>
      </c>
      <c r="E306" s="240">
        <v>0</v>
      </c>
      <c r="F306" s="239">
        <v>0</v>
      </c>
      <c r="G306" s="239">
        <v>0</v>
      </c>
      <c r="H306" s="241">
        <f>SUM(C306:G306)</f>
        <v>263687.00589829369</v>
      </c>
      <c r="I306" s="311">
        <v>14691.435202702703</v>
      </c>
      <c r="J306" s="135">
        <f>'B) D RI'!U307</f>
        <v>16260.723851351351</v>
      </c>
      <c r="K306" s="92">
        <f t="shared" si="45"/>
        <v>17.948348970683586</v>
      </c>
      <c r="L306" s="43">
        <f>'B) D RI'!S307</f>
        <v>74</v>
      </c>
      <c r="M306" s="43">
        <f t="shared" si="47"/>
        <v>56.051651029316417</v>
      </c>
      <c r="N306" s="199">
        <f>'J) Plafonnement effort'!G305+'J) Plafonnement effort'!H305-'K) Plafonnement aide'!I305</f>
        <v>12.913616655197504</v>
      </c>
      <c r="O306" s="199">
        <f t="shared" si="41"/>
        <v>68.965267684513918</v>
      </c>
      <c r="P306" s="59">
        <f t="shared" si="42"/>
        <v>0</v>
      </c>
      <c r="Q306" s="75">
        <f t="shared" si="46"/>
        <v>0</v>
      </c>
      <c r="R306" s="230">
        <f t="shared" si="43"/>
        <v>68.965267684513918</v>
      </c>
      <c r="S306" s="199">
        <f t="shared" si="44"/>
        <v>-5.0347323154860817</v>
      </c>
      <c r="T306" s="229"/>
    </row>
    <row r="307" spans="1:20" x14ac:dyDescent="0.25">
      <c r="A307" s="61">
        <f>'A) Base RI'!A308</f>
        <v>5921</v>
      </c>
      <c r="B307" s="73" t="str">
        <f>'A) Base RI'!B308</f>
        <v>Molondin</v>
      </c>
      <c r="C307" s="238">
        <v>64180.782910431873</v>
      </c>
      <c r="D307" s="239">
        <v>-76701.980265719583</v>
      </c>
      <c r="E307" s="240">
        <v>0</v>
      </c>
      <c r="F307" s="239">
        <v>0</v>
      </c>
      <c r="G307" s="239">
        <v>0</v>
      </c>
      <c r="H307" s="241">
        <f t="shared" si="39"/>
        <v>-12521.19735528771</v>
      </c>
      <c r="I307" s="311">
        <v>4662.1348148148145</v>
      </c>
      <c r="J307" s="135">
        <f>'B) D RI'!U308</f>
        <v>4932.1140740740739</v>
      </c>
      <c r="K307" s="92">
        <f t="shared" si="45"/>
        <v>-2.68572185332334</v>
      </c>
      <c r="L307" s="43">
        <f>'B) D RI'!S308</f>
        <v>81</v>
      </c>
      <c r="M307" s="43">
        <f t="shared" si="47"/>
        <v>83.685721853323344</v>
      </c>
      <c r="N307" s="199">
        <f>'J) Plafonnement effort'!G306+'J) Plafonnement effort'!H306-'K) Plafonnement aide'!I306</f>
        <v>-1.7471169931316162</v>
      </c>
      <c r="O307" s="199">
        <f t="shared" si="41"/>
        <v>81.938604860191731</v>
      </c>
      <c r="P307" s="59">
        <f t="shared" si="42"/>
        <v>0</v>
      </c>
      <c r="Q307" s="75">
        <f t="shared" si="46"/>
        <v>0</v>
      </c>
      <c r="R307" s="230">
        <f t="shared" si="43"/>
        <v>81.938604860191731</v>
      </c>
      <c r="S307" s="199">
        <f t="shared" si="44"/>
        <v>0.93860486019173095</v>
      </c>
      <c r="T307" s="229"/>
    </row>
    <row r="308" spans="1:20" x14ac:dyDescent="0.25">
      <c r="A308" s="61">
        <f>'A) Base RI'!A309</f>
        <v>5922</v>
      </c>
      <c r="B308" s="73" t="str">
        <f>'A) Base RI'!B309</f>
        <v>Montagny-près-Yverdon</v>
      </c>
      <c r="C308" s="238">
        <v>831723.84693089523</v>
      </c>
      <c r="D308" s="239">
        <v>734583</v>
      </c>
      <c r="E308" s="240">
        <v>0</v>
      </c>
      <c r="F308" s="239">
        <v>0</v>
      </c>
      <c r="G308" s="239">
        <v>0</v>
      </c>
      <c r="H308" s="241">
        <f t="shared" si="39"/>
        <v>1566306.8469308952</v>
      </c>
      <c r="I308" s="311">
        <v>45740.98344262295</v>
      </c>
      <c r="J308" s="135">
        <f>'B) D RI'!U309</f>
        <v>54274.18045081968</v>
      </c>
      <c r="K308" s="92">
        <f t="shared" si="45"/>
        <v>34.242963947105672</v>
      </c>
      <c r="L308" s="43">
        <f>'B) D RI'!S309</f>
        <v>61</v>
      </c>
      <c r="M308" s="43">
        <f t="shared" si="47"/>
        <v>26.757036052894328</v>
      </c>
      <c r="N308" s="199">
        <f>'J) Plafonnement effort'!G307+'J) Plafonnement effort'!H307-'K) Plafonnement aide'!I307</f>
        <v>36.853258768621615</v>
      </c>
      <c r="O308" s="199">
        <f t="shared" si="41"/>
        <v>63.610294821515943</v>
      </c>
      <c r="P308" s="59">
        <f t="shared" si="42"/>
        <v>0</v>
      </c>
      <c r="Q308" s="75">
        <f t="shared" si="46"/>
        <v>0</v>
      </c>
      <c r="R308" s="230">
        <f t="shared" si="43"/>
        <v>63.610294821515943</v>
      </c>
      <c r="S308" s="199">
        <f t="shared" si="44"/>
        <v>2.6102948215159429</v>
      </c>
      <c r="T308" s="229"/>
    </row>
    <row r="309" spans="1:20" x14ac:dyDescent="0.25">
      <c r="A309" s="61">
        <f>'A) Base RI'!A310</f>
        <v>5923</v>
      </c>
      <c r="B309" s="73" t="str">
        <f>'A) Base RI'!B310</f>
        <v>Oppens</v>
      </c>
      <c r="C309" s="238">
        <v>69242.687673665612</v>
      </c>
      <c r="D309" s="239">
        <v>-20354.942901774397</v>
      </c>
      <c r="E309" s="240">
        <v>0</v>
      </c>
      <c r="F309" s="239">
        <v>0</v>
      </c>
      <c r="G309" s="239">
        <v>0</v>
      </c>
      <c r="H309" s="241">
        <f t="shared" si="39"/>
        <v>48887.744771891215</v>
      </c>
      <c r="I309" s="311">
        <v>4470.86061728395</v>
      </c>
      <c r="J309" s="135">
        <f>'B) D RI'!U310</f>
        <v>4902.1274074074072</v>
      </c>
      <c r="K309" s="92">
        <f t="shared" si="45"/>
        <v>10.93475036615893</v>
      </c>
      <c r="L309" s="43">
        <f>'B) D RI'!S310</f>
        <v>81</v>
      </c>
      <c r="M309" s="43">
        <f t="shared" si="47"/>
        <v>70.065249633841063</v>
      </c>
      <c r="N309" s="199">
        <f>'J) Plafonnement effort'!G308+'J) Plafonnement effort'!H308-'K) Plafonnement aide'!I308</f>
        <v>11.684937222615829</v>
      </c>
      <c r="O309" s="199">
        <f t="shared" si="41"/>
        <v>81.750186856456892</v>
      </c>
      <c r="P309" s="59">
        <f t="shared" si="42"/>
        <v>0</v>
      </c>
      <c r="Q309" s="75">
        <f t="shared" si="46"/>
        <v>0</v>
      </c>
      <c r="R309" s="230">
        <f t="shared" si="43"/>
        <v>81.750186856456892</v>
      </c>
      <c r="S309" s="199">
        <f t="shared" si="44"/>
        <v>0.75018685645689231</v>
      </c>
      <c r="T309" s="229"/>
    </row>
    <row r="310" spans="1:20" x14ac:dyDescent="0.25">
      <c r="A310" s="61">
        <f>'A) Base RI'!A311</f>
        <v>5924</v>
      </c>
      <c r="B310" s="73" t="str">
        <f>'A) Base RI'!B311</f>
        <v>Orges</v>
      </c>
      <c r="C310" s="238">
        <v>124340.70098328973</v>
      </c>
      <c r="D310" s="239">
        <v>23508.499422081179</v>
      </c>
      <c r="E310" s="240">
        <v>0</v>
      </c>
      <c r="F310" s="239">
        <v>0</v>
      </c>
      <c r="G310" s="239">
        <v>0</v>
      </c>
      <c r="H310" s="241">
        <f t="shared" si="39"/>
        <v>147849.20040537091</v>
      </c>
      <c r="I310" s="311">
        <v>7786.4310810810803</v>
      </c>
      <c r="J310" s="135">
        <f>'B) D RI'!U311</f>
        <v>9002.8555405405405</v>
      </c>
      <c r="K310" s="92">
        <f t="shared" si="45"/>
        <v>18.988057412413813</v>
      </c>
      <c r="L310" s="43">
        <f>'B) D RI'!S311</f>
        <v>74</v>
      </c>
      <c r="M310" s="43">
        <f t="shared" si="47"/>
        <v>55.011942587586191</v>
      </c>
      <c r="N310" s="199">
        <f>'J) Plafonnement effort'!G309+'J) Plafonnement effort'!H309-'K) Plafonnement aide'!I309</f>
        <v>27.564132940771433</v>
      </c>
      <c r="O310" s="199">
        <f t="shared" si="41"/>
        <v>82.57607552835762</v>
      </c>
      <c r="P310" s="59">
        <f t="shared" si="42"/>
        <v>0</v>
      </c>
      <c r="Q310" s="75">
        <f t="shared" si="46"/>
        <v>0</v>
      </c>
      <c r="R310" s="230">
        <f t="shared" si="43"/>
        <v>82.57607552835762</v>
      </c>
      <c r="S310" s="199">
        <f t="shared" si="44"/>
        <v>8.5760755283576202</v>
      </c>
      <c r="T310" s="229"/>
    </row>
    <row r="311" spans="1:20" x14ac:dyDescent="0.25">
      <c r="A311" s="61">
        <f>'A) Base RI'!A312</f>
        <v>5925</v>
      </c>
      <c r="B311" s="73" t="str">
        <f>'A) Base RI'!B312</f>
        <v>Orzens</v>
      </c>
      <c r="C311" s="238">
        <v>68674.339418947464</v>
      </c>
      <c r="D311" s="239">
        <v>-15285.330922519672</v>
      </c>
      <c r="E311" s="240">
        <v>0</v>
      </c>
      <c r="F311" s="239">
        <v>0</v>
      </c>
      <c r="G311" s="239">
        <v>0</v>
      </c>
      <c r="H311" s="241">
        <f t="shared" si="39"/>
        <v>53389.008496427792</v>
      </c>
      <c r="I311" s="311">
        <v>5069.9973417721512</v>
      </c>
      <c r="J311" s="135">
        <f>'B) D RI'!U312</f>
        <v>5053.7527848101263</v>
      </c>
      <c r="K311" s="92">
        <f t="shared" si="45"/>
        <v>10.530381950410719</v>
      </c>
      <c r="L311" s="43">
        <f>'B) D RI'!S312</f>
        <v>79</v>
      </c>
      <c r="M311" s="43">
        <f t="shared" si="47"/>
        <v>68.469618049589286</v>
      </c>
      <c r="N311" s="199">
        <f>'J) Plafonnement effort'!G310+'J) Plafonnement effort'!H310-'K) Plafonnement aide'!I310</f>
        <v>7.0830787134794377</v>
      </c>
      <c r="O311" s="199">
        <f t="shared" si="41"/>
        <v>75.552696763068724</v>
      </c>
      <c r="P311" s="59">
        <f t="shared" si="42"/>
        <v>0</v>
      </c>
      <c r="Q311" s="75">
        <f t="shared" si="46"/>
        <v>0</v>
      </c>
      <c r="R311" s="230">
        <f t="shared" si="43"/>
        <v>75.552696763068724</v>
      </c>
      <c r="S311" s="199">
        <f t="shared" si="44"/>
        <v>-3.4473032369312762</v>
      </c>
      <c r="T311" s="229"/>
    </row>
    <row r="312" spans="1:20" x14ac:dyDescent="0.25">
      <c r="A312" s="61">
        <f>'A) Base RI'!A313</f>
        <v>5926</v>
      </c>
      <c r="B312" s="73" t="str">
        <f>'A) Base RI'!B313</f>
        <v>Pomy</v>
      </c>
      <c r="C312" s="238">
        <v>346578.57479017967</v>
      </c>
      <c r="D312" s="239">
        <v>130204.74748899206</v>
      </c>
      <c r="E312" s="240">
        <v>0</v>
      </c>
      <c r="F312" s="239">
        <v>0</v>
      </c>
      <c r="G312" s="239">
        <v>0</v>
      </c>
      <c r="H312" s="241">
        <f t="shared" si="39"/>
        <v>476783.32227917173</v>
      </c>
      <c r="I312" s="311">
        <v>22116.912816901407</v>
      </c>
      <c r="J312" s="135">
        <f>'B) D RI'!U313</f>
        <v>21029.126197183101</v>
      </c>
      <c r="K312" s="92">
        <f t="shared" si="45"/>
        <v>21.557408406241091</v>
      </c>
      <c r="L312" s="43">
        <f>'B) D RI'!S313</f>
        <v>71</v>
      </c>
      <c r="M312" s="43">
        <f t="shared" si="47"/>
        <v>49.442591593758905</v>
      </c>
      <c r="N312" s="199">
        <f>'J) Plafonnement effort'!G311+'J) Plafonnement effort'!H311-'K) Plafonnement aide'!I311</f>
        <v>8.4810624955864657</v>
      </c>
      <c r="O312" s="199">
        <f t="shared" si="41"/>
        <v>57.923654089345369</v>
      </c>
      <c r="P312" s="59">
        <f t="shared" si="42"/>
        <v>0</v>
      </c>
      <c r="Q312" s="75">
        <f t="shared" si="46"/>
        <v>0</v>
      </c>
      <c r="R312" s="230">
        <f t="shared" si="43"/>
        <v>57.923654089345369</v>
      </c>
      <c r="S312" s="199">
        <f t="shared" si="44"/>
        <v>-13.076345910654631</v>
      </c>
      <c r="T312" s="229"/>
    </row>
    <row r="313" spans="1:20" x14ac:dyDescent="0.25">
      <c r="A313" s="61">
        <f>'A) Base RI'!A314</f>
        <v>5928</v>
      </c>
      <c r="B313" s="73" t="str">
        <f>'A) Base RI'!B314</f>
        <v>Rovray</v>
      </c>
      <c r="C313" s="238">
        <v>64657.383615896033</v>
      </c>
      <c r="D313" s="239">
        <v>-11074.377997387084</v>
      </c>
      <c r="E313" s="240">
        <v>0</v>
      </c>
      <c r="F313" s="239">
        <v>0</v>
      </c>
      <c r="G313" s="239">
        <v>0</v>
      </c>
      <c r="H313" s="241">
        <f t="shared" si="39"/>
        <v>53583.005618508949</v>
      </c>
      <c r="I313" s="311">
        <v>4108.2366666666667</v>
      </c>
      <c r="J313" s="135">
        <f>'B) D RI'!U314</f>
        <v>4897.1457333333328</v>
      </c>
      <c r="K313" s="92">
        <f t="shared" si="45"/>
        <v>13.042823470534142</v>
      </c>
      <c r="L313" s="43">
        <f>'B) D RI'!S314</f>
        <v>75</v>
      </c>
      <c r="M313" s="43">
        <f t="shared" si="47"/>
        <v>61.957176529465855</v>
      </c>
      <c r="N313" s="199">
        <f>'J) Plafonnement effort'!G312+'J) Plafonnement effort'!H312-'K) Plafonnement aide'!I312</f>
        <v>18.096439423991622</v>
      </c>
      <c r="O313" s="199">
        <f t="shared" si="41"/>
        <v>80.053615953457481</v>
      </c>
      <c r="P313" s="59">
        <f t="shared" si="42"/>
        <v>0</v>
      </c>
      <c r="Q313" s="75">
        <f t="shared" si="46"/>
        <v>0</v>
      </c>
      <c r="R313" s="230">
        <f t="shared" si="43"/>
        <v>80.053615953457481</v>
      </c>
      <c r="S313" s="199">
        <f t="shared" si="44"/>
        <v>5.0536159534574807</v>
      </c>
      <c r="T313" s="229"/>
    </row>
    <row r="314" spans="1:20" x14ac:dyDescent="0.25">
      <c r="A314" s="61">
        <f>'A) Base RI'!A315</f>
        <v>5929</v>
      </c>
      <c r="B314" s="73" t="str">
        <f>'A) Base RI'!B315</f>
        <v>Suchy</v>
      </c>
      <c r="C314" s="238">
        <v>230371.46505807759</v>
      </c>
      <c r="D314" s="239">
        <v>118843.92474261287</v>
      </c>
      <c r="E314" s="240">
        <v>0</v>
      </c>
      <c r="F314" s="239">
        <v>0</v>
      </c>
      <c r="G314" s="239">
        <v>0</v>
      </c>
      <c r="H314" s="241">
        <f t="shared" si="39"/>
        <v>349215.38980069046</v>
      </c>
      <c r="I314" s="311">
        <v>16171.057696078431</v>
      </c>
      <c r="J314" s="135">
        <f>'B) D RI'!U315</f>
        <v>16083.913284313729</v>
      </c>
      <c r="K314" s="92">
        <f t="shared" si="45"/>
        <v>21.595086503548689</v>
      </c>
      <c r="L314" s="43">
        <f>'B) D RI'!S315</f>
        <v>68</v>
      </c>
      <c r="M314" s="43">
        <f t="shared" si="47"/>
        <v>46.404913496451314</v>
      </c>
      <c r="N314" s="199">
        <f>'J) Plafonnement effort'!G313+'J) Plafonnement effort'!H313-'K) Plafonnement aide'!I313</f>
        <v>21.050911649216779</v>
      </c>
      <c r="O314" s="199">
        <f t="shared" si="41"/>
        <v>67.455825145668086</v>
      </c>
      <c r="P314" s="59">
        <f t="shared" si="42"/>
        <v>0</v>
      </c>
      <c r="Q314" s="75">
        <f t="shared" si="46"/>
        <v>0</v>
      </c>
      <c r="R314" s="230">
        <f t="shared" si="43"/>
        <v>67.455825145668086</v>
      </c>
      <c r="S314" s="199">
        <f t="shared" si="44"/>
        <v>-0.54417485433191359</v>
      </c>
      <c r="T314" s="229"/>
    </row>
    <row r="315" spans="1:20" x14ac:dyDescent="0.25">
      <c r="A315" s="61">
        <f>'A) Base RI'!A316</f>
        <v>5930</v>
      </c>
      <c r="B315" s="73" t="str">
        <f>'A) Base RI'!B316</f>
        <v>Suscévaz</v>
      </c>
      <c r="C315" s="238">
        <v>139941.72880702355</v>
      </c>
      <c r="D315" s="239">
        <v>6469.2336140214175</v>
      </c>
      <c r="E315" s="240">
        <v>0</v>
      </c>
      <c r="F315" s="239">
        <v>0</v>
      </c>
      <c r="G315" s="239">
        <v>0</v>
      </c>
      <c r="H315" s="241">
        <f t="shared" si="39"/>
        <v>146410.96242104497</v>
      </c>
      <c r="I315" s="311">
        <v>4973.4774242424237</v>
      </c>
      <c r="J315" s="135">
        <f>'B) D RI'!U316</f>
        <v>5208.083787878787</v>
      </c>
      <c r="K315" s="92">
        <f t="shared" si="45"/>
        <v>29.438348650662018</v>
      </c>
      <c r="L315" s="43">
        <f>'B) D RI'!S316</f>
        <v>66</v>
      </c>
      <c r="M315" s="43">
        <f t="shared" si="47"/>
        <v>36.561651349337978</v>
      </c>
      <c r="N315" s="199">
        <f>'J) Plafonnement effort'!G314+'J) Plafonnement effort'!H314-'K) Plafonnement aide'!I314</f>
        <v>18.430218812459259</v>
      </c>
      <c r="O315" s="199">
        <f t="shared" si="41"/>
        <v>54.991870161797237</v>
      </c>
      <c r="P315" s="59">
        <f t="shared" si="42"/>
        <v>0</v>
      </c>
      <c r="Q315" s="75">
        <f t="shared" si="46"/>
        <v>0</v>
      </c>
      <c r="R315" s="230">
        <f t="shared" si="43"/>
        <v>54.991870161797237</v>
      </c>
      <c r="S315" s="199">
        <f t="shared" si="44"/>
        <v>-11.008129838202763</v>
      </c>
      <c r="T315" s="229"/>
    </row>
    <row r="316" spans="1:20" x14ac:dyDescent="0.25">
      <c r="A316" s="61">
        <f>'A) Base RI'!A317</f>
        <v>5931</v>
      </c>
      <c r="B316" s="73" t="str">
        <f>'A) Base RI'!B317</f>
        <v>Treycovagnes</v>
      </c>
      <c r="C316" s="238">
        <v>165957.1586277202</v>
      </c>
      <c r="D316" s="239">
        <v>-53085.847958510392</v>
      </c>
      <c r="E316" s="240">
        <v>0</v>
      </c>
      <c r="F316" s="239">
        <v>0</v>
      </c>
      <c r="G316" s="239">
        <v>0</v>
      </c>
      <c r="H316" s="241">
        <f t="shared" si="39"/>
        <v>112871.31066920981</v>
      </c>
      <c r="I316" s="311">
        <v>11474.723896103897</v>
      </c>
      <c r="J316" s="135">
        <f>'B) D RI'!U317</f>
        <v>13922.074155844155</v>
      </c>
      <c r="K316" s="92">
        <f t="shared" si="45"/>
        <v>9.836516476665194</v>
      </c>
      <c r="L316" s="43">
        <f>'B) D RI'!S317</f>
        <v>77</v>
      </c>
      <c r="M316" s="43">
        <f t="shared" si="47"/>
        <v>67.163483523334804</v>
      </c>
      <c r="N316" s="199">
        <f>'J) Plafonnement effort'!G315+'J) Plafonnement effort'!H315-'K) Plafonnement aide'!I315</f>
        <v>22.004758275039482</v>
      </c>
      <c r="O316" s="199">
        <f t="shared" si="41"/>
        <v>89.168241798374282</v>
      </c>
      <c r="P316" s="59">
        <f t="shared" si="42"/>
        <v>0</v>
      </c>
      <c r="Q316" s="75">
        <f t="shared" si="46"/>
        <v>0</v>
      </c>
      <c r="R316" s="230">
        <f t="shared" si="43"/>
        <v>89.168241798374282</v>
      </c>
      <c r="S316" s="199">
        <f t="shared" si="44"/>
        <v>12.168241798374282</v>
      </c>
      <c r="T316" s="229"/>
    </row>
    <row r="317" spans="1:20" x14ac:dyDescent="0.25">
      <c r="A317" s="61">
        <f>'A) Base RI'!A318</f>
        <v>5932</v>
      </c>
      <c r="B317" s="73" t="str">
        <f>'A) Base RI'!B318</f>
        <v>Ursins</v>
      </c>
      <c r="C317" s="238">
        <v>69827.379342125583</v>
      </c>
      <c r="D317" s="239">
        <v>-17853.157440887939</v>
      </c>
      <c r="E317" s="240">
        <v>0</v>
      </c>
      <c r="F317" s="239">
        <v>0</v>
      </c>
      <c r="G317" s="239">
        <v>0</v>
      </c>
      <c r="H317" s="241">
        <f t="shared" si="39"/>
        <v>51974.221901237644</v>
      </c>
      <c r="I317" s="311">
        <v>5257.3797435897432</v>
      </c>
      <c r="J317" s="135">
        <f>'B) D RI'!U318</f>
        <v>5429.3069230769233</v>
      </c>
      <c r="K317" s="92">
        <f t="shared" si="45"/>
        <v>9.885955444745866</v>
      </c>
      <c r="L317" s="43">
        <f>'B) D RI'!S318</f>
        <v>78</v>
      </c>
      <c r="M317" s="43">
        <f t="shared" si="47"/>
        <v>68.114044555254139</v>
      </c>
      <c r="N317" s="199">
        <f>'J) Plafonnement effort'!G316+'J) Plafonnement effort'!H316-'K) Plafonnement aide'!I316</f>
        <v>9.9787928338822844</v>
      </c>
      <c r="O317" s="199">
        <f t="shared" si="41"/>
        <v>78.09283738913642</v>
      </c>
      <c r="P317" s="59">
        <f t="shared" si="42"/>
        <v>0</v>
      </c>
      <c r="Q317" s="75">
        <f t="shared" si="46"/>
        <v>0</v>
      </c>
      <c r="R317" s="230">
        <f t="shared" si="43"/>
        <v>78.09283738913642</v>
      </c>
      <c r="S317" s="199">
        <f t="shared" si="44"/>
        <v>9.2837389136420256E-2</v>
      </c>
      <c r="T317" s="229"/>
    </row>
    <row r="318" spans="1:20" x14ac:dyDescent="0.25">
      <c r="A318" s="61">
        <f>'A) Base RI'!A319</f>
        <v>5933</v>
      </c>
      <c r="B318" s="73" t="str">
        <f>'A) Base RI'!B319</f>
        <v>Valeyres-sous-Montagny</v>
      </c>
      <c r="C318" s="238">
        <v>277971.59021087375</v>
      </c>
      <c r="D318" s="239">
        <v>124052.31633690943</v>
      </c>
      <c r="E318" s="240">
        <v>0</v>
      </c>
      <c r="F318" s="239">
        <v>0</v>
      </c>
      <c r="G318" s="239">
        <v>0</v>
      </c>
      <c r="H318" s="241">
        <f t="shared" si="39"/>
        <v>402023.90654778318</v>
      </c>
      <c r="I318" s="311">
        <v>19712.293888888889</v>
      </c>
      <c r="J318" s="135">
        <f>'B) D RI'!U319</f>
        <v>17165.971111111114</v>
      </c>
      <c r="K318" s="92">
        <f t="shared" si="45"/>
        <v>20.394577557226334</v>
      </c>
      <c r="L318" s="43">
        <f>'B) D RI'!S319</f>
        <v>72</v>
      </c>
      <c r="M318" s="43">
        <f t="shared" si="47"/>
        <v>51.605422442773666</v>
      </c>
      <c r="N318" s="199">
        <f>'J) Plafonnement effort'!G317+'J) Plafonnement effort'!H317-'K) Plafonnement aide'!I317</f>
        <v>8.6464106153921794</v>
      </c>
      <c r="O318" s="199">
        <f t="shared" si="41"/>
        <v>60.251833058165843</v>
      </c>
      <c r="P318" s="59">
        <f t="shared" si="42"/>
        <v>0</v>
      </c>
      <c r="Q318" s="75">
        <f t="shared" si="46"/>
        <v>0</v>
      </c>
      <c r="R318" s="230">
        <f t="shared" si="43"/>
        <v>60.251833058165843</v>
      </c>
      <c r="S318" s="199">
        <f t="shared" si="44"/>
        <v>-11.748166941834157</v>
      </c>
      <c r="T318" s="229"/>
    </row>
    <row r="319" spans="1:20" x14ac:dyDescent="0.25">
      <c r="A319" s="61">
        <f>'A) Base RI'!A320</f>
        <v>5934</v>
      </c>
      <c r="B319" s="73" t="str">
        <f>'A) Base RI'!B320</f>
        <v>Valeyres-sous-Ursins</v>
      </c>
      <c r="C319" s="238">
        <v>83285.284437469178</v>
      </c>
      <c r="D319" s="239">
        <v>-26933.205618532666</v>
      </c>
      <c r="E319" s="240">
        <v>0</v>
      </c>
      <c r="F319" s="239">
        <v>0</v>
      </c>
      <c r="G319" s="239">
        <v>0</v>
      </c>
      <c r="H319" s="241">
        <f t="shared" si="39"/>
        <v>56352.078818936512</v>
      </c>
      <c r="I319" s="311">
        <v>5945.0260256410256</v>
      </c>
      <c r="J319" s="135">
        <f>'B) D RI'!U320</f>
        <v>6602.430506329114</v>
      </c>
      <c r="K319" s="92">
        <f t="shared" si="45"/>
        <v>9.4788615854478646</v>
      </c>
      <c r="L319" s="43">
        <f>'B) D RI'!S320</f>
        <v>79</v>
      </c>
      <c r="M319" s="43">
        <f t="shared" si="47"/>
        <v>69.521138414552141</v>
      </c>
      <c r="N319" s="199">
        <f>'J) Plafonnement effort'!G318+'J) Plafonnement effort'!H318-'K) Plafonnement aide'!I318</f>
        <v>16.144593267750949</v>
      </c>
      <c r="O319" s="199">
        <f t="shared" si="41"/>
        <v>85.66573168230309</v>
      </c>
      <c r="P319" s="59">
        <f t="shared" si="42"/>
        <v>0</v>
      </c>
      <c r="Q319" s="75">
        <f t="shared" si="46"/>
        <v>0</v>
      </c>
      <c r="R319" s="230">
        <f t="shared" si="43"/>
        <v>85.66573168230309</v>
      </c>
      <c r="S319" s="199">
        <f t="shared" si="44"/>
        <v>6.6657316823030897</v>
      </c>
      <c r="T319" s="229"/>
    </row>
    <row r="320" spans="1:20" x14ac:dyDescent="0.25">
      <c r="A320" s="61">
        <f>'A) Base RI'!A321</f>
        <v>5935</v>
      </c>
      <c r="B320" s="73" t="str">
        <f>'A) Base RI'!B321</f>
        <v>Villars-Epeney</v>
      </c>
      <c r="C320" s="238">
        <v>69234.212910749033</v>
      </c>
      <c r="D320" s="239">
        <v>64586</v>
      </c>
      <c r="E320" s="240">
        <v>0</v>
      </c>
      <c r="F320" s="239">
        <v>0</v>
      </c>
      <c r="G320" s="239">
        <v>0</v>
      </c>
      <c r="H320" s="241">
        <f t="shared" si="39"/>
        <v>133820.21291074902</v>
      </c>
      <c r="I320" s="311">
        <v>3981.1370000000011</v>
      </c>
      <c r="J320" s="135">
        <f>'B) D RI'!U321</f>
        <v>7512.9308333333338</v>
      </c>
      <c r="K320" s="92">
        <f t="shared" si="45"/>
        <v>33.613566403454335</v>
      </c>
      <c r="L320" s="43">
        <f>'B) D RI'!S321</f>
        <v>60</v>
      </c>
      <c r="M320" s="43">
        <f t="shared" si="47"/>
        <v>26.386433596545665</v>
      </c>
      <c r="N320" s="199">
        <f>'J) Plafonnement effort'!G319+'J) Plafonnement effort'!H319-'K) Plafonnement aide'!I319</f>
        <v>31.616238616090165</v>
      </c>
      <c r="O320" s="199">
        <f t="shared" si="41"/>
        <v>58.002672212635829</v>
      </c>
      <c r="P320" s="59">
        <f t="shared" si="42"/>
        <v>0</v>
      </c>
      <c r="Q320" s="75">
        <f t="shared" si="46"/>
        <v>0</v>
      </c>
      <c r="R320" s="230">
        <f t="shared" si="43"/>
        <v>58.002672212635829</v>
      </c>
      <c r="S320" s="199">
        <f t="shared" si="44"/>
        <v>-1.9973277873641706</v>
      </c>
      <c r="T320" s="229"/>
    </row>
    <row r="321" spans="1:20" x14ac:dyDescent="0.25">
      <c r="A321" s="61">
        <f>'A) Base RI'!A322</f>
        <v>5937</v>
      </c>
      <c r="B321" s="73" t="str">
        <f>'A) Base RI'!B322</f>
        <v>Vugelles-La Mothe</v>
      </c>
      <c r="C321" s="238">
        <v>40273.095327004979</v>
      </c>
      <c r="D321" s="239">
        <v>-52227.567491424634</v>
      </c>
      <c r="E321" s="240">
        <v>522.34232768495599</v>
      </c>
      <c r="F321" s="239">
        <v>0</v>
      </c>
      <c r="G321" s="239">
        <v>0</v>
      </c>
      <c r="H321" s="241">
        <f t="shared" si="39"/>
        <v>-11432.129836734699</v>
      </c>
      <c r="I321" s="311">
        <v>2078.5690612244898</v>
      </c>
      <c r="J321" s="135">
        <f>'B) D RI'!U322</f>
        <v>2128.9780612244899</v>
      </c>
      <c r="K321" s="92">
        <f t="shared" si="45"/>
        <v>-5.5000000000000027</v>
      </c>
      <c r="L321" s="43">
        <f>'B) D RI'!S322</f>
        <v>70</v>
      </c>
      <c r="M321" s="43">
        <f t="shared" si="47"/>
        <v>75.5</v>
      </c>
      <c r="N321" s="199">
        <f>'J) Plafonnement effort'!G320+'J) Plafonnement effort'!H320-'K) Plafonnement aide'!I320</f>
        <v>-25.1791449105176</v>
      </c>
      <c r="O321" s="199">
        <f t="shared" si="41"/>
        <v>50.3208550894824</v>
      </c>
      <c r="P321" s="59">
        <f t="shared" si="42"/>
        <v>0</v>
      </c>
      <c r="Q321" s="75">
        <f t="shared" si="46"/>
        <v>0</v>
      </c>
      <c r="R321" s="230">
        <f t="shared" si="43"/>
        <v>50.3208550894824</v>
      </c>
      <c r="S321" s="199">
        <f t="shared" si="44"/>
        <v>-19.6791449105176</v>
      </c>
      <c r="T321" s="229"/>
    </row>
    <row r="322" spans="1:20" x14ac:dyDescent="0.25">
      <c r="A322" s="61">
        <f>'A) Base RI'!A323</f>
        <v>5938</v>
      </c>
      <c r="B322" s="73" t="str">
        <f>'A) Base RI'!B323</f>
        <v>Yverdon-les-Bains</v>
      </c>
      <c r="C322" s="238">
        <v>13419919.619328186</v>
      </c>
      <c r="D322" s="239">
        <v>-22483775.204558812</v>
      </c>
      <c r="E322" s="240">
        <v>4900888.1635312801</v>
      </c>
      <c r="F322" s="239">
        <v>0</v>
      </c>
      <c r="G322" s="239">
        <v>0</v>
      </c>
      <c r="H322" s="241">
        <f t="shared" si="39"/>
        <v>-4162967.421699346</v>
      </c>
      <c r="I322" s="311">
        <v>756903.16758169921</v>
      </c>
      <c r="J322" s="135">
        <f>'B) D RI'!U323</f>
        <v>771340.02758169943</v>
      </c>
      <c r="K322" s="92">
        <f t="shared" si="45"/>
        <v>-5.5000000000000009</v>
      </c>
      <c r="L322" s="43">
        <f>'B) D RI'!S323</f>
        <v>76.5</v>
      </c>
      <c r="M322" s="43">
        <f t="shared" si="47"/>
        <v>82</v>
      </c>
      <c r="N322" s="199">
        <f>'J) Plafonnement effort'!G321+'J) Plafonnement effort'!H321-'K) Plafonnement aide'!I321</f>
        <v>-14.314358828023394</v>
      </c>
      <c r="O322" s="199">
        <f t="shared" si="41"/>
        <v>67.685641171976613</v>
      </c>
      <c r="P322" s="59">
        <f t="shared" si="42"/>
        <v>0</v>
      </c>
      <c r="Q322" s="75">
        <f t="shared" si="46"/>
        <v>0</v>
      </c>
      <c r="R322" s="230">
        <f t="shared" si="43"/>
        <v>67.685641171976613</v>
      </c>
      <c r="S322" s="199">
        <f t="shared" si="44"/>
        <v>-8.8143588280233871</v>
      </c>
      <c r="T322" s="229"/>
    </row>
    <row r="323" spans="1:20" x14ac:dyDescent="0.25">
      <c r="A323" s="63">
        <f>'A) Base RI'!A324</f>
        <v>5939</v>
      </c>
      <c r="B323" s="74" t="str">
        <f>'A) Base RI'!B324</f>
        <v>Yvonand</v>
      </c>
      <c r="C323" s="242">
        <v>1519997.0301190517</v>
      </c>
      <c r="D323" s="239">
        <v>-506415.82994649513</v>
      </c>
      <c r="E323" s="240">
        <v>0</v>
      </c>
      <c r="F323" s="239">
        <v>0</v>
      </c>
      <c r="G323" s="239">
        <v>0</v>
      </c>
      <c r="H323" s="241">
        <f t="shared" si="39"/>
        <v>1013581.2001725566</v>
      </c>
      <c r="I323" s="312">
        <v>81342.881095890421</v>
      </c>
      <c r="J323" s="136">
        <f>'B) D RI'!U324</f>
        <v>88221.551917808203</v>
      </c>
      <c r="K323" s="92">
        <f t="shared" si="45"/>
        <v>12.460601180055379</v>
      </c>
      <c r="L323" s="128">
        <f>'B) D RI'!S324</f>
        <v>73</v>
      </c>
      <c r="M323" s="128">
        <f t="shared" si="47"/>
        <v>60.539398819944623</v>
      </c>
      <c r="N323" s="201">
        <f>'J) Plafonnement effort'!G322+'J) Plafonnement effort'!H322-'K) Plafonnement aide'!I322</f>
        <v>11.793146705710093</v>
      </c>
      <c r="O323" s="201">
        <f t="shared" si="41"/>
        <v>72.332545525654723</v>
      </c>
      <c r="P323" s="59">
        <f t="shared" si="42"/>
        <v>0</v>
      </c>
      <c r="Q323" s="75">
        <f t="shared" si="46"/>
        <v>0</v>
      </c>
      <c r="R323" s="231">
        <f t="shared" si="43"/>
        <v>72.332545525654723</v>
      </c>
      <c r="S323" s="201">
        <f t="shared" si="44"/>
        <v>-0.66745447434527705</v>
      </c>
      <c r="T323" s="229"/>
    </row>
    <row r="324" spans="1:20" x14ac:dyDescent="0.25">
      <c r="A324" s="40"/>
      <c r="B324" s="190">
        <f>COUNTA(B6:B323)</f>
        <v>318</v>
      </c>
      <c r="C324" s="243">
        <f t="shared" ref="C324:J324" si="48">SUM(C6:C323)</f>
        <v>664703001.66000021</v>
      </c>
      <c r="D324" s="243">
        <f t="shared" si="48"/>
        <v>124623050.51450026</v>
      </c>
      <c r="E324" s="243">
        <f t="shared" si="48"/>
        <v>8746336.502417773</v>
      </c>
      <c r="F324" s="243">
        <f t="shared" si="48"/>
        <v>-2063.6437409959162</v>
      </c>
      <c r="G324" s="243">
        <f t="shared" si="48"/>
        <v>-62535.001289786436</v>
      </c>
      <c r="H324" s="243">
        <f t="shared" si="48"/>
        <v>798007790.03188694</v>
      </c>
      <c r="I324" s="243">
        <f t="shared" si="48"/>
        <v>34849855.313980095</v>
      </c>
      <c r="J324" s="136">
        <f t="shared" si="48"/>
        <v>35177813.511629909</v>
      </c>
      <c r="K324" s="84">
        <f>H324/I324</f>
        <v>22.898453461061123</v>
      </c>
      <c r="L324" s="26">
        <f>'B) D RI'!S325</f>
        <v>67.867142987392413</v>
      </c>
      <c r="M324" s="26"/>
      <c r="N324" s="137"/>
      <c r="O324" s="137"/>
      <c r="P324" s="185"/>
      <c r="Q324" s="47">
        <f>SUM(Q6:Q323)</f>
        <v>-3946.4360521143963</v>
      </c>
      <c r="R324" s="189"/>
      <c r="S324" s="137"/>
      <c r="T324" s="233"/>
    </row>
    <row r="325" spans="1:20" x14ac:dyDescent="0.25">
      <c r="T325" s="31"/>
    </row>
  </sheetData>
  <sheetProtection sheet="1" objects="1" scenarios="1"/>
  <mergeCells count="17">
    <mergeCell ref="M4:M5"/>
    <mergeCell ref="L4:L5"/>
    <mergeCell ref="H4:H5"/>
    <mergeCell ref="G4:G5"/>
    <mergeCell ref="F4:F5"/>
    <mergeCell ref="S4:S5"/>
    <mergeCell ref="R4:R5"/>
    <mergeCell ref="Q4:Q5"/>
    <mergeCell ref="O4:O5"/>
    <mergeCell ref="N4:N5"/>
    <mergeCell ref="C3:I3"/>
    <mergeCell ref="C4:C5"/>
    <mergeCell ref="B4:B5"/>
    <mergeCell ref="A4:A5"/>
    <mergeCell ref="K4:K5"/>
    <mergeCell ref="E4:E5"/>
    <mergeCell ref="D4:D5"/>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V326"/>
  <sheetViews>
    <sheetView workbookViewId="0"/>
  </sheetViews>
  <sheetFormatPr baseColWidth="10" defaultColWidth="9.375" defaultRowHeight="15" x14ac:dyDescent="0.25"/>
  <cols>
    <col min="1" max="1" width="8.125" style="324" customWidth="1"/>
    <col min="2" max="2" width="17.875" style="324" bestFit="1" customWidth="1"/>
    <col min="3" max="3" width="9.875" style="324" customWidth="1"/>
    <col min="4" max="4" width="10.5" style="324" customWidth="1"/>
    <col min="5" max="5" width="5.625" style="324" bestFit="1" customWidth="1"/>
    <col min="6" max="6" width="12" style="324" bestFit="1" customWidth="1"/>
    <col min="7" max="7" width="10.875" style="324" bestFit="1" customWidth="1"/>
    <col min="8" max="8" width="12" style="324" bestFit="1" customWidth="1"/>
    <col min="9" max="9" width="9.875" style="324" bestFit="1" customWidth="1"/>
    <col min="10" max="10" width="11.375" style="324" bestFit="1" customWidth="1"/>
    <col min="11" max="11" width="11.75" style="324" customWidth="1"/>
    <col min="12" max="12" width="11.375" style="324" bestFit="1" customWidth="1"/>
    <col min="13" max="13" width="9.75" style="324" bestFit="1" customWidth="1"/>
    <col min="14" max="14" width="11.375" style="324" bestFit="1" customWidth="1"/>
    <col min="15" max="15" width="10.75" style="324" bestFit="1" customWidth="1"/>
    <col min="16" max="16" width="13.125" style="326" customWidth="1"/>
    <col min="17" max="17" width="9.375" style="325"/>
    <col min="18" max="18" width="9.875" style="326" customWidth="1"/>
    <col min="19" max="19" width="11.75" style="326" bestFit="1" customWidth="1"/>
    <col min="20" max="22" width="9.375" style="325"/>
    <col min="23" max="249" width="9.375" style="324"/>
    <col min="250" max="250" width="5" style="324" customWidth="1"/>
    <col min="251" max="251" width="17.875" style="324" bestFit="1" customWidth="1"/>
    <col min="252" max="252" width="9.875" style="324" customWidth="1"/>
    <col min="253" max="253" width="8.875" style="324" customWidth="1"/>
    <col min="254" max="254" width="7.375" style="324" bestFit="1" customWidth="1"/>
    <col min="255" max="255" width="10.125" style="324" bestFit="1" customWidth="1"/>
    <col min="256" max="256" width="9.375" style="324"/>
    <col min="257" max="257" width="10.125" style="324" bestFit="1" customWidth="1"/>
    <col min="258" max="258" width="10.75" style="324" customWidth="1"/>
    <col min="259" max="261" width="9.375" style="324"/>
    <col min="262" max="263" width="10.75" style="324" customWidth="1"/>
    <col min="264" max="268" width="9.375" style="324"/>
    <col min="269" max="269" width="1.625" style="324" bestFit="1" customWidth="1"/>
    <col min="270" max="270" width="9.375" style="324"/>
    <col min="271" max="271" width="8.875" style="324" customWidth="1"/>
    <col min="272" max="272" width="13.125" style="324" customWidth="1"/>
    <col min="273" max="273" width="9.375" style="324"/>
    <col min="274" max="274" width="9.875" style="324" customWidth="1"/>
    <col min="275" max="275" width="11.75" style="324" bestFit="1" customWidth="1"/>
    <col min="276" max="505" width="9.375" style="324"/>
    <col min="506" max="506" width="5" style="324" customWidth="1"/>
    <col min="507" max="507" width="17.875" style="324" bestFit="1" customWidth="1"/>
    <col min="508" max="508" width="9.875" style="324" customWidth="1"/>
    <col min="509" max="509" width="8.875" style="324" customWidth="1"/>
    <col min="510" max="510" width="7.375" style="324" bestFit="1" customWidth="1"/>
    <col min="511" max="511" width="10.125" style="324" bestFit="1" customWidth="1"/>
    <col min="512" max="512" width="9.375" style="324"/>
    <col min="513" max="513" width="10.125" style="324" bestFit="1" customWidth="1"/>
    <col min="514" max="514" width="10.75" style="324" customWidth="1"/>
    <col min="515" max="517" width="9.375" style="324"/>
    <col min="518" max="519" width="10.75" style="324" customWidth="1"/>
    <col min="520" max="524" width="9.375" style="324"/>
    <col min="525" max="525" width="1.625" style="324" bestFit="1" customWidth="1"/>
    <col min="526" max="526" width="9.375" style="324"/>
    <col min="527" max="527" width="8.875" style="324" customWidth="1"/>
    <col min="528" max="528" width="13.125" style="324" customWidth="1"/>
    <col min="529" max="529" width="9.375" style="324"/>
    <col min="530" max="530" width="9.875" style="324" customWidth="1"/>
    <col min="531" max="531" width="11.75" style="324" bestFit="1" customWidth="1"/>
    <col min="532" max="761" width="9.375" style="324"/>
    <col min="762" max="762" width="5" style="324" customWidth="1"/>
    <col min="763" max="763" width="17.875" style="324" bestFit="1" customWidth="1"/>
    <col min="764" max="764" width="9.875" style="324" customWidth="1"/>
    <col min="765" max="765" width="8.875" style="324" customWidth="1"/>
    <col min="766" max="766" width="7.375" style="324" bestFit="1" customWidth="1"/>
    <col min="767" max="767" width="10.125" style="324" bestFit="1" customWidth="1"/>
    <col min="768" max="768" width="9.375" style="324"/>
    <col min="769" max="769" width="10.125" style="324" bestFit="1" customWidth="1"/>
    <col min="770" max="770" width="10.75" style="324" customWidth="1"/>
    <col min="771" max="773" width="9.375" style="324"/>
    <col min="774" max="775" width="10.75" style="324" customWidth="1"/>
    <col min="776" max="780" width="9.375" style="324"/>
    <col min="781" max="781" width="1.625" style="324" bestFit="1" customWidth="1"/>
    <col min="782" max="782" width="9.375" style="324"/>
    <col min="783" max="783" width="8.875" style="324" customWidth="1"/>
    <col min="784" max="784" width="13.125" style="324" customWidth="1"/>
    <col min="785" max="785" width="9.375" style="324"/>
    <col min="786" max="786" width="9.875" style="324" customWidth="1"/>
    <col min="787" max="787" width="11.75" style="324" bestFit="1" customWidth="1"/>
    <col min="788" max="1017" width="9.375" style="324"/>
    <col min="1018" max="1018" width="5" style="324" customWidth="1"/>
    <col min="1019" max="1019" width="17.875" style="324" bestFit="1" customWidth="1"/>
    <col min="1020" max="1020" width="9.875" style="324" customWidth="1"/>
    <col min="1021" max="1021" width="8.875" style="324" customWidth="1"/>
    <col min="1022" max="1022" width="7.375" style="324" bestFit="1" customWidth="1"/>
    <col min="1023" max="1023" width="10.125" style="324" bestFit="1" customWidth="1"/>
    <col min="1024" max="1024" width="9.375" style="324"/>
    <col min="1025" max="1025" width="10.125" style="324" bestFit="1" customWidth="1"/>
    <col min="1026" max="1026" width="10.75" style="324" customWidth="1"/>
    <col min="1027" max="1029" width="9.375" style="324"/>
    <col min="1030" max="1031" width="10.75" style="324" customWidth="1"/>
    <col min="1032" max="1036" width="9.375" style="324"/>
    <col min="1037" max="1037" width="1.625" style="324" bestFit="1" customWidth="1"/>
    <col min="1038" max="1038" width="9.375" style="324"/>
    <col min="1039" max="1039" width="8.875" style="324" customWidth="1"/>
    <col min="1040" max="1040" width="13.125" style="324" customWidth="1"/>
    <col min="1041" max="1041" width="9.375" style="324"/>
    <col min="1042" max="1042" width="9.875" style="324" customWidth="1"/>
    <col min="1043" max="1043" width="11.75" style="324" bestFit="1" customWidth="1"/>
    <col min="1044" max="1273" width="9.375" style="324"/>
    <col min="1274" max="1274" width="5" style="324" customWidth="1"/>
    <col min="1275" max="1275" width="17.875" style="324" bestFit="1" customWidth="1"/>
    <col min="1276" max="1276" width="9.875" style="324" customWidth="1"/>
    <col min="1277" max="1277" width="8.875" style="324" customWidth="1"/>
    <col min="1278" max="1278" width="7.375" style="324" bestFit="1" customWidth="1"/>
    <col min="1279" max="1279" width="10.125" style="324" bestFit="1" customWidth="1"/>
    <col min="1280" max="1280" width="9.375" style="324"/>
    <col min="1281" max="1281" width="10.125" style="324" bestFit="1" customWidth="1"/>
    <col min="1282" max="1282" width="10.75" style="324" customWidth="1"/>
    <col min="1283" max="1285" width="9.375" style="324"/>
    <col min="1286" max="1287" width="10.75" style="324" customWidth="1"/>
    <col min="1288" max="1292" width="9.375" style="324"/>
    <col min="1293" max="1293" width="1.625" style="324" bestFit="1" customWidth="1"/>
    <col min="1294" max="1294" width="9.375" style="324"/>
    <col min="1295" max="1295" width="8.875" style="324" customWidth="1"/>
    <col min="1296" max="1296" width="13.125" style="324" customWidth="1"/>
    <col min="1297" max="1297" width="9.375" style="324"/>
    <col min="1298" max="1298" width="9.875" style="324" customWidth="1"/>
    <col min="1299" max="1299" width="11.75" style="324" bestFit="1" customWidth="1"/>
    <col min="1300" max="1529" width="9.375" style="324"/>
    <col min="1530" max="1530" width="5" style="324" customWidth="1"/>
    <col min="1531" max="1531" width="17.875" style="324" bestFit="1" customWidth="1"/>
    <col min="1532" max="1532" width="9.875" style="324" customWidth="1"/>
    <col min="1533" max="1533" width="8.875" style="324" customWidth="1"/>
    <col min="1534" max="1534" width="7.375" style="324" bestFit="1" customWidth="1"/>
    <col min="1535" max="1535" width="10.125" style="324" bestFit="1" customWidth="1"/>
    <col min="1536" max="1536" width="9.375" style="324"/>
    <col min="1537" max="1537" width="10.125" style="324" bestFit="1" customWidth="1"/>
    <col min="1538" max="1538" width="10.75" style="324" customWidth="1"/>
    <col min="1539" max="1541" width="9.375" style="324"/>
    <col min="1542" max="1543" width="10.75" style="324" customWidth="1"/>
    <col min="1544" max="1548" width="9.375" style="324"/>
    <col min="1549" max="1549" width="1.625" style="324" bestFit="1" customWidth="1"/>
    <col min="1550" max="1550" width="9.375" style="324"/>
    <col min="1551" max="1551" width="8.875" style="324" customWidth="1"/>
    <col min="1552" max="1552" width="13.125" style="324" customWidth="1"/>
    <col min="1553" max="1553" width="9.375" style="324"/>
    <col min="1554" max="1554" width="9.875" style="324" customWidth="1"/>
    <col min="1555" max="1555" width="11.75" style="324" bestFit="1" customWidth="1"/>
    <col min="1556" max="1785" width="9.375" style="324"/>
    <col min="1786" max="1786" width="5" style="324" customWidth="1"/>
    <col min="1787" max="1787" width="17.875" style="324" bestFit="1" customWidth="1"/>
    <col min="1788" max="1788" width="9.875" style="324" customWidth="1"/>
    <col min="1789" max="1789" width="8.875" style="324" customWidth="1"/>
    <col min="1790" max="1790" width="7.375" style="324" bestFit="1" customWidth="1"/>
    <col min="1791" max="1791" width="10.125" style="324" bestFit="1" customWidth="1"/>
    <col min="1792" max="1792" width="9.375" style="324"/>
    <col min="1793" max="1793" width="10.125" style="324" bestFit="1" customWidth="1"/>
    <col min="1794" max="1794" width="10.75" style="324" customWidth="1"/>
    <col min="1795" max="1797" width="9.375" style="324"/>
    <col min="1798" max="1799" width="10.75" style="324" customWidth="1"/>
    <col min="1800" max="1804" width="9.375" style="324"/>
    <col min="1805" max="1805" width="1.625" style="324" bestFit="1" customWidth="1"/>
    <col min="1806" max="1806" width="9.375" style="324"/>
    <col min="1807" max="1807" width="8.875" style="324" customWidth="1"/>
    <col min="1808" max="1808" width="13.125" style="324" customWidth="1"/>
    <col min="1809" max="1809" width="9.375" style="324"/>
    <col min="1810" max="1810" width="9.875" style="324" customWidth="1"/>
    <col min="1811" max="1811" width="11.75" style="324" bestFit="1" customWidth="1"/>
    <col min="1812" max="2041" width="9.375" style="324"/>
    <col min="2042" max="2042" width="5" style="324" customWidth="1"/>
    <col min="2043" max="2043" width="17.875" style="324" bestFit="1" customWidth="1"/>
    <col min="2044" max="2044" width="9.875" style="324" customWidth="1"/>
    <col min="2045" max="2045" width="8.875" style="324" customWidth="1"/>
    <col min="2046" max="2046" width="7.375" style="324" bestFit="1" customWidth="1"/>
    <col min="2047" max="2047" width="10.125" style="324" bestFit="1" customWidth="1"/>
    <col min="2048" max="2048" width="9.375" style="324"/>
    <col min="2049" max="2049" width="10.125" style="324" bestFit="1" customWidth="1"/>
    <col min="2050" max="2050" width="10.75" style="324" customWidth="1"/>
    <col min="2051" max="2053" width="9.375" style="324"/>
    <col min="2054" max="2055" width="10.75" style="324" customWidth="1"/>
    <col min="2056" max="2060" width="9.375" style="324"/>
    <col min="2061" max="2061" width="1.625" style="324" bestFit="1" customWidth="1"/>
    <col min="2062" max="2062" width="9.375" style="324"/>
    <col min="2063" max="2063" width="8.875" style="324" customWidth="1"/>
    <col min="2064" max="2064" width="13.125" style="324" customWidth="1"/>
    <col min="2065" max="2065" width="9.375" style="324"/>
    <col min="2066" max="2066" width="9.875" style="324" customWidth="1"/>
    <col min="2067" max="2067" width="11.75" style="324" bestFit="1" customWidth="1"/>
    <col min="2068" max="2297" width="9.375" style="324"/>
    <col min="2298" max="2298" width="5" style="324" customWidth="1"/>
    <col min="2299" max="2299" width="17.875" style="324" bestFit="1" customWidth="1"/>
    <col min="2300" max="2300" width="9.875" style="324" customWidth="1"/>
    <col min="2301" max="2301" width="8.875" style="324" customWidth="1"/>
    <col min="2302" max="2302" width="7.375" style="324" bestFit="1" customWidth="1"/>
    <col min="2303" max="2303" width="10.125" style="324" bestFit="1" customWidth="1"/>
    <col min="2304" max="2304" width="9.375" style="324"/>
    <col min="2305" max="2305" width="10.125" style="324" bestFit="1" customWidth="1"/>
    <col min="2306" max="2306" width="10.75" style="324" customWidth="1"/>
    <col min="2307" max="2309" width="9.375" style="324"/>
    <col min="2310" max="2311" width="10.75" style="324" customWidth="1"/>
    <col min="2312" max="2316" width="9.375" style="324"/>
    <col min="2317" max="2317" width="1.625" style="324" bestFit="1" customWidth="1"/>
    <col min="2318" max="2318" width="9.375" style="324"/>
    <col min="2319" max="2319" width="8.875" style="324" customWidth="1"/>
    <col min="2320" max="2320" width="13.125" style="324" customWidth="1"/>
    <col min="2321" max="2321" width="9.375" style="324"/>
    <col min="2322" max="2322" width="9.875" style="324" customWidth="1"/>
    <col min="2323" max="2323" width="11.75" style="324" bestFit="1" customWidth="1"/>
    <col min="2324" max="2553" width="9.375" style="324"/>
    <col min="2554" max="2554" width="5" style="324" customWidth="1"/>
    <col min="2555" max="2555" width="17.875" style="324" bestFit="1" customWidth="1"/>
    <col min="2556" max="2556" width="9.875" style="324" customWidth="1"/>
    <col min="2557" max="2557" width="8.875" style="324" customWidth="1"/>
    <col min="2558" max="2558" width="7.375" style="324" bestFit="1" customWidth="1"/>
    <col min="2559" max="2559" width="10.125" style="324" bestFit="1" customWidth="1"/>
    <col min="2560" max="2560" width="9.375" style="324"/>
    <col min="2561" max="2561" width="10.125" style="324" bestFit="1" customWidth="1"/>
    <col min="2562" max="2562" width="10.75" style="324" customWidth="1"/>
    <col min="2563" max="2565" width="9.375" style="324"/>
    <col min="2566" max="2567" width="10.75" style="324" customWidth="1"/>
    <col min="2568" max="2572" width="9.375" style="324"/>
    <col min="2573" max="2573" width="1.625" style="324" bestFit="1" customWidth="1"/>
    <col min="2574" max="2574" width="9.375" style="324"/>
    <col min="2575" max="2575" width="8.875" style="324" customWidth="1"/>
    <col min="2576" max="2576" width="13.125" style="324" customWidth="1"/>
    <col min="2577" max="2577" width="9.375" style="324"/>
    <col min="2578" max="2578" width="9.875" style="324" customWidth="1"/>
    <col min="2579" max="2579" width="11.75" style="324" bestFit="1" customWidth="1"/>
    <col min="2580" max="2809" width="9.375" style="324"/>
    <col min="2810" max="2810" width="5" style="324" customWidth="1"/>
    <col min="2811" max="2811" width="17.875" style="324" bestFit="1" customWidth="1"/>
    <col min="2812" max="2812" width="9.875" style="324" customWidth="1"/>
    <col min="2813" max="2813" width="8.875" style="324" customWidth="1"/>
    <col min="2814" max="2814" width="7.375" style="324" bestFit="1" customWidth="1"/>
    <col min="2815" max="2815" width="10.125" style="324" bestFit="1" customWidth="1"/>
    <col min="2816" max="2816" width="9.375" style="324"/>
    <col min="2817" max="2817" width="10.125" style="324" bestFit="1" customWidth="1"/>
    <col min="2818" max="2818" width="10.75" style="324" customWidth="1"/>
    <col min="2819" max="2821" width="9.375" style="324"/>
    <col min="2822" max="2823" width="10.75" style="324" customWidth="1"/>
    <col min="2824" max="2828" width="9.375" style="324"/>
    <col min="2829" max="2829" width="1.625" style="324" bestFit="1" customWidth="1"/>
    <col min="2830" max="2830" width="9.375" style="324"/>
    <col min="2831" max="2831" width="8.875" style="324" customWidth="1"/>
    <col min="2832" max="2832" width="13.125" style="324" customWidth="1"/>
    <col min="2833" max="2833" width="9.375" style="324"/>
    <col min="2834" max="2834" width="9.875" style="324" customWidth="1"/>
    <col min="2835" max="2835" width="11.75" style="324" bestFit="1" customWidth="1"/>
    <col min="2836" max="3065" width="9.375" style="324"/>
    <col min="3066" max="3066" width="5" style="324" customWidth="1"/>
    <col min="3067" max="3067" width="17.875" style="324" bestFit="1" customWidth="1"/>
    <col min="3068" max="3068" width="9.875" style="324" customWidth="1"/>
    <col min="3069" max="3069" width="8.875" style="324" customWidth="1"/>
    <col min="3070" max="3070" width="7.375" style="324" bestFit="1" customWidth="1"/>
    <col min="3071" max="3071" width="10.125" style="324" bestFit="1" customWidth="1"/>
    <col min="3072" max="3072" width="9.375" style="324"/>
    <col min="3073" max="3073" width="10.125" style="324" bestFit="1" customWidth="1"/>
    <col min="3074" max="3074" width="10.75" style="324" customWidth="1"/>
    <col min="3075" max="3077" width="9.375" style="324"/>
    <col min="3078" max="3079" width="10.75" style="324" customWidth="1"/>
    <col min="3080" max="3084" width="9.375" style="324"/>
    <col min="3085" max="3085" width="1.625" style="324" bestFit="1" customWidth="1"/>
    <col min="3086" max="3086" width="9.375" style="324"/>
    <col min="3087" max="3087" width="8.875" style="324" customWidth="1"/>
    <col min="3088" max="3088" width="13.125" style="324" customWidth="1"/>
    <col min="3089" max="3089" width="9.375" style="324"/>
    <col min="3090" max="3090" width="9.875" style="324" customWidth="1"/>
    <col min="3091" max="3091" width="11.75" style="324" bestFit="1" customWidth="1"/>
    <col min="3092" max="3321" width="9.375" style="324"/>
    <col min="3322" max="3322" width="5" style="324" customWidth="1"/>
    <col min="3323" max="3323" width="17.875" style="324" bestFit="1" customWidth="1"/>
    <col min="3324" max="3324" width="9.875" style="324" customWidth="1"/>
    <col min="3325" max="3325" width="8.875" style="324" customWidth="1"/>
    <col min="3326" max="3326" width="7.375" style="324" bestFit="1" customWidth="1"/>
    <col min="3327" max="3327" width="10.125" style="324" bestFit="1" customWidth="1"/>
    <col min="3328" max="3328" width="9.375" style="324"/>
    <col min="3329" max="3329" width="10.125" style="324" bestFit="1" customWidth="1"/>
    <col min="3330" max="3330" width="10.75" style="324" customWidth="1"/>
    <col min="3331" max="3333" width="9.375" style="324"/>
    <col min="3334" max="3335" width="10.75" style="324" customWidth="1"/>
    <col min="3336" max="3340" width="9.375" style="324"/>
    <col min="3341" max="3341" width="1.625" style="324" bestFit="1" customWidth="1"/>
    <col min="3342" max="3342" width="9.375" style="324"/>
    <col min="3343" max="3343" width="8.875" style="324" customWidth="1"/>
    <col min="3344" max="3344" width="13.125" style="324" customWidth="1"/>
    <col min="3345" max="3345" width="9.375" style="324"/>
    <col min="3346" max="3346" width="9.875" style="324" customWidth="1"/>
    <col min="3347" max="3347" width="11.75" style="324" bestFit="1" customWidth="1"/>
    <col min="3348" max="3577" width="9.375" style="324"/>
    <col min="3578" max="3578" width="5" style="324" customWidth="1"/>
    <col min="3579" max="3579" width="17.875" style="324" bestFit="1" customWidth="1"/>
    <col min="3580" max="3580" width="9.875" style="324" customWidth="1"/>
    <col min="3581" max="3581" width="8.875" style="324" customWidth="1"/>
    <col min="3582" max="3582" width="7.375" style="324" bestFit="1" customWidth="1"/>
    <col min="3583" max="3583" width="10.125" style="324" bestFit="1" customWidth="1"/>
    <col min="3584" max="3584" width="9.375" style="324"/>
    <col min="3585" max="3585" width="10.125" style="324" bestFit="1" customWidth="1"/>
    <col min="3586" max="3586" width="10.75" style="324" customWidth="1"/>
    <col min="3587" max="3589" width="9.375" style="324"/>
    <col min="3590" max="3591" width="10.75" style="324" customWidth="1"/>
    <col min="3592" max="3596" width="9.375" style="324"/>
    <col min="3597" max="3597" width="1.625" style="324" bestFit="1" customWidth="1"/>
    <col min="3598" max="3598" width="9.375" style="324"/>
    <col min="3599" max="3599" width="8.875" style="324" customWidth="1"/>
    <col min="3600" max="3600" width="13.125" style="324" customWidth="1"/>
    <col min="3601" max="3601" width="9.375" style="324"/>
    <col min="3602" max="3602" width="9.875" style="324" customWidth="1"/>
    <col min="3603" max="3603" width="11.75" style="324" bestFit="1" customWidth="1"/>
    <col min="3604" max="3833" width="9.375" style="324"/>
    <col min="3834" max="3834" width="5" style="324" customWidth="1"/>
    <col min="3835" max="3835" width="17.875" style="324" bestFit="1" customWidth="1"/>
    <col min="3836" max="3836" width="9.875" style="324" customWidth="1"/>
    <col min="3837" max="3837" width="8.875" style="324" customWidth="1"/>
    <col min="3838" max="3838" width="7.375" style="324" bestFit="1" customWidth="1"/>
    <col min="3839" max="3839" width="10.125" style="324" bestFit="1" customWidth="1"/>
    <col min="3840" max="3840" width="9.375" style="324"/>
    <col min="3841" max="3841" width="10.125" style="324" bestFit="1" customWidth="1"/>
    <col min="3842" max="3842" width="10.75" style="324" customWidth="1"/>
    <col min="3843" max="3845" width="9.375" style="324"/>
    <col min="3846" max="3847" width="10.75" style="324" customWidth="1"/>
    <col min="3848" max="3852" width="9.375" style="324"/>
    <col min="3853" max="3853" width="1.625" style="324" bestFit="1" customWidth="1"/>
    <col min="3854" max="3854" width="9.375" style="324"/>
    <col min="3855" max="3855" width="8.875" style="324" customWidth="1"/>
    <col min="3856" max="3856" width="13.125" style="324" customWidth="1"/>
    <col min="3857" max="3857" width="9.375" style="324"/>
    <col min="3858" max="3858" width="9.875" style="324" customWidth="1"/>
    <col min="3859" max="3859" width="11.75" style="324" bestFit="1" customWidth="1"/>
    <col min="3860" max="4089" width="9.375" style="324"/>
    <col min="4090" max="4090" width="5" style="324" customWidth="1"/>
    <col min="4091" max="4091" width="17.875" style="324" bestFit="1" customWidth="1"/>
    <col min="4092" max="4092" width="9.875" style="324" customWidth="1"/>
    <col min="4093" max="4093" width="8.875" style="324" customWidth="1"/>
    <col min="4094" max="4094" width="7.375" style="324" bestFit="1" customWidth="1"/>
    <col min="4095" max="4095" width="10.125" style="324" bestFit="1" customWidth="1"/>
    <col min="4096" max="4096" width="9.375" style="324"/>
    <col min="4097" max="4097" width="10.125" style="324" bestFit="1" customWidth="1"/>
    <col min="4098" max="4098" width="10.75" style="324" customWidth="1"/>
    <col min="4099" max="4101" width="9.375" style="324"/>
    <col min="4102" max="4103" width="10.75" style="324" customWidth="1"/>
    <col min="4104" max="4108" width="9.375" style="324"/>
    <col min="4109" max="4109" width="1.625" style="324" bestFit="1" customWidth="1"/>
    <col min="4110" max="4110" width="9.375" style="324"/>
    <col min="4111" max="4111" width="8.875" style="324" customWidth="1"/>
    <col min="4112" max="4112" width="13.125" style="324" customWidth="1"/>
    <col min="4113" max="4113" width="9.375" style="324"/>
    <col min="4114" max="4114" width="9.875" style="324" customWidth="1"/>
    <col min="4115" max="4115" width="11.75" style="324" bestFit="1" customWidth="1"/>
    <col min="4116" max="4345" width="9.375" style="324"/>
    <col min="4346" max="4346" width="5" style="324" customWidth="1"/>
    <col min="4347" max="4347" width="17.875" style="324" bestFit="1" customWidth="1"/>
    <col min="4348" max="4348" width="9.875" style="324" customWidth="1"/>
    <col min="4349" max="4349" width="8.875" style="324" customWidth="1"/>
    <col min="4350" max="4350" width="7.375" style="324" bestFit="1" customWidth="1"/>
    <col min="4351" max="4351" width="10.125" style="324" bestFit="1" customWidth="1"/>
    <col min="4352" max="4352" width="9.375" style="324"/>
    <col min="4353" max="4353" width="10.125" style="324" bestFit="1" customWidth="1"/>
    <col min="4354" max="4354" width="10.75" style="324" customWidth="1"/>
    <col min="4355" max="4357" width="9.375" style="324"/>
    <col min="4358" max="4359" width="10.75" style="324" customWidth="1"/>
    <col min="4360" max="4364" width="9.375" style="324"/>
    <col min="4365" max="4365" width="1.625" style="324" bestFit="1" customWidth="1"/>
    <col min="4366" max="4366" width="9.375" style="324"/>
    <col min="4367" max="4367" width="8.875" style="324" customWidth="1"/>
    <col min="4368" max="4368" width="13.125" style="324" customWidth="1"/>
    <col min="4369" max="4369" width="9.375" style="324"/>
    <col min="4370" max="4370" width="9.875" style="324" customWidth="1"/>
    <col min="4371" max="4371" width="11.75" style="324" bestFit="1" customWidth="1"/>
    <col min="4372" max="4601" width="9.375" style="324"/>
    <col min="4602" max="4602" width="5" style="324" customWidth="1"/>
    <col min="4603" max="4603" width="17.875" style="324" bestFit="1" customWidth="1"/>
    <col min="4604" max="4604" width="9.875" style="324" customWidth="1"/>
    <col min="4605" max="4605" width="8.875" style="324" customWidth="1"/>
    <col min="4606" max="4606" width="7.375" style="324" bestFit="1" customWidth="1"/>
    <col min="4607" max="4607" width="10.125" style="324" bestFit="1" customWidth="1"/>
    <col min="4608" max="4608" width="9.375" style="324"/>
    <col min="4609" max="4609" width="10.125" style="324" bestFit="1" customWidth="1"/>
    <col min="4610" max="4610" width="10.75" style="324" customWidth="1"/>
    <col min="4611" max="4613" width="9.375" style="324"/>
    <col min="4614" max="4615" width="10.75" style="324" customWidth="1"/>
    <col min="4616" max="4620" width="9.375" style="324"/>
    <col min="4621" max="4621" width="1.625" style="324" bestFit="1" customWidth="1"/>
    <col min="4622" max="4622" width="9.375" style="324"/>
    <col min="4623" max="4623" width="8.875" style="324" customWidth="1"/>
    <col min="4624" max="4624" width="13.125" style="324" customWidth="1"/>
    <col min="4625" max="4625" width="9.375" style="324"/>
    <col min="4626" max="4626" width="9.875" style="324" customWidth="1"/>
    <col min="4627" max="4627" width="11.75" style="324" bestFit="1" customWidth="1"/>
    <col min="4628" max="4857" width="9.375" style="324"/>
    <col min="4858" max="4858" width="5" style="324" customWidth="1"/>
    <col min="4859" max="4859" width="17.875" style="324" bestFit="1" customWidth="1"/>
    <col min="4860" max="4860" width="9.875" style="324" customWidth="1"/>
    <col min="4861" max="4861" width="8.875" style="324" customWidth="1"/>
    <col min="4862" max="4862" width="7.375" style="324" bestFit="1" customWidth="1"/>
    <col min="4863" max="4863" width="10.125" style="324" bestFit="1" customWidth="1"/>
    <col min="4864" max="4864" width="9.375" style="324"/>
    <col min="4865" max="4865" width="10.125" style="324" bestFit="1" customWidth="1"/>
    <col min="4866" max="4866" width="10.75" style="324" customWidth="1"/>
    <col min="4867" max="4869" width="9.375" style="324"/>
    <col min="4870" max="4871" width="10.75" style="324" customWidth="1"/>
    <col min="4872" max="4876" width="9.375" style="324"/>
    <col min="4877" max="4877" width="1.625" style="324" bestFit="1" customWidth="1"/>
    <col min="4878" max="4878" width="9.375" style="324"/>
    <col min="4879" max="4879" width="8.875" style="324" customWidth="1"/>
    <col min="4880" max="4880" width="13.125" style="324" customWidth="1"/>
    <col min="4881" max="4881" width="9.375" style="324"/>
    <col min="4882" max="4882" width="9.875" style="324" customWidth="1"/>
    <col min="4883" max="4883" width="11.75" style="324" bestFit="1" customWidth="1"/>
    <col min="4884" max="5113" width="9.375" style="324"/>
    <col min="5114" max="5114" width="5" style="324" customWidth="1"/>
    <col min="5115" max="5115" width="17.875" style="324" bestFit="1" customWidth="1"/>
    <col min="5116" max="5116" width="9.875" style="324" customWidth="1"/>
    <col min="5117" max="5117" width="8.875" style="324" customWidth="1"/>
    <col min="5118" max="5118" width="7.375" style="324" bestFit="1" customWidth="1"/>
    <col min="5119" max="5119" width="10.125" style="324" bestFit="1" customWidth="1"/>
    <col min="5120" max="5120" width="9.375" style="324"/>
    <col min="5121" max="5121" width="10.125" style="324" bestFit="1" customWidth="1"/>
    <col min="5122" max="5122" width="10.75" style="324" customWidth="1"/>
    <col min="5123" max="5125" width="9.375" style="324"/>
    <col min="5126" max="5127" width="10.75" style="324" customWidth="1"/>
    <col min="5128" max="5132" width="9.375" style="324"/>
    <col min="5133" max="5133" width="1.625" style="324" bestFit="1" customWidth="1"/>
    <col min="5134" max="5134" width="9.375" style="324"/>
    <col min="5135" max="5135" width="8.875" style="324" customWidth="1"/>
    <col min="5136" max="5136" width="13.125" style="324" customWidth="1"/>
    <col min="5137" max="5137" width="9.375" style="324"/>
    <col min="5138" max="5138" width="9.875" style="324" customWidth="1"/>
    <col min="5139" max="5139" width="11.75" style="324" bestFit="1" customWidth="1"/>
    <col min="5140" max="5369" width="9.375" style="324"/>
    <col min="5370" max="5370" width="5" style="324" customWidth="1"/>
    <col min="5371" max="5371" width="17.875" style="324" bestFit="1" customWidth="1"/>
    <col min="5372" max="5372" width="9.875" style="324" customWidth="1"/>
    <col min="5373" max="5373" width="8.875" style="324" customWidth="1"/>
    <col min="5374" max="5374" width="7.375" style="324" bestFit="1" customWidth="1"/>
    <col min="5375" max="5375" width="10.125" style="324" bestFit="1" customWidth="1"/>
    <col min="5376" max="5376" width="9.375" style="324"/>
    <col min="5377" max="5377" width="10.125" style="324" bestFit="1" customWidth="1"/>
    <col min="5378" max="5378" width="10.75" style="324" customWidth="1"/>
    <col min="5379" max="5381" width="9.375" style="324"/>
    <col min="5382" max="5383" width="10.75" style="324" customWidth="1"/>
    <col min="5384" max="5388" width="9.375" style="324"/>
    <col min="5389" max="5389" width="1.625" style="324" bestFit="1" customWidth="1"/>
    <col min="5390" max="5390" width="9.375" style="324"/>
    <col min="5391" max="5391" width="8.875" style="324" customWidth="1"/>
    <col min="5392" max="5392" width="13.125" style="324" customWidth="1"/>
    <col min="5393" max="5393" width="9.375" style="324"/>
    <col min="5394" max="5394" width="9.875" style="324" customWidth="1"/>
    <col min="5395" max="5395" width="11.75" style="324" bestFit="1" customWidth="1"/>
    <col min="5396" max="5625" width="9.375" style="324"/>
    <col min="5626" max="5626" width="5" style="324" customWidth="1"/>
    <col min="5627" max="5627" width="17.875" style="324" bestFit="1" customWidth="1"/>
    <col min="5628" max="5628" width="9.875" style="324" customWidth="1"/>
    <col min="5629" max="5629" width="8.875" style="324" customWidth="1"/>
    <col min="5630" max="5630" width="7.375" style="324" bestFit="1" customWidth="1"/>
    <col min="5631" max="5631" width="10.125" style="324" bestFit="1" customWidth="1"/>
    <col min="5632" max="5632" width="9.375" style="324"/>
    <col min="5633" max="5633" width="10.125" style="324" bestFit="1" customWidth="1"/>
    <col min="5634" max="5634" width="10.75" style="324" customWidth="1"/>
    <col min="5635" max="5637" width="9.375" style="324"/>
    <col min="5638" max="5639" width="10.75" style="324" customWidth="1"/>
    <col min="5640" max="5644" width="9.375" style="324"/>
    <col min="5645" max="5645" width="1.625" style="324" bestFit="1" customWidth="1"/>
    <col min="5646" max="5646" width="9.375" style="324"/>
    <col min="5647" max="5647" width="8.875" style="324" customWidth="1"/>
    <col min="5648" max="5648" width="13.125" style="324" customWidth="1"/>
    <col min="5649" max="5649" width="9.375" style="324"/>
    <col min="5650" max="5650" width="9.875" style="324" customWidth="1"/>
    <col min="5651" max="5651" width="11.75" style="324" bestFit="1" customWidth="1"/>
    <col min="5652" max="5881" width="9.375" style="324"/>
    <col min="5882" max="5882" width="5" style="324" customWidth="1"/>
    <col min="5883" max="5883" width="17.875" style="324" bestFit="1" customWidth="1"/>
    <col min="5884" max="5884" width="9.875" style="324" customWidth="1"/>
    <col min="5885" max="5885" width="8.875" style="324" customWidth="1"/>
    <col min="5886" max="5886" width="7.375" style="324" bestFit="1" customWidth="1"/>
    <col min="5887" max="5887" width="10.125" style="324" bestFit="1" customWidth="1"/>
    <col min="5888" max="5888" width="9.375" style="324"/>
    <col min="5889" max="5889" width="10.125" style="324" bestFit="1" customWidth="1"/>
    <col min="5890" max="5890" width="10.75" style="324" customWidth="1"/>
    <col min="5891" max="5893" width="9.375" style="324"/>
    <col min="5894" max="5895" width="10.75" style="324" customWidth="1"/>
    <col min="5896" max="5900" width="9.375" style="324"/>
    <col min="5901" max="5901" width="1.625" style="324" bestFit="1" customWidth="1"/>
    <col min="5902" max="5902" width="9.375" style="324"/>
    <col min="5903" max="5903" width="8.875" style="324" customWidth="1"/>
    <col min="5904" max="5904" width="13.125" style="324" customWidth="1"/>
    <col min="5905" max="5905" width="9.375" style="324"/>
    <col min="5906" max="5906" width="9.875" style="324" customWidth="1"/>
    <col min="5907" max="5907" width="11.75" style="324" bestFit="1" customWidth="1"/>
    <col min="5908" max="6137" width="9.375" style="324"/>
    <col min="6138" max="6138" width="5" style="324" customWidth="1"/>
    <col min="6139" max="6139" width="17.875" style="324" bestFit="1" customWidth="1"/>
    <col min="6140" max="6140" width="9.875" style="324" customWidth="1"/>
    <col min="6141" max="6141" width="8.875" style="324" customWidth="1"/>
    <col min="6142" max="6142" width="7.375" style="324" bestFit="1" customWidth="1"/>
    <col min="6143" max="6143" width="10.125" style="324" bestFit="1" customWidth="1"/>
    <col min="6144" max="6144" width="9.375" style="324"/>
    <col min="6145" max="6145" width="10.125" style="324" bestFit="1" customWidth="1"/>
    <col min="6146" max="6146" width="10.75" style="324" customWidth="1"/>
    <col min="6147" max="6149" width="9.375" style="324"/>
    <col min="6150" max="6151" width="10.75" style="324" customWidth="1"/>
    <col min="6152" max="6156" width="9.375" style="324"/>
    <col min="6157" max="6157" width="1.625" style="324" bestFit="1" customWidth="1"/>
    <col min="6158" max="6158" width="9.375" style="324"/>
    <col min="6159" max="6159" width="8.875" style="324" customWidth="1"/>
    <col min="6160" max="6160" width="13.125" style="324" customWidth="1"/>
    <col min="6161" max="6161" width="9.375" style="324"/>
    <col min="6162" max="6162" width="9.875" style="324" customWidth="1"/>
    <col min="6163" max="6163" width="11.75" style="324" bestFit="1" customWidth="1"/>
    <col min="6164" max="6393" width="9.375" style="324"/>
    <col min="6394" max="6394" width="5" style="324" customWidth="1"/>
    <col min="6395" max="6395" width="17.875" style="324" bestFit="1" customWidth="1"/>
    <col min="6396" max="6396" width="9.875" style="324" customWidth="1"/>
    <col min="6397" max="6397" width="8.875" style="324" customWidth="1"/>
    <col min="6398" max="6398" width="7.375" style="324" bestFit="1" customWidth="1"/>
    <col min="6399" max="6399" width="10.125" style="324" bestFit="1" customWidth="1"/>
    <col min="6400" max="6400" width="9.375" style="324"/>
    <col min="6401" max="6401" width="10.125" style="324" bestFit="1" customWidth="1"/>
    <col min="6402" max="6402" width="10.75" style="324" customWidth="1"/>
    <col min="6403" max="6405" width="9.375" style="324"/>
    <col min="6406" max="6407" width="10.75" style="324" customWidth="1"/>
    <col min="6408" max="6412" width="9.375" style="324"/>
    <col min="6413" max="6413" width="1.625" style="324" bestFit="1" customWidth="1"/>
    <col min="6414" max="6414" width="9.375" style="324"/>
    <col min="6415" max="6415" width="8.875" style="324" customWidth="1"/>
    <col min="6416" max="6416" width="13.125" style="324" customWidth="1"/>
    <col min="6417" max="6417" width="9.375" style="324"/>
    <col min="6418" max="6418" width="9.875" style="324" customWidth="1"/>
    <col min="6419" max="6419" width="11.75" style="324" bestFit="1" customWidth="1"/>
    <col min="6420" max="6649" width="9.375" style="324"/>
    <col min="6650" max="6650" width="5" style="324" customWidth="1"/>
    <col min="6651" max="6651" width="17.875" style="324" bestFit="1" customWidth="1"/>
    <col min="6652" max="6652" width="9.875" style="324" customWidth="1"/>
    <col min="6653" max="6653" width="8.875" style="324" customWidth="1"/>
    <col min="6654" max="6654" width="7.375" style="324" bestFit="1" customWidth="1"/>
    <col min="6655" max="6655" width="10.125" style="324" bestFit="1" customWidth="1"/>
    <col min="6656" max="6656" width="9.375" style="324"/>
    <col min="6657" max="6657" width="10.125" style="324" bestFit="1" customWidth="1"/>
    <col min="6658" max="6658" width="10.75" style="324" customWidth="1"/>
    <col min="6659" max="6661" width="9.375" style="324"/>
    <col min="6662" max="6663" width="10.75" style="324" customWidth="1"/>
    <col min="6664" max="6668" width="9.375" style="324"/>
    <col min="6669" max="6669" width="1.625" style="324" bestFit="1" customWidth="1"/>
    <col min="6670" max="6670" width="9.375" style="324"/>
    <col min="6671" max="6671" width="8.875" style="324" customWidth="1"/>
    <col min="6672" max="6672" width="13.125" style="324" customWidth="1"/>
    <col min="6673" max="6673" width="9.375" style="324"/>
    <col min="6674" max="6674" width="9.875" style="324" customWidth="1"/>
    <col min="6675" max="6675" width="11.75" style="324" bestFit="1" customWidth="1"/>
    <col min="6676" max="6905" width="9.375" style="324"/>
    <col min="6906" max="6906" width="5" style="324" customWidth="1"/>
    <col min="6907" max="6907" width="17.875" style="324" bestFit="1" customWidth="1"/>
    <col min="6908" max="6908" width="9.875" style="324" customWidth="1"/>
    <col min="6909" max="6909" width="8.875" style="324" customWidth="1"/>
    <col min="6910" max="6910" width="7.375" style="324" bestFit="1" customWidth="1"/>
    <col min="6911" max="6911" width="10.125" style="324" bestFit="1" customWidth="1"/>
    <col min="6912" max="6912" width="9.375" style="324"/>
    <col min="6913" max="6913" width="10.125" style="324" bestFit="1" customWidth="1"/>
    <col min="6914" max="6914" width="10.75" style="324" customWidth="1"/>
    <col min="6915" max="6917" width="9.375" style="324"/>
    <col min="6918" max="6919" width="10.75" style="324" customWidth="1"/>
    <col min="6920" max="6924" width="9.375" style="324"/>
    <col min="6925" max="6925" width="1.625" style="324" bestFit="1" customWidth="1"/>
    <col min="6926" max="6926" width="9.375" style="324"/>
    <col min="6927" max="6927" width="8.875" style="324" customWidth="1"/>
    <col min="6928" max="6928" width="13.125" style="324" customWidth="1"/>
    <col min="6929" max="6929" width="9.375" style="324"/>
    <col min="6930" max="6930" width="9.875" style="324" customWidth="1"/>
    <col min="6931" max="6931" width="11.75" style="324" bestFit="1" customWidth="1"/>
    <col min="6932" max="7161" width="9.375" style="324"/>
    <col min="7162" max="7162" width="5" style="324" customWidth="1"/>
    <col min="7163" max="7163" width="17.875" style="324" bestFit="1" customWidth="1"/>
    <col min="7164" max="7164" width="9.875" style="324" customWidth="1"/>
    <col min="7165" max="7165" width="8.875" style="324" customWidth="1"/>
    <col min="7166" max="7166" width="7.375" style="324" bestFit="1" customWidth="1"/>
    <col min="7167" max="7167" width="10.125" style="324" bestFit="1" customWidth="1"/>
    <col min="7168" max="7168" width="9.375" style="324"/>
    <col min="7169" max="7169" width="10.125" style="324" bestFit="1" customWidth="1"/>
    <col min="7170" max="7170" width="10.75" style="324" customWidth="1"/>
    <col min="7171" max="7173" width="9.375" style="324"/>
    <col min="7174" max="7175" width="10.75" style="324" customWidth="1"/>
    <col min="7176" max="7180" width="9.375" style="324"/>
    <col min="7181" max="7181" width="1.625" style="324" bestFit="1" customWidth="1"/>
    <col min="7182" max="7182" width="9.375" style="324"/>
    <col min="7183" max="7183" width="8.875" style="324" customWidth="1"/>
    <col min="7184" max="7184" width="13.125" style="324" customWidth="1"/>
    <col min="7185" max="7185" width="9.375" style="324"/>
    <col min="7186" max="7186" width="9.875" style="324" customWidth="1"/>
    <col min="7187" max="7187" width="11.75" style="324" bestFit="1" customWidth="1"/>
    <col min="7188" max="7417" width="9.375" style="324"/>
    <col min="7418" max="7418" width="5" style="324" customWidth="1"/>
    <col min="7419" max="7419" width="17.875" style="324" bestFit="1" customWidth="1"/>
    <col min="7420" max="7420" width="9.875" style="324" customWidth="1"/>
    <col min="7421" max="7421" width="8.875" style="324" customWidth="1"/>
    <col min="7422" max="7422" width="7.375" style="324" bestFit="1" customWidth="1"/>
    <col min="7423" max="7423" width="10.125" style="324" bestFit="1" customWidth="1"/>
    <col min="7424" max="7424" width="9.375" style="324"/>
    <col min="7425" max="7425" width="10.125" style="324" bestFit="1" customWidth="1"/>
    <col min="7426" max="7426" width="10.75" style="324" customWidth="1"/>
    <col min="7427" max="7429" width="9.375" style="324"/>
    <col min="7430" max="7431" width="10.75" style="324" customWidth="1"/>
    <col min="7432" max="7436" width="9.375" style="324"/>
    <col min="7437" max="7437" width="1.625" style="324" bestFit="1" customWidth="1"/>
    <col min="7438" max="7438" width="9.375" style="324"/>
    <col min="7439" max="7439" width="8.875" style="324" customWidth="1"/>
    <col min="7440" max="7440" width="13.125" style="324" customWidth="1"/>
    <col min="7441" max="7441" width="9.375" style="324"/>
    <col min="7442" max="7442" width="9.875" style="324" customWidth="1"/>
    <col min="7443" max="7443" width="11.75" style="324" bestFit="1" customWidth="1"/>
    <col min="7444" max="7673" width="9.375" style="324"/>
    <col min="7674" max="7674" width="5" style="324" customWidth="1"/>
    <col min="7675" max="7675" width="17.875" style="324" bestFit="1" customWidth="1"/>
    <col min="7676" max="7676" width="9.875" style="324" customWidth="1"/>
    <col min="7677" max="7677" width="8.875" style="324" customWidth="1"/>
    <col min="7678" max="7678" width="7.375" style="324" bestFit="1" customWidth="1"/>
    <col min="7679" max="7679" width="10.125" style="324" bestFit="1" customWidth="1"/>
    <col min="7680" max="7680" width="9.375" style="324"/>
    <col min="7681" max="7681" width="10.125" style="324" bestFit="1" customWidth="1"/>
    <col min="7682" max="7682" width="10.75" style="324" customWidth="1"/>
    <col min="7683" max="7685" width="9.375" style="324"/>
    <col min="7686" max="7687" width="10.75" style="324" customWidth="1"/>
    <col min="7688" max="7692" width="9.375" style="324"/>
    <col min="7693" max="7693" width="1.625" style="324" bestFit="1" customWidth="1"/>
    <col min="7694" max="7694" width="9.375" style="324"/>
    <col min="7695" max="7695" width="8.875" style="324" customWidth="1"/>
    <col min="7696" max="7696" width="13.125" style="324" customWidth="1"/>
    <col min="7697" max="7697" width="9.375" style="324"/>
    <col min="7698" max="7698" width="9.875" style="324" customWidth="1"/>
    <col min="7699" max="7699" width="11.75" style="324" bestFit="1" customWidth="1"/>
    <col min="7700" max="7929" width="9.375" style="324"/>
    <col min="7930" max="7930" width="5" style="324" customWidth="1"/>
    <col min="7931" max="7931" width="17.875" style="324" bestFit="1" customWidth="1"/>
    <col min="7932" max="7932" width="9.875" style="324" customWidth="1"/>
    <col min="7933" max="7933" width="8.875" style="324" customWidth="1"/>
    <col min="7934" max="7934" width="7.375" style="324" bestFit="1" customWidth="1"/>
    <col min="7935" max="7935" width="10.125" style="324" bestFit="1" customWidth="1"/>
    <col min="7936" max="7936" width="9.375" style="324"/>
    <col min="7937" max="7937" width="10.125" style="324" bestFit="1" customWidth="1"/>
    <col min="7938" max="7938" width="10.75" style="324" customWidth="1"/>
    <col min="7939" max="7941" width="9.375" style="324"/>
    <col min="7942" max="7943" width="10.75" style="324" customWidth="1"/>
    <col min="7944" max="7948" width="9.375" style="324"/>
    <col min="7949" max="7949" width="1.625" style="324" bestFit="1" customWidth="1"/>
    <col min="7950" max="7950" width="9.375" style="324"/>
    <col min="7951" max="7951" width="8.875" style="324" customWidth="1"/>
    <col min="7952" max="7952" width="13.125" style="324" customWidth="1"/>
    <col min="7953" max="7953" width="9.375" style="324"/>
    <col min="7954" max="7954" width="9.875" style="324" customWidth="1"/>
    <col min="7955" max="7955" width="11.75" style="324" bestFit="1" customWidth="1"/>
    <col min="7956" max="8185" width="9.375" style="324"/>
    <col min="8186" max="8186" width="5" style="324" customWidth="1"/>
    <col min="8187" max="8187" width="17.875" style="324" bestFit="1" customWidth="1"/>
    <col min="8188" max="8188" width="9.875" style="324" customWidth="1"/>
    <col min="8189" max="8189" width="8.875" style="324" customWidth="1"/>
    <col min="8190" max="8190" width="7.375" style="324" bestFit="1" customWidth="1"/>
    <col min="8191" max="8191" width="10.125" style="324" bestFit="1" customWidth="1"/>
    <col min="8192" max="8192" width="9.375" style="324"/>
    <col min="8193" max="8193" width="10.125" style="324" bestFit="1" customWidth="1"/>
    <col min="8194" max="8194" width="10.75" style="324" customWidth="1"/>
    <col min="8195" max="8197" width="9.375" style="324"/>
    <col min="8198" max="8199" width="10.75" style="324" customWidth="1"/>
    <col min="8200" max="8204" width="9.375" style="324"/>
    <col min="8205" max="8205" width="1.625" style="324" bestFit="1" customWidth="1"/>
    <col min="8206" max="8206" width="9.375" style="324"/>
    <col min="8207" max="8207" width="8.875" style="324" customWidth="1"/>
    <col min="8208" max="8208" width="13.125" style="324" customWidth="1"/>
    <col min="8209" max="8209" width="9.375" style="324"/>
    <col min="8210" max="8210" width="9.875" style="324" customWidth="1"/>
    <col min="8211" max="8211" width="11.75" style="324" bestFit="1" customWidth="1"/>
    <col min="8212" max="8441" width="9.375" style="324"/>
    <col min="8442" max="8442" width="5" style="324" customWidth="1"/>
    <col min="8443" max="8443" width="17.875" style="324" bestFit="1" customWidth="1"/>
    <col min="8444" max="8444" width="9.875" style="324" customWidth="1"/>
    <col min="8445" max="8445" width="8.875" style="324" customWidth="1"/>
    <col min="8446" max="8446" width="7.375" style="324" bestFit="1" customWidth="1"/>
    <col min="8447" max="8447" width="10.125" style="324" bestFit="1" customWidth="1"/>
    <col min="8448" max="8448" width="9.375" style="324"/>
    <col min="8449" max="8449" width="10.125" style="324" bestFit="1" customWidth="1"/>
    <col min="8450" max="8450" width="10.75" style="324" customWidth="1"/>
    <col min="8451" max="8453" width="9.375" style="324"/>
    <col min="8454" max="8455" width="10.75" style="324" customWidth="1"/>
    <col min="8456" max="8460" width="9.375" style="324"/>
    <col min="8461" max="8461" width="1.625" style="324" bestFit="1" customWidth="1"/>
    <col min="8462" max="8462" width="9.375" style="324"/>
    <col min="8463" max="8463" width="8.875" style="324" customWidth="1"/>
    <col min="8464" max="8464" width="13.125" style="324" customWidth="1"/>
    <col min="8465" max="8465" width="9.375" style="324"/>
    <col min="8466" max="8466" width="9.875" style="324" customWidth="1"/>
    <col min="8467" max="8467" width="11.75" style="324" bestFit="1" customWidth="1"/>
    <col min="8468" max="8697" width="9.375" style="324"/>
    <col min="8698" max="8698" width="5" style="324" customWidth="1"/>
    <col min="8699" max="8699" width="17.875" style="324" bestFit="1" customWidth="1"/>
    <col min="8700" max="8700" width="9.875" style="324" customWidth="1"/>
    <col min="8701" max="8701" width="8.875" style="324" customWidth="1"/>
    <col min="8702" max="8702" width="7.375" style="324" bestFit="1" customWidth="1"/>
    <col min="8703" max="8703" width="10.125" style="324" bestFit="1" customWidth="1"/>
    <col min="8704" max="8704" width="9.375" style="324"/>
    <col min="8705" max="8705" width="10.125" style="324" bestFit="1" customWidth="1"/>
    <col min="8706" max="8706" width="10.75" style="324" customWidth="1"/>
    <col min="8707" max="8709" width="9.375" style="324"/>
    <col min="8710" max="8711" width="10.75" style="324" customWidth="1"/>
    <col min="8712" max="8716" width="9.375" style="324"/>
    <col min="8717" max="8717" width="1.625" style="324" bestFit="1" customWidth="1"/>
    <col min="8718" max="8718" width="9.375" style="324"/>
    <col min="8719" max="8719" width="8.875" style="324" customWidth="1"/>
    <col min="8720" max="8720" width="13.125" style="324" customWidth="1"/>
    <col min="8721" max="8721" width="9.375" style="324"/>
    <col min="8722" max="8722" width="9.875" style="324" customWidth="1"/>
    <col min="8723" max="8723" width="11.75" style="324" bestFit="1" customWidth="1"/>
    <col min="8724" max="8953" width="9.375" style="324"/>
    <col min="8954" max="8954" width="5" style="324" customWidth="1"/>
    <col min="8955" max="8955" width="17.875" style="324" bestFit="1" customWidth="1"/>
    <col min="8956" max="8956" width="9.875" style="324" customWidth="1"/>
    <col min="8957" max="8957" width="8.875" style="324" customWidth="1"/>
    <col min="8958" max="8958" width="7.375" style="324" bestFit="1" customWidth="1"/>
    <col min="8959" max="8959" width="10.125" style="324" bestFit="1" customWidth="1"/>
    <col min="8960" max="8960" width="9.375" style="324"/>
    <col min="8961" max="8961" width="10.125" style="324" bestFit="1" customWidth="1"/>
    <col min="8962" max="8962" width="10.75" style="324" customWidth="1"/>
    <col min="8963" max="8965" width="9.375" style="324"/>
    <col min="8966" max="8967" width="10.75" style="324" customWidth="1"/>
    <col min="8968" max="8972" width="9.375" style="324"/>
    <col min="8973" max="8973" width="1.625" style="324" bestFit="1" customWidth="1"/>
    <col min="8974" max="8974" width="9.375" style="324"/>
    <col min="8975" max="8975" width="8.875" style="324" customWidth="1"/>
    <col min="8976" max="8976" width="13.125" style="324" customWidth="1"/>
    <col min="8977" max="8977" width="9.375" style="324"/>
    <col min="8978" max="8978" width="9.875" style="324" customWidth="1"/>
    <col min="8979" max="8979" width="11.75" style="324" bestFit="1" customWidth="1"/>
    <col min="8980" max="9209" width="9.375" style="324"/>
    <col min="9210" max="9210" width="5" style="324" customWidth="1"/>
    <col min="9211" max="9211" width="17.875" style="324" bestFit="1" customWidth="1"/>
    <col min="9212" max="9212" width="9.875" style="324" customWidth="1"/>
    <col min="9213" max="9213" width="8.875" style="324" customWidth="1"/>
    <col min="9214" max="9214" width="7.375" style="324" bestFit="1" customWidth="1"/>
    <col min="9215" max="9215" width="10.125" style="324" bestFit="1" customWidth="1"/>
    <col min="9216" max="9216" width="9.375" style="324"/>
    <col min="9217" max="9217" width="10.125" style="324" bestFit="1" customWidth="1"/>
    <col min="9218" max="9218" width="10.75" style="324" customWidth="1"/>
    <col min="9219" max="9221" width="9.375" style="324"/>
    <col min="9222" max="9223" width="10.75" style="324" customWidth="1"/>
    <col min="9224" max="9228" width="9.375" style="324"/>
    <col min="9229" max="9229" width="1.625" style="324" bestFit="1" customWidth="1"/>
    <col min="9230" max="9230" width="9.375" style="324"/>
    <col min="9231" max="9231" width="8.875" style="324" customWidth="1"/>
    <col min="9232" max="9232" width="13.125" style="324" customWidth="1"/>
    <col min="9233" max="9233" width="9.375" style="324"/>
    <col min="9234" max="9234" width="9.875" style="324" customWidth="1"/>
    <col min="9235" max="9235" width="11.75" style="324" bestFit="1" customWidth="1"/>
    <col min="9236" max="9465" width="9.375" style="324"/>
    <col min="9466" max="9466" width="5" style="324" customWidth="1"/>
    <col min="9467" max="9467" width="17.875" style="324" bestFit="1" customWidth="1"/>
    <col min="9468" max="9468" width="9.875" style="324" customWidth="1"/>
    <col min="9469" max="9469" width="8.875" style="324" customWidth="1"/>
    <col min="9470" max="9470" width="7.375" style="324" bestFit="1" customWidth="1"/>
    <col min="9471" max="9471" width="10.125" style="324" bestFit="1" customWidth="1"/>
    <col min="9472" max="9472" width="9.375" style="324"/>
    <col min="9473" max="9473" width="10.125" style="324" bestFit="1" customWidth="1"/>
    <col min="9474" max="9474" width="10.75" style="324" customWidth="1"/>
    <col min="9475" max="9477" width="9.375" style="324"/>
    <col min="9478" max="9479" width="10.75" style="324" customWidth="1"/>
    <col min="9480" max="9484" width="9.375" style="324"/>
    <col min="9485" max="9485" width="1.625" style="324" bestFit="1" customWidth="1"/>
    <col min="9486" max="9486" width="9.375" style="324"/>
    <col min="9487" max="9487" width="8.875" style="324" customWidth="1"/>
    <col min="9488" max="9488" width="13.125" style="324" customWidth="1"/>
    <col min="9489" max="9489" width="9.375" style="324"/>
    <col min="9490" max="9490" width="9.875" style="324" customWidth="1"/>
    <col min="9491" max="9491" width="11.75" style="324" bestFit="1" customWidth="1"/>
    <col min="9492" max="9721" width="9.375" style="324"/>
    <col min="9722" max="9722" width="5" style="324" customWidth="1"/>
    <col min="9723" max="9723" width="17.875" style="324" bestFit="1" customWidth="1"/>
    <col min="9724" max="9724" width="9.875" style="324" customWidth="1"/>
    <col min="9725" max="9725" width="8.875" style="324" customWidth="1"/>
    <col min="9726" max="9726" width="7.375" style="324" bestFit="1" customWidth="1"/>
    <col min="9727" max="9727" width="10.125" style="324" bestFit="1" customWidth="1"/>
    <col min="9728" max="9728" width="9.375" style="324"/>
    <col min="9729" max="9729" width="10.125" style="324" bestFit="1" customWidth="1"/>
    <col min="9730" max="9730" width="10.75" style="324" customWidth="1"/>
    <col min="9731" max="9733" width="9.375" style="324"/>
    <col min="9734" max="9735" width="10.75" style="324" customWidth="1"/>
    <col min="9736" max="9740" width="9.375" style="324"/>
    <col min="9741" max="9741" width="1.625" style="324" bestFit="1" customWidth="1"/>
    <col min="9742" max="9742" width="9.375" style="324"/>
    <col min="9743" max="9743" width="8.875" style="324" customWidth="1"/>
    <col min="9744" max="9744" width="13.125" style="324" customWidth="1"/>
    <col min="9745" max="9745" width="9.375" style="324"/>
    <col min="9746" max="9746" width="9.875" style="324" customWidth="1"/>
    <col min="9747" max="9747" width="11.75" style="324" bestFit="1" customWidth="1"/>
    <col min="9748" max="9977" width="9.375" style="324"/>
    <col min="9978" max="9978" width="5" style="324" customWidth="1"/>
    <col min="9979" max="9979" width="17.875" style="324" bestFit="1" customWidth="1"/>
    <col min="9980" max="9980" width="9.875" style="324" customWidth="1"/>
    <col min="9981" max="9981" width="8.875" style="324" customWidth="1"/>
    <col min="9982" max="9982" width="7.375" style="324" bestFit="1" customWidth="1"/>
    <col min="9983" max="9983" width="10.125" style="324" bestFit="1" customWidth="1"/>
    <col min="9984" max="9984" width="9.375" style="324"/>
    <col min="9985" max="9985" width="10.125" style="324" bestFit="1" customWidth="1"/>
    <col min="9986" max="9986" width="10.75" style="324" customWidth="1"/>
    <col min="9987" max="9989" width="9.375" style="324"/>
    <col min="9990" max="9991" width="10.75" style="324" customWidth="1"/>
    <col min="9992" max="9996" width="9.375" style="324"/>
    <col min="9997" max="9997" width="1.625" style="324" bestFit="1" customWidth="1"/>
    <col min="9998" max="9998" width="9.375" style="324"/>
    <col min="9999" max="9999" width="8.875" style="324" customWidth="1"/>
    <col min="10000" max="10000" width="13.125" style="324" customWidth="1"/>
    <col min="10001" max="10001" width="9.375" style="324"/>
    <col min="10002" max="10002" width="9.875" style="324" customWidth="1"/>
    <col min="10003" max="10003" width="11.75" style="324" bestFit="1" customWidth="1"/>
    <col min="10004" max="10233" width="9.375" style="324"/>
    <col min="10234" max="10234" width="5" style="324" customWidth="1"/>
    <col min="10235" max="10235" width="17.875" style="324" bestFit="1" customWidth="1"/>
    <col min="10236" max="10236" width="9.875" style="324" customWidth="1"/>
    <col min="10237" max="10237" width="8.875" style="324" customWidth="1"/>
    <col min="10238" max="10238" width="7.375" style="324" bestFit="1" customWidth="1"/>
    <col min="10239" max="10239" width="10.125" style="324" bestFit="1" customWidth="1"/>
    <col min="10240" max="10240" width="9.375" style="324"/>
    <col min="10241" max="10241" width="10.125" style="324" bestFit="1" customWidth="1"/>
    <col min="10242" max="10242" width="10.75" style="324" customWidth="1"/>
    <col min="10243" max="10245" width="9.375" style="324"/>
    <col min="10246" max="10247" width="10.75" style="324" customWidth="1"/>
    <col min="10248" max="10252" width="9.375" style="324"/>
    <col min="10253" max="10253" width="1.625" style="324" bestFit="1" customWidth="1"/>
    <col min="10254" max="10254" width="9.375" style="324"/>
    <col min="10255" max="10255" width="8.875" style="324" customWidth="1"/>
    <col min="10256" max="10256" width="13.125" style="324" customWidth="1"/>
    <col min="10257" max="10257" width="9.375" style="324"/>
    <col min="10258" max="10258" width="9.875" style="324" customWidth="1"/>
    <col min="10259" max="10259" width="11.75" style="324" bestFit="1" customWidth="1"/>
    <col min="10260" max="10489" width="9.375" style="324"/>
    <col min="10490" max="10490" width="5" style="324" customWidth="1"/>
    <col min="10491" max="10491" width="17.875" style="324" bestFit="1" customWidth="1"/>
    <col min="10492" max="10492" width="9.875" style="324" customWidth="1"/>
    <col min="10493" max="10493" width="8.875" style="324" customWidth="1"/>
    <col min="10494" max="10494" width="7.375" style="324" bestFit="1" customWidth="1"/>
    <col min="10495" max="10495" width="10.125" style="324" bestFit="1" customWidth="1"/>
    <col min="10496" max="10496" width="9.375" style="324"/>
    <col min="10497" max="10497" width="10.125" style="324" bestFit="1" customWidth="1"/>
    <col min="10498" max="10498" width="10.75" style="324" customWidth="1"/>
    <col min="10499" max="10501" width="9.375" style="324"/>
    <col min="10502" max="10503" width="10.75" style="324" customWidth="1"/>
    <col min="10504" max="10508" width="9.375" style="324"/>
    <col min="10509" max="10509" width="1.625" style="324" bestFit="1" customWidth="1"/>
    <col min="10510" max="10510" width="9.375" style="324"/>
    <col min="10511" max="10511" width="8.875" style="324" customWidth="1"/>
    <col min="10512" max="10512" width="13.125" style="324" customWidth="1"/>
    <col min="10513" max="10513" width="9.375" style="324"/>
    <col min="10514" max="10514" width="9.875" style="324" customWidth="1"/>
    <col min="10515" max="10515" width="11.75" style="324" bestFit="1" customWidth="1"/>
    <col min="10516" max="10745" width="9.375" style="324"/>
    <col min="10746" max="10746" width="5" style="324" customWidth="1"/>
    <col min="10747" max="10747" width="17.875" style="324" bestFit="1" customWidth="1"/>
    <col min="10748" max="10748" width="9.875" style="324" customWidth="1"/>
    <col min="10749" max="10749" width="8.875" style="324" customWidth="1"/>
    <col min="10750" max="10750" width="7.375" style="324" bestFit="1" customWidth="1"/>
    <col min="10751" max="10751" width="10.125" style="324" bestFit="1" customWidth="1"/>
    <col min="10752" max="10752" width="9.375" style="324"/>
    <col min="10753" max="10753" width="10.125" style="324" bestFit="1" customWidth="1"/>
    <col min="10754" max="10754" width="10.75" style="324" customWidth="1"/>
    <col min="10755" max="10757" width="9.375" style="324"/>
    <col min="10758" max="10759" width="10.75" style="324" customWidth="1"/>
    <col min="10760" max="10764" width="9.375" style="324"/>
    <col min="10765" max="10765" width="1.625" style="324" bestFit="1" customWidth="1"/>
    <col min="10766" max="10766" width="9.375" style="324"/>
    <col min="10767" max="10767" width="8.875" style="324" customWidth="1"/>
    <col min="10768" max="10768" width="13.125" style="324" customWidth="1"/>
    <col min="10769" max="10769" width="9.375" style="324"/>
    <col min="10770" max="10770" width="9.875" style="324" customWidth="1"/>
    <col min="10771" max="10771" width="11.75" style="324" bestFit="1" customWidth="1"/>
    <col min="10772" max="11001" width="9.375" style="324"/>
    <col min="11002" max="11002" width="5" style="324" customWidth="1"/>
    <col min="11003" max="11003" width="17.875" style="324" bestFit="1" customWidth="1"/>
    <col min="11004" max="11004" width="9.875" style="324" customWidth="1"/>
    <col min="11005" max="11005" width="8.875" style="324" customWidth="1"/>
    <col min="11006" max="11006" width="7.375" style="324" bestFit="1" customWidth="1"/>
    <col min="11007" max="11007" width="10.125" style="324" bestFit="1" customWidth="1"/>
    <col min="11008" max="11008" width="9.375" style="324"/>
    <col min="11009" max="11009" width="10.125" style="324" bestFit="1" customWidth="1"/>
    <col min="11010" max="11010" width="10.75" style="324" customWidth="1"/>
    <col min="11011" max="11013" width="9.375" style="324"/>
    <col min="11014" max="11015" width="10.75" style="324" customWidth="1"/>
    <col min="11016" max="11020" width="9.375" style="324"/>
    <col min="11021" max="11021" width="1.625" style="324" bestFit="1" customWidth="1"/>
    <col min="11022" max="11022" width="9.375" style="324"/>
    <col min="11023" max="11023" width="8.875" style="324" customWidth="1"/>
    <col min="11024" max="11024" width="13.125" style="324" customWidth="1"/>
    <col min="11025" max="11025" width="9.375" style="324"/>
    <col min="11026" max="11026" width="9.875" style="324" customWidth="1"/>
    <col min="11027" max="11027" width="11.75" style="324" bestFit="1" customWidth="1"/>
    <col min="11028" max="11257" width="9.375" style="324"/>
    <col min="11258" max="11258" width="5" style="324" customWidth="1"/>
    <col min="11259" max="11259" width="17.875" style="324" bestFit="1" customWidth="1"/>
    <col min="11260" max="11260" width="9.875" style="324" customWidth="1"/>
    <col min="11261" max="11261" width="8.875" style="324" customWidth="1"/>
    <col min="11262" max="11262" width="7.375" style="324" bestFit="1" customWidth="1"/>
    <col min="11263" max="11263" width="10.125" style="324" bestFit="1" customWidth="1"/>
    <col min="11264" max="11264" width="9.375" style="324"/>
    <col min="11265" max="11265" width="10.125" style="324" bestFit="1" customWidth="1"/>
    <col min="11266" max="11266" width="10.75" style="324" customWidth="1"/>
    <col min="11267" max="11269" width="9.375" style="324"/>
    <col min="11270" max="11271" width="10.75" style="324" customWidth="1"/>
    <col min="11272" max="11276" width="9.375" style="324"/>
    <col min="11277" max="11277" width="1.625" style="324" bestFit="1" customWidth="1"/>
    <col min="11278" max="11278" width="9.375" style="324"/>
    <col min="11279" max="11279" width="8.875" style="324" customWidth="1"/>
    <col min="11280" max="11280" width="13.125" style="324" customWidth="1"/>
    <col min="11281" max="11281" width="9.375" style="324"/>
    <col min="11282" max="11282" width="9.875" style="324" customWidth="1"/>
    <col min="11283" max="11283" width="11.75" style="324" bestFit="1" customWidth="1"/>
    <col min="11284" max="11513" width="9.375" style="324"/>
    <col min="11514" max="11514" width="5" style="324" customWidth="1"/>
    <col min="11515" max="11515" width="17.875" style="324" bestFit="1" customWidth="1"/>
    <col min="11516" max="11516" width="9.875" style="324" customWidth="1"/>
    <col min="11517" max="11517" width="8.875" style="324" customWidth="1"/>
    <col min="11518" max="11518" width="7.375" style="324" bestFit="1" customWidth="1"/>
    <col min="11519" max="11519" width="10.125" style="324" bestFit="1" customWidth="1"/>
    <col min="11520" max="11520" width="9.375" style="324"/>
    <col min="11521" max="11521" width="10.125" style="324" bestFit="1" customWidth="1"/>
    <col min="11522" max="11522" width="10.75" style="324" customWidth="1"/>
    <col min="11523" max="11525" width="9.375" style="324"/>
    <col min="11526" max="11527" width="10.75" style="324" customWidth="1"/>
    <col min="11528" max="11532" width="9.375" style="324"/>
    <col min="11533" max="11533" width="1.625" style="324" bestFit="1" customWidth="1"/>
    <col min="11534" max="11534" width="9.375" style="324"/>
    <col min="11535" max="11535" width="8.875" style="324" customWidth="1"/>
    <col min="11536" max="11536" width="13.125" style="324" customWidth="1"/>
    <col min="11537" max="11537" width="9.375" style="324"/>
    <col min="11538" max="11538" width="9.875" style="324" customWidth="1"/>
    <col min="11539" max="11539" width="11.75" style="324" bestFit="1" customWidth="1"/>
    <col min="11540" max="11769" width="9.375" style="324"/>
    <col min="11770" max="11770" width="5" style="324" customWidth="1"/>
    <col min="11771" max="11771" width="17.875" style="324" bestFit="1" customWidth="1"/>
    <col min="11772" max="11772" width="9.875" style="324" customWidth="1"/>
    <col min="11773" max="11773" width="8.875" style="324" customWidth="1"/>
    <col min="11774" max="11774" width="7.375" style="324" bestFit="1" customWidth="1"/>
    <col min="11775" max="11775" width="10.125" style="324" bestFit="1" customWidth="1"/>
    <col min="11776" max="11776" width="9.375" style="324"/>
    <col min="11777" max="11777" width="10.125" style="324" bestFit="1" customWidth="1"/>
    <col min="11778" max="11778" width="10.75" style="324" customWidth="1"/>
    <col min="11779" max="11781" width="9.375" style="324"/>
    <col min="11782" max="11783" width="10.75" style="324" customWidth="1"/>
    <col min="11784" max="11788" width="9.375" style="324"/>
    <col min="11789" max="11789" width="1.625" style="324" bestFit="1" customWidth="1"/>
    <col min="11790" max="11790" width="9.375" style="324"/>
    <col min="11791" max="11791" width="8.875" style="324" customWidth="1"/>
    <col min="11792" max="11792" width="13.125" style="324" customWidth="1"/>
    <col min="11793" max="11793" width="9.375" style="324"/>
    <col min="11794" max="11794" width="9.875" style="324" customWidth="1"/>
    <col min="11795" max="11795" width="11.75" style="324" bestFit="1" customWidth="1"/>
    <col min="11796" max="12025" width="9.375" style="324"/>
    <col min="12026" max="12026" width="5" style="324" customWidth="1"/>
    <col min="12027" max="12027" width="17.875" style="324" bestFit="1" customWidth="1"/>
    <col min="12028" max="12028" width="9.875" style="324" customWidth="1"/>
    <col min="12029" max="12029" width="8.875" style="324" customWidth="1"/>
    <col min="12030" max="12030" width="7.375" style="324" bestFit="1" customWidth="1"/>
    <col min="12031" max="12031" width="10.125" style="324" bestFit="1" customWidth="1"/>
    <col min="12032" max="12032" width="9.375" style="324"/>
    <col min="12033" max="12033" width="10.125" style="324" bestFit="1" customWidth="1"/>
    <col min="12034" max="12034" width="10.75" style="324" customWidth="1"/>
    <col min="12035" max="12037" width="9.375" style="324"/>
    <col min="12038" max="12039" width="10.75" style="324" customWidth="1"/>
    <col min="12040" max="12044" width="9.375" style="324"/>
    <col min="12045" max="12045" width="1.625" style="324" bestFit="1" customWidth="1"/>
    <col min="12046" max="12046" width="9.375" style="324"/>
    <col min="12047" max="12047" width="8.875" style="324" customWidth="1"/>
    <col min="12048" max="12048" width="13.125" style="324" customWidth="1"/>
    <col min="12049" max="12049" width="9.375" style="324"/>
    <col min="12050" max="12050" width="9.875" style="324" customWidth="1"/>
    <col min="12051" max="12051" width="11.75" style="324" bestFit="1" customWidth="1"/>
    <col min="12052" max="12281" width="9.375" style="324"/>
    <col min="12282" max="12282" width="5" style="324" customWidth="1"/>
    <col min="12283" max="12283" width="17.875" style="324" bestFit="1" customWidth="1"/>
    <col min="12284" max="12284" width="9.875" style="324" customWidth="1"/>
    <col min="12285" max="12285" width="8.875" style="324" customWidth="1"/>
    <col min="12286" max="12286" width="7.375" style="324" bestFit="1" customWidth="1"/>
    <col min="12287" max="12287" width="10.125" style="324" bestFit="1" customWidth="1"/>
    <col min="12288" max="12288" width="9.375" style="324"/>
    <col min="12289" max="12289" width="10.125" style="324" bestFit="1" customWidth="1"/>
    <col min="12290" max="12290" width="10.75" style="324" customWidth="1"/>
    <col min="12291" max="12293" width="9.375" style="324"/>
    <col min="12294" max="12295" width="10.75" style="324" customWidth="1"/>
    <col min="12296" max="12300" width="9.375" style="324"/>
    <col min="12301" max="12301" width="1.625" style="324" bestFit="1" customWidth="1"/>
    <col min="12302" max="12302" width="9.375" style="324"/>
    <col min="12303" max="12303" width="8.875" style="324" customWidth="1"/>
    <col min="12304" max="12304" width="13.125" style="324" customWidth="1"/>
    <col min="12305" max="12305" width="9.375" style="324"/>
    <col min="12306" max="12306" width="9.875" style="324" customWidth="1"/>
    <col min="12307" max="12307" width="11.75" style="324" bestFit="1" customWidth="1"/>
    <col min="12308" max="12537" width="9.375" style="324"/>
    <col min="12538" max="12538" width="5" style="324" customWidth="1"/>
    <col min="12539" max="12539" width="17.875" style="324" bestFit="1" customWidth="1"/>
    <col min="12540" max="12540" width="9.875" style="324" customWidth="1"/>
    <col min="12541" max="12541" width="8.875" style="324" customWidth="1"/>
    <col min="12542" max="12542" width="7.375" style="324" bestFit="1" customWidth="1"/>
    <col min="12543" max="12543" width="10.125" style="324" bestFit="1" customWidth="1"/>
    <col min="12544" max="12544" width="9.375" style="324"/>
    <col min="12545" max="12545" width="10.125" style="324" bestFit="1" customWidth="1"/>
    <col min="12546" max="12546" width="10.75" style="324" customWidth="1"/>
    <col min="12547" max="12549" width="9.375" style="324"/>
    <col min="12550" max="12551" width="10.75" style="324" customWidth="1"/>
    <col min="12552" max="12556" width="9.375" style="324"/>
    <col min="12557" max="12557" width="1.625" style="324" bestFit="1" customWidth="1"/>
    <col min="12558" max="12558" width="9.375" style="324"/>
    <col min="12559" max="12559" width="8.875" style="324" customWidth="1"/>
    <col min="12560" max="12560" width="13.125" style="324" customWidth="1"/>
    <col min="12561" max="12561" width="9.375" style="324"/>
    <col min="12562" max="12562" width="9.875" style="324" customWidth="1"/>
    <col min="12563" max="12563" width="11.75" style="324" bestFit="1" customWidth="1"/>
    <col min="12564" max="12793" width="9.375" style="324"/>
    <col min="12794" max="12794" width="5" style="324" customWidth="1"/>
    <col min="12795" max="12795" width="17.875" style="324" bestFit="1" customWidth="1"/>
    <col min="12796" max="12796" width="9.875" style="324" customWidth="1"/>
    <col min="12797" max="12797" width="8.875" style="324" customWidth="1"/>
    <col min="12798" max="12798" width="7.375" style="324" bestFit="1" customWidth="1"/>
    <col min="12799" max="12799" width="10.125" style="324" bestFit="1" customWidth="1"/>
    <col min="12800" max="12800" width="9.375" style="324"/>
    <col min="12801" max="12801" width="10.125" style="324" bestFit="1" customWidth="1"/>
    <col min="12802" max="12802" width="10.75" style="324" customWidth="1"/>
    <col min="12803" max="12805" width="9.375" style="324"/>
    <col min="12806" max="12807" width="10.75" style="324" customWidth="1"/>
    <col min="12808" max="12812" width="9.375" style="324"/>
    <col min="12813" max="12813" width="1.625" style="324" bestFit="1" customWidth="1"/>
    <col min="12814" max="12814" width="9.375" style="324"/>
    <col min="12815" max="12815" width="8.875" style="324" customWidth="1"/>
    <col min="12816" max="12816" width="13.125" style="324" customWidth="1"/>
    <col min="12817" max="12817" width="9.375" style="324"/>
    <col min="12818" max="12818" width="9.875" style="324" customWidth="1"/>
    <col min="12819" max="12819" width="11.75" style="324" bestFit="1" customWidth="1"/>
    <col min="12820" max="13049" width="9.375" style="324"/>
    <col min="13050" max="13050" width="5" style="324" customWidth="1"/>
    <col min="13051" max="13051" width="17.875" style="324" bestFit="1" customWidth="1"/>
    <col min="13052" max="13052" width="9.875" style="324" customWidth="1"/>
    <col min="13053" max="13053" width="8.875" style="324" customWidth="1"/>
    <col min="13054" max="13054" width="7.375" style="324" bestFit="1" customWidth="1"/>
    <col min="13055" max="13055" width="10.125" style="324" bestFit="1" customWidth="1"/>
    <col min="13056" max="13056" width="9.375" style="324"/>
    <col min="13057" max="13057" width="10.125" style="324" bestFit="1" customWidth="1"/>
    <col min="13058" max="13058" width="10.75" style="324" customWidth="1"/>
    <col min="13059" max="13061" width="9.375" style="324"/>
    <col min="13062" max="13063" width="10.75" style="324" customWidth="1"/>
    <col min="13064" max="13068" width="9.375" style="324"/>
    <col min="13069" max="13069" width="1.625" style="324" bestFit="1" customWidth="1"/>
    <col min="13070" max="13070" width="9.375" style="324"/>
    <col min="13071" max="13071" width="8.875" style="324" customWidth="1"/>
    <col min="13072" max="13072" width="13.125" style="324" customWidth="1"/>
    <col min="13073" max="13073" width="9.375" style="324"/>
    <col min="13074" max="13074" width="9.875" style="324" customWidth="1"/>
    <col min="13075" max="13075" width="11.75" style="324" bestFit="1" customWidth="1"/>
    <col min="13076" max="13305" width="9.375" style="324"/>
    <col min="13306" max="13306" width="5" style="324" customWidth="1"/>
    <col min="13307" max="13307" width="17.875" style="324" bestFit="1" customWidth="1"/>
    <col min="13308" max="13308" width="9.875" style="324" customWidth="1"/>
    <col min="13309" max="13309" width="8.875" style="324" customWidth="1"/>
    <col min="13310" max="13310" width="7.375" style="324" bestFit="1" customWidth="1"/>
    <col min="13311" max="13311" width="10.125" style="324" bestFit="1" customWidth="1"/>
    <col min="13312" max="13312" width="9.375" style="324"/>
    <col min="13313" max="13313" width="10.125" style="324" bestFit="1" customWidth="1"/>
    <col min="13314" max="13314" width="10.75" style="324" customWidth="1"/>
    <col min="13315" max="13317" width="9.375" style="324"/>
    <col min="13318" max="13319" width="10.75" style="324" customWidth="1"/>
    <col min="13320" max="13324" width="9.375" style="324"/>
    <col min="13325" max="13325" width="1.625" style="324" bestFit="1" customWidth="1"/>
    <col min="13326" max="13326" width="9.375" style="324"/>
    <col min="13327" max="13327" width="8.875" style="324" customWidth="1"/>
    <col min="13328" max="13328" width="13.125" style="324" customWidth="1"/>
    <col min="13329" max="13329" width="9.375" style="324"/>
    <col min="13330" max="13330" width="9.875" style="324" customWidth="1"/>
    <col min="13331" max="13331" width="11.75" style="324" bestFit="1" customWidth="1"/>
    <col min="13332" max="13561" width="9.375" style="324"/>
    <col min="13562" max="13562" width="5" style="324" customWidth="1"/>
    <col min="13563" max="13563" width="17.875" style="324" bestFit="1" customWidth="1"/>
    <col min="13564" max="13564" width="9.875" style="324" customWidth="1"/>
    <col min="13565" max="13565" width="8.875" style="324" customWidth="1"/>
    <col min="13566" max="13566" width="7.375" style="324" bestFit="1" customWidth="1"/>
    <col min="13567" max="13567" width="10.125" style="324" bestFit="1" customWidth="1"/>
    <col min="13568" max="13568" width="9.375" style="324"/>
    <col min="13569" max="13569" width="10.125" style="324" bestFit="1" customWidth="1"/>
    <col min="13570" max="13570" width="10.75" style="324" customWidth="1"/>
    <col min="13571" max="13573" width="9.375" style="324"/>
    <col min="13574" max="13575" width="10.75" style="324" customWidth="1"/>
    <col min="13576" max="13580" width="9.375" style="324"/>
    <col min="13581" max="13581" width="1.625" style="324" bestFit="1" customWidth="1"/>
    <col min="13582" max="13582" width="9.375" style="324"/>
    <col min="13583" max="13583" width="8.875" style="324" customWidth="1"/>
    <col min="13584" max="13584" width="13.125" style="324" customWidth="1"/>
    <col min="13585" max="13585" width="9.375" style="324"/>
    <col min="13586" max="13586" width="9.875" style="324" customWidth="1"/>
    <col min="13587" max="13587" width="11.75" style="324" bestFit="1" customWidth="1"/>
    <col min="13588" max="13817" width="9.375" style="324"/>
    <col min="13818" max="13818" width="5" style="324" customWidth="1"/>
    <col min="13819" max="13819" width="17.875" style="324" bestFit="1" customWidth="1"/>
    <col min="13820" max="13820" width="9.875" style="324" customWidth="1"/>
    <col min="13821" max="13821" width="8.875" style="324" customWidth="1"/>
    <col min="13822" max="13822" width="7.375" style="324" bestFit="1" customWidth="1"/>
    <col min="13823" max="13823" width="10.125" style="324" bestFit="1" customWidth="1"/>
    <col min="13824" max="13824" width="9.375" style="324"/>
    <col min="13825" max="13825" width="10.125" style="324" bestFit="1" customWidth="1"/>
    <col min="13826" max="13826" width="10.75" style="324" customWidth="1"/>
    <col min="13827" max="13829" width="9.375" style="324"/>
    <col min="13830" max="13831" width="10.75" style="324" customWidth="1"/>
    <col min="13832" max="13836" width="9.375" style="324"/>
    <col min="13837" max="13837" width="1.625" style="324" bestFit="1" customWidth="1"/>
    <col min="13838" max="13838" width="9.375" style="324"/>
    <col min="13839" max="13839" width="8.875" style="324" customWidth="1"/>
    <col min="13840" max="13840" width="13.125" style="324" customWidth="1"/>
    <col min="13841" max="13841" width="9.375" style="324"/>
    <col min="13842" max="13842" width="9.875" style="324" customWidth="1"/>
    <col min="13843" max="13843" width="11.75" style="324" bestFit="1" customWidth="1"/>
    <col min="13844" max="14073" width="9.375" style="324"/>
    <col min="14074" max="14074" width="5" style="324" customWidth="1"/>
    <col min="14075" max="14075" width="17.875" style="324" bestFit="1" customWidth="1"/>
    <col min="14076" max="14076" width="9.875" style="324" customWidth="1"/>
    <col min="14077" max="14077" width="8.875" style="324" customWidth="1"/>
    <col min="14078" max="14078" width="7.375" style="324" bestFit="1" customWidth="1"/>
    <col min="14079" max="14079" width="10.125" style="324" bestFit="1" customWidth="1"/>
    <col min="14080" max="14080" width="9.375" style="324"/>
    <col min="14081" max="14081" width="10.125" style="324" bestFit="1" customWidth="1"/>
    <col min="14082" max="14082" width="10.75" style="324" customWidth="1"/>
    <col min="14083" max="14085" width="9.375" style="324"/>
    <col min="14086" max="14087" width="10.75" style="324" customWidth="1"/>
    <col min="14088" max="14092" width="9.375" style="324"/>
    <col min="14093" max="14093" width="1.625" style="324" bestFit="1" customWidth="1"/>
    <col min="14094" max="14094" width="9.375" style="324"/>
    <col min="14095" max="14095" width="8.875" style="324" customWidth="1"/>
    <col min="14096" max="14096" width="13.125" style="324" customWidth="1"/>
    <col min="14097" max="14097" width="9.375" style="324"/>
    <col min="14098" max="14098" width="9.875" style="324" customWidth="1"/>
    <col min="14099" max="14099" width="11.75" style="324" bestFit="1" customWidth="1"/>
    <col min="14100" max="14329" width="9.375" style="324"/>
    <col min="14330" max="14330" width="5" style="324" customWidth="1"/>
    <col min="14331" max="14331" width="17.875" style="324" bestFit="1" customWidth="1"/>
    <col min="14332" max="14332" width="9.875" style="324" customWidth="1"/>
    <col min="14333" max="14333" width="8.875" style="324" customWidth="1"/>
    <col min="14334" max="14334" width="7.375" style="324" bestFit="1" customWidth="1"/>
    <col min="14335" max="14335" width="10.125" style="324" bestFit="1" customWidth="1"/>
    <col min="14336" max="14336" width="9.375" style="324"/>
    <col min="14337" max="14337" width="10.125" style="324" bestFit="1" customWidth="1"/>
    <col min="14338" max="14338" width="10.75" style="324" customWidth="1"/>
    <col min="14339" max="14341" width="9.375" style="324"/>
    <col min="14342" max="14343" width="10.75" style="324" customWidth="1"/>
    <col min="14344" max="14348" width="9.375" style="324"/>
    <col min="14349" max="14349" width="1.625" style="324" bestFit="1" customWidth="1"/>
    <col min="14350" max="14350" width="9.375" style="324"/>
    <col min="14351" max="14351" width="8.875" style="324" customWidth="1"/>
    <col min="14352" max="14352" width="13.125" style="324" customWidth="1"/>
    <col min="14353" max="14353" width="9.375" style="324"/>
    <col min="14354" max="14354" width="9.875" style="324" customWidth="1"/>
    <col min="14355" max="14355" width="11.75" style="324" bestFit="1" customWidth="1"/>
    <col min="14356" max="14585" width="9.375" style="324"/>
    <col min="14586" max="14586" width="5" style="324" customWidth="1"/>
    <col min="14587" max="14587" width="17.875" style="324" bestFit="1" customWidth="1"/>
    <col min="14588" max="14588" width="9.875" style="324" customWidth="1"/>
    <col min="14589" max="14589" width="8.875" style="324" customWidth="1"/>
    <col min="14590" max="14590" width="7.375" style="324" bestFit="1" customWidth="1"/>
    <col min="14591" max="14591" width="10.125" style="324" bestFit="1" customWidth="1"/>
    <col min="14592" max="14592" width="9.375" style="324"/>
    <col min="14593" max="14593" width="10.125" style="324" bestFit="1" customWidth="1"/>
    <col min="14594" max="14594" width="10.75" style="324" customWidth="1"/>
    <col min="14595" max="14597" width="9.375" style="324"/>
    <col min="14598" max="14599" width="10.75" style="324" customWidth="1"/>
    <col min="14600" max="14604" width="9.375" style="324"/>
    <col min="14605" max="14605" width="1.625" style="324" bestFit="1" customWidth="1"/>
    <col min="14606" max="14606" width="9.375" style="324"/>
    <col min="14607" max="14607" width="8.875" style="324" customWidth="1"/>
    <col min="14608" max="14608" width="13.125" style="324" customWidth="1"/>
    <col min="14609" max="14609" width="9.375" style="324"/>
    <col min="14610" max="14610" width="9.875" style="324" customWidth="1"/>
    <col min="14611" max="14611" width="11.75" style="324" bestFit="1" customWidth="1"/>
    <col min="14612" max="14841" width="9.375" style="324"/>
    <col min="14842" max="14842" width="5" style="324" customWidth="1"/>
    <col min="14843" max="14843" width="17.875" style="324" bestFit="1" customWidth="1"/>
    <col min="14844" max="14844" width="9.875" style="324" customWidth="1"/>
    <col min="14845" max="14845" width="8.875" style="324" customWidth="1"/>
    <col min="14846" max="14846" width="7.375" style="324" bestFit="1" customWidth="1"/>
    <col min="14847" max="14847" width="10.125" style="324" bestFit="1" customWidth="1"/>
    <col min="14848" max="14848" width="9.375" style="324"/>
    <col min="14849" max="14849" width="10.125" style="324" bestFit="1" customWidth="1"/>
    <col min="14850" max="14850" width="10.75" style="324" customWidth="1"/>
    <col min="14851" max="14853" width="9.375" style="324"/>
    <col min="14854" max="14855" width="10.75" style="324" customWidth="1"/>
    <col min="14856" max="14860" width="9.375" style="324"/>
    <col min="14861" max="14861" width="1.625" style="324" bestFit="1" customWidth="1"/>
    <col min="14862" max="14862" width="9.375" style="324"/>
    <col min="14863" max="14863" width="8.875" style="324" customWidth="1"/>
    <col min="14864" max="14864" width="13.125" style="324" customWidth="1"/>
    <col min="14865" max="14865" width="9.375" style="324"/>
    <col min="14866" max="14866" width="9.875" style="324" customWidth="1"/>
    <col min="14867" max="14867" width="11.75" style="324" bestFit="1" customWidth="1"/>
    <col min="14868" max="15097" width="9.375" style="324"/>
    <col min="15098" max="15098" width="5" style="324" customWidth="1"/>
    <col min="15099" max="15099" width="17.875" style="324" bestFit="1" customWidth="1"/>
    <col min="15100" max="15100" width="9.875" style="324" customWidth="1"/>
    <col min="15101" max="15101" width="8.875" style="324" customWidth="1"/>
    <col min="15102" max="15102" width="7.375" style="324" bestFit="1" customWidth="1"/>
    <col min="15103" max="15103" width="10.125" style="324" bestFit="1" customWidth="1"/>
    <col min="15104" max="15104" width="9.375" style="324"/>
    <col min="15105" max="15105" width="10.125" style="324" bestFit="1" customWidth="1"/>
    <col min="15106" max="15106" width="10.75" style="324" customWidth="1"/>
    <col min="15107" max="15109" width="9.375" style="324"/>
    <col min="15110" max="15111" width="10.75" style="324" customWidth="1"/>
    <col min="15112" max="15116" width="9.375" style="324"/>
    <col min="15117" max="15117" width="1.625" style="324" bestFit="1" customWidth="1"/>
    <col min="15118" max="15118" width="9.375" style="324"/>
    <col min="15119" max="15119" width="8.875" style="324" customWidth="1"/>
    <col min="15120" max="15120" width="13.125" style="324" customWidth="1"/>
    <col min="15121" max="15121" width="9.375" style="324"/>
    <col min="15122" max="15122" width="9.875" style="324" customWidth="1"/>
    <col min="15123" max="15123" width="11.75" style="324" bestFit="1" customWidth="1"/>
    <col min="15124" max="15353" width="9.375" style="324"/>
    <col min="15354" max="15354" width="5" style="324" customWidth="1"/>
    <col min="15355" max="15355" width="17.875" style="324" bestFit="1" customWidth="1"/>
    <col min="15356" max="15356" width="9.875" style="324" customWidth="1"/>
    <col min="15357" max="15357" width="8.875" style="324" customWidth="1"/>
    <col min="15358" max="15358" width="7.375" style="324" bestFit="1" customWidth="1"/>
    <col min="15359" max="15359" width="10.125" style="324" bestFit="1" customWidth="1"/>
    <col min="15360" max="15360" width="9.375" style="324"/>
    <col min="15361" max="15361" width="10.125" style="324" bestFit="1" customWidth="1"/>
    <col min="15362" max="15362" width="10.75" style="324" customWidth="1"/>
    <col min="15363" max="15365" width="9.375" style="324"/>
    <col min="15366" max="15367" width="10.75" style="324" customWidth="1"/>
    <col min="15368" max="15372" width="9.375" style="324"/>
    <col min="15373" max="15373" width="1.625" style="324" bestFit="1" customWidth="1"/>
    <col min="15374" max="15374" width="9.375" style="324"/>
    <col min="15375" max="15375" width="8.875" style="324" customWidth="1"/>
    <col min="15376" max="15376" width="13.125" style="324" customWidth="1"/>
    <col min="15377" max="15377" width="9.375" style="324"/>
    <col min="15378" max="15378" width="9.875" style="324" customWidth="1"/>
    <col min="15379" max="15379" width="11.75" style="324" bestFit="1" customWidth="1"/>
    <col min="15380" max="15609" width="9.375" style="324"/>
    <col min="15610" max="15610" width="5" style="324" customWidth="1"/>
    <col min="15611" max="15611" width="17.875" style="324" bestFit="1" customWidth="1"/>
    <col min="15612" max="15612" width="9.875" style="324" customWidth="1"/>
    <col min="15613" max="15613" width="8.875" style="324" customWidth="1"/>
    <col min="15614" max="15614" width="7.375" style="324" bestFit="1" customWidth="1"/>
    <col min="15615" max="15615" width="10.125" style="324" bestFit="1" customWidth="1"/>
    <col min="15616" max="15616" width="9.375" style="324"/>
    <col min="15617" max="15617" width="10.125" style="324" bestFit="1" customWidth="1"/>
    <col min="15618" max="15618" width="10.75" style="324" customWidth="1"/>
    <col min="15619" max="15621" width="9.375" style="324"/>
    <col min="15622" max="15623" width="10.75" style="324" customWidth="1"/>
    <col min="15624" max="15628" width="9.375" style="324"/>
    <col min="15629" max="15629" width="1.625" style="324" bestFit="1" customWidth="1"/>
    <col min="15630" max="15630" width="9.375" style="324"/>
    <col min="15631" max="15631" width="8.875" style="324" customWidth="1"/>
    <col min="15632" max="15632" width="13.125" style="324" customWidth="1"/>
    <col min="15633" max="15633" width="9.375" style="324"/>
    <col min="15634" max="15634" width="9.875" style="324" customWidth="1"/>
    <col min="15635" max="15635" width="11.75" style="324" bestFit="1" customWidth="1"/>
    <col min="15636" max="15865" width="9.375" style="324"/>
    <col min="15866" max="15866" width="5" style="324" customWidth="1"/>
    <col min="15867" max="15867" width="17.875" style="324" bestFit="1" customWidth="1"/>
    <col min="15868" max="15868" width="9.875" style="324" customWidth="1"/>
    <col min="15869" max="15869" width="8.875" style="324" customWidth="1"/>
    <col min="15870" max="15870" width="7.375" style="324" bestFit="1" customWidth="1"/>
    <col min="15871" max="15871" width="10.125" style="324" bestFit="1" customWidth="1"/>
    <col min="15872" max="15872" width="9.375" style="324"/>
    <col min="15873" max="15873" width="10.125" style="324" bestFit="1" customWidth="1"/>
    <col min="15874" max="15874" width="10.75" style="324" customWidth="1"/>
    <col min="15875" max="15877" width="9.375" style="324"/>
    <col min="15878" max="15879" width="10.75" style="324" customWidth="1"/>
    <col min="15880" max="15884" width="9.375" style="324"/>
    <col min="15885" max="15885" width="1.625" style="324" bestFit="1" customWidth="1"/>
    <col min="15886" max="15886" width="9.375" style="324"/>
    <col min="15887" max="15887" width="8.875" style="324" customWidth="1"/>
    <col min="15888" max="15888" width="13.125" style="324" customWidth="1"/>
    <col min="15889" max="15889" width="9.375" style="324"/>
    <col min="15890" max="15890" width="9.875" style="324" customWidth="1"/>
    <col min="15891" max="15891" width="11.75" style="324" bestFit="1" customWidth="1"/>
    <col min="15892" max="16121" width="9.375" style="324"/>
    <col min="16122" max="16122" width="5" style="324" customWidth="1"/>
    <col min="16123" max="16123" width="17.875" style="324" bestFit="1" customWidth="1"/>
    <col min="16124" max="16124" width="9.875" style="324" customWidth="1"/>
    <col min="16125" max="16125" width="8.875" style="324" customWidth="1"/>
    <col min="16126" max="16126" width="7.375" style="324" bestFit="1" customWidth="1"/>
    <col min="16127" max="16127" width="10.125" style="324" bestFit="1" customWidth="1"/>
    <col min="16128" max="16128" width="9.375" style="324"/>
    <col min="16129" max="16129" width="10.125" style="324" bestFit="1" customWidth="1"/>
    <col min="16130" max="16130" width="10.75" style="324" customWidth="1"/>
    <col min="16131" max="16133" width="9.375" style="324"/>
    <col min="16134" max="16135" width="10.75" style="324" customWidth="1"/>
    <col min="16136" max="16140" width="9.375" style="324"/>
    <col min="16141" max="16141" width="1.625" style="324" bestFit="1" customWidth="1"/>
    <col min="16142" max="16142" width="9.375" style="324"/>
    <col min="16143" max="16143" width="8.875" style="324" customWidth="1"/>
    <col min="16144" max="16144" width="13.125" style="324" customWidth="1"/>
    <col min="16145" max="16145" width="9.375" style="324"/>
    <col min="16146" max="16146" width="9.875" style="324" customWidth="1"/>
    <col min="16147" max="16147" width="11.75" style="324" bestFit="1" customWidth="1"/>
    <col min="16148" max="16384" width="9.375" style="324"/>
  </cols>
  <sheetData>
    <row r="1" spans="1:22" s="54" customFormat="1" ht="21" x14ac:dyDescent="0.2">
      <c r="A1" s="313" t="s">
        <v>558</v>
      </c>
      <c r="B1" s="53"/>
      <c r="C1" s="53"/>
      <c r="D1" s="319"/>
      <c r="E1" s="319"/>
      <c r="F1" s="319"/>
      <c r="G1" s="319"/>
      <c r="H1" s="320"/>
      <c r="I1" s="320"/>
      <c r="J1" s="320"/>
      <c r="K1" s="320"/>
      <c r="L1" s="320"/>
      <c r="M1" s="320"/>
      <c r="O1" s="320"/>
      <c r="P1" s="321"/>
      <c r="Q1" s="78"/>
      <c r="R1" s="321"/>
      <c r="S1" s="321"/>
      <c r="T1" s="78"/>
      <c r="U1" s="78"/>
      <c r="V1" s="78"/>
    </row>
    <row r="2" spans="1:22" s="68" customFormat="1" ht="21" x14ac:dyDescent="0.35">
      <c r="A2" s="35" t="str">
        <f>Paramètres!B5</f>
        <v>décompte 2015</v>
      </c>
      <c r="P2" s="323"/>
      <c r="Q2" s="322"/>
      <c r="R2" s="323"/>
      <c r="S2" s="323"/>
      <c r="T2" s="322"/>
      <c r="U2" s="322"/>
      <c r="V2" s="322"/>
    </row>
    <row r="4" spans="1:22" s="336" customFormat="1" ht="135" x14ac:dyDescent="0.2">
      <c r="A4" s="532" t="s">
        <v>51</v>
      </c>
      <c r="B4" s="532" t="s">
        <v>121</v>
      </c>
      <c r="C4" s="532" t="s">
        <v>552</v>
      </c>
      <c r="D4" s="532" t="s">
        <v>348</v>
      </c>
      <c r="E4" s="532" t="s">
        <v>548</v>
      </c>
      <c r="F4" s="532" t="s">
        <v>553</v>
      </c>
      <c r="G4" s="532" t="s">
        <v>515</v>
      </c>
      <c r="H4" s="534" t="s">
        <v>386</v>
      </c>
      <c r="I4" s="340" t="s">
        <v>559</v>
      </c>
      <c r="J4" s="532" t="s">
        <v>562</v>
      </c>
      <c r="K4" s="532" t="s">
        <v>554</v>
      </c>
      <c r="L4" s="532" t="s">
        <v>555</v>
      </c>
      <c r="M4" s="532" t="s">
        <v>563</v>
      </c>
      <c r="N4" s="340" t="s">
        <v>556</v>
      </c>
      <c r="O4" s="532" t="s">
        <v>557</v>
      </c>
      <c r="P4" s="334"/>
      <c r="Q4" s="333"/>
      <c r="R4" s="334"/>
      <c r="S4" s="335"/>
      <c r="T4" s="333"/>
      <c r="U4" s="333"/>
      <c r="V4" s="333"/>
    </row>
    <row r="5" spans="1:22" s="336" customFormat="1" x14ac:dyDescent="0.2">
      <c r="A5" s="533"/>
      <c r="B5" s="533"/>
      <c r="C5" s="533"/>
      <c r="D5" s="533"/>
      <c r="E5" s="533"/>
      <c r="F5" s="533"/>
      <c r="G5" s="533"/>
      <c r="H5" s="535"/>
      <c r="I5" s="399">
        <f>Paramètres!B61</f>
        <v>2</v>
      </c>
      <c r="J5" s="533"/>
      <c r="K5" s="533"/>
      <c r="L5" s="533"/>
      <c r="M5" s="533"/>
      <c r="N5" s="435">
        <f>+N324/M324</f>
        <v>1.2961690533527692</v>
      </c>
      <c r="O5" s="533"/>
      <c r="P5" s="335"/>
      <c r="Q5" s="333"/>
      <c r="R5" s="335"/>
      <c r="S5" s="335"/>
      <c r="T5" s="333"/>
      <c r="U5" s="333"/>
      <c r="V5" s="333"/>
    </row>
    <row r="6" spans="1:22" x14ac:dyDescent="0.25">
      <c r="A6" s="337">
        <f>'A) Base RI'!A7</f>
        <v>5401</v>
      </c>
      <c r="B6" s="337" t="str">
        <f>'A) Base RI'!B7</f>
        <v>Aigle</v>
      </c>
      <c r="C6" s="396">
        <v>1</v>
      </c>
      <c r="D6" s="327">
        <f>'B) D RI'!AR7</f>
        <v>9757</v>
      </c>
      <c r="E6" s="328">
        <f>'B) D RI'!S7</f>
        <v>67.5</v>
      </c>
      <c r="F6" s="14">
        <f>'B) D RI'!R7</f>
        <v>17607067.619999997</v>
      </c>
      <c r="G6" s="14">
        <f>'B) D RI'!U7</f>
        <v>260845.44622222218</v>
      </c>
      <c r="H6" s="52">
        <f>'B) D RI'!T7</f>
        <v>15894558.369999999</v>
      </c>
      <c r="I6" s="69">
        <f>+H6/E6*$I$5</f>
        <v>470949.87762962963</v>
      </c>
      <c r="J6" s="126">
        <f>+$I$324/$D$324*D6</f>
        <v>833727.93818627531</v>
      </c>
      <c r="K6" s="69">
        <f t="shared" ref="K6:K69" si="0">IF(C6=1,0,IF(J6&gt;I6,I6,J6))</f>
        <v>0</v>
      </c>
      <c r="L6" s="69">
        <f>+J6-K6</f>
        <v>833727.93818627531</v>
      </c>
      <c r="M6" s="69">
        <f>'D) Ecrêtage'!M5</f>
        <v>260845.44622222218</v>
      </c>
      <c r="N6" s="69">
        <f t="shared" ref="N6:N37" si="1">+$N$5*M6</f>
        <v>338099.79510123841</v>
      </c>
      <c r="O6" s="148">
        <f>+N6+K6</f>
        <v>338099.79510123841</v>
      </c>
      <c r="P6" s="329"/>
      <c r="Q6" s="330"/>
      <c r="T6" s="331"/>
    </row>
    <row r="7" spans="1:22" x14ac:dyDescent="0.25">
      <c r="A7" s="338">
        <f>'A) Base RI'!A8</f>
        <v>5402</v>
      </c>
      <c r="B7" s="338" t="str">
        <f>'A) Base RI'!B8</f>
        <v>Bex</v>
      </c>
      <c r="C7" s="397">
        <v>1</v>
      </c>
      <c r="D7" s="327">
        <f>'B) D RI'!AR8</f>
        <v>7236</v>
      </c>
      <c r="E7" s="328">
        <f>'B) D RI'!S8</f>
        <v>71</v>
      </c>
      <c r="F7" s="14">
        <f>'B) D RI'!R8</f>
        <v>12488254.07</v>
      </c>
      <c r="G7" s="14">
        <f>'B) D RI'!U8</f>
        <v>175890.90239436619</v>
      </c>
      <c r="H7" s="52">
        <f>'B) D RI'!T8</f>
        <v>11527624.550000001</v>
      </c>
      <c r="I7" s="14">
        <f t="shared" ref="I7:I70" si="2">+H7/E7*$I$5</f>
        <v>324721.8183098592</v>
      </c>
      <c r="J7" s="41">
        <f t="shared" ref="J7:J70" si="3">+$I$324/$D$324*D7</f>
        <v>618310.48075390875</v>
      </c>
      <c r="K7" s="14">
        <f t="shared" si="0"/>
        <v>0</v>
      </c>
      <c r="L7" s="14">
        <f t="shared" ref="L7:L70" si="4">+J7-K7</f>
        <v>618310.48075390875</v>
      </c>
      <c r="M7" s="14">
        <f>'D) Ecrêtage'!M6</f>
        <v>175890.90239436619</v>
      </c>
      <c r="N7" s="14">
        <f t="shared" si="1"/>
        <v>227984.34444986994</v>
      </c>
      <c r="O7" s="75">
        <f t="shared" ref="O7:O69" si="5">+N7+K7</f>
        <v>227984.34444986994</v>
      </c>
      <c r="P7" s="329"/>
      <c r="Q7" s="330"/>
      <c r="T7" s="331"/>
    </row>
    <row r="8" spans="1:22" x14ac:dyDescent="0.25">
      <c r="A8" s="338">
        <f>'A) Base RI'!A9</f>
        <v>5403</v>
      </c>
      <c r="B8" s="338" t="str">
        <f>'A) Base RI'!B9</f>
        <v>Chessel</v>
      </c>
      <c r="C8" s="397">
        <v>0</v>
      </c>
      <c r="D8" s="327">
        <f>'B) D RI'!AR9</f>
        <v>396</v>
      </c>
      <c r="E8" s="328">
        <f>'B) D RI'!S9</f>
        <v>76</v>
      </c>
      <c r="F8" s="14">
        <f>'B) D RI'!R9</f>
        <v>629627.96000000008</v>
      </c>
      <c r="G8" s="14">
        <f>'B) D RI'!U9</f>
        <v>8284.5784210526326</v>
      </c>
      <c r="H8" s="52">
        <f>'B) D RI'!T9</f>
        <v>575764.91</v>
      </c>
      <c r="I8" s="14">
        <f t="shared" si="2"/>
        <v>15151.708157894738</v>
      </c>
      <c r="J8" s="41">
        <f>+$I$324/$D$324*D8</f>
        <v>33837.887006432815</v>
      </c>
      <c r="K8" s="14">
        <f t="shared" si="0"/>
        <v>15151.708157894738</v>
      </c>
      <c r="L8" s="14">
        <f t="shared" si="4"/>
        <v>18686.178848538075</v>
      </c>
      <c r="M8" s="14">
        <f>'D) Ecrêtage'!M7</f>
        <v>8284.5784210526326</v>
      </c>
      <c r="N8" s="14">
        <f t="shared" si="1"/>
        <v>10738.21416944257</v>
      </c>
      <c r="O8" s="75">
        <f t="shared" si="5"/>
        <v>25889.922327337306</v>
      </c>
      <c r="P8" s="329"/>
      <c r="Q8" s="330"/>
      <c r="T8" s="331"/>
    </row>
    <row r="9" spans="1:22" x14ac:dyDescent="0.25">
      <c r="A9" s="338">
        <f>'A) Base RI'!A10</f>
        <v>5404</v>
      </c>
      <c r="B9" s="338" t="str">
        <f>'A) Base RI'!B10</f>
        <v>Corbeyrier</v>
      </c>
      <c r="C9" s="397">
        <v>0</v>
      </c>
      <c r="D9" s="327">
        <f>'B) D RI'!AR10</f>
        <v>433</v>
      </c>
      <c r="E9" s="328">
        <f>'B) D RI'!S10</f>
        <v>70</v>
      </c>
      <c r="F9" s="14">
        <f>'B) D RI'!R10</f>
        <v>697633.2</v>
      </c>
      <c r="G9" s="14">
        <f>'B) D RI'!U10</f>
        <v>9966.1885714285709</v>
      </c>
      <c r="H9" s="52">
        <f>'B) D RI'!T10</f>
        <v>626347.29999999993</v>
      </c>
      <c r="I9" s="14">
        <f t="shared" si="2"/>
        <v>17895.63714285714</v>
      </c>
      <c r="J9" s="41">
        <f t="shared" si="3"/>
        <v>36999.507762084366</v>
      </c>
      <c r="K9" s="14">
        <f t="shared" si="0"/>
        <v>17895.63714285714</v>
      </c>
      <c r="L9" s="14">
        <f t="shared" si="4"/>
        <v>19103.870619227226</v>
      </c>
      <c r="M9" s="14">
        <f>'D) Ecrêtage'!M8</f>
        <v>9966.1885714285709</v>
      </c>
      <c r="N9" s="14">
        <f t="shared" si="1"/>
        <v>12917.865206163759</v>
      </c>
      <c r="O9" s="75">
        <f t="shared" si="5"/>
        <v>30813.502349020899</v>
      </c>
      <c r="P9" s="329"/>
      <c r="Q9" s="330"/>
      <c r="T9" s="331"/>
    </row>
    <row r="10" spans="1:22" x14ac:dyDescent="0.25">
      <c r="A10" s="338">
        <f>'A) Base RI'!A11</f>
        <v>5405</v>
      </c>
      <c r="B10" s="338" t="str">
        <f>'A) Base RI'!B11</f>
        <v>Gryon</v>
      </c>
      <c r="C10" s="397">
        <v>0</v>
      </c>
      <c r="D10" s="327">
        <f>'B) D RI'!AR11</f>
        <v>1265</v>
      </c>
      <c r="E10" s="328">
        <f>'B) D RI'!S11</f>
        <v>75</v>
      </c>
      <c r="F10" s="14">
        <f>'B) D RI'!R11</f>
        <v>5414185.5399999991</v>
      </c>
      <c r="G10" s="14">
        <f>'B) D RI'!U11</f>
        <v>72189.140533333324</v>
      </c>
      <c r="H10" s="52">
        <f>'B) D RI'!T11</f>
        <v>4922053.5399999991</v>
      </c>
      <c r="I10" s="14">
        <f t="shared" si="2"/>
        <v>131254.76106666663</v>
      </c>
      <c r="J10" s="41">
        <f t="shared" si="3"/>
        <v>108093.25015943818</v>
      </c>
      <c r="K10" s="14">
        <f t="shared" si="0"/>
        <v>108093.25015943818</v>
      </c>
      <c r="L10" s="14">
        <f t="shared" si="4"/>
        <v>0</v>
      </c>
      <c r="M10" s="14">
        <f>'D) Ecrêtage'!M9</f>
        <v>71248.700388808633</v>
      </c>
      <c r="N10" s="14">
        <f t="shared" si="1"/>
        <v>92350.360535577172</v>
      </c>
      <c r="O10" s="75">
        <f t="shared" si="5"/>
        <v>200443.61069501535</v>
      </c>
      <c r="P10" s="329"/>
      <c r="Q10" s="330"/>
      <c r="T10" s="331"/>
    </row>
    <row r="11" spans="1:22" x14ac:dyDescent="0.25">
      <c r="A11" s="338">
        <f>'A) Base RI'!A12</f>
        <v>5406</v>
      </c>
      <c r="B11" s="338" t="str">
        <f>'A) Base RI'!B12</f>
        <v>Lavey-Morcles</v>
      </c>
      <c r="C11" s="397">
        <v>0</v>
      </c>
      <c r="D11" s="327">
        <f>'B) D RI'!AR12</f>
        <v>907</v>
      </c>
      <c r="E11" s="328">
        <f>'B) D RI'!S12</f>
        <v>71</v>
      </c>
      <c r="F11" s="14">
        <f>'B) D RI'!R12</f>
        <v>1408032.8684615383</v>
      </c>
      <c r="G11" s="14">
        <f>'B) D RI'!U12</f>
        <v>19831.448851570964</v>
      </c>
      <c r="H11" s="52">
        <f>'B) D RI'!T12</f>
        <v>1271929.3299999998</v>
      </c>
      <c r="I11" s="14">
        <f t="shared" si="2"/>
        <v>35828.995211267604</v>
      </c>
      <c r="J11" s="41">
        <f t="shared" si="3"/>
        <v>77502.433118269109</v>
      </c>
      <c r="K11" s="14">
        <f t="shared" si="0"/>
        <v>35828.995211267604</v>
      </c>
      <c r="L11" s="14">
        <f t="shared" si="4"/>
        <v>41673.437907001506</v>
      </c>
      <c r="M11" s="14">
        <f>'D) Ecrêtage'!M10</f>
        <v>19831.448851570964</v>
      </c>
      <c r="N11" s="14">
        <f t="shared" si="1"/>
        <v>25704.910284554597</v>
      </c>
      <c r="O11" s="75">
        <f t="shared" si="5"/>
        <v>61533.905495822197</v>
      </c>
      <c r="P11" s="329"/>
      <c r="Q11" s="330"/>
      <c r="T11" s="331"/>
    </row>
    <row r="12" spans="1:22" x14ac:dyDescent="0.25">
      <c r="A12" s="338">
        <f>'A) Base RI'!A13</f>
        <v>5407</v>
      </c>
      <c r="B12" s="338" t="str">
        <f>'A) Base RI'!B13</f>
        <v>Leysin</v>
      </c>
      <c r="C12" s="397">
        <v>0</v>
      </c>
      <c r="D12" s="327">
        <f>'B) D RI'!AR13</f>
        <v>4148</v>
      </c>
      <c r="E12" s="328">
        <f>'B) D RI'!S13</f>
        <v>78</v>
      </c>
      <c r="F12" s="14">
        <f>'B) D RI'!R13</f>
        <v>8018329.0899999999</v>
      </c>
      <c r="G12" s="14">
        <f>'B) D RI'!U13</f>
        <v>102799.09089743589</v>
      </c>
      <c r="H12" s="52">
        <f>'B) D RI'!T13</f>
        <v>7236363.3899999997</v>
      </c>
      <c r="I12" s="14">
        <f t="shared" si="2"/>
        <v>185547.77923076923</v>
      </c>
      <c r="J12" s="41">
        <f t="shared" si="3"/>
        <v>354443.32147142256</v>
      </c>
      <c r="K12" s="14">
        <f t="shared" si="0"/>
        <v>185547.77923076923</v>
      </c>
      <c r="L12" s="14">
        <f t="shared" si="4"/>
        <v>168895.54224065333</v>
      </c>
      <c r="M12" s="14">
        <f>'D) Ecrêtage'!M11</f>
        <v>102799.09089743589</v>
      </c>
      <c r="N12" s="14">
        <f t="shared" si="1"/>
        <v>133245.00033405476</v>
      </c>
      <c r="O12" s="75">
        <f t="shared" si="5"/>
        <v>318792.77956482396</v>
      </c>
      <c r="P12" s="329"/>
      <c r="Q12" s="330"/>
      <c r="T12" s="331"/>
    </row>
    <row r="13" spans="1:22" x14ac:dyDescent="0.25">
      <c r="A13" s="338">
        <f>'A) Base RI'!A14</f>
        <v>5408</v>
      </c>
      <c r="B13" s="338" t="str">
        <f>'A) Base RI'!B14</f>
        <v>Noville</v>
      </c>
      <c r="C13" s="397">
        <v>0</v>
      </c>
      <c r="D13" s="327">
        <f>'B) D RI'!AR14</f>
        <v>1029</v>
      </c>
      <c r="E13" s="328">
        <f>'B) D RI'!S14</f>
        <v>78.5</v>
      </c>
      <c r="F13" s="14">
        <f>'B) D RI'!R14</f>
        <v>2727500.4966666671</v>
      </c>
      <c r="G13" s="14">
        <f>'B) D RI'!U14</f>
        <v>34745.229256900217</v>
      </c>
      <c r="H13" s="52">
        <f>'B) D RI'!T14</f>
        <v>2580815.6300000004</v>
      </c>
      <c r="I13" s="14">
        <f t="shared" si="2"/>
        <v>65753.264458598729</v>
      </c>
      <c r="J13" s="41">
        <f t="shared" si="3"/>
        <v>87927.236690958001</v>
      </c>
      <c r="K13" s="14">
        <f t="shared" si="0"/>
        <v>65753.264458598729</v>
      </c>
      <c r="L13" s="14">
        <f t="shared" si="4"/>
        <v>22173.972232359272</v>
      </c>
      <c r="M13" s="14">
        <f>'D) Ecrêtage'!M12</f>
        <v>34745.229256900217</v>
      </c>
      <c r="N13" s="14">
        <f t="shared" si="1"/>
        <v>45035.690914441293</v>
      </c>
      <c r="O13" s="75">
        <f t="shared" si="5"/>
        <v>110788.95537304002</v>
      </c>
      <c r="P13" s="329"/>
      <c r="Q13" s="330"/>
      <c r="T13" s="331"/>
    </row>
    <row r="14" spans="1:22" x14ac:dyDescent="0.25">
      <c r="A14" s="338">
        <f>'A) Base RI'!A15</f>
        <v>5409</v>
      </c>
      <c r="B14" s="338" t="str">
        <f>'A) Base RI'!B15</f>
        <v>Ollon</v>
      </c>
      <c r="C14" s="397">
        <v>1</v>
      </c>
      <c r="D14" s="327">
        <f>'B) D RI'!AR15</f>
        <v>7419</v>
      </c>
      <c r="E14" s="328">
        <f>'B) D RI'!S15</f>
        <v>68</v>
      </c>
      <c r="F14" s="14">
        <f>'B) D RI'!R15</f>
        <v>40288430.42076923</v>
      </c>
      <c r="G14" s="14">
        <f>'B) D RI'!U15</f>
        <v>592476.91795248864</v>
      </c>
      <c r="H14" s="52">
        <f>'B) D RI'!T15</f>
        <v>37409909.689999998</v>
      </c>
      <c r="I14" s="14">
        <f t="shared" si="2"/>
        <v>1100291.4614705881</v>
      </c>
      <c r="J14" s="41">
        <f t="shared" si="3"/>
        <v>633947.68611294217</v>
      </c>
      <c r="K14" s="14">
        <f t="shared" si="0"/>
        <v>0</v>
      </c>
      <c r="L14" s="14">
        <f t="shared" si="4"/>
        <v>633947.68611294217</v>
      </c>
      <c r="M14" s="14">
        <f>'D) Ecrêtage'!M13</f>
        <v>517844.500022105</v>
      </c>
      <c r="N14" s="14">
        <f t="shared" si="1"/>
        <v>671214.01537758997</v>
      </c>
      <c r="O14" s="75">
        <f t="shared" si="5"/>
        <v>671214.01537758997</v>
      </c>
      <c r="P14" s="329"/>
      <c r="Q14" s="330"/>
      <c r="T14" s="331"/>
    </row>
    <row r="15" spans="1:22" x14ac:dyDescent="0.25">
      <c r="A15" s="338">
        <f>'A) Base RI'!A16</f>
        <v>5410</v>
      </c>
      <c r="B15" s="338" t="str">
        <f>'A) Base RI'!B16</f>
        <v>Ormont-Dessous</v>
      </c>
      <c r="C15" s="397">
        <v>0</v>
      </c>
      <c r="D15" s="327">
        <f>'B) D RI'!AR16</f>
        <v>1119</v>
      </c>
      <c r="E15" s="328">
        <f>'B) D RI'!S16</f>
        <v>78.5</v>
      </c>
      <c r="F15" s="14">
        <f>'B) D RI'!R16</f>
        <v>2765884.5566666662</v>
      </c>
      <c r="G15" s="14">
        <f>'B) D RI'!U16</f>
        <v>35234.198174097655</v>
      </c>
      <c r="H15" s="52">
        <f>'B) D RI'!T16</f>
        <v>2425040.7899999996</v>
      </c>
      <c r="I15" s="14">
        <f t="shared" si="2"/>
        <v>61784.478726114641</v>
      </c>
      <c r="J15" s="41">
        <f t="shared" si="3"/>
        <v>95617.665556056367</v>
      </c>
      <c r="K15" s="14">
        <f t="shared" si="0"/>
        <v>61784.478726114641</v>
      </c>
      <c r="L15" s="14">
        <f t="shared" si="4"/>
        <v>33833.186829941726</v>
      </c>
      <c r="M15" s="14">
        <f>'D) Ecrêtage'!M14</f>
        <v>35234.198174097655</v>
      </c>
      <c r="N15" s="14">
        <f t="shared" si="1"/>
        <v>45669.477292964024</v>
      </c>
      <c r="O15" s="75">
        <f t="shared" si="5"/>
        <v>107453.95601907867</v>
      </c>
      <c r="P15" s="329"/>
      <c r="Q15" s="330"/>
      <c r="T15" s="331"/>
    </row>
    <row r="16" spans="1:22" s="325" customFormat="1" x14ac:dyDescent="0.25">
      <c r="A16" s="338">
        <f>'A) Base RI'!A17</f>
        <v>5411</v>
      </c>
      <c r="B16" s="338" t="str">
        <f>'A) Base RI'!B17</f>
        <v>Ormont-Dessus</v>
      </c>
      <c r="C16" s="397">
        <v>0</v>
      </c>
      <c r="D16" s="327">
        <f>'B) D RI'!AR17</f>
        <v>1481</v>
      </c>
      <c r="E16" s="328">
        <f>'B) D RI'!S17</f>
        <v>76</v>
      </c>
      <c r="F16" s="14">
        <f>'B) D RI'!R17</f>
        <v>5456056.2533333339</v>
      </c>
      <c r="G16" s="14">
        <f>'B) D RI'!U17</f>
        <v>71790.213859649128</v>
      </c>
      <c r="H16" s="52">
        <f>'B) D RI'!T17</f>
        <v>4690907.5200000005</v>
      </c>
      <c r="I16" s="14">
        <f t="shared" si="2"/>
        <v>123444.93473684211</v>
      </c>
      <c r="J16" s="41">
        <f t="shared" si="3"/>
        <v>126550.27943567425</v>
      </c>
      <c r="K16" s="14">
        <f t="shared" si="0"/>
        <v>123444.93473684211</v>
      </c>
      <c r="L16" s="14">
        <f t="shared" si="4"/>
        <v>3105.3446988321375</v>
      </c>
      <c r="M16" s="14">
        <f>'D) Ecrêtage'!M15</f>
        <v>71790.213859649128</v>
      </c>
      <c r="N16" s="14">
        <f t="shared" si="1"/>
        <v>93052.253538454257</v>
      </c>
      <c r="O16" s="75">
        <f t="shared" si="5"/>
        <v>216497.18827529636</v>
      </c>
      <c r="P16" s="329"/>
      <c r="Q16" s="330"/>
      <c r="R16" s="326"/>
      <c r="S16" s="326"/>
      <c r="T16" s="331"/>
    </row>
    <row r="17" spans="1:20" s="325" customFormat="1" x14ac:dyDescent="0.25">
      <c r="A17" s="338">
        <f>'A) Base RI'!A18</f>
        <v>5412</v>
      </c>
      <c r="B17" s="338" t="str">
        <f>'A) Base RI'!B18</f>
        <v>Rennaz</v>
      </c>
      <c r="C17" s="397">
        <v>0</v>
      </c>
      <c r="D17" s="327">
        <f>'B) D RI'!AR18</f>
        <v>843</v>
      </c>
      <c r="E17" s="328">
        <f>'B) D RI'!S18</f>
        <v>67.5</v>
      </c>
      <c r="F17" s="14">
        <f>'B) D RI'!R18</f>
        <v>1788867.4299999997</v>
      </c>
      <c r="G17" s="14">
        <f>'B) D RI'!U18</f>
        <v>26501.739703703701</v>
      </c>
      <c r="H17" s="52">
        <f>'B) D RI'!T18</f>
        <v>1594688.6299999997</v>
      </c>
      <c r="I17" s="14">
        <f t="shared" si="2"/>
        <v>47250.033481481471</v>
      </c>
      <c r="J17" s="41">
        <f t="shared" si="3"/>
        <v>72033.683703088042</v>
      </c>
      <c r="K17" s="14">
        <f t="shared" si="0"/>
        <v>47250.033481481471</v>
      </c>
      <c r="L17" s="14">
        <f t="shared" si="4"/>
        <v>24783.650221606571</v>
      </c>
      <c r="M17" s="14">
        <f>'D) Ecrêtage'!M16</f>
        <v>26501.739703703701</v>
      </c>
      <c r="N17" s="14">
        <f t="shared" si="1"/>
        <v>34350.734863951126</v>
      </c>
      <c r="O17" s="75">
        <f t="shared" si="5"/>
        <v>81600.768345432589</v>
      </c>
      <c r="P17" s="329"/>
      <c r="Q17" s="330"/>
      <c r="R17" s="326"/>
      <c r="S17" s="326"/>
      <c r="T17" s="331"/>
    </row>
    <row r="18" spans="1:20" s="325" customFormat="1" x14ac:dyDescent="0.25">
      <c r="A18" s="338">
        <f>'A) Base RI'!A19</f>
        <v>5413</v>
      </c>
      <c r="B18" s="338" t="str">
        <f>'A) Base RI'!B19</f>
        <v>Roche</v>
      </c>
      <c r="C18" s="397">
        <v>0</v>
      </c>
      <c r="D18" s="327">
        <f>'B) D RI'!AR19</f>
        <v>1507</v>
      </c>
      <c r="E18" s="328">
        <f>'B) D RI'!S19</f>
        <v>68</v>
      </c>
      <c r="F18" s="14">
        <f>'B) D RI'!R19</f>
        <v>2370563.0699999998</v>
      </c>
      <c r="G18" s="14">
        <f>'B) D RI'!U19</f>
        <v>34861.221617647054</v>
      </c>
      <c r="H18" s="52">
        <f>'B) D RI'!T19</f>
        <v>2142525.02</v>
      </c>
      <c r="I18" s="14">
        <f t="shared" si="2"/>
        <v>63015.44176470588</v>
      </c>
      <c r="J18" s="41">
        <f t="shared" si="3"/>
        <v>128771.95888559156</v>
      </c>
      <c r="K18" s="14">
        <f t="shared" si="0"/>
        <v>63015.44176470588</v>
      </c>
      <c r="L18" s="14">
        <f t="shared" si="4"/>
        <v>65756.517120885692</v>
      </c>
      <c r="M18" s="14">
        <f>'D) Ecrêtage'!M17</f>
        <v>34861.221617647054</v>
      </c>
      <c r="N18" s="14">
        <f t="shared" si="1"/>
        <v>45186.036622866675</v>
      </c>
      <c r="O18" s="75">
        <f t="shared" si="5"/>
        <v>108201.47838757256</v>
      </c>
      <c r="P18" s="329"/>
      <c r="Q18" s="330"/>
      <c r="R18" s="326"/>
      <c r="S18" s="326"/>
      <c r="T18" s="331"/>
    </row>
    <row r="19" spans="1:20" s="325" customFormat="1" x14ac:dyDescent="0.25">
      <c r="A19" s="338">
        <f>'A) Base RI'!A20</f>
        <v>5414</v>
      </c>
      <c r="B19" s="338" t="str">
        <f>'A) Base RI'!B20</f>
        <v>Villeneuve</v>
      </c>
      <c r="C19" s="397">
        <v>0</v>
      </c>
      <c r="D19" s="327">
        <f>'B) D RI'!AR20</f>
        <v>5428</v>
      </c>
      <c r="E19" s="328">
        <f>'B) D RI'!S20</f>
        <v>69</v>
      </c>
      <c r="F19" s="14">
        <f>'B) D RI'!R20</f>
        <v>11592643.119999999</v>
      </c>
      <c r="G19" s="14">
        <f>'B) D RI'!U20</f>
        <v>168009.32057971013</v>
      </c>
      <c r="H19" s="52">
        <f>'B) D RI'!T20</f>
        <v>10553258.619999999</v>
      </c>
      <c r="I19" s="14">
        <f t="shared" si="2"/>
        <v>305891.55420289852</v>
      </c>
      <c r="J19" s="41">
        <f t="shared" si="3"/>
        <v>463818.3097750438</v>
      </c>
      <c r="K19" s="14">
        <f t="shared" si="0"/>
        <v>305891.55420289852</v>
      </c>
      <c r="L19" s="14">
        <f t="shared" si="4"/>
        <v>157926.75557214528</v>
      </c>
      <c r="M19" s="14">
        <f>'D) Ecrêtage'!M18</f>
        <v>168009.32057971013</v>
      </c>
      <c r="N19" s="14">
        <f t="shared" si="1"/>
        <v>217768.4820102448</v>
      </c>
      <c r="O19" s="75">
        <f t="shared" si="5"/>
        <v>523660.03621314332</v>
      </c>
      <c r="P19" s="329"/>
      <c r="Q19" s="330"/>
      <c r="R19" s="326"/>
      <c r="S19" s="326"/>
      <c r="T19" s="331"/>
    </row>
    <row r="20" spans="1:20" s="325" customFormat="1" x14ac:dyDescent="0.25">
      <c r="A20" s="338">
        <f>'A) Base RI'!A21</f>
        <v>5415</v>
      </c>
      <c r="B20" s="338" t="str">
        <f>'A) Base RI'!B21</f>
        <v>Yvorne</v>
      </c>
      <c r="C20" s="397">
        <v>0</v>
      </c>
      <c r="D20" s="327">
        <f>'B) D RI'!AR21</f>
        <v>1032</v>
      </c>
      <c r="E20" s="328">
        <f>'B) D RI'!S21</f>
        <v>68.5</v>
      </c>
      <c r="F20" s="14">
        <f>'B) D RI'!R21</f>
        <v>2949334.1999999997</v>
      </c>
      <c r="G20" s="14">
        <f>'B) D RI'!U21</f>
        <v>43055.973722627736</v>
      </c>
      <c r="H20" s="52">
        <f>'B) D RI'!T21</f>
        <v>2734012.6999999997</v>
      </c>
      <c r="I20" s="14">
        <f t="shared" si="2"/>
        <v>79825.18832116788</v>
      </c>
      <c r="J20" s="41">
        <f t="shared" si="3"/>
        <v>88183.584319794623</v>
      </c>
      <c r="K20" s="14">
        <f t="shared" si="0"/>
        <v>79825.18832116788</v>
      </c>
      <c r="L20" s="14">
        <f t="shared" si="4"/>
        <v>8358.3959986267437</v>
      </c>
      <c r="M20" s="14">
        <f>'D) Ecrêtage'!M19</f>
        <v>43055.973722627736</v>
      </c>
      <c r="N20" s="14">
        <f t="shared" si="1"/>
        <v>55807.820701240096</v>
      </c>
      <c r="O20" s="75">
        <f t="shared" si="5"/>
        <v>135633.00902240799</v>
      </c>
      <c r="P20" s="329"/>
      <c r="Q20" s="330"/>
      <c r="R20" s="326"/>
      <c r="S20" s="326"/>
      <c r="T20" s="331"/>
    </row>
    <row r="21" spans="1:20" s="325" customFormat="1" x14ac:dyDescent="0.25">
      <c r="A21" s="338">
        <f>'A) Base RI'!A22</f>
        <v>5421</v>
      </c>
      <c r="B21" s="338" t="str">
        <f>'A) Base RI'!B22</f>
        <v>Apples</v>
      </c>
      <c r="C21" s="397">
        <v>0</v>
      </c>
      <c r="D21" s="327">
        <f>'B) D RI'!AR22</f>
        <v>1363</v>
      </c>
      <c r="E21" s="328">
        <f>'B) D RI'!S22</f>
        <v>71</v>
      </c>
      <c r="F21" s="14">
        <f>'B) D RI'!R22</f>
        <v>4074810.09</v>
      </c>
      <c r="G21" s="14">
        <f>'B) D RI'!U22</f>
        <v>57391.691408450701</v>
      </c>
      <c r="H21" s="52">
        <f>'B) D RI'!T22</f>
        <v>3809265.54</v>
      </c>
      <c r="I21" s="14">
        <f t="shared" si="2"/>
        <v>107303.25464788733</v>
      </c>
      <c r="J21" s="41">
        <f t="shared" si="3"/>
        <v>116467.27270143417</v>
      </c>
      <c r="K21" s="14">
        <f t="shared" si="0"/>
        <v>107303.25464788733</v>
      </c>
      <c r="L21" s="14">
        <f t="shared" si="4"/>
        <v>9164.0180535468389</v>
      </c>
      <c r="M21" s="14">
        <f>'D) Ecrêtage'!M20</f>
        <v>57391.691408450701</v>
      </c>
      <c r="N21" s="14">
        <f t="shared" si="1"/>
        <v>74389.334323205796</v>
      </c>
      <c r="O21" s="75">
        <f t="shared" si="5"/>
        <v>181692.58897109312</v>
      </c>
      <c r="P21" s="329"/>
      <c r="Q21" s="330"/>
      <c r="R21" s="326"/>
      <c r="S21" s="326"/>
      <c r="T21" s="331"/>
    </row>
    <row r="22" spans="1:20" s="325" customFormat="1" x14ac:dyDescent="0.25">
      <c r="A22" s="338">
        <f>'A) Base RI'!A23</f>
        <v>5422</v>
      </c>
      <c r="B22" s="338" t="str">
        <f>'A) Base RI'!B23</f>
        <v>Aubonne</v>
      </c>
      <c r="C22" s="397">
        <v>0</v>
      </c>
      <c r="D22" s="327">
        <f>'B) D RI'!AR23</f>
        <v>3227</v>
      </c>
      <c r="E22" s="328">
        <f>'B) D RI'!S23</f>
        <v>68</v>
      </c>
      <c r="F22" s="14">
        <f>'B) D RI'!R23</f>
        <v>15745461.419999998</v>
      </c>
      <c r="G22" s="14">
        <f>'B) D RI'!U23</f>
        <v>231550.9032352941</v>
      </c>
      <c r="H22" s="52">
        <f>'B) D RI'!T23</f>
        <v>14769041.089999998</v>
      </c>
      <c r="I22" s="14">
        <f t="shared" si="2"/>
        <v>434383.5614705882</v>
      </c>
      <c r="J22" s="41">
        <f t="shared" si="3"/>
        <v>275744.59941858257</v>
      </c>
      <c r="K22" s="14">
        <f t="shared" si="0"/>
        <v>275744.59941858257</v>
      </c>
      <c r="L22" s="14">
        <f t="shared" si="4"/>
        <v>0</v>
      </c>
      <c r="M22" s="14">
        <f>'D) Ecrêtage'!M21</f>
        <v>211119.94817106269</v>
      </c>
      <c r="N22" s="14">
        <f t="shared" si="1"/>
        <v>273647.14336477203</v>
      </c>
      <c r="O22" s="75">
        <f t="shared" si="5"/>
        <v>549391.7427833546</v>
      </c>
      <c r="P22" s="329"/>
      <c r="Q22" s="330"/>
      <c r="R22" s="326"/>
      <c r="S22" s="326"/>
      <c r="T22" s="331"/>
    </row>
    <row r="23" spans="1:20" s="325" customFormat="1" x14ac:dyDescent="0.25">
      <c r="A23" s="338">
        <f>'A) Base RI'!A24</f>
        <v>5423</v>
      </c>
      <c r="B23" s="338" t="str">
        <f>'A) Base RI'!B24</f>
        <v>Ballens</v>
      </c>
      <c r="C23" s="397">
        <v>0</v>
      </c>
      <c r="D23" s="327">
        <f>'B) D RI'!AR24</f>
        <v>509</v>
      </c>
      <c r="E23" s="328">
        <f>'B) D RI'!S24</f>
        <v>69</v>
      </c>
      <c r="F23" s="14">
        <f>'B) D RI'!R24</f>
        <v>1363569.1599999997</v>
      </c>
      <c r="G23" s="14">
        <f>'B) D RI'!U24</f>
        <v>19761.871884057968</v>
      </c>
      <c r="H23" s="52">
        <f>'B) D RI'!T24</f>
        <v>1287845.4599999997</v>
      </c>
      <c r="I23" s="14">
        <f t="shared" si="2"/>
        <v>37328.853913043473</v>
      </c>
      <c r="J23" s="41">
        <f t="shared" si="3"/>
        <v>43493.647692611878</v>
      </c>
      <c r="K23" s="14">
        <f t="shared" si="0"/>
        <v>37328.853913043473</v>
      </c>
      <c r="L23" s="14">
        <f t="shared" si="4"/>
        <v>6164.7937795684047</v>
      </c>
      <c r="M23" s="14">
        <f>'D) Ecrêtage'!M22</f>
        <v>19761.871884057968</v>
      </c>
      <c r="N23" s="14">
        <f t="shared" si="1"/>
        <v>25614.726772438124</v>
      </c>
      <c r="O23" s="75">
        <f t="shared" si="5"/>
        <v>62943.580685481596</v>
      </c>
      <c r="P23" s="329"/>
      <c r="Q23" s="330"/>
      <c r="R23" s="326"/>
      <c r="S23" s="326"/>
      <c r="T23" s="331"/>
    </row>
    <row r="24" spans="1:20" s="325" customFormat="1" x14ac:dyDescent="0.25">
      <c r="A24" s="338">
        <f>'A) Base RI'!A25</f>
        <v>5424</v>
      </c>
      <c r="B24" s="338" t="str">
        <f>'A) Base RI'!B25</f>
        <v>Berolle</v>
      </c>
      <c r="C24" s="397">
        <v>0</v>
      </c>
      <c r="D24" s="327">
        <f>'B) D RI'!AR25</f>
        <v>292</v>
      </c>
      <c r="E24" s="328">
        <f>'B) D RI'!S25</f>
        <v>77</v>
      </c>
      <c r="F24" s="14">
        <f>'B) D RI'!R25</f>
        <v>720729.72</v>
      </c>
      <c r="G24" s="14">
        <f>'B) D RI'!U25</f>
        <v>9360.1262337662338</v>
      </c>
      <c r="H24" s="52">
        <f>'B) D RI'!T25</f>
        <v>673194.91999999993</v>
      </c>
      <c r="I24" s="14">
        <f t="shared" si="2"/>
        <v>17485.582337662338</v>
      </c>
      <c r="J24" s="41">
        <f t="shared" si="3"/>
        <v>24951.169206763592</v>
      </c>
      <c r="K24" s="14">
        <f t="shared" si="0"/>
        <v>17485.582337662338</v>
      </c>
      <c r="L24" s="14">
        <f t="shared" si="4"/>
        <v>7465.5868691012547</v>
      </c>
      <c r="M24" s="14">
        <f>'D) Ecrêtage'!M23</f>
        <v>9360.1262337662338</v>
      </c>
      <c r="N24" s="14">
        <f t="shared" si="1"/>
        <v>12132.305959683201</v>
      </c>
      <c r="O24" s="75">
        <f t="shared" si="5"/>
        <v>29617.88829734554</v>
      </c>
      <c r="P24" s="329"/>
      <c r="Q24" s="330"/>
      <c r="R24" s="326"/>
      <c r="S24" s="326"/>
      <c r="T24" s="331"/>
    </row>
    <row r="25" spans="1:20" s="325" customFormat="1" x14ac:dyDescent="0.25">
      <c r="A25" s="338">
        <f>'A) Base RI'!A26</f>
        <v>5425</v>
      </c>
      <c r="B25" s="338" t="str">
        <f>'A) Base RI'!B26</f>
        <v>Bière</v>
      </c>
      <c r="C25" s="397">
        <v>0</v>
      </c>
      <c r="D25" s="327">
        <f>'B) D RI'!AR26</f>
        <v>1550</v>
      </c>
      <c r="E25" s="328">
        <f>'B) D RI'!S26</f>
        <v>68</v>
      </c>
      <c r="F25" s="14">
        <f>'B) D RI'!R26</f>
        <v>2773543.4699999997</v>
      </c>
      <c r="G25" s="14">
        <f>'B) D RI'!U26</f>
        <v>40787.403970588231</v>
      </c>
      <c r="H25" s="52">
        <f>'B) D RI'!T26</f>
        <v>2575884.5699999998</v>
      </c>
      <c r="I25" s="14">
        <f t="shared" si="2"/>
        <v>75761.310882352933</v>
      </c>
      <c r="J25" s="41">
        <f t="shared" si="3"/>
        <v>132446.27489891634</v>
      </c>
      <c r="K25" s="14">
        <f t="shared" si="0"/>
        <v>75761.310882352933</v>
      </c>
      <c r="L25" s="14">
        <f t="shared" si="4"/>
        <v>56684.964016563405</v>
      </c>
      <c r="M25" s="14">
        <f>'D) Ecrêtage'!M24</f>
        <v>40787.403970588231</v>
      </c>
      <c r="N25" s="14">
        <f t="shared" si="1"/>
        <v>52867.370793274327</v>
      </c>
      <c r="O25" s="75">
        <f t="shared" si="5"/>
        <v>128628.68167562726</v>
      </c>
      <c r="P25" s="329"/>
      <c r="Q25" s="330"/>
      <c r="R25" s="326"/>
      <c r="S25" s="326"/>
      <c r="T25" s="331"/>
    </row>
    <row r="26" spans="1:20" s="325" customFormat="1" x14ac:dyDescent="0.25">
      <c r="A26" s="338">
        <f>'A) Base RI'!A27</f>
        <v>5426</v>
      </c>
      <c r="B26" s="338" t="str">
        <f>'A) Base RI'!B27</f>
        <v>Bougy-Villars</v>
      </c>
      <c r="C26" s="397">
        <v>0</v>
      </c>
      <c r="D26" s="327">
        <f>'B) D RI'!AR27</f>
        <v>481</v>
      </c>
      <c r="E26" s="328">
        <f>'B) D RI'!S27</f>
        <v>62</v>
      </c>
      <c r="F26" s="14">
        <f>'B) D RI'!R27</f>
        <v>2611034.0399999996</v>
      </c>
      <c r="G26" s="14">
        <f>'B) D RI'!U27</f>
        <v>42113.452258064506</v>
      </c>
      <c r="H26" s="52">
        <f>'B) D RI'!T27</f>
        <v>2382327.8899999997</v>
      </c>
      <c r="I26" s="14">
        <f t="shared" si="2"/>
        <v>76849.286774193533</v>
      </c>
      <c r="J26" s="41">
        <f t="shared" si="3"/>
        <v>41101.069823470163</v>
      </c>
      <c r="K26" s="14">
        <f t="shared" si="0"/>
        <v>41101.069823470163</v>
      </c>
      <c r="L26" s="14">
        <f t="shared" si="4"/>
        <v>0</v>
      </c>
      <c r="M26" s="14">
        <f>'D) Ecrêtage'!M25</f>
        <v>35572.27242014376</v>
      </c>
      <c r="N26" s="14">
        <f t="shared" si="1"/>
        <v>46107.67866842456</v>
      </c>
      <c r="O26" s="75">
        <f t="shared" si="5"/>
        <v>87208.748491894716</v>
      </c>
      <c r="P26" s="329"/>
      <c r="Q26" s="330"/>
      <c r="R26" s="326"/>
      <c r="S26" s="326"/>
      <c r="T26" s="331"/>
    </row>
    <row r="27" spans="1:20" s="325" customFormat="1" x14ac:dyDescent="0.25">
      <c r="A27" s="338">
        <f>'A) Base RI'!A28</f>
        <v>5427</v>
      </c>
      <c r="B27" s="338" t="str">
        <f>'A) Base RI'!B28</f>
        <v>Féchy</v>
      </c>
      <c r="C27" s="397">
        <v>0</v>
      </c>
      <c r="D27" s="327">
        <f>'B) D RI'!AR28</f>
        <v>860</v>
      </c>
      <c r="E27" s="328">
        <f>'B) D RI'!S28</f>
        <v>64</v>
      </c>
      <c r="F27" s="14">
        <f>'B) D RI'!R28</f>
        <v>4118853.0476923073</v>
      </c>
      <c r="G27" s="14">
        <f>'B) D RI'!U28</f>
        <v>64357.078870192301</v>
      </c>
      <c r="H27" s="52">
        <f>'B) D RI'!T28</f>
        <v>3798488.7399999998</v>
      </c>
      <c r="I27" s="14">
        <f t="shared" si="2"/>
        <v>118702.77312499999</v>
      </c>
      <c r="J27" s="41">
        <f t="shared" si="3"/>
        <v>73486.320266495517</v>
      </c>
      <c r="K27" s="14">
        <f t="shared" si="0"/>
        <v>73486.320266495517</v>
      </c>
      <c r="L27" s="14">
        <f t="shared" si="4"/>
        <v>0</v>
      </c>
      <c r="M27" s="14">
        <f>'D) Ecrêtage'!M26</f>
        <v>57693.918333518144</v>
      </c>
      <c r="N27" s="14">
        <f t="shared" si="1"/>
        <v>74781.071510568188</v>
      </c>
      <c r="O27" s="75">
        <f t="shared" si="5"/>
        <v>148267.39177706372</v>
      </c>
      <c r="P27" s="329"/>
      <c r="Q27" s="330"/>
      <c r="R27" s="326"/>
      <c r="S27" s="326"/>
      <c r="T27" s="331"/>
    </row>
    <row r="28" spans="1:20" s="325" customFormat="1" x14ac:dyDescent="0.25">
      <c r="A28" s="338">
        <f>'A) Base RI'!A29</f>
        <v>5428</v>
      </c>
      <c r="B28" s="338" t="str">
        <f>'A) Base RI'!B29</f>
        <v>Gimel</v>
      </c>
      <c r="C28" s="397">
        <v>0</v>
      </c>
      <c r="D28" s="327">
        <f>'B) D RI'!AR29</f>
        <v>1907</v>
      </c>
      <c r="E28" s="328">
        <f>'B) D RI'!S29</f>
        <v>71.5</v>
      </c>
      <c r="F28" s="14">
        <f>'B) D RI'!R29</f>
        <v>4114542.8433333337</v>
      </c>
      <c r="G28" s="14">
        <f>'B) D RI'!U29</f>
        <v>57546.053752913758</v>
      </c>
      <c r="H28" s="52">
        <f>'B) D RI'!T29</f>
        <v>3802097.2600000002</v>
      </c>
      <c r="I28" s="14">
        <f t="shared" si="2"/>
        <v>106352.37090909091</v>
      </c>
      <c r="J28" s="41">
        <f t="shared" si="3"/>
        <v>162951.64273047319</v>
      </c>
      <c r="K28" s="14">
        <f t="shared" si="0"/>
        <v>106352.37090909091</v>
      </c>
      <c r="L28" s="14">
        <f t="shared" si="4"/>
        <v>56599.271821382281</v>
      </c>
      <c r="M28" s="14">
        <f>'D) Ecrêtage'!M27</f>
        <v>57546.053752913758</v>
      </c>
      <c r="N28" s="14">
        <f t="shared" si="1"/>
        <v>74589.414017101793</v>
      </c>
      <c r="O28" s="75">
        <f t="shared" si="5"/>
        <v>180941.78492619272</v>
      </c>
      <c r="P28" s="329"/>
      <c r="Q28" s="330"/>
      <c r="R28" s="326"/>
      <c r="S28" s="326"/>
      <c r="T28" s="331"/>
    </row>
    <row r="29" spans="1:20" s="325" customFormat="1" x14ac:dyDescent="0.25">
      <c r="A29" s="338">
        <f>'A) Base RI'!A30</f>
        <v>5429</v>
      </c>
      <c r="B29" s="338" t="str">
        <f>'A) Base RI'!B30</f>
        <v>Longirod</v>
      </c>
      <c r="C29" s="397">
        <v>0</v>
      </c>
      <c r="D29" s="327">
        <f>'B) D RI'!AR30</f>
        <v>463</v>
      </c>
      <c r="E29" s="328">
        <f>'B) D RI'!S30</f>
        <v>81</v>
      </c>
      <c r="F29" s="14">
        <f>'B) D RI'!R30</f>
        <v>1105256.56</v>
      </c>
      <c r="G29" s="14">
        <f>'B) D RI'!U30</f>
        <v>13645.142716049384</v>
      </c>
      <c r="H29" s="52">
        <f>'B) D RI'!T30</f>
        <v>1021012.06</v>
      </c>
      <c r="I29" s="14">
        <f t="shared" si="2"/>
        <v>25210.174320987655</v>
      </c>
      <c r="J29" s="41">
        <f t="shared" si="3"/>
        <v>39562.98405045049</v>
      </c>
      <c r="K29" s="14">
        <f t="shared" si="0"/>
        <v>25210.174320987655</v>
      </c>
      <c r="L29" s="14">
        <f t="shared" si="4"/>
        <v>14352.809729462835</v>
      </c>
      <c r="M29" s="14">
        <f>'D) Ecrêtage'!M28</f>
        <v>13645.142716049384</v>
      </c>
      <c r="N29" s="14">
        <f t="shared" si="1"/>
        <v>17686.411717125164</v>
      </c>
      <c r="O29" s="75">
        <f t="shared" si="5"/>
        <v>42896.586038112815</v>
      </c>
      <c r="P29" s="329"/>
      <c r="Q29" s="330"/>
      <c r="R29" s="326"/>
      <c r="S29" s="326"/>
      <c r="T29" s="331"/>
    </row>
    <row r="30" spans="1:20" s="325" customFormat="1" x14ac:dyDescent="0.25">
      <c r="A30" s="338">
        <f>'A) Base RI'!A31</f>
        <v>5430</v>
      </c>
      <c r="B30" s="338" t="str">
        <f>'A) Base RI'!B31</f>
        <v>Marchissy</v>
      </c>
      <c r="C30" s="397">
        <v>0</v>
      </c>
      <c r="D30" s="327">
        <f>'B) D RI'!AR31</f>
        <v>448</v>
      </c>
      <c r="E30" s="328">
        <f>'B) D RI'!S31</f>
        <v>81</v>
      </c>
      <c r="F30" s="14">
        <f>'B) D RI'!R31</f>
        <v>1045036.61</v>
      </c>
      <c r="G30" s="14">
        <f>'B) D RI'!U31</f>
        <v>12901.686543209877</v>
      </c>
      <c r="H30" s="52">
        <f>'B) D RI'!T31</f>
        <v>968840.66</v>
      </c>
      <c r="I30" s="14">
        <f t="shared" si="2"/>
        <v>23921.991604938274</v>
      </c>
      <c r="J30" s="41">
        <f t="shared" si="3"/>
        <v>38281.245906267432</v>
      </c>
      <c r="K30" s="14">
        <f t="shared" si="0"/>
        <v>23921.991604938274</v>
      </c>
      <c r="L30" s="14">
        <f t="shared" si="4"/>
        <v>14359.254301329158</v>
      </c>
      <c r="M30" s="14">
        <f>'D) Ecrêtage'!M29</f>
        <v>12901.686543209877</v>
      </c>
      <c r="N30" s="14">
        <f t="shared" si="1"/>
        <v>16722.766833366506</v>
      </c>
      <c r="O30" s="75">
        <f t="shared" si="5"/>
        <v>40644.75843830478</v>
      </c>
      <c r="P30" s="329"/>
      <c r="Q30" s="330"/>
      <c r="R30" s="326"/>
      <c r="S30" s="326"/>
      <c r="T30" s="331"/>
    </row>
    <row r="31" spans="1:20" s="325" customFormat="1" x14ac:dyDescent="0.25">
      <c r="A31" s="338">
        <f>'A) Base RI'!A32</f>
        <v>5431</v>
      </c>
      <c r="B31" s="338" t="str">
        <f>'A) Base RI'!B32</f>
        <v>Mollens</v>
      </c>
      <c r="C31" s="397">
        <v>0</v>
      </c>
      <c r="D31" s="327">
        <f>'B) D RI'!AR32</f>
        <v>294</v>
      </c>
      <c r="E31" s="328">
        <f>'B) D RI'!S32</f>
        <v>74</v>
      </c>
      <c r="F31" s="14">
        <f>'B) D RI'!R32</f>
        <v>663433.34000000008</v>
      </c>
      <c r="G31" s="14">
        <f>'B) D RI'!U32</f>
        <v>8965.3154054054066</v>
      </c>
      <c r="H31" s="52">
        <f>'B) D RI'!T32</f>
        <v>616822.74000000011</v>
      </c>
      <c r="I31" s="14">
        <f t="shared" si="2"/>
        <v>16670.884864864867</v>
      </c>
      <c r="J31" s="41">
        <f t="shared" si="3"/>
        <v>25122.067625988002</v>
      </c>
      <c r="K31" s="14">
        <f t="shared" si="0"/>
        <v>16670.884864864867</v>
      </c>
      <c r="L31" s="14">
        <f t="shared" si="4"/>
        <v>8451.1827611231347</v>
      </c>
      <c r="M31" s="14">
        <f>'D) Ecrêtage'!M30</f>
        <v>8965.3154054054066</v>
      </c>
      <c r="N31" s="14">
        <f t="shared" si="1"/>
        <v>11620.564382033324</v>
      </c>
      <c r="O31" s="75">
        <f t="shared" si="5"/>
        <v>28291.449246898192</v>
      </c>
      <c r="P31" s="329"/>
      <c r="Q31" s="330"/>
      <c r="R31" s="326"/>
      <c r="S31" s="326"/>
      <c r="T31" s="331"/>
    </row>
    <row r="32" spans="1:20" s="325" customFormat="1" x14ac:dyDescent="0.25">
      <c r="A32" s="338">
        <f>'A) Base RI'!A33</f>
        <v>5432</v>
      </c>
      <c r="B32" s="338" t="str">
        <f>'A) Base RI'!B33</f>
        <v>Montherod</v>
      </c>
      <c r="C32" s="397">
        <v>0</v>
      </c>
      <c r="D32" s="327">
        <f>'B) D RI'!AR33</f>
        <v>518</v>
      </c>
      <c r="E32" s="328">
        <f>'B) D RI'!S33</f>
        <v>74</v>
      </c>
      <c r="F32" s="14">
        <f>'B) D RI'!R33</f>
        <v>1401461.88</v>
      </c>
      <c r="G32" s="14">
        <f>'B) D RI'!U33</f>
        <v>18938.674054054052</v>
      </c>
      <c r="H32" s="52">
        <f>'B) D RI'!T33</f>
        <v>1312954.48</v>
      </c>
      <c r="I32" s="14">
        <f t="shared" si="2"/>
        <v>35485.256216216214</v>
      </c>
      <c r="J32" s="41">
        <f t="shared" si="3"/>
        <v>44262.690579121714</v>
      </c>
      <c r="K32" s="14">
        <f t="shared" si="0"/>
        <v>35485.256216216214</v>
      </c>
      <c r="L32" s="14">
        <f t="shared" si="4"/>
        <v>8777.4343629055002</v>
      </c>
      <c r="M32" s="14">
        <f>'D) Ecrêtage'!M31</f>
        <v>18938.674054054052</v>
      </c>
      <c r="N32" s="14">
        <f t="shared" si="1"/>
        <v>24547.723220399894</v>
      </c>
      <c r="O32" s="75">
        <f t="shared" si="5"/>
        <v>60032.979436616108</v>
      </c>
      <c r="P32" s="329"/>
      <c r="Q32" s="330"/>
      <c r="R32" s="326"/>
      <c r="S32" s="326"/>
      <c r="T32" s="331"/>
    </row>
    <row r="33" spans="1:20" s="325" customFormat="1" x14ac:dyDescent="0.25">
      <c r="A33" s="338">
        <f>'A) Base RI'!A34</f>
        <v>5434</v>
      </c>
      <c r="B33" s="338" t="str">
        <f>'A) Base RI'!B34</f>
        <v>Saint-George</v>
      </c>
      <c r="C33" s="397">
        <v>0</v>
      </c>
      <c r="D33" s="327">
        <f>'B) D RI'!AR34</f>
        <v>949</v>
      </c>
      <c r="E33" s="328">
        <f>'B) D RI'!S34</f>
        <v>68.5</v>
      </c>
      <c r="F33" s="14">
        <f>'B) D RI'!R34</f>
        <v>2261580.3900000006</v>
      </c>
      <c r="G33" s="14">
        <f>'B) D RI'!U34</f>
        <v>33015.772116788328</v>
      </c>
      <c r="H33" s="52">
        <f>'B) D RI'!T34</f>
        <v>2066602.3900000004</v>
      </c>
      <c r="I33" s="14">
        <f t="shared" si="2"/>
        <v>60338.755912408771</v>
      </c>
      <c r="J33" s="41">
        <f t="shared" si="3"/>
        <v>81091.299921981685</v>
      </c>
      <c r="K33" s="14">
        <f t="shared" si="0"/>
        <v>60338.755912408771</v>
      </c>
      <c r="L33" s="14">
        <f t="shared" si="4"/>
        <v>20752.544009572914</v>
      </c>
      <c r="M33" s="14">
        <f>'D) Ecrêtage'!M32</f>
        <v>33015.772116788328</v>
      </c>
      <c r="N33" s="14">
        <f t="shared" si="1"/>
        <v>42794.022090328283</v>
      </c>
      <c r="O33" s="75">
        <f t="shared" si="5"/>
        <v>103132.77800273706</v>
      </c>
      <c r="P33" s="329"/>
      <c r="Q33" s="330"/>
      <c r="R33" s="326"/>
      <c r="S33" s="326"/>
      <c r="T33" s="331"/>
    </row>
    <row r="34" spans="1:20" s="325" customFormat="1" x14ac:dyDescent="0.25">
      <c r="A34" s="338">
        <f>'A) Base RI'!A35</f>
        <v>5435</v>
      </c>
      <c r="B34" s="338" t="str">
        <f>'A) Base RI'!B35</f>
        <v>Saint-Livres</v>
      </c>
      <c r="C34" s="397">
        <v>0</v>
      </c>
      <c r="D34" s="327">
        <f>'B) D RI'!AR35</f>
        <v>713</v>
      </c>
      <c r="E34" s="328">
        <f>'B) D RI'!S35</f>
        <v>69</v>
      </c>
      <c r="F34" s="14">
        <f>'B) D RI'!R35</f>
        <v>1679132.6300000001</v>
      </c>
      <c r="G34" s="14">
        <f>'B) D RI'!U35</f>
        <v>24335.25550724638</v>
      </c>
      <c r="H34" s="52">
        <f>'B) D RI'!T35</f>
        <v>1568066.4300000002</v>
      </c>
      <c r="I34" s="14">
        <f t="shared" si="2"/>
        <v>45451.200869565226</v>
      </c>
      <c r="J34" s="41">
        <f t="shared" si="3"/>
        <v>60925.286453501511</v>
      </c>
      <c r="K34" s="14">
        <f t="shared" si="0"/>
        <v>45451.200869565226</v>
      </c>
      <c r="L34" s="14">
        <f t="shared" si="4"/>
        <v>15474.085583936285</v>
      </c>
      <c r="M34" s="14">
        <f>'D) Ecrêtage'!M33</f>
        <v>24335.25550724638</v>
      </c>
      <c r="N34" s="14">
        <f t="shared" si="1"/>
        <v>31542.605093925304</v>
      </c>
      <c r="O34" s="75">
        <f t="shared" si="5"/>
        <v>76993.805963490537</v>
      </c>
      <c r="P34" s="329"/>
      <c r="Q34" s="330"/>
      <c r="R34" s="326"/>
      <c r="S34" s="326"/>
      <c r="T34" s="331"/>
    </row>
    <row r="35" spans="1:20" s="325" customFormat="1" x14ac:dyDescent="0.25">
      <c r="A35" s="338">
        <f>'A) Base RI'!A36</f>
        <v>5436</v>
      </c>
      <c r="B35" s="338" t="str">
        <f>'A) Base RI'!B36</f>
        <v>Saint-Oyens</v>
      </c>
      <c r="C35" s="397">
        <v>0</v>
      </c>
      <c r="D35" s="327">
        <f>'B) D RI'!AR36</f>
        <v>345</v>
      </c>
      <c r="E35" s="328">
        <f>'B) D RI'!S36</f>
        <v>81</v>
      </c>
      <c r="F35" s="14">
        <f>'B) D RI'!R36</f>
        <v>804959.19499999995</v>
      </c>
      <c r="G35" s="14">
        <f>'B) D RI'!U36</f>
        <v>9937.7678395061721</v>
      </c>
      <c r="H35" s="52">
        <f>'B) D RI'!T36</f>
        <v>746029.57</v>
      </c>
      <c r="I35" s="14">
        <f t="shared" si="2"/>
        <v>18420.483209876544</v>
      </c>
      <c r="J35" s="41">
        <f t="shared" si="3"/>
        <v>29479.97731621041</v>
      </c>
      <c r="K35" s="14">
        <f t="shared" si="0"/>
        <v>18420.483209876544</v>
      </c>
      <c r="L35" s="14">
        <f t="shared" si="4"/>
        <v>11059.494106333867</v>
      </c>
      <c r="M35" s="14">
        <f>'D) Ecrêtage'!M34</f>
        <v>9937.7678395061721</v>
      </c>
      <c r="N35" s="14">
        <f t="shared" si="1"/>
        <v>12881.027132972309</v>
      </c>
      <c r="O35" s="75">
        <f t="shared" si="5"/>
        <v>31301.510342848851</v>
      </c>
      <c r="P35" s="329"/>
      <c r="Q35" s="330"/>
      <c r="R35" s="326"/>
      <c r="S35" s="326"/>
      <c r="T35" s="331"/>
    </row>
    <row r="36" spans="1:20" s="325" customFormat="1" x14ac:dyDescent="0.25">
      <c r="A36" s="338">
        <f>'A) Base RI'!A37</f>
        <v>5437</v>
      </c>
      <c r="B36" s="338" t="str">
        <f>'A) Base RI'!B37</f>
        <v>Saubraz</v>
      </c>
      <c r="C36" s="397">
        <v>0</v>
      </c>
      <c r="D36" s="327">
        <f>'B) D RI'!AR37</f>
        <v>391</v>
      </c>
      <c r="E36" s="328">
        <f>'B) D RI'!S37</f>
        <v>83</v>
      </c>
      <c r="F36" s="14">
        <f>'B) D RI'!R37</f>
        <v>759006.45999999973</v>
      </c>
      <c r="G36" s="14">
        <f>'B) D RI'!U37</f>
        <v>9144.65614457831</v>
      </c>
      <c r="H36" s="52">
        <f>'B) D RI'!T37</f>
        <v>702388.60999999975</v>
      </c>
      <c r="I36" s="14">
        <f t="shared" si="2"/>
        <v>16925.026746987947</v>
      </c>
      <c r="J36" s="41">
        <f t="shared" si="3"/>
        <v>33410.640958371798</v>
      </c>
      <c r="K36" s="14">
        <f t="shared" si="0"/>
        <v>16925.026746987947</v>
      </c>
      <c r="L36" s="14">
        <f t="shared" si="4"/>
        <v>16485.61421138385</v>
      </c>
      <c r="M36" s="14">
        <f>'D) Ecrêtage'!M35</f>
        <v>9144.65614457831</v>
      </c>
      <c r="N36" s="14">
        <f t="shared" si="1"/>
        <v>11853.020298154652</v>
      </c>
      <c r="O36" s="75">
        <f t="shared" si="5"/>
        <v>28778.047045142601</v>
      </c>
      <c r="P36" s="329"/>
      <c r="Q36" s="330"/>
      <c r="R36" s="326"/>
      <c r="S36" s="326"/>
      <c r="T36" s="331"/>
    </row>
    <row r="37" spans="1:20" s="325" customFormat="1" x14ac:dyDescent="0.25">
      <c r="A37" s="338">
        <f>'A) Base RI'!A38</f>
        <v>5451</v>
      </c>
      <c r="B37" s="338" t="str">
        <f>'A) Base RI'!B38</f>
        <v>Avenches</v>
      </c>
      <c r="C37" s="397">
        <v>0</v>
      </c>
      <c r="D37" s="327">
        <f>'B) D RI'!AR38</f>
        <v>4090</v>
      </c>
      <c r="E37" s="328">
        <f>'B) D RI'!S38</f>
        <v>68</v>
      </c>
      <c r="F37" s="14">
        <f>'B) D RI'!R38</f>
        <v>6937959.5233333334</v>
      </c>
      <c r="G37" s="14">
        <f>'B) D RI'!U38</f>
        <v>102028.81651960785</v>
      </c>
      <c r="H37" s="52">
        <f>'B) D RI'!T38</f>
        <v>6204003.3899999997</v>
      </c>
      <c r="I37" s="14">
        <f t="shared" si="2"/>
        <v>182470.68794117647</v>
      </c>
      <c r="J37" s="41">
        <f t="shared" si="3"/>
        <v>349487.26731391472</v>
      </c>
      <c r="K37" s="14">
        <f t="shared" si="0"/>
        <v>182470.68794117647</v>
      </c>
      <c r="L37" s="14">
        <f t="shared" si="4"/>
        <v>167016.57937273826</v>
      </c>
      <c r="M37" s="14">
        <f>'D) Ecrêtage'!M36</f>
        <v>102028.81651960785</v>
      </c>
      <c r="N37" s="14">
        <f t="shared" si="1"/>
        <v>132246.59452292349</v>
      </c>
      <c r="O37" s="75">
        <f t="shared" si="5"/>
        <v>314717.28246409993</v>
      </c>
      <c r="P37" s="329"/>
      <c r="Q37" s="330"/>
      <c r="R37" s="326"/>
      <c r="S37" s="326"/>
      <c r="T37" s="331"/>
    </row>
    <row r="38" spans="1:20" s="325" customFormat="1" x14ac:dyDescent="0.25">
      <c r="A38" s="338">
        <f>'A) Base RI'!A39</f>
        <v>5456</v>
      </c>
      <c r="B38" s="338" t="str">
        <f>'A) Base RI'!B39</f>
        <v>Cudrefin</v>
      </c>
      <c r="C38" s="397">
        <v>0</v>
      </c>
      <c r="D38" s="327">
        <f>'B) D RI'!AR39</f>
        <v>1516</v>
      </c>
      <c r="E38" s="328">
        <f>'B) D RI'!S39</f>
        <v>59</v>
      </c>
      <c r="F38" s="14">
        <f>'B) D RI'!R39</f>
        <v>2671069.7600000002</v>
      </c>
      <c r="G38" s="14">
        <f>'B) D RI'!U39</f>
        <v>45272.368813559326</v>
      </c>
      <c r="H38" s="52">
        <f>'B) D RI'!T39</f>
        <v>2401763.2600000002</v>
      </c>
      <c r="I38" s="14">
        <f t="shared" si="2"/>
        <v>81415.703728813562</v>
      </c>
      <c r="J38" s="41">
        <f t="shared" si="3"/>
        <v>129541.0017721014</v>
      </c>
      <c r="K38" s="14">
        <f t="shared" si="0"/>
        <v>81415.703728813562</v>
      </c>
      <c r="L38" s="14">
        <f t="shared" si="4"/>
        <v>48125.298043287839</v>
      </c>
      <c r="M38" s="14">
        <f>'D) Ecrêtage'!M37</f>
        <v>45272.368813559326</v>
      </c>
      <c r="N38" s="14">
        <f t="shared" ref="N38:N69" si="6">+$N$5*M38</f>
        <v>58680.643428108626</v>
      </c>
      <c r="O38" s="75">
        <f t="shared" si="5"/>
        <v>140096.34715692219</v>
      </c>
      <c r="P38" s="329"/>
      <c r="Q38" s="330"/>
      <c r="R38" s="326"/>
      <c r="S38" s="326"/>
      <c r="T38" s="331"/>
    </row>
    <row r="39" spans="1:20" s="325" customFormat="1" x14ac:dyDescent="0.25">
      <c r="A39" s="338">
        <f>'A) Base RI'!A40</f>
        <v>5458</v>
      </c>
      <c r="B39" s="338" t="str">
        <f>'A) Base RI'!B40</f>
        <v>Faoug</v>
      </c>
      <c r="C39" s="397">
        <v>0</v>
      </c>
      <c r="D39" s="327">
        <f>'B) D RI'!AR40</f>
        <v>853</v>
      </c>
      <c r="E39" s="328">
        <f>'B) D RI'!S40</f>
        <v>61</v>
      </c>
      <c r="F39" s="14">
        <f>'B) D RI'!R40</f>
        <v>1716783.19</v>
      </c>
      <c r="G39" s="14">
        <f>'B) D RI'!U40</f>
        <v>28143.986721311474</v>
      </c>
      <c r="H39" s="52">
        <f>'B) D RI'!T40</f>
        <v>1551228.79</v>
      </c>
      <c r="I39" s="14">
        <f t="shared" si="2"/>
        <v>50859.960327868852</v>
      </c>
      <c r="J39" s="41">
        <f t="shared" si="3"/>
        <v>72888.17579921009</v>
      </c>
      <c r="K39" s="14">
        <f t="shared" si="0"/>
        <v>50859.960327868852</v>
      </c>
      <c r="L39" s="14">
        <f t="shared" si="4"/>
        <v>22028.215471341238</v>
      </c>
      <c r="M39" s="14">
        <f>'D) Ecrêtage'!M38</f>
        <v>28143.986721311474</v>
      </c>
      <c r="N39" s="14">
        <f t="shared" si="6"/>
        <v>36479.364626135197</v>
      </c>
      <c r="O39" s="75">
        <f t="shared" si="5"/>
        <v>87339.324954004056</v>
      </c>
      <c r="P39" s="329"/>
      <c r="Q39" s="330"/>
      <c r="R39" s="326"/>
      <c r="S39" s="326"/>
      <c r="T39" s="331"/>
    </row>
    <row r="40" spans="1:20" s="325" customFormat="1" x14ac:dyDescent="0.25">
      <c r="A40" s="338">
        <f>'A) Base RI'!A41</f>
        <v>5464</v>
      </c>
      <c r="B40" s="338" t="str">
        <f>'A) Base RI'!B41</f>
        <v>Vully-les-Lacs</v>
      </c>
      <c r="C40" s="397">
        <v>0</v>
      </c>
      <c r="D40" s="327">
        <f>'B) D RI'!AR41</f>
        <v>2825</v>
      </c>
      <c r="E40" s="328">
        <f>'B) D RI'!S41</f>
        <v>67</v>
      </c>
      <c r="F40" s="14">
        <f>'B) D RI'!R41</f>
        <v>6490019.8933333335</v>
      </c>
      <c r="G40" s="14">
        <f>'B) D RI'!U41</f>
        <v>96865.968557213928</v>
      </c>
      <c r="H40" s="52">
        <f>'B) D RI'!T41</f>
        <v>5933161.46</v>
      </c>
      <c r="I40" s="14">
        <f t="shared" si="2"/>
        <v>177109.29731343282</v>
      </c>
      <c r="J40" s="41">
        <f t="shared" si="3"/>
        <v>241394.01715447655</v>
      </c>
      <c r="K40" s="14">
        <f t="shared" si="0"/>
        <v>177109.29731343282</v>
      </c>
      <c r="L40" s="14">
        <f t="shared" si="4"/>
        <v>64284.719841043727</v>
      </c>
      <c r="M40" s="14">
        <f>'D) Ecrêtage'!M39</f>
        <v>96865.968557213928</v>
      </c>
      <c r="N40" s="14">
        <f t="shared" si="6"/>
        <v>125554.67076690309</v>
      </c>
      <c r="O40" s="75">
        <f t="shared" si="5"/>
        <v>302663.96808033588</v>
      </c>
      <c r="P40" s="329"/>
      <c r="Q40" s="330"/>
      <c r="R40" s="326"/>
      <c r="S40" s="326"/>
      <c r="T40" s="331"/>
    </row>
    <row r="41" spans="1:20" s="325" customFormat="1" x14ac:dyDescent="0.25">
      <c r="A41" s="338">
        <f>'A) Base RI'!A42</f>
        <v>5471</v>
      </c>
      <c r="B41" s="338" t="str">
        <f>'A) Base RI'!B42</f>
        <v>Bettens</v>
      </c>
      <c r="C41" s="397">
        <v>0</v>
      </c>
      <c r="D41" s="327">
        <f>'B) D RI'!AR42</f>
        <v>557</v>
      </c>
      <c r="E41" s="328">
        <f>'B) D RI'!S42</f>
        <v>70</v>
      </c>
      <c r="F41" s="14">
        <f>'B) D RI'!R42</f>
        <v>1271777.9944444448</v>
      </c>
      <c r="G41" s="14">
        <f>'B) D RI'!U42</f>
        <v>18168.257063492067</v>
      </c>
      <c r="H41" s="52">
        <f>'B) D RI'!T42</f>
        <v>1185232.0500000003</v>
      </c>
      <c r="I41" s="14">
        <f t="shared" si="2"/>
        <v>33863.772857142867</v>
      </c>
      <c r="J41" s="41">
        <f t="shared" si="3"/>
        <v>47595.209753997675</v>
      </c>
      <c r="K41" s="14">
        <f t="shared" si="0"/>
        <v>33863.772857142867</v>
      </c>
      <c r="L41" s="14">
        <f t="shared" si="4"/>
        <v>13731.436896854808</v>
      </c>
      <c r="M41" s="14">
        <f>'D) Ecrêtage'!M40</f>
        <v>18168.257063492067</v>
      </c>
      <c r="N41" s="14">
        <f t="shared" si="6"/>
        <v>23549.132559056274</v>
      </c>
      <c r="O41" s="75">
        <f t="shared" si="5"/>
        <v>57412.905416199137</v>
      </c>
      <c r="P41" s="329"/>
      <c r="Q41" s="330"/>
      <c r="R41" s="326"/>
      <c r="S41" s="326"/>
      <c r="T41" s="331"/>
    </row>
    <row r="42" spans="1:20" s="325" customFormat="1" x14ac:dyDescent="0.25">
      <c r="A42" s="338">
        <f>'A) Base RI'!A43</f>
        <v>5472</v>
      </c>
      <c r="B42" s="338" t="str">
        <f>'A) Base RI'!B43</f>
        <v>Bournens</v>
      </c>
      <c r="C42" s="397">
        <v>0</v>
      </c>
      <c r="D42" s="327">
        <f>'B) D RI'!AR43</f>
        <v>373</v>
      </c>
      <c r="E42" s="328">
        <f>'B) D RI'!S43</f>
        <v>80</v>
      </c>
      <c r="F42" s="14">
        <f>'B) D RI'!R43</f>
        <v>1057089.43</v>
      </c>
      <c r="G42" s="14">
        <f>'B) D RI'!U43</f>
        <v>13213.617875</v>
      </c>
      <c r="H42" s="52">
        <f>'B) D RI'!T43</f>
        <v>990533.78</v>
      </c>
      <c r="I42" s="14">
        <f t="shared" si="2"/>
        <v>24763.344499999999</v>
      </c>
      <c r="J42" s="41">
        <f t="shared" si="3"/>
        <v>31872.555185352125</v>
      </c>
      <c r="K42" s="14">
        <f t="shared" si="0"/>
        <v>24763.344499999999</v>
      </c>
      <c r="L42" s="14">
        <f t="shared" si="4"/>
        <v>7109.2106853521254</v>
      </c>
      <c r="M42" s="14">
        <f>'D) Ecrêtage'!M41</f>
        <v>13213.617875</v>
      </c>
      <c r="N42" s="14">
        <f t="shared" si="6"/>
        <v>17127.082572403979</v>
      </c>
      <c r="O42" s="75">
        <f t="shared" si="5"/>
        <v>41890.427072403982</v>
      </c>
      <c r="P42" s="329"/>
      <c r="Q42" s="330"/>
      <c r="R42" s="326"/>
      <c r="S42" s="326"/>
      <c r="T42" s="331"/>
    </row>
    <row r="43" spans="1:20" s="325" customFormat="1" x14ac:dyDescent="0.25">
      <c r="A43" s="338">
        <f>'A) Base RI'!A44</f>
        <v>5473</v>
      </c>
      <c r="B43" s="338" t="str">
        <f>'A) Base RI'!B44</f>
        <v>Boussens</v>
      </c>
      <c r="C43" s="397">
        <v>0</v>
      </c>
      <c r="D43" s="327">
        <f>'B) D RI'!AR44</f>
        <v>958</v>
      </c>
      <c r="E43" s="328">
        <f>'B) D RI'!S44</f>
        <v>69</v>
      </c>
      <c r="F43" s="14">
        <f>'B) D RI'!R44</f>
        <v>2277534.7900000005</v>
      </c>
      <c r="G43" s="14">
        <f>'B) D RI'!U44</f>
        <v>33007.750579710155</v>
      </c>
      <c r="H43" s="52">
        <f>'B) D RI'!T44</f>
        <v>2106236.6900000004</v>
      </c>
      <c r="I43" s="14">
        <f t="shared" si="2"/>
        <v>61050.338840579723</v>
      </c>
      <c r="J43" s="41">
        <f t="shared" si="3"/>
        <v>81860.342808491521</v>
      </c>
      <c r="K43" s="14">
        <f t="shared" si="0"/>
        <v>61050.338840579723</v>
      </c>
      <c r="L43" s="14">
        <f t="shared" si="4"/>
        <v>20810.003967911798</v>
      </c>
      <c r="M43" s="14">
        <f>'D) Ecrêtage'!M42</f>
        <v>33007.750579710155</v>
      </c>
      <c r="N43" s="14">
        <f t="shared" si="6"/>
        <v>42783.624822207232</v>
      </c>
      <c r="O43" s="75">
        <f t="shared" si="5"/>
        <v>103833.96366278696</v>
      </c>
      <c r="P43" s="329"/>
      <c r="Q43" s="330"/>
      <c r="R43" s="326"/>
      <c r="S43" s="326"/>
      <c r="T43" s="331"/>
    </row>
    <row r="44" spans="1:20" s="325" customFormat="1" x14ac:dyDescent="0.25">
      <c r="A44" s="338">
        <f>'A) Base RI'!A45</f>
        <v>5474</v>
      </c>
      <c r="B44" s="338" t="str">
        <f>'A) Base RI'!B45</f>
        <v>La Chaux (Cossonay)</v>
      </c>
      <c r="C44" s="397">
        <v>0</v>
      </c>
      <c r="D44" s="327">
        <f>'B) D RI'!AR45</f>
        <v>421</v>
      </c>
      <c r="E44" s="328">
        <f>'B) D RI'!S45</f>
        <v>77</v>
      </c>
      <c r="F44" s="14">
        <f>'B) D RI'!R45</f>
        <v>977164.51833333331</v>
      </c>
      <c r="G44" s="14">
        <f>'B) D RI'!U45</f>
        <v>12690.44829004329</v>
      </c>
      <c r="H44" s="52">
        <f>'B) D RI'!T45</f>
        <v>911218.80999999994</v>
      </c>
      <c r="I44" s="14">
        <f t="shared" si="2"/>
        <v>23668.021038961037</v>
      </c>
      <c r="J44" s="41">
        <f t="shared" si="3"/>
        <v>35974.117246737922</v>
      </c>
      <c r="K44" s="14">
        <f t="shared" si="0"/>
        <v>23668.021038961037</v>
      </c>
      <c r="L44" s="14">
        <f t="shared" si="4"/>
        <v>12306.096207776885</v>
      </c>
      <c r="M44" s="14">
        <f>'D) Ecrêtage'!M43</f>
        <v>12690.44829004329</v>
      </c>
      <c r="N44" s="14">
        <f t="shared" si="6"/>
        <v>16448.966346727681</v>
      </c>
      <c r="O44" s="75">
        <f t="shared" si="5"/>
        <v>40116.987385688713</v>
      </c>
      <c r="P44" s="329"/>
      <c r="Q44" s="330"/>
      <c r="R44" s="326"/>
      <c r="S44" s="326"/>
      <c r="T44" s="331"/>
    </row>
    <row r="45" spans="1:20" s="325" customFormat="1" x14ac:dyDescent="0.25">
      <c r="A45" s="338">
        <f>'A) Base RI'!A46</f>
        <v>5475</v>
      </c>
      <c r="B45" s="338" t="str">
        <f>'A) Base RI'!B46</f>
        <v>Chavannes-le-Veyron</v>
      </c>
      <c r="C45" s="397">
        <v>0</v>
      </c>
      <c r="D45" s="327">
        <f>'B) D RI'!AR46</f>
        <v>120</v>
      </c>
      <c r="E45" s="328">
        <f>'B) D RI'!S46</f>
        <v>77</v>
      </c>
      <c r="F45" s="14">
        <f>'B) D RI'!R46</f>
        <v>211761.89999999997</v>
      </c>
      <c r="G45" s="14">
        <f>'B) D RI'!U46</f>
        <v>2750.1545454545449</v>
      </c>
      <c r="H45" s="52">
        <f>'B) D RI'!T46</f>
        <v>192038.09999999998</v>
      </c>
      <c r="I45" s="14">
        <f t="shared" si="2"/>
        <v>4988.0025974025966</v>
      </c>
      <c r="J45" s="41">
        <f t="shared" si="3"/>
        <v>10253.90515346449</v>
      </c>
      <c r="K45" s="14">
        <f t="shared" si="0"/>
        <v>4988.0025974025966</v>
      </c>
      <c r="L45" s="14">
        <f t="shared" si="4"/>
        <v>5265.9025560618929</v>
      </c>
      <c r="M45" s="14">
        <f>'D) Ecrêtage'!M44</f>
        <v>2750.1545454545449</v>
      </c>
      <c r="N45" s="14">
        <f t="shared" si="6"/>
        <v>3564.6652137556325</v>
      </c>
      <c r="O45" s="75">
        <f t="shared" si="5"/>
        <v>8552.6678111582296</v>
      </c>
      <c r="P45" s="329"/>
      <c r="Q45" s="330"/>
      <c r="R45" s="326"/>
      <c r="S45" s="326"/>
      <c r="T45" s="331"/>
    </row>
    <row r="46" spans="1:20" s="325" customFormat="1" x14ac:dyDescent="0.25">
      <c r="A46" s="338">
        <f>'A) Base RI'!A47</f>
        <v>5476</v>
      </c>
      <c r="B46" s="338" t="str">
        <f>'A) Base RI'!B47</f>
        <v>Chevilly</v>
      </c>
      <c r="C46" s="397">
        <v>0</v>
      </c>
      <c r="D46" s="327">
        <f>'B) D RI'!AR47</f>
        <v>286</v>
      </c>
      <c r="E46" s="328">
        <f>'B) D RI'!S47</f>
        <v>74</v>
      </c>
      <c r="F46" s="14">
        <f>'B) D RI'!R47</f>
        <v>583683.73</v>
      </c>
      <c r="G46" s="14">
        <f>'B) D RI'!U47</f>
        <v>7887.6179729729729</v>
      </c>
      <c r="H46" s="52">
        <f>'B) D RI'!T47</f>
        <v>535244.53</v>
      </c>
      <c r="I46" s="14">
        <f t="shared" si="2"/>
        <v>14466.068378378379</v>
      </c>
      <c r="J46" s="41">
        <f t="shared" si="3"/>
        <v>24438.47394909037</v>
      </c>
      <c r="K46" s="14">
        <f t="shared" si="0"/>
        <v>14466.068378378379</v>
      </c>
      <c r="L46" s="14">
        <f t="shared" si="4"/>
        <v>9972.4055707119915</v>
      </c>
      <c r="M46" s="14">
        <f>'D) Ecrêtage'!M45</f>
        <v>7887.6179729729729</v>
      </c>
      <c r="N46" s="14">
        <f t="shared" si="6"/>
        <v>10223.686321236666</v>
      </c>
      <c r="O46" s="75">
        <f t="shared" si="5"/>
        <v>24689.754699615045</v>
      </c>
      <c r="P46" s="329"/>
      <c r="Q46" s="330"/>
      <c r="R46" s="326"/>
      <c r="S46" s="326"/>
      <c r="T46" s="331"/>
    </row>
    <row r="47" spans="1:20" s="325" customFormat="1" x14ac:dyDescent="0.25">
      <c r="A47" s="338">
        <f>'A) Base RI'!A48</f>
        <v>5477</v>
      </c>
      <c r="B47" s="338" t="str">
        <f>'A) Base RI'!B48</f>
        <v>Cossonay</v>
      </c>
      <c r="C47" s="397">
        <v>0</v>
      </c>
      <c r="D47" s="327">
        <f>'B) D RI'!AR48</f>
        <v>3642</v>
      </c>
      <c r="E47" s="328">
        <f>'B) D RI'!S48</f>
        <v>69.3</v>
      </c>
      <c r="F47" s="14">
        <f>'B) D RI'!R48</f>
        <v>8356869.1600000001</v>
      </c>
      <c r="G47" s="14">
        <f>'B) D RI'!U48</f>
        <v>120589.74256854257</v>
      </c>
      <c r="H47" s="52">
        <f>'B) D RI'!T48</f>
        <v>7834655.9100000001</v>
      </c>
      <c r="I47" s="14">
        <f t="shared" si="2"/>
        <v>226108.3956709957</v>
      </c>
      <c r="J47" s="41">
        <f t="shared" si="3"/>
        <v>311206.02140764729</v>
      </c>
      <c r="K47" s="14">
        <f t="shared" si="0"/>
        <v>226108.3956709957</v>
      </c>
      <c r="L47" s="14">
        <f t="shared" si="4"/>
        <v>85097.625736651593</v>
      </c>
      <c r="M47" s="14">
        <f>'D) Ecrêtage'!M46</f>
        <v>120589.74256854257</v>
      </c>
      <c r="N47" s="14">
        <f t="shared" si="6"/>
        <v>156304.69246912195</v>
      </c>
      <c r="O47" s="75">
        <f t="shared" si="5"/>
        <v>382413.08814011764</v>
      </c>
      <c r="P47" s="329"/>
      <c r="Q47" s="330"/>
      <c r="R47" s="326"/>
      <c r="S47" s="326"/>
      <c r="T47" s="331"/>
    </row>
    <row r="48" spans="1:20" s="325" customFormat="1" x14ac:dyDescent="0.25">
      <c r="A48" s="338">
        <f>'A) Base RI'!A49</f>
        <v>5478</v>
      </c>
      <c r="B48" s="338" t="str">
        <f>'A) Base RI'!B49</f>
        <v>Cottens</v>
      </c>
      <c r="C48" s="397">
        <v>0</v>
      </c>
      <c r="D48" s="327">
        <f>'B) D RI'!AR49</f>
        <v>473</v>
      </c>
      <c r="E48" s="328">
        <f>'B) D RI'!S49</f>
        <v>72</v>
      </c>
      <c r="F48" s="14">
        <f>'B) D RI'!R49</f>
        <v>1113424.8099999998</v>
      </c>
      <c r="G48" s="14">
        <f>'B) D RI'!U49</f>
        <v>15464.23347222222</v>
      </c>
      <c r="H48" s="52">
        <f>'B) D RI'!T49</f>
        <v>1041097.5099999999</v>
      </c>
      <c r="I48" s="14">
        <f t="shared" si="2"/>
        <v>28919.375277777774</v>
      </c>
      <c r="J48" s="41">
        <f t="shared" si="3"/>
        <v>40417.476146572531</v>
      </c>
      <c r="K48" s="14">
        <f t="shared" si="0"/>
        <v>28919.375277777774</v>
      </c>
      <c r="L48" s="14">
        <f t="shared" si="4"/>
        <v>11498.100868794758</v>
      </c>
      <c r="M48" s="14">
        <f>'D) Ecrêtage'!M47</f>
        <v>15464.23347222222</v>
      </c>
      <c r="N48" s="14">
        <f t="shared" si="6"/>
        <v>20044.260860516482</v>
      </c>
      <c r="O48" s="75">
        <f t="shared" si="5"/>
        <v>48963.636138294256</v>
      </c>
      <c r="P48" s="329"/>
      <c r="Q48" s="330"/>
      <c r="R48" s="326"/>
      <c r="S48" s="326"/>
      <c r="T48" s="331"/>
    </row>
    <row r="49" spans="1:20" s="325" customFormat="1" x14ac:dyDescent="0.25">
      <c r="A49" s="338">
        <f>'A) Base RI'!A50</f>
        <v>5479</v>
      </c>
      <c r="B49" s="338" t="str">
        <f>'A) Base RI'!B50</f>
        <v>Cuarnens</v>
      </c>
      <c r="C49" s="397">
        <v>0</v>
      </c>
      <c r="D49" s="327">
        <f>'B) D RI'!AR50</f>
        <v>439</v>
      </c>
      <c r="E49" s="328">
        <f>'B) D RI'!S50</f>
        <v>77</v>
      </c>
      <c r="F49" s="14">
        <f>'B) D RI'!R50</f>
        <v>909025.42999999993</v>
      </c>
      <c r="G49" s="14">
        <f>'B) D RI'!U50</f>
        <v>11805.525064935064</v>
      </c>
      <c r="H49" s="52">
        <f>'B) D RI'!T50</f>
        <v>837104.62999999989</v>
      </c>
      <c r="I49" s="14">
        <f t="shared" si="2"/>
        <v>21742.9774025974</v>
      </c>
      <c r="J49" s="41">
        <f t="shared" si="3"/>
        <v>37512.203019757595</v>
      </c>
      <c r="K49" s="14">
        <f t="shared" si="0"/>
        <v>21742.9774025974</v>
      </c>
      <c r="L49" s="14">
        <f t="shared" si="4"/>
        <v>15769.225617160195</v>
      </c>
      <c r="M49" s="14">
        <f>'D) Ecrêtage'!M48</f>
        <v>11805.525064935064</v>
      </c>
      <c r="N49" s="14">
        <f t="shared" si="6"/>
        <v>15301.956247749271</v>
      </c>
      <c r="O49" s="75">
        <f t="shared" si="5"/>
        <v>37044.933650346669</v>
      </c>
      <c r="P49" s="329"/>
      <c r="Q49" s="330"/>
      <c r="R49" s="326"/>
      <c r="S49" s="326"/>
      <c r="T49" s="331"/>
    </row>
    <row r="50" spans="1:20" s="325" customFormat="1" x14ac:dyDescent="0.25">
      <c r="A50" s="338">
        <f>'A) Base RI'!A51</f>
        <v>5480</v>
      </c>
      <c r="B50" s="338" t="str">
        <f>'A) Base RI'!B51</f>
        <v>Daillens</v>
      </c>
      <c r="C50" s="397">
        <v>0</v>
      </c>
      <c r="D50" s="327">
        <f>'B) D RI'!AR51</f>
        <v>940</v>
      </c>
      <c r="E50" s="328">
        <f>'B) D RI'!S51</f>
        <v>71</v>
      </c>
      <c r="F50" s="14">
        <f>'B) D RI'!R51</f>
        <v>2990083.3299999996</v>
      </c>
      <c r="G50" s="14">
        <f>'B) D RI'!U51</f>
        <v>42113.849718309852</v>
      </c>
      <c r="H50" s="52">
        <f>'B) D RI'!T51</f>
        <v>2706408.53</v>
      </c>
      <c r="I50" s="14">
        <f t="shared" si="2"/>
        <v>76236.86</v>
      </c>
      <c r="J50" s="41">
        <f t="shared" si="3"/>
        <v>80322.257035471848</v>
      </c>
      <c r="K50" s="14">
        <f t="shared" si="0"/>
        <v>76236.86</v>
      </c>
      <c r="L50" s="14">
        <f t="shared" si="4"/>
        <v>4085.3970354718476</v>
      </c>
      <c r="M50" s="14">
        <f>'D) Ecrêtage'!M49</f>
        <v>42113.849718309852</v>
      </c>
      <c r="N50" s="14">
        <f t="shared" si="6"/>
        <v>54586.668722422466</v>
      </c>
      <c r="O50" s="75">
        <f t="shared" si="5"/>
        <v>130823.52872242246</v>
      </c>
      <c r="P50" s="329"/>
      <c r="Q50" s="330"/>
      <c r="R50" s="326"/>
      <c r="S50" s="326"/>
      <c r="T50" s="331"/>
    </row>
    <row r="51" spans="1:20" s="325" customFormat="1" x14ac:dyDescent="0.25">
      <c r="A51" s="338">
        <f>'A) Base RI'!A52</f>
        <v>5481</v>
      </c>
      <c r="B51" s="338" t="str">
        <f>'A) Base RI'!B52</f>
        <v>Dizy</v>
      </c>
      <c r="C51" s="397">
        <v>0</v>
      </c>
      <c r="D51" s="327">
        <f>'B) D RI'!AR52</f>
        <v>221</v>
      </c>
      <c r="E51" s="328">
        <f>'B) D RI'!S52</f>
        <v>74</v>
      </c>
      <c r="F51" s="14">
        <f>'B) D RI'!R52</f>
        <v>609833.65999999992</v>
      </c>
      <c r="G51" s="14">
        <f>'B) D RI'!U52</f>
        <v>8240.9954054054051</v>
      </c>
      <c r="H51" s="52">
        <f>'B) D RI'!T52</f>
        <v>575524.05999999994</v>
      </c>
      <c r="I51" s="14">
        <f t="shared" si="2"/>
        <v>15554.704324324322</v>
      </c>
      <c r="J51" s="41">
        <f t="shared" si="3"/>
        <v>18884.275324297105</v>
      </c>
      <c r="K51" s="14">
        <f t="shared" si="0"/>
        <v>15554.704324324322</v>
      </c>
      <c r="L51" s="14">
        <f t="shared" si="4"/>
        <v>3329.5709999727824</v>
      </c>
      <c r="M51" s="14">
        <f>'D) Ecrêtage'!M50</f>
        <v>8240.9954054054051</v>
      </c>
      <c r="N51" s="14">
        <f t="shared" si="6"/>
        <v>10681.723213308844</v>
      </c>
      <c r="O51" s="75">
        <f t="shared" si="5"/>
        <v>26236.427537633164</v>
      </c>
      <c r="P51" s="329"/>
      <c r="Q51" s="330"/>
      <c r="R51" s="326"/>
      <c r="S51" s="326"/>
      <c r="T51" s="331"/>
    </row>
    <row r="52" spans="1:20" s="325" customFormat="1" x14ac:dyDescent="0.25">
      <c r="A52" s="338">
        <f>'A) Base RI'!A53</f>
        <v>5482</v>
      </c>
      <c r="B52" s="338" t="str">
        <f>'A) Base RI'!B53</f>
        <v>Eclépens</v>
      </c>
      <c r="C52" s="397">
        <v>0</v>
      </c>
      <c r="D52" s="327">
        <f>'B) D RI'!AR53</f>
        <v>1039</v>
      </c>
      <c r="E52" s="328">
        <f>'B) D RI'!S53</f>
        <v>46</v>
      </c>
      <c r="F52" s="14">
        <f>'B) D RI'!R53</f>
        <v>2969388.69</v>
      </c>
      <c r="G52" s="14">
        <f>'B) D RI'!U53</f>
        <v>64551.928043478263</v>
      </c>
      <c r="H52" s="52">
        <f>'B) D RI'!T53</f>
        <v>2565895.59</v>
      </c>
      <c r="I52" s="14">
        <f t="shared" si="2"/>
        <v>111560.67782608695</v>
      </c>
      <c r="J52" s="41">
        <f t="shared" si="3"/>
        <v>88781.72878708005</v>
      </c>
      <c r="K52" s="14">
        <f t="shared" si="0"/>
        <v>88781.72878708005</v>
      </c>
      <c r="L52" s="14">
        <f t="shared" si="4"/>
        <v>0</v>
      </c>
      <c r="M52" s="14">
        <f>'D) Ecrêtage'!M51</f>
        <v>61885.968188874984</v>
      </c>
      <c r="N52" s="14">
        <f t="shared" si="6"/>
        <v>80214.676803193681</v>
      </c>
      <c r="O52" s="75">
        <f t="shared" si="5"/>
        <v>168996.40559027373</v>
      </c>
      <c r="P52" s="329"/>
      <c r="Q52" s="330"/>
      <c r="R52" s="326"/>
      <c r="S52" s="326"/>
      <c r="T52" s="331"/>
    </row>
    <row r="53" spans="1:20" s="325" customFormat="1" x14ac:dyDescent="0.25">
      <c r="A53" s="338">
        <f>'A) Base RI'!A54</f>
        <v>5483</v>
      </c>
      <c r="B53" s="338" t="str">
        <f>'A) Base RI'!B54</f>
        <v>Ferreyres</v>
      </c>
      <c r="C53" s="397">
        <v>0</v>
      </c>
      <c r="D53" s="327">
        <f>'B) D RI'!AR54</f>
        <v>313</v>
      </c>
      <c r="E53" s="328">
        <f>'B) D RI'!S54</f>
        <v>76</v>
      </c>
      <c r="F53" s="14">
        <f>'B) D RI'!R54</f>
        <v>691414.39999999991</v>
      </c>
      <c r="G53" s="14">
        <f>'B) D RI'!U54</f>
        <v>9097.5578947368413</v>
      </c>
      <c r="H53" s="52">
        <f>'B) D RI'!T54</f>
        <v>643360.39999999991</v>
      </c>
      <c r="I53" s="14">
        <f t="shared" si="2"/>
        <v>16930.536842105259</v>
      </c>
      <c r="J53" s="41">
        <f t="shared" si="3"/>
        <v>26745.60260861988</v>
      </c>
      <c r="K53" s="14">
        <f t="shared" si="0"/>
        <v>16930.536842105259</v>
      </c>
      <c r="L53" s="14">
        <f t="shared" si="4"/>
        <v>9815.0657665146209</v>
      </c>
      <c r="M53" s="14">
        <f>'D) Ecrêtage'!M52</f>
        <v>9097.5578947368413</v>
      </c>
      <c r="N53" s="14">
        <f t="shared" si="6"/>
        <v>11791.973004243064</v>
      </c>
      <c r="O53" s="75">
        <f t="shared" si="5"/>
        <v>28722.509846348323</v>
      </c>
      <c r="P53" s="329"/>
      <c r="Q53" s="330"/>
      <c r="R53" s="326"/>
      <c r="S53" s="326"/>
      <c r="T53" s="331"/>
    </row>
    <row r="54" spans="1:20" s="325" customFormat="1" x14ac:dyDescent="0.25">
      <c r="A54" s="338">
        <f>'A) Base RI'!A55</f>
        <v>5484</v>
      </c>
      <c r="B54" s="338" t="str">
        <f>'A) Base RI'!B55</f>
        <v>Gollion</v>
      </c>
      <c r="C54" s="397">
        <v>0</v>
      </c>
      <c r="D54" s="327">
        <f>'B) D RI'!AR55</f>
        <v>857</v>
      </c>
      <c r="E54" s="328">
        <f>'B) D RI'!S55</f>
        <v>74</v>
      </c>
      <c r="F54" s="14">
        <f>'B) D RI'!R55</f>
        <v>1714062.53</v>
      </c>
      <c r="G54" s="14">
        <f>'B) D RI'!U55</f>
        <v>23163.007162162161</v>
      </c>
      <c r="H54" s="52">
        <f>'B) D RI'!T55</f>
        <v>1580492.83</v>
      </c>
      <c r="I54" s="14">
        <f t="shared" si="2"/>
        <v>42716.022432432437</v>
      </c>
      <c r="J54" s="41">
        <f t="shared" si="3"/>
        <v>73229.972637658895</v>
      </c>
      <c r="K54" s="14">
        <f t="shared" si="0"/>
        <v>42716.022432432437</v>
      </c>
      <c r="L54" s="14">
        <f t="shared" si="4"/>
        <v>30513.950205226458</v>
      </c>
      <c r="M54" s="14">
        <f>'D) Ecrêtage'!M53</f>
        <v>23163.007162162161</v>
      </c>
      <c r="N54" s="14">
        <f t="shared" si="6"/>
        <v>30023.173066183143</v>
      </c>
      <c r="O54" s="75">
        <f t="shared" si="5"/>
        <v>72739.195498615576</v>
      </c>
      <c r="P54" s="329"/>
      <c r="Q54" s="330"/>
      <c r="R54" s="326"/>
      <c r="S54" s="326"/>
      <c r="T54" s="331"/>
    </row>
    <row r="55" spans="1:20" s="325" customFormat="1" x14ac:dyDescent="0.25">
      <c r="A55" s="338">
        <f>'A) Base RI'!A56</f>
        <v>5485</v>
      </c>
      <c r="B55" s="338" t="str">
        <f>'A) Base RI'!B56</f>
        <v>Grancy</v>
      </c>
      <c r="C55" s="397">
        <v>0</v>
      </c>
      <c r="D55" s="327">
        <f>'B) D RI'!AR56</f>
        <v>396</v>
      </c>
      <c r="E55" s="328">
        <f>'B) D RI'!S56</f>
        <v>70</v>
      </c>
      <c r="F55" s="14">
        <f>'B) D RI'!R56</f>
        <v>1210884.9100000001</v>
      </c>
      <c r="G55" s="14">
        <f>'B) D RI'!U56</f>
        <v>17298.355857142858</v>
      </c>
      <c r="H55" s="52">
        <f>'B) D RI'!T56</f>
        <v>1143712.8600000001</v>
      </c>
      <c r="I55" s="14">
        <f t="shared" si="2"/>
        <v>32677.510285714288</v>
      </c>
      <c r="J55" s="41">
        <f t="shared" si="3"/>
        <v>33837.887006432815</v>
      </c>
      <c r="K55" s="14">
        <f t="shared" si="0"/>
        <v>32677.510285714288</v>
      </c>
      <c r="L55" s="14">
        <f t="shared" si="4"/>
        <v>1160.3767207185265</v>
      </c>
      <c r="M55" s="14">
        <f>'D) Ecrêtage'!M54</f>
        <v>17298.355857142858</v>
      </c>
      <c r="N55" s="14">
        <f t="shared" si="6"/>
        <v>22421.59353591219</v>
      </c>
      <c r="O55" s="75">
        <f t="shared" si="5"/>
        <v>55099.103821626479</v>
      </c>
      <c r="P55" s="329"/>
      <c r="Q55" s="330"/>
      <c r="R55" s="326"/>
      <c r="S55" s="326"/>
      <c r="T55" s="331"/>
    </row>
    <row r="56" spans="1:20" s="325" customFormat="1" x14ac:dyDescent="0.25">
      <c r="A56" s="338">
        <f>'A) Base RI'!A57</f>
        <v>5486</v>
      </c>
      <c r="B56" s="338" t="str">
        <f>'A) Base RI'!B57</f>
        <v>L'Isle</v>
      </c>
      <c r="C56" s="397">
        <v>0</v>
      </c>
      <c r="D56" s="327">
        <f>'B) D RI'!AR57</f>
        <v>1032</v>
      </c>
      <c r="E56" s="328">
        <f>'B) D RI'!S57</f>
        <v>76</v>
      </c>
      <c r="F56" s="14">
        <f>'B) D RI'!R57</f>
        <v>2068145.8699999999</v>
      </c>
      <c r="G56" s="14">
        <f>'B) D RI'!U57</f>
        <v>27212.445657894736</v>
      </c>
      <c r="H56" s="52">
        <f>'B) D RI'!T57</f>
        <v>1891762.22</v>
      </c>
      <c r="I56" s="14">
        <f t="shared" si="2"/>
        <v>49783.216315789476</v>
      </c>
      <c r="J56" s="41">
        <f t="shared" si="3"/>
        <v>88183.584319794623</v>
      </c>
      <c r="K56" s="14">
        <f t="shared" si="0"/>
        <v>49783.216315789476</v>
      </c>
      <c r="L56" s="14">
        <f t="shared" si="4"/>
        <v>38400.368004005148</v>
      </c>
      <c r="M56" s="14">
        <f>'D) Ecrêtage'!M55</f>
        <v>27212.445657894736</v>
      </c>
      <c r="N56" s="14">
        <f t="shared" si="6"/>
        <v>35271.929927807098</v>
      </c>
      <c r="O56" s="75">
        <f t="shared" si="5"/>
        <v>85055.146243596566</v>
      </c>
      <c r="P56" s="329"/>
      <c r="Q56" s="330"/>
      <c r="R56" s="326"/>
      <c r="S56" s="326"/>
      <c r="T56" s="331"/>
    </row>
    <row r="57" spans="1:20" s="325" customFormat="1" x14ac:dyDescent="0.25">
      <c r="A57" s="338">
        <f>'A) Base RI'!A58</f>
        <v>5487</v>
      </c>
      <c r="B57" s="338" t="str">
        <f>'A) Base RI'!B58</f>
        <v>Lussery-Villars</v>
      </c>
      <c r="C57" s="397">
        <v>0</v>
      </c>
      <c r="D57" s="327">
        <f>'B) D RI'!AR58</f>
        <v>423</v>
      </c>
      <c r="E57" s="328">
        <f>'B) D RI'!S58</f>
        <v>68</v>
      </c>
      <c r="F57" s="14">
        <f>'B) D RI'!R58</f>
        <v>807343.57000000007</v>
      </c>
      <c r="G57" s="14">
        <f>'B) D RI'!U58</f>
        <v>11872.69955882353</v>
      </c>
      <c r="H57" s="52">
        <f>'B) D RI'!T58</f>
        <v>743319.47000000009</v>
      </c>
      <c r="I57" s="14">
        <f t="shared" si="2"/>
        <v>21862.33735294118</v>
      </c>
      <c r="J57" s="41">
        <f t="shared" si="3"/>
        <v>36145.015665962332</v>
      </c>
      <c r="K57" s="14">
        <f t="shared" si="0"/>
        <v>21862.33735294118</v>
      </c>
      <c r="L57" s="14">
        <f t="shared" si="4"/>
        <v>14282.678313021152</v>
      </c>
      <c r="M57" s="14">
        <f>'D) Ecrêtage'!M56</f>
        <v>11872.69955882353</v>
      </c>
      <c r="N57" s="14">
        <f t="shared" si="6"/>
        <v>15389.025747902135</v>
      </c>
      <c r="O57" s="75">
        <f t="shared" si="5"/>
        <v>37251.363100843315</v>
      </c>
      <c r="P57" s="329"/>
      <c r="Q57" s="330"/>
      <c r="R57" s="326"/>
      <c r="S57" s="326"/>
      <c r="T57" s="331"/>
    </row>
    <row r="58" spans="1:20" s="325" customFormat="1" x14ac:dyDescent="0.25">
      <c r="A58" s="338">
        <f>'A) Base RI'!A59</f>
        <v>5488</v>
      </c>
      <c r="B58" s="338" t="str">
        <f>'A) Base RI'!B59</f>
        <v>Mauraz</v>
      </c>
      <c r="C58" s="397">
        <v>0</v>
      </c>
      <c r="D58" s="327">
        <f>'B) D RI'!AR59</f>
        <v>49</v>
      </c>
      <c r="E58" s="328">
        <f>'B) D RI'!S59</f>
        <v>74</v>
      </c>
      <c r="F58" s="14">
        <f>'B) D RI'!R59</f>
        <v>104896.89</v>
      </c>
      <c r="G58" s="14">
        <f>'B) D RI'!U59</f>
        <v>1417.5255405405405</v>
      </c>
      <c r="H58" s="52">
        <f>'B) D RI'!T59</f>
        <v>96422.89</v>
      </c>
      <c r="I58" s="14">
        <f t="shared" si="2"/>
        <v>2606.024054054054</v>
      </c>
      <c r="J58" s="41">
        <f t="shared" si="3"/>
        <v>4187.0112709980003</v>
      </c>
      <c r="K58" s="14">
        <f t="shared" si="0"/>
        <v>2606.024054054054</v>
      </c>
      <c r="L58" s="14">
        <f t="shared" si="4"/>
        <v>1580.9872169439464</v>
      </c>
      <c r="M58" s="14">
        <f>'D) Ecrêtage'!M57</f>
        <v>1417.5255405405405</v>
      </c>
      <c r="N58" s="14">
        <f t="shared" si="6"/>
        <v>1837.3527379858049</v>
      </c>
      <c r="O58" s="75">
        <f t="shared" si="5"/>
        <v>4443.3767920398586</v>
      </c>
      <c r="P58" s="329"/>
      <c r="Q58" s="330"/>
      <c r="R58" s="326"/>
      <c r="S58" s="326"/>
      <c r="T58" s="331"/>
    </row>
    <row r="59" spans="1:20" s="325" customFormat="1" x14ac:dyDescent="0.25">
      <c r="A59" s="338">
        <f>'A) Base RI'!A60</f>
        <v>5489</v>
      </c>
      <c r="B59" s="338" t="str">
        <f>'A) Base RI'!B60</f>
        <v>Mex</v>
      </c>
      <c r="C59" s="397">
        <v>0</v>
      </c>
      <c r="D59" s="327">
        <f>'B) D RI'!AR60</f>
        <v>678</v>
      </c>
      <c r="E59" s="328">
        <f>'B) D RI'!S60</f>
        <v>61</v>
      </c>
      <c r="F59" s="14">
        <f>'B) D RI'!R60</f>
        <v>2264398.4200000004</v>
      </c>
      <c r="G59" s="14">
        <f>'B) D RI'!U60</f>
        <v>37121.285573770496</v>
      </c>
      <c r="H59" s="52">
        <f>'B) D RI'!T60</f>
        <v>2002258.7200000002</v>
      </c>
      <c r="I59" s="14">
        <f t="shared" si="2"/>
        <v>65647.826885245915</v>
      </c>
      <c r="J59" s="41">
        <f t="shared" si="3"/>
        <v>57934.564117074369</v>
      </c>
      <c r="K59" s="14">
        <f t="shared" si="0"/>
        <v>57934.564117074369</v>
      </c>
      <c r="L59" s="14">
        <f t="shared" si="4"/>
        <v>0</v>
      </c>
      <c r="M59" s="14">
        <f>'D) Ecrêtage'!M58</f>
        <v>37121.285573770496</v>
      </c>
      <c r="N59" s="14">
        <f t="shared" si="6"/>
        <v>48115.461581391915</v>
      </c>
      <c r="O59" s="75">
        <f t="shared" si="5"/>
        <v>106050.02569846628</v>
      </c>
      <c r="P59" s="329"/>
      <c r="Q59" s="330"/>
      <c r="R59" s="326"/>
      <c r="S59" s="326"/>
      <c r="T59" s="331"/>
    </row>
    <row r="60" spans="1:20" s="325" customFormat="1" x14ac:dyDescent="0.25">
      <c r="A60" s="338">
        <f>'A) Base RI'!A61</f>
        <v>5490</v>
      </c>
      <c r="B60" s="338" t="str">
        <f>'A) Base RI'!B61</f>
        <v>Moiry</v>
      </c>
      <c r="C60" s="397">
        <v>0</v>
      </c>
      <c r="D60" s="327">
        <f>'B) D RI'!AR61</f>
        <v>290</v>
      </c>
      <c r="E60" s="328">
        <f>'B) D RI'!S61</f>
        <v>81</v>
      </c>
      <c r="F60" s="14">
        <f>'B) D RI'!R61</f>
        <v>593059.89</v>
      </c>
      <c r="G60" s="14">
        <f>'B) D RI'!U61</f>
        <v>7321.727037037037</v>
      </c>
      <c r="H60" s="52">
        <f>'B) D RI'!T61</f>
        <v>555084.69000000006</v>
      </c>
      <c r="I60" s="14">
        <f t="shared" si="2"/>
        <v>13705.794814814817</v>
      </c>
      <c r="J60" s="41">
        <f t="shared" si="3"/>
        <v>24780.270787539186</v>
      </c>
      <c r="K60" s="14">
        <f t="shared" si="0"/>
        <v>13705.794814814817</v>
      </c>
      <c r="L60" s="14">
        <f t="shared" si="4"/>
        <v>11074.475972724369</v>
      </c>
      <c r="M60" s="14">
        <f>'D) Ecrêtage'!M59</f>
        <v>7321.727037037037</v>
      </c>
      <c r="N60" s="14">
        <f t="shared" si="6"/>
        <v>9490.1960025036715</v>
      </c>
      <c r="O60" s="75">
        <f t="shared" si="5"/>
        <v>23195.990817318489</v>
      </c>
      <c r="P60" s="329"/>
      <c r="Q60" s="330"/>
      <c r="R60" s="326"/>
      <c r="S60" s="326"/>
      <c r="T60" s="331"/>
    </row>
    <row r="61" spans="1:20" s="325" customFormat="1" x14ac:dyDescent="0.25">
      <c r="A61" s="338">
        <f>'A) Base RI'!A62</f>
        <v>5491</v>
      </c>
      <c r="B61" s="338" t="str">
        <f>'A) Base RI'!B62</f>
        <v>Mont-la-Ville</v>
      </c>
      <c r="C61" s="397">
        <v>0</v>
      </c>
      <c r="D61" s="327">
        <f>'B) D RI'!AR62</f>
        <v>382</v>
      </c>
      <c r="E61" s="328">
        <f>'B) D RI'!S62</f>
        <v>76</v>
      </c>
      <c r="F61" s="14">
        <f>'B) D RI'!R62</f>
        <v>653575.75000000012</v>
      </c>
      <c r="G61" s="14">
        <f>'B) D RI'!U62</f>
        <v>8599.6809210526335</v>
      </c>
      <c r="H61" s="52">
        <f>'B) D RI'!T62</f>
        <v>592032.40000000014</v>
      </c>
      <c r="I61" s="14">
        <f t="shared" si="2"/>
        <v>15579.800000000003</v>
      </c>
      <c r="J61" s="41">
        <f t="shared" si="3"/>
        <v>32641.598071861961</v>
      </c>
      <c r="K61" s="14">
        <f t="shared" si="0"/>
        <v>15579.800000000003</v>
      </c>
      <c r="L61" s="14">
        <f t="shared" si="4"/>
        <v>17061.798071861958</v>
      </c>
      <c r="M61" s="14">
        <f>'D) Ecrêtage'!M60</f>
        <v>8599.6809210526335</v>
      </c>
      <c r="N61" s="14">
        <f t="shared" si="6"/>
        <v>11146.640278576662</v>
      </c>
      <c r="O61" s="75">
        <f t="shared" si="5"/>
        <v>26726.440278576665</v>
      </c>
      <c r="P61" s="329"/>
      <c r="Q61" s="330"/>
      <c r="R61" s="326"/>
      <c r="S61" s="326"/>
      <c r="T61" s="331"/>
    </row>
    <row r="62" spans="1:20" s="325" customFormat="1" x14ac:dyDescent="0.25">
      <c r="A62" s="338">
        <f>'A) Base RI'!A63</f>
        <v>5492</v>
      </c>
      <c r="B62" s="338" t="str">
        <f>'A) Base RI'!B63</f>
        <v>Montricher</v>
      </c>
      <c r="C62" s="397">
        <v>0</v>
      </c>
      <c r="D62" s="327">
        <f>'B) D RI'!AR63</f>
        <v>961</v>
      </c>
      <c r="E62" s="328">
        <f>'B) D RI'!S63</f>
        <v>64</v>
      </c>
      <c r="F62" s="14">
        <f>'B) D RI'!R63</f>
        <v>11969650.819999998</v>
      </c>
      <c r="G62" s="14">
        <f>'B) D RI'!U63</f>
        <v>187025.79406249998</v>
      </c>
      <c r="H62" s="52">
        <f>'B) D RI'!T63</f>
        <v>11722433.319999998</v>
      </c>
      <c r="I62" s="14">
        <f t="shared" si="2"/>
        <v>366326.04124999995</v>
      </c>
      <c r="J62" s="41">
        <f t="shared" si="3"/>
        <v>82116.690437328129</v>
      </c>
      <c r="K62" s="14">
        <f t="shared" si="0"/>
        <v>82116.690437328129</v>
      </c>
      <c r="L62" s="14">
        <f t="shared" si="4"/>
        <v>0</v>
      </c>
      <c r="M62" s="14">
        <f>'D) Ecrêtage'!M61</f>
        <v>111247.59927159132</v>
      </c>
      <c r="N62" s="14">
        <f t="shared" si="6"/>
        <v>144195.69543562672</v>
      </c>
      <c r="O62" s="75">
        <f t="shared" si="5"/>
        <v>226312.38587295485</v>
      </c>
      <c r="P62" s="329"/>
      <c r="Q62" s="330"/>
      <c r="R62" s="326"/>
      <c r="S62" s="326"/>
      <c r="T62" s="331"/>
    </row>
    <row r="63" spans="1:20" s="325" customFormat="1" x14ac:dyDescent="0.25">
      <c r="A63" s="338">
        <f>'A) Base RI'!A64</f>
        <v>5493</v>
      </c>
      <c r="B63" s="338" t="str">
        <f>'A) Base RI'!B64</f>
        <v>Orny</v>
      </c>
      <c r="C63" s="397">
        <v>0</v>
      </c>
      <c r="D63" s="327">
        <f>'B) D RI'!AR64</f>
        <v>375</v>
      </c>
      <c r="E63" s="328">
        <f>'B) D RI'!S64</f>
        <v>73</v>
      </c>
      <c r="F63" s="14">
        <f>'B) D RI'!R64</f>
        <v>774845.70846153842</v>
      </c>
      <c r="G63" s="14">
        <f>'B) D RI'!U64</f>
        <v>10614.324773445733</v>
      </c>
      <c r="H63" s="52">
        <f>'B) D RI'!T64</f>
        <v>722870.66999999993</v>
      </c>
      <c r="I63" s="14">
        <f t="shared" si="2"/>
        <v>19804.675890410956</v>
      </c>
      <c r="J63" s="41">
        <f t="shared" si="3"/>
        <v>32043.453604576531</v>
      </c>
      <c r="K63" s="14">
        <f t="shared" si="0"/>
        <v>19804.675890410956</v>
      </c>
      <c r="L63" s="14">
        <f t="shared" si="4"/>
        <v>12238.777714165575</v>
      </c>
      <c r="M63" s="14">
        <f>'D) Ecrêtage'!M62</f>
        <v>10614.324773445733</v>
      </c>
      <c r="N63" s="14">
        <f t="shared" si="6"/>
        <v>13757.959293576001</v>
      </c>
      <c r="O63" s="75">
        <f t="shared" si="5"/>
        <v>33562.63518398696</v>
      </c>
      <c r="P63" s="329"/>
      <c r="Q63" s="330"/>
      <c r="R63" s="326"/>
      <c r="S63" s="326"/>
      <c r="T63" s="331"/>
    </row>
    <row r="64" spans="1:20" s="325" customFormat="1" x14ac:dyDescent="0.25">
      <c r="A64" s="338">
        <f>'A) Base RI'!A65</f>
        <v>5494</v>
      </c>
      <c r="B64" s="338" t="str">
        <f>'A) Base RI'!B65</f>
        <v>Pampigny</v>
      </c>
      <c r="C64" s="397">
        <v>0</v>
      </c>
      <c r="D64" s="327">
        <f>'B) D RI'!AR65</f>
        <v>1124</v>
      </c>
      <c r="E64" s="328">
        <f>'B) D RI'!S65</f>
        <v>75</v>
      </c>
      <c r="F64" s="14">
        <f>'B) D RI'!R65</f>
        <v>2548656.8676190479</v>
      </c>
      <c r="G64" s="14">
        <f>'B) D RI'!U65</f>
        <v>33982.091568253971</v>
      </c>
      <c r="H64" s="52">
        <f>'B) D RI'!T65</f>
        <v>2354729.8200000003</v>
      </c>
      <c r="I64" s="14">
        <f t="shared" si="2"/>
        <v>62792.795200000008</v>
      </c>
      <c r="J64" s="41">
        <f t="shared" si="3"/>
        <v>96044.911604117398</v>
      </c>
      <c r="K64" s="14">
        <f t="shared" si="0"/>
        <v>62792.795200000008</v>
      </c>
      <c r="L64" s="14">
        <f t="shared" si="4"/>
        <v>33252.116404117391</v>
      </c>
      <c r="M64" s="14">
        <f>'D) Ecrêtage'!M63</f>
        <v>33982.091568253971</v>
      </c>
      <c r="N64" s="14">
        <f t="shared" si="6"/>
        <v>44046.535458970873</v>
      </c>
      <c r="O64" s="75">
        <f t="shared" si="5"/>
        <v>106839.33065897088</v>
      </c>
      <c r="P64" s="329"/>
      <c r="Q64" s="330"/>
      <c r="R64" s="326"/>
      <c r="S64" s="326"/>
      <c r="T64" s="331"/>
    </row>
    <row r="65" spans="1:20" s="325" customFormat="1" x14ac:dyDescent="0.25">
      <c r="A65" s="338">
        <f>'A) Base RI'!A66</f>
        <v>5495</v>
      </c>
      <c r="B65" s="338" t="str">
        <f>'A) Base RI'!B66</f>
        <v>Penthalaz</v>
      </c>
      <c r="C65" s="397">
        <v>0</v>
      </c>
      <c r="D65" s="327">
        <f>'B) D RI'!AR66</f>
        <v>3241</v>
      </c>
      <c r="E65" s="328">
        <f>'B) D RI'!S66</f>
        <v>74</v>
      </c>
      <c r="F65" s="14">
        <f>'B) D RI'!R66</f>
        <v>7116011.7800000003</v>
      </c>
      <c r="G65" s="14">
        <f>'B) D RI'!U66</f>
        <v>96162.321351351362</v>
      </c>
      <c r="H65" s="52">
        <f>'B) D RI'!T66</f>
        <v>6585899.2800000003</v>
      </c>
      <c r="I65" s="14">
        <f t="shared" si="2"/>
        <v>177997.27783783784</v>
      </c>
      <c r="J65" s="41">
        <f t="shared" si="3"/>
        <v>276940.88835315342</v>
      </c>
      <c r="K65" s="14">
        <f t="shared" si="0"/>
        <v>177997.27783783784</v>
      </c>
      <c r="L65" s="14">
        <f t="shared" si="4"/>
        <v>98943.61051531558</v>
      </c>
      <c r="M65" s="14">
        <f>'D) Ecrêtage'!M64</f>
        <v>96162.321351351362</v>
      </c>
      <c r="N65" s="14">
        <f t="shared" si="6"/>
        <v>124642.62503418588</v>
      </c>
      <c r="O65" s="75">
        <f t="shared" si="5"/>
        <v>302639.90287202375</v>
      </c>
      <c r="P65" s="329"/>
      <c r="Q65" s="330"/>
      <c r="R65" s="326"/>
      <c r="S65" s="326"/>
      <c r="T65" s="331"/>
    </row>
    <row r="66" spans="1:20" s="325" customFormat="1" x14ac:dyDescent="0.25">
      <c r="A66" s="338">
        <f>'A) Base RI'!A67</f>
        <v>5496</v>
      </c>
      <c r="B66" s="338" t="str">
        <f>'A) Base RI'!B67</f>
        <v>Penthaz</v>
      </c>
      <c r="C66" s="397">
        <v>0</v>
      </c>
      <c r="D66" s="327">
        <f>'B) D RI'!AR67</f>
        <v>1653</v>
      </c>
      <c r="E66" s="328">
        <f>'B) D RI'!S67</f>
        <v>71</v>
      </c>
      <c r="F66" s="14">
        <f>'B) D RI'!R67</f>
        <v>4040363.02</v>
      </c>
      <c r="G66" s="14">
        <f>'B) D RI'!U67</f>
        <v>56906.521408450702</v>
      </c>
      <c r="H66" s="52">
        <f>'B) D RI'!T67</f>
        <v>3739740.77</v>
      </c>
      <c r="I66" s="14">
        <f t="shared" si="2"/>
        <v>105344.81042253521</v>
      </c>
      <c r="J66" s="41">
        <f t="shared" si="3"/>
        <v>141247.54348897334</v>
      </c>
      <c r="K66" s="14">
        <f t="shared" si="0"/>
        <v>105344.81042253521</v>
      </c>
      <c r="L66" s="14">
        <f t="shared" si="4"/>
        <v>35902.73306643813</v>
      </c>
      <c r="M66" s="14">
        <f>'D) Ecrêtage'!M65</f>
        <v>56906.521408450702</v>
      </c>
      <c r="N66" s="14">
        <f t="shared" si="6"/>
        <v>73760.471983590644</v>
      </c>
      <c r="O66" s="75">
        <f t="shared" si="5"/>
        <v>179105.28240612586</v>
      </c>
      <c r="P66" s="329"/>
      <c r="Q66" s="330"/>
      <c r="R66" s="326"/>
      <c r="S66" s="326"/>
      <c r="T66" s="331"/>
    </row>
    <row r="67" spans="1:20" s="325" customFormat="1" x14ac:dyDescent="0.25">
      <c r="A67" s="338">
        <f>'A) Base RI'!A68</f>
        <v>5497</v>
      </c>
      <c r="B67" s="338" t="str">
        <f>'A) Base RI'!B68</f>
        <v>Pompaples</v>
      </c>
      <c r="C67" s="397">
        <v>0</v>
      </c>
      <c r="D67" s="327">
        <f>'B) D RI'!AR68</f>
        <v>834</v>
      </c>
      <c r="E67" s="328">
        <f>'B) D RI'!S68</f>
        <v>66</v>
      </c>
      <c r="F67" s="14">
        <f>'B) D RI'!R68</f>
        <v>1466996.0100000002</v>
      </c>
      <c r="G67" s="14">
        <f>'B) D RI'!U68</f>
        <v>22227.212272727276</v>
      </c>
      <c r="H67" s="52">
        <f>'B) D RI'!T68</f>
        <v>1350316.8100000003</v>
      </c>
      <c r="I67" s="14">
        <f t="shared" si="2"/>
        <v>40918.691212121223</v>
      </c>
      <c r="J67" s="41">
        <f t="shared" si="3"/>
        <v>71264.640816578205</v>
      </c>
      <c r="K67" s="14">
        <f t="shared" si="0"/>
        <v>40918.691212121223</v>
      </c>
      <c r="L67" s="14">
        <f t="shared" si="4"/>
        <v>30345.949604456982</v>
      </c>
      <c r="M67" s="14">
        <f>'D) Ecrêtage'!M66</f>
        <v>22227.212272727276</v>
      </c>
      <c r="N67" s="14">
        <f t="shared" si="6"/>
        <v>28810.224690211966</v>
      </c>
      <c r="O67" s="75">
        <f t="shared" si="5"/>
        <v>69728.915902333189</v>
      </c>
      <c r="P67" s="329"/>
      <c r="Q67" s="330"/>
      <c r="R67" s="326"/>
      <c r="S67" s="326"/>
      <c r="T67" s="331"/>
    </row>
    <row r="68" spans="1:20" s="325" customFormat="1" x14ac:dyDescent="0.25">
      <c r="A68" s="338">
        <f>'A) Base RI'!A69</f>
        <v>5498</v>
      </c>
      <c r="B68" s="338" t="str">
        <f>'A) Base RI'!B69</f>
        <v>La Sarraz</v>
      </c>
      <c r="C68" s="397">
        <v>0</v>
      </c>
      <c r="D68" s="327">
        <f>'B) D RI'!AR69</f>
        <v>2559</v>
      </c>
      <c r="E68" s="328">
        <f>'B) D RI'!S69</f>
        <v>64</v>
      </c>
      <c r="F68" s="14">
        <f>'B) D RI'!R69</f>
        <v>4614664.32</v>
      </c>
      <c r="G68" s="14">
        <f>'B) D RI'!U69</f>
        <v>72104.13</v>
      </c>
      <c r="H68" s="52">
        <f>'B) D RI'!T69</f>
        <v>4238209.17</v>
      </c>
      <c r="I68" s="14">
        <f t="shared" si="2"/>
        <v>132444.0365625</v>
      </c>
      <c r="J68" s="41">
        <f t="shared" si="3"/>
        <v>218664.52739763027</v>
      </c>
      <c r="K68" s="14">
        <f t="shared" si="0"/>
        <v>132444.0365625</v>
      </c>
      <c r="L68" s="14">
        <f t="shared" si="4"/>
        <v>86220.490835130273</v>
      </c>
      <c r="M68" s="14">
        <f>'D) Ecrêtage'!M67</f>
        <v>72104.13</v>
      </c>
      <c r="N68" s="14">
        <f t="shared" si="6"/>
        <v>93459.141924925018</v>
      </c>
      <c r="O68" s="75">
        <f t="shared" si="5"/>
        <v>225903.17848742503</v>
      </c>
      <c r="P68" s="329"/>
      <c r="Q68" s="330"/>
      <c r="R68" s="326"/>
      <c r="S68" s="326"/>
      <c r="T68" s="331"/>
    </row>
    <row r="69" spans="1:20" s="325" customFormat="1" x14ac:dyDescent="0.25">
      <c r="A69" s="338">
        <f>'A) Base RI'!A70</f>
        <v>5499</v>
      </c>
      <c r="B69" s="338" t="str">
        <f>'A) Base RI'!B70</f>
        <v>Senarclens</v>
      </c>
      <c r="C69" s="397">
        <v>0</v>
      </c>
      <c r="D69" s="327">
        <f>'B) D RI'!AR70</f>
        <v>451</v>
      </c>
      <c r="E69" s="328">
        <f>'B) D RI'!S70</f>
        <v>68.5</v>
      </c>
      <c r="F69" s="14">
        <f>'B) D RI'!R70</f>
        <v>1486292.15</v>
      </c>
      <c r="G69" s="14">
        <f>'B) D RI'!U70</f>
        <v>21697.695620437953</v>
      </c>
      <c r="H69" s="52">
        <f>'B) D RI'!T70</f>
        <v>1401433.75</v>
      </c>
      <c r="I69" s="14">
        <f t="shared" si="2"/>
        <v>40917.773722627739</v>
      </c>
      <c r="J69" s="41">
        <f t="shared" si="3"/>
        <v>38537.593535104046</v>
      </c>
      <c r="K69" s="14">
        <f t="shared" si="0"/>
        <v>38537.593535104046</v>
      </c>
      <c r="L69" s="14">
        <f t="shared" si="4"/>
        <v>0</v>
      </c>
      <c r="M69" s="14">
        <f>'D) Ecrêtage'!M68</f>
        <v>21697.695620437953</v>
      </c>
      <c r="N69" s="14">
        <f t="shared" si="6"/>
        <v>28123.881592279587</v>
      </c>
      <c r="O69" s="75">
        <f t="shared" si="5"/>
        <v>66661.47512738363</v>
      </c>
      <c r="P69" s="329"/>
      <c r="Q69" s="330"/>
      <c r="R69" s="326"/>
      <c r="S69" s="326"/>
      <c r="T69" s="331"/>
    </row>
    <row r="70" spans="1:20" s="325" customFormat="1" x14ac:dyDescent="0.25">
      <c r="A70" s="338">
        <f>'A) Base RI'!A71</f>
        <v>5500</v>
      </c>
      <c r="B70" s="338" t="str">
        <f>'A) Base RI'!B71</f>
        <v>Sévery</v>
      </c>
      <c r="C70" s="397">
        <v>0</v>
      </c>
      <c r="D70" s="327">
        <f>'B) D RI'!AR71</f>
        <v>231</v>
      </c>
      <c r="E70" s="328">
        <f>'B) D RI'!S71</f>
        <v>76</v>
      </c>
      <c r="F70" s="14">
        <f>'B) D RI'!R71</f>
        <v>514303.59499999997</v>
      </c>
      <c r="G70" s="14">
        <f>'B) D RI'!U71</f>
        <v>6767.1525657894736</v>
      </c>
      <c r="H70" s="52">
        <f>'B) D RI'!T71</f>
        <v>474539.47</v>
      </c>
      <c r="I70" s="14">
        <f t="shared" si="2"/>
        <v>12487.880789473684</v>
      </c>
      <c r="J70" s="41">
        <f t="shared" si="3"/>
        <v>19738.767420419143</v>
      </c>
      <c r="K70" s="14">
        <f t="shared" ref="K70:K133" si="7">IF(C70=1,0,IF(J70&gt;I70,I70,J70))</f>
        <v>12487.880789473684</v>
      </c>
      <c r="L70" s="14">
        <f t="shared" si="4"/>
        <v>7250.8866309454588</v>
      </c>
      <c r="M70" s="14">
        <f>'D) Ecrêtage'!M69</f>
        <v>6767.1525657894736</v>
      </c>
      <c r="N70" s="14">
        <f t="shared" ref="N70:N133" si="8">+$N$5*M70</f>
        <v>8771.373735093106</v>
      </c>
      <c r="O70" s="75">
        <f t="shared" ref="O70:O133" si="9">+N70+K70</f>
        <v>21259.25452456679</v>
      </c>
      <c r="P70" s="329"/>
      <c r="Q70" s="330"/>
      <c r="R70" s="326"/>
      <c r="S70" s="326"/>
      <c r="T70" s="331"/>
    </row>
    <row r="71" spans="1:20" s="325" customFormat="1" x14ac:dyDescent="0.25">
      <c r="A71" s="338">
        <f>'A) Base RI'!A72</f>
        <v>5501</v>
      </c>
      <c r="B71" s="338" t="str">
        <f>'A) Base RI'!B72</f>
        <v>Sullens</v>
      </c>
      <c r="C71" s="397">
        <v>0</v>
      </c>
      <c r="D71" s="327">
        <f>'B) D RI'!AR72</f>
        <v>925</v>
      </c>
      <c r="E71" s="328">
        <f>'B) D RI'!S72</f>
        <v>70</v>
      </c>
      <c r="F71" s="14">
        <f>'B) D RI'!R72</f>
        <v>2512149.6300000004</v>
      </c>
      <c r="G71" s="14">
        <f>'B) D RI'!U72</f>
        <v>35887.851857142865</v>
      </c>
      <c r="H71" s="52">
        <f>'B) D RI'!T72</f>
        <v>2334007.5300000003</v>
      </c>
      <c r="I71" s="14">
        <f t="shared" ref="I71:I134" si="10">+H71/E71*$I$5</f>
        <v>66685.929428571442</v>
      </c>
      <c r="J71" s="41">
        <f t="shared" ref="J71:J134" si="11">+$I$324/$D$324*D71</f>
        <v>79040.518891288782</v>
      </c>
      <c r="K71" s="14">
        <f t="shared" si="7"/>
        <v>66685.929428571442</v>
      </c>
      <c r="L71" s="14">
        <f t="shared" ref="L71:L134" si="12">+J71-K71</f>
        <v>12354.58946271734</v>
      </c>
      <c r="M71" s="14">
        <f>'D) Ecrêtage'!M70</f>
        <v>35887.851857142865</v>
      </c>
      <c r="N71" s="14">
        <f t="shared" si="8"/>
        <v>46516.722968537288</v>
      </c>
      <c r="O71" s="75">
        <f t="shared" si="9"/>
        <v>113202.65239710873</v>
      </c>
      <c r="P71" s="329"/>
      <c r="Q71" s="330"/>
      <c r="R71" s="326"/>
      <c r="S71" s="326"/>
      <c r="T71" s="331"/>
    </row>
    <row r="72" spans="1:20" s="325" customFormat="1" x14ac:dyDescent="0.25">
      <c r="A72" s="338">
        <f>'A) Base RI'!A73</f>
        <v>5503</v>
      </c>
      <c r="B72" s="338" t="str">
        <f>'A) Base RI'!B73</f>
        <v>Vufflens-la-Ville</v>
      </c>
      <c r="C72" s="397">
        <v>0</v>
      </c>
      <c r="D72" s="327">
        <f>'B) D RI'!AR73</f>
        <v>1216</v>
      </c>
      <c r="E72" s="328">
        <f>'B) D RI'!S73</f>
        <v>67</v>
      </c>
      <c r="F72" s="14">
        <f>'B) D RI'!R73</f>
        <v>4112422.9033333333</v>
      </c>
      <c r="G72" s="14">
        <f>'B) D RI'!U73</f>
        <v>61379.446318407958</v>
      </c>
      <c r="H72" s="52">
        <f>'B) D RI'!T73</f>
        <v>3809592.32</v>
      </c>
      <c r="I72" s="14">
        <f t="shared" si="10"/>
        <v>113719.17373134328</v>
      </c>
      <c r="J72" s="41">
        <f t="shared" si="11"/>
        <v>103906.23888844017</v>
      </c>
      <c r="K72" s="14">
        <f t="shared" si="7"/>
        <v>103906.23888844017</v>
      </c>
      <c r="L72" s="14">
        <f t="shared" si="12"/>
        <v>0</v>
      </c>
      <c r="M72" s="14">
        <f>'D) Ecrêtage'!M71</f>
        <v>61379.446318407958</v>
      </c>
      <c r="N72" s="14">
        <f t="shared" si="8"/>
        <v>79558.138829847958</v>
      </c>
      <c r="O72" s="75">
        <f t="shared" si="9"/>
        <v>183464.37771828813</v>
      </c>
      <c r="P72" s="329"/>
      <c r="Q72" s="330"/>
      <c r="R72" s="326"/>
      <c r="S72" s="326"/>
      <c r="T72" s="331"/>
    </row>
    <row r="73" spans="1:20" s="325" customFormat="1" x14ac:dyDescent="0.25">
      <c r="A73" s="338">
        <f>'A) Base RI'!A74</f>
        <v>5511</v>
      </c>
      <c r="B73" s="338" t="str">
        <f>'A) Base RI'!B74</f>
        <v>Assens</v>
      </c>
      <c r="C73" s="397">
        <v>0</v>
      </c>
      <c r="D73" s="327">
        <f>'B) D RI'!AR74</f>
        <v>1031</v>
      </c>
      <c r="E73" s="328">
        <f>'B) D RI'!S74</f>
        <v>70</v>
      </c>
      <c r="F73" s="14">
        <f>'B) D RI'!R74</f>
        <v>2899582.88</v>
      </c>
      <c r="G73" s="14">
        <f>'B) D RI'!U74</f>
        <v>41422.612571428566</v>
      </c>
      <c r="H73" s="52">
        <f>'B) D RI'!T74</f>
        <v>2691040.13</v>
      </c>
      <c r="I73" s="14">
        <f t="shared" si="10"/>
        <v>76886.860857142849</v>
      </c>
      <c r="J73" s="41">
        <f t="shared" si="11"/>
        <v>88098.135110182411</v>
      </c>
      <c r="K73" s="14">
        <f t="shared" si="7"/>
        <v>76886.860857142849</v>
      </c>
      <c r="L73" s="14">
        <f t="shared" si="12"/>
        <v>11211.274253039563</v>
      </c>
      <c r="M73" s="14">
        <f>'D) Ecrêtage'!M72</f>
        <v>41422.612571428566</v>
      </c>
      <c r="N73" s="14">
        <f t="shared" si="8"/>
        <v>53690.708524107082</v>
      </c>
      <c r="O73" s="75">
        <f t="shared" si="9"/>
        <v>130577.56938124992</v>
      </c>
      <c r="P73" s="329"/>
      <c r="Q73" s="330"/>
      <c r="R73" s="326"/>
      <c r="S73" s="326"/>
      <c r="T73" s="331"/>
    </row>
    <row r="74" spans="1:20" s="325" customFormat="1" x14ac:dyDescent="0.25">
      <c r="A74" s="338">
        <f>'A) Base RI'!A75</f>
        <v>5512</v>
      </c>
      <c r="B74" s="338" t="str">
        <f>'A) Base RI'!B75</f>
        <v>Bercher</v>
      </c>
      <c r="C74" s="397">
        <v>0</v>
      </c>
      <c r="D74" s="327">
        <f>'B) D RI'!AR75</f>
        <v>1148</v>
      </c>
      <c r="E74" s="328">
        <f>'B) D RI'!S75</f>
        <v>79</v>
      </c>
      <c r="F74" s="14">
        <f>'B) D RI'!R75</f>
        <v>2534256.15</v>
      </c>
      <c r="G74" s="14">
        <f>'B) D RI'!U75</f>
        <v>32079.191772151898</v>
      </c>
      <c r="H74" s="52">
        <f>'B) D RI'!T75</f>
        <v>2308571.85</v>
      </c>
      <c r="I74" s="14">
        <f t="shared" si="10"/>
        <v>58444.856962025318</v>
      </c>
      <c r="J74" s="41">
        <f t="shared" si="11"/>
        <v>98095.692634810286</v>
      </c>
      <c r="K74" s="14">
        <f t="shared" si="7"/>
        <v>58444.856962025318</v>
      </c>
      <c r="L74" s="14">
        <f t="shared" si="12"/>
        <v>39650.835672784968</v>
      </c>
      <c r="M74" s="14">
        <f>'D) Ecrêtage'!M73</f>
        <v>32079.191772151898</v>
      </c>
      <c r="N74" s="14">
        <f t="shared" si="8"/>
        <v>41580.055631632073</v>
      </c>
      <c r="O74" s="75">
        <f t="shared" si="9"/>
        <v>100024.91259365738</v>
      </c>
      <c r="P74" s="329"/>
      <c r="Q74" s="330"/>
      <c r="R74" s="326"/>
      <c r="S74" s="326"/>
      <c r="T74" s="331"/>
    </row>
    <row r="75" spans="1:20" s="325" customFormat="1" x14ac:dyDescent="0.25">
      <c r="A75" s="338">
        <f>'A) Base RI'!A76</f>
        <v>5513</v>
      </c>
      <c r="B75" s="338" t="str">
        <f>'A) Base RI'!B76</f>
        <v>Bioley-Orjulaz</v>
      </c>
      <c r="C75" s="397">
        <v>0</v>
      </c>
      <c r="D75" s="327">
        <f>'B) D RI'!AR76</f>
        <v>471</v>
      </c>
      <c r="E75" s="328">
        <f>'B) D RI'!S76</f>
        <v>66</v>
      </c>
      <c r="F75" s="14">
        <f>'B) D RI'!R76</f>
        <v>1585615.1199999999</v>
      </c>
      <c r="G75" s="14">
        <f>'B) D RI'!U76</f>
        <v>24024.471515151512</v>
      </c>
      <c r="H75" s="52">
        <f>'B) D RI'!T76</f>
        <v>1488334.6199999999</v>
      </c>
      <c r="I75" s="14">
        <f t="shared" si="10"/>
        <v>45101.049090909088</v>
      </c>
      <c r="J75" s="41">
        <f t="shared" si="11"/>
        <v>40246.577727348122</v>
      </c>
      <c r="K75" s="14">
        <f t="shared" si="7"/>
        <v>40246.577727348122</v>
      </c>
      <c r="L75" s="14">
        <f t="shared" si="12"/>
        <v>0</v>
      </c>
      <c r="M75" s="14">
        <f>'D) Ecrêtage'!M74</f>
        <v>24024.471515151512</v>
      </c>
      <c r="N75" s="14">
        <f t="shared" si="8"/>
        <v>31139.776501094504</v>
      </c>
      <c r="O75" s="75">
        <f t="shared" si="9"/>
        <v>71386.354228442622</v>
      </c>
      <c r="P75" s="329"/>
      <c r="Q75" s="330"/>
      <c r="R75" s="326"/>
      <c r="S75" s="326"/>
      <c r="T75" s="331"/>
    </row>
    <row r="76" spans="1:20" s="325" customFormat="1" x14ac:dyDescent="0.25">
      <c r="A76" s="338">
        <f>'A) Base RI'!A77</f>
        <v>5514</v>
      </c>
      <c r="B76" s="338" t="str">
        <f>'A) Base RI'!B77</f>
        <v>Bottens</v>
      </c>
      <c r="C76" s="397">
        <v>0</v>
      </c>
      <c r="D76" s="327">
        <f>'B) D RI'!AR77</f>
        <v>1220</v>
      </c>
      <c r="E76" s="328">
        <f>'B) D RI'!S77</f>
        <v>69</v>
      </c>
      <c r="F76" s="14">
        <f>'B) D RI'!R77</f>
        <v>2645920.9499999997</v>
      </c>
      <c r="G76" s="14">
        <f>'B) D RI'!U77</f>
        <v>38346.680434782604</v>
      </c>
      <c r="H76" s="52">
        <f>'B) D RI'!T77</f>
        <v>2439861.4499999997</v>
      </c>
      <c r="I76" s="14">
        <f t="shared" si="10"/>
        <v>70720.621739130424</v>
      </c>
      <c r="J76" s="41">
        <f t="shared" si="11"/>
        <v>104248.03572688898</v>
      </c>
      <c r="K76" s="14">
        <f t="shared" si="7"/>
        <v>70720.621739130424</v>
      </c>
      <c r="L76" s="14">
        <f t="shared" si="12"/>
        <v>33527.413987758555</v>
      </c>
      <c r="M76" s="14">
        <f>'D) Ecrêtage'!M75</f>
        <v>38346.680434782604</v>
      </c>
      <c r="N76" s="14">
        <f t="shared" si="8"/>
        <v>49703.780478373323</v>
      </c>
      <c r="O76" s="75">
        <f t="shared" si="9"/>
        <v>120424.40221750375</v>
      </c>
      <c r="P76" s="329"/>
      <c r="Q76" s="330"/>
      <c r="R76" s="326"/>
      <c r="S76" s="326"/>
      <c r="T76" s="331"/>
    </row>
    <row r="77" spans="1:20" s="325" customFormat="1" x14ac:dyDescent="0.25">
      <c r="A77" s="338">
        <f>'A) Base RI'!A78</f>
        <v>5515</v>
      </c>
      <c r="B77" s="338" t="str">
        <f>'A) Base RI'!B78</f>
        <v>Bretigny-sur-Morrens</v>
      </c>
      <c r="C77" s="397">
        <v>0</v>
      </c>
      <c r="D77" s="327">
        <f>'B) D RI'!AR78</f>
        <v>797</v>
      </c>
      <c r="E77" s="328">
        <f>'B) D RI'!S78</f>
        <v>73</v>
      </c>
      <c r="F77" s="14">
        <f>'B) D RI'!R78</f>
        <v>1777210.2900000003</v>
      </c>
      <c r="G77" s="14">
        <f>'B) D RI'!U78</f>
        <v>24345.34643835617</v>
      </c>
      <c r="H77" s="52">
        <f>'B) D RI'!T78</f>
        <v>1641595.4400000002</v>
      </c>
      <c r="I77" s="14">
        <f t="shared" si="10"/>
        <v>44975.217534246578</v>
      </c>
      <c r="J77" s="41">
        <f t="shared" si="11"/>
        <v>68103.020060926661</v>
      </c>
      <c r="K77" s="14">
        <f t="shared" si="7"/>
        <v>44975.217534246578</v>
      </c>
      <c r="L77" s="14">
        <f t="shared" si="12"/>
        <v>23127.802526680083</v>
      </c>
      <c r="M77" s="14">
        <f>'D) Ecrêtage'!M76</f>
        <v>24345.34643835617</v>
      </c>
      <c r="N77" s="14">
        <f t="shared" si="8"/>
        <v>31555.684646549329</v>
      </c>
      <c r="O77" s="75">
        <f t="shared" si="9"/>
        <v>76530.902180795907</v>
      </c>
      <c r="P77" s="329"/>
      <c r="Q77" s="330"/>
      <c r="R77" s="326"/>
      <c r="S77" s="326"/>
      <c r="T77" s="331"/>
    </row>
    <row r="78" spans="1:20" s="325" customFormat="1" x14ac:dyDescent="0.25">
      <c r="A78" s="338">
        <f>'A) Base RI'!A79</f>
        <v>5516</v>
      </c>
      <c r="B78" s="338" t="str">
        <f>'A) Base RI'!B79</f>
        <v>Cugy</v>
      </c>
      <c r="C78" s="397">
        <v>0</v>
      </c>
      <c r="D78" s="327">
        <f>'B) D RI'!AR79</f>
        <v>2755</v>
      </c>
      <c r="E78" s="328">
        <f>'B) D RI'!S79</f>
        <v>67</v>
      </c>
      <c r="F78" s="14">
        <f>'B) D RI'!R79</f>
        <v>7030656.8600000003</v>
      </c>
      <c r="G78" s="14">
        <f>'B) D RI'!U79</f>
        <v>104935.17701492537</v>
      </c>
      <c r="H78" s="52">
        <f>'B) D RI'!T79</f>
        <v>6466504.5100000007</v>
      </c>
      <c r="I78" s="14">
        <f t="shared" si="10"/>
        <v>193029.98537313435</v>
      </c>
      <c r="J78" s="41">
        <f t="shared" si="11"/>
        <v>235412.57248162225</v>
      </c>
      <c r="K78" s="14">
        <f t="shared" si="7"/>
        <v>193029.98537313435</v>
      </c>
      <c r="L78" s="14">
        <f t="shared" si="12"/>
        <v>42382.587108487904</v>
      </c>
      <c r="M78" s="14">
        <f>'D) Ecrêtage'!M77</f>
        <v>104935.17701492537</v>
      </c>
      <c r="N78" s="14">
        <f t="shared" si="8"/>
        <v>136013.7290548411</v>
      </c>
      <c r="O78" s="75">
        <f t="shared" si="9"/>
        <v>329043.71442797547</v>
      </c>
      <c r="P78" s="329"/>
      <c r="Q78" s="330"/>
      <c r="R78" s="326"/>
      <c r="S78" s="326"/>
      <c r="T78" s="331"/>
    </row>
    <row r="79" spans="1:20" s="325" customFormat="1" x14ac:dyDescent="0.25">
      <c r="A79" s="338">
        <f>'A) Base RI'!A80</f>
        <v>5518</v>
      </c>
      <c r="B79" s="338" t="str">
        <f>'A) Base RI'!B80</f>
        <v>Echallens</v>
      </c>
      <c r="C79" s="397">
        <v>0</v>
      </c>
      <c r="D79" s="327">
        <f>'B) D RI'!AR80</f>
        <v>5606</v>
      </c>
      <c r="E79" s="328">
        <f>'B) D RI'!S80</f>
        <v>74</v>
      </c>
      <c r="F79" s="14">
        <f>'B) D RI'!R80</f>
        <v>13425314.069999998</v>
      </c>
      <c r="G79" s="14">
        <f>'B) D RI'!U80</f>
        <v>181423.1631081081</v>
      </c>
      <c r="H79" s="52">
        <f>'B) D RI'!T80</f>
        <v>12464435.169999998</v>
      </c>
      <c r="I79" s="14">
        <f t="shared" si="10"/>
        <v>336876.62621621619</v>
      </c>
      <c r="J79" s="41">
        <f t="shared" si="11"/>
        <v>479028.26908601611</v>
      </c>
      <c r="K79" s="14">
        <f t="shared" si="7"/>
        <v>336876.62621621619</v>
      </c>
      <c r="L79" s="14">
        <f t="shared" si="12"/>
        <v>142151.64286979992</v>
      </c>
      <c r="M79" s="14">
        <f>'D) Ecrêtage'!M78</f>
        <v>181423.1631081081</v>
      </c>
      <c r="N79" s="14">
        <f t="shared" si="8"/>
        <v>235155.08958210153</v>
      </c>
      <c r="O79" s="75">
        <f t="shared" si="9"/>
        <v>572031.71579831769</v>
      </c>
      <c r="P79" s="329"/>
      <c r="Q79" s="330"/>
      <c r="R79" s="326"/>
      <c r="S79" s="326"/>
      <c r="T79" s="331"/>
    </row>
    <row r="80" spans="1:20" s="325" customFormat="1" x14ac:dyDescent="0.25">
      <c r="A80" s="338">
        <f>'A) Base RI'!A81</f>
        <v>5520</v>
      </c>
      <c r="B80" s="338" t="str">
        <f>'A) Base RI'!B81</f>
        <v>Essertines-sur-Yverdon</v>
      </c>
      <c r="C80" s="397">
        <v>0</v>
      </c>
      <c r="D80" s="327">
        <f>'B) D RI'!AR81</f>
        <v>945</v>
      </c>
      <c r="E80" s="328">
        <f>'B) D RI'!S81</f>
        <v>73</v>
      </c>
      <c r="F80" s="14">
        <f>'B) D RI'!R81</f>
        <v>2045575.31</v>
      </c>
      <c r="G80" s="14">
        <f>'B) D RI'!U81</f>
        <v>28021.579589041095</v>
      </c>
      <c r="H80" s="52">
        <f>'B) D RI'!T81</f>
        <v>1879994.9100000001</v>
      </c>
      <c r="I80" s="14">
        <f t="shared" si="10"/>
        <v>51506.709863013704</v>
      </c>
      <c r="J80" s="41">
        <f t="shared" si="11"/>
        <v>80749.503083532865</v>
      </c>
      <c r="K80" s="14">
        <f t="shared" si="7"/>
        <v>51506.709863013704</v>
      </c>
      <c r="L80" s="14">
        <f t="shared" si="12"/>
        <v>29242.793220519161</v>
      </c>
      <c r="M80" s="14">
        <f>'D) Ecrêtage'!M79</f>
        <v>28021.579589041095</v>
      </c>
      <c r="N80" s="14">
        <f t="shared" si="8"/>
        <v>36320.704289376677</v>
      </c>
      <c r="O80" s="75">
        <f t="shared" si="9"/>
        <v>87827.414152390382</v>
      </c>
      <c r="P80" s="329"/>
      <c r="Q80" s="330"/>
      <c r="R80" s="326"/>
      <c r="S80" s="326"/>
      <c r="T80" s="331"/>
    </row>
    <row r="81" spans="1:20" s="325" customFormat="1" x14ac:dyDescent="0.25">
      <c r="A81" s="338">
        <f>'A) Base RI'!A82</f>
        <v>5521</v>
      </c>
      <c r="B81" s="338" t="str">
        <f>'A) Base RI'!B82</f>
        <v>Etagnières</v>
      </c>
      <c r="C81" s="397">
        <v>0</v>
      </c>
      <c r="D81" s="327">
        <f>'B) D RI'!AR82</f>
        <v>1146</v>
      </c>
      <c r="E81" s="328">
        <f>'B) D RI'!S82</f>
        <v>73</v>
      </c>
      <c r="F81" s="14">
        <f>'B) D RI'!R82</f>
        <v>3089928.24</v>
      </c>
      <c r="G81" s="14">
        <f>'B) D RI'!U82</f>
        <v>42327.784109589047</v>
      </c>
      <c r="H81" s="52">
        <f>'B) D RI'!T82</f>
        <v>2876414.14</v>
      </c>
      <c r="I81" s="14">
        <f t="shared" si="10"/>
        <v>78805.866849315076</v>
      </c>
      <c r="J81" s="41">
        <f t="shared" si="11"/>
        <v>97924.794215585876</v>
      </c>
      <c r="K81" s="14">
        <f t="shared" si="7"/>
        <v>78805.866849315076</v>
      </c>
      <c r="L81" s="14">
        <f t="shared" si="12"/>
        <v>19118.9273662708</v>
      </c>
      <c r="M81" s="14">
        <f>'D) Ecrêtage'!M80</f>
        <v>42327.784109589047</v>
      </c>
      <c r="N81" s="14">
        <f t="shared" si="8"/>
        <v>54863.963859846423</v>
      </c>
      <c r="O81" s="75">
        <f t="shared" si="9"/>
        <v>133669.8307091615</v>
      </c>
      <c r="P81" s="329"/>
      <c r="Q81" s="330"/>
      <c r="R81" s="326"/>
      <c r="S81" s="326"/>
      <c r="T81" s="331"/>
    </row>
    <row r="82" spans="1:20" s="325" customFormat="1" x14ac:dyDescent="0.25">
      <c r="A82" s="338">
        <f>'A) Base RI'!A83</f>
        <v>5522</v>
      </c>
      <c r="B82" s="338" t="str">
        <f>'A) Base RI'!B83</f>
        <v>Fey</v>
      </c>
      <c r="C82" s="397">
        <v>0</v>
      </c>
      <c r="D82" s="327">
        <f>'B) D RI'!AR83</f>
        <v>635</v>
      </c>
      <c r="E82" s="328">
        <f>'B) D RI'!S83</f>
        <v>75</v>
      </c>
      <c r="F82" s="14">
        <f>'B) D RI'!R83</f>
        <v>1366388.43</v>
      </c>
      <c r="G82" s="14">
        <f>'B) D RI'!U83</f>
        <v>18218.5124</v>
      </c>
      <c r="H82" s="52">
        <f>'B) D RI'!T83</f>
        <v>1257227.73</v>
      </c>
      <c r="I82" s="14">
        <f t="shared" si="10"/>
        <v>33526.072800000002</v>
      </c>
      <c r="J82" s="41">
        <f t="shared" si="11"/>
        <v>54260.248103749596</v>
      </c>
      <c r="K82" s="14">
        <f t="shared" si="7"/>
        <v>33526.072800000002</v>
      </c>
      <c r="L82" s="14">
        <f t="shared" si="12"/>
        <v>20734.175303749595</v>
      </c>
      <c r="M82" s="14">
        <f>'D) Ecrêtage'!M81</f>
        <v>18218.5124</v>
      </c>
      <c r="N82" s="14">
        <f t="shared" si="8"/>
        <v>23614.271971003687</v>
      </c>
      <c r="O82" s="75">
        <f t="shared" si="9"/>
        <v>57140.344771003685</v>
      </c>
      <c r="P82" s="329"/>
      <c r="Q82" s="330"/>
      <c r="R82" s="326"/>
      <c r="S82" s="326"/>
      <c r="T82" s="331"/>
    </row>
    <row r="83" spans="1:20" s="325" customFormat="1" x14ac:dyDescent="0.25">
      <c r="A83" s="338">
        <f>'A) Base RI'!A84</f>
        <v>5523</v>
      </c>
      <c r="B83" s="338" t="str">
        <f>'A) Base RI'!B84</f>
        <v>Froideville</v>
      </c>
      <c r="C83" s="397">
        <v>0</v>
      </c>
      <c r="D83" s="327">
        <f>'B) D RI'!AR84</f>
        <v>2422</v>
      </c>
      <c r="E83" s="328">
        <f>'B) D RI'!S84</f>
        <v>76</v>
      </c>
      <c r="F83" s="14">
        <f>'B) D RI'!R84</f>
        <v>5914293.9900000002</v>
      </c>
      <c r="G83" s="14">
        <f>'B) D RI'!U84</f>
        <v>77819.657763157898</v>
      </c>
      <c r="H83" s="52">
        <f>'B) D RI'!T84</f>
        <v>5456126.2300000004</v>
      </c>
      <c r="I83" s="14">
        <f t="shared" si="10"/>
        <v>143582.26921052634</v>
      </c>
      <c r="J83" s="41">
        <f t="shared" si="11"/>
        <v>206957.98568075828</v>
      </c>
      <c r="K83" s="14">
        <f t="shared" si="7"/>
        <v>143582.26921052634</v>
      </c>
      <c r="L83" s="14">
        <f t="shared" si="12"/>
        <v>63375.716470231942</v>
      </c>
      <c r="M83" s="14">
        <f>'D) Ecrêtage'!M82</f>
        <v>77819.657763157898</v>
      </c>
      <c r="N83" s="14">
        <f t="shared" si="8"/>
        <v>100867.43213510886</v>
      </c>
      <c r="O83" s="75">
        <f t="shared" si="9"/>
        <v>244449.7013456352</v>
      </c>
      <c r="P83" s="329"/>
      <c r="Q83" s="330"/>
      <c r="R83" s="326"/>
      <c r="S83" s="326"/>
      <c r="T83" s="331"/>
    </row>
    <row r="84" spans="1:20" s="325" customFormat="1" x14ac:dyDescent="0.25">
      <c r="A84" s="338">
        <f>'A) Base RI'!A85</f>
        <v>5527</v>
      </c>
      <c r="B84" s="338" t="str">
        <f>'A) Base RI'!B85</f>
        <v>Morrens</v>
      </c>
      <c r="C84" s="397">
        <v>0</v>
      </c>
      <c r="D84" s="327">
        <f>'B) D RI'!AR85</f>
        <v>1055</v>
      </c>
      <c r="E84" s="328">
        <f>'B) D RI'!S85</f>
        <v>71</v>
      </c>
      <c r="F84" s="14">
        <f>'B) D RI'!R85</f>
        <v>2626906.0799999996</v>
      </c>
      <c r="G84" s="14">
        <f>'B) D RI'!U85</f>
        <v>36998.677183098589</v>
      </c>
      <c r="H84" s="52">
        <f>'B) D RI'!T85</f>
        <v>2432944.6799999997</v>
      </c>
      <c r="I84" s="14">
        <f t="shared" si="10"/>
        <v>68533.652957746468</v>
      </c>
      <c r="J84" s="41">
        <f t="shared" si="11"/>
        <v>90148.916140875313</v>
      </c>
      <c r="K84" s="14">
        <f t="shared" si="7"/>
        <v>68533.652957746468</v>
      </c>
      <c r="L84" s="14">
        <f t="shared" si="12"/>
        <v>21615.263183128845</v>
      </c>
      <c r="M84" s="14">
        <f>'D) Ecrêtage'!M83</f>
        <v>36998.677183098589</v>
      </c>
      <c r="N84" s="14">
        <f t="shared" si="8"/>
        <v>47956.540379721599</v>
      </c>
      <c r="O84" s="75">
        <f t="shared" si="9"/>
        <v>116490.19333746807</v>
      </c>
      <c r="P84" s="329"/>
      <c r="Q84" s="330"/>
      <c r="R84" s="326"/>
      <c r="S84" s="326"/>
      <c r="T84" s="331"/>
    </row>
    <row r="85" spans="1:20" s="325" customFormat="1" x14ac:dyDescent="0.25">
      <c r="A85" s="338">
        <f>'A) Base RI'!A86</f>
        <v>5529</v>
      </c>
      <c r="B85" s="338" t="str">
        <f>'A) Base RI'!B86</f>
        <v>Oulens-sous-Echallens</v>
      </c>
      <c r="C85" s="397">
        <v>0</v>
      </c>
      <c r="D85" s="327">
        <f>'B) D RI'!AR86</f>
        <v>532</v>
      </c>
      <c r="E85" s="328">
        <f>'B) D RI'!S86</f>
        <v>71</v>
      </c>
      <c r="F85" s="14">
        <f>'B) D RI'!R86</f>
        <v>1194996.75</v>
      </c>
      <c r="G85" s="14">
        <f>'B) D RI'!U86</f>
        <v>16830.940140845072</v>
      </c>
      <c r="H85" s="52">
        <f>'B) D RI'!T86</f>
        <v>1092821.3500000001</v>
      </c>
      <c r="I85" s="14">
        <f t="shared" si="10"/>
        <v>30783.700000000004</v>
      </c>
      <c r="J85" s="41">
        <f t="shared" si="11"/>
        <v>45458.979513692575</v>
      </c>
      <c r="K85" s="14">
        <f t="shared" si="7"/>
        <v>30783.700000000004</v>
      </c>
      <c r="L85" s="14">
        <f t="shared" si="12"/>
        <v>14675.279513692571</v>
      </c>
      <c r="M85" s="14">
        <f>'D) Ecrêtage'!M84</f>
        <v>16830.940140845072</v>
      </c>
      <c r="N85" s="14">
        <f t="shared" si="8"/>
        <v>21815.743749396283</v>
      </c>
      <c r="O85" s="75">
        <f t="shared" si="9"/>
        <v>52599.443749396291</v>
      </c>
      <c r="P85" s="329"/>
      <c r="Q85" s="330"/>
      <c r="R85" s="326"/>
      <c r="S85" s="326"/>
      <c r="T85" s="331"/>
    </row>
    <row r="86" spans="1:20" s="325" customFormat="1" x14ac:dyDescent="0.25">
      <c r="A86" s="338">
        <f>'A) Base RI'!A87</f>
        <v>5530</v>
      </c>
      <c r="B86" s="338" t="str">
        <f>'A) Base RI'!B87</f>
        <v>Pailly</v>
      </c>
      <c r="C86" s="397">
        <v>0</v>
      </c>
      <c r="D86" s="327">
        <f>'B) D RI'!AR87</f>
        <v>533</v>
      </c>
      <c r="E86" s="328">
        <f>'B) D RI'!S87</f>
        <v>77.5</v>
      </c>
      <c r="F86" s="14">
        <f>'B) D RI'!R87</f>
        <v>1239079.0033333332</v>
      </c>
      <c r="G86" s="14">
        <f>'B) D RI'!U87</f>
        <v>15988.116172043008</v>
      </c>
      <c r="H86" s="52">
        <f>'B) D RI'!T87</f>
        <v>1151091.17</v>
      </c>
      <c r="I86" s="14">
        <f t="shared" si="10"/>
        <v>29705.57858064516</v>
      </c>
      <c r="J86" s="41">
        <f t="shared" si="11"/>
        <v>45544.42872330478</v>
      </c>
      <c r="K86" s="14">
        <f t="shared" si="7"/>
        <v>29705.57858064516</v>
      </c>
      <c r="L86" s="14">
        <f t="shared" si="12"/>
        <v>15838.850142659619</v>
      </c>
      <c r="M86" s="14">
        <f>'D) Ecrêtage'!M85</f>
        <v>15988.116172043008</v>
      </c>
      <c r="N86" s="14">
        <f t="shared" si="8"/>
        <v>20723.301403611087</v>
      </c>
      <c r="O86" s="75">
        <f t="shared" si="9"/>
        <v>50428.879984256244</v>
      </c>
      <c r="P86" s="329"/>
      <c r="Q86" s="330"/>
      <c r="R86" s="326"/>
      <c r="S86" s="326"/>
      <c r="T86" s="331"/>
    </row>
    <row r="87" spans="1:20" s="325" customFormat="1" x14ac:dyDescent="0.25">
      <c r="A87" s="338">
        <f>'A) Base RI'!A88</f>
        <v>5531</v>
      </c>
      <c r="B87" s="338" t="str">
        <f>'A) Base RI'!B88</f>
        <v>Penthéréaz</v>
      </c>
      <c r="C87" s="397">
        <v>0</v>
      </c>
      <c r="D87" s="327">
        <f>'B) D RI'!AR88</f>
        <v>389</v>
      </c>
      <c r="E87" s="328">
        <f>'B) D RI'!S88</f>
        <v>78</v>
      </c>
      <c r="F87" s="14">
        <f>'B) D RI'!R88</f>
        <v>907038.36</v>
      </c>
      <c r="G87" s="14">
        <f>'B) D RI'!U88</f>
        <v>11628.696923076923</v>
      </c>
      <c r="H87" s="52">
        <f>'B) D RI'!T88</f>
        <v>838723.51</v>
      </c>
      <c r="I87" s="14">
        <f t="shared" si="10"/>
        <v>21505.731025641027</v>
      </c>
      <c r="J87" s="41">
        <f t="shared" si="11"/>
        <v>33239.742539147388</v>
      </c>
      <c r="K87" s="14">
        <f t="shared" si="7"/>
        <v>21505.731025641027</v>
      </c>
      <c r="L87" s="14">
        <f t="shared" si="12"/>
        <v>11734.011513506361</v>
      </c>
      <c r="M87" s="14">
        <f>'D) Ecrêtage'!M86</f>
        <v>11628.696923076923</v>
      </c>
      <c r="N87" s="14">
        <f t="shared" si="8"/>
        <v>15072.757082510876</v>
      </c>
      <c r="O87" s="75">
        <f t="shared" si="9"/>
        <v>36578.488108151905</v>
      </c>
      <c r="P87" s="329"/>
      <c r="Q87" s="330"/>
      <c r="R87" s="326"/>
      <c r="S87" s="326"/>
      <c r="T87" s="331"/>
    </row>
    <row r="88" spans="1:20" s="325" customFormat="1" x14ac:dyDescent="0.25">
      <c r="A88" s="338">
        <f>'A) Base RI'!A89</f>
        <v>5533</v>
      </c>
      <c r="B88" s="338" t="str">
        <f>'A) Base RI'!B89</f>
        <v>Poliez-Pittet</v>
      </c>
      <c r="C88" s="397">
        <v>0</v>
      </c>
      <c r="D88" s="327">
        <f>'B) D RI'!AR89</f>
        <v>815</v>
      </c>
      <c r="E88" s="328">
        <f>'B) D RI'!S89</f>
        <v>71</v>
      </c>
      <c r="F88" s="14">
        <f>'B) D RI'!R89</f>
        <v>1511371.0166666666</v>
      </c>
      <c r="G88" s="14">
        <f>'B) D RI'!U89</f>
        <v>21286.915727699528</v>
      </c>
      <c r="H88" s="52">
        <f>'B) D RI'!T89</f>
        <v>1383010.3499999999</v>
      </c>
      <c r="I88" s="14">
        <f t="shared" si="10"/>
        <v>38958.038028169009</v>
      </c>
      <c r="J88" s="41">
        <f t="shared" si="11"/>
        <v>69641.105833946334</v>
      </c>
      <c r="K88" s="14">
        <f t="shared" si="7"/>
        <v>38958.038028169009</v>
      </c>
      <c r="L88" s="14">
        <f t="shared" si="12"/>
        <v>30683.067805777326</v>
      </c>
      <c r="M88" s="14">
        <f>'D) Ecrêtage'!M87</f>
        <v>21286.915727699528</v>
      </c>
      <c r="N88" s="14">
        <f t="shared" si="8"/>
        <v>27591.441407572471</v>
      </c>
      <c r="O88" s="75">
        <f t="shared" si="9"/>
        <v>66549.479435741479</v>
      </c>
      <c r="P88" s="329"/>
      <c r="Q88" s="330"/>
      <c r="R88" s="326"/>
      <c r="S88" s="326"/>
      <c r="T88" s="331"/>
    </row>
    <row r="89" spans="1:20" s="325" customFormat="1" x14ac:dyDescent="0.25">
      <c r="A89" s="338">
        <f>'A) Base RI'!A90</f>
        <v>5534</v>
      </c>
      <c r="B89" s="338" t="str">
        <f>'A) Base RI'!B90</f>
        <v>Rueyres</v>
      </c>
      <c r="C89" s="397">
        <v>0</v>
      </c>
      <c r="D89" s="327">
        <f>'B) D RI'!AR90</f>
        <v>265</v>
      </c>
      <c r="E89" s="328">
        <f>'B) D RI'!S90</f>
        <v>73</v>
      </c>
      <c r="F89" s="14">
        <f>'B) D RI'!R90</f>
        <v>592989.98</v>
      </c>
      <c r="G89" s="14">
        <f>'B) D RI'!U90</f>
        <v>8123.1504109589041</v>
      </c>
      <c r="H89" s="52">
        <f>'B) D RI'!T90</f>
        <v>524859.07999999996</v>
      </c>
      <c r="I89" s="14">
        <f t="shared" si="10"/>
        <v>14379.700821917808</v>
      </c>
      <c r="J89" s="41">
        <f t="shared" si="11"/>
        <v>22644.040547234083</v>
      </c>
      <c r="K89" s="14">
        <f t="shared" si="7"/>
        <v>14379.700821917808</v>
      </c>
      <c r="L89" s="14">
        <f t="shared" si="12"/>
        <v>8264.3397253162748</v>
      </c>
      <c r="M89" s="14">
        <f>'D) Ecrêtage'!M88</f>
        <v>8123.1504109589041</v>
      </c>
      <c r="N89" s="14">
        <f t="shared" si="8"/>
        <v>10528.976178414761</v>
      </c>
      <c r="O89" s="75">
        <f t="shared" si="9"/>
        <v>24908.677000332569</v>
      </c>
      <c r="P89" s="329"/>
      <c r="Q89" s="330"/>
      <c r="R89" s="326"/>
      <c r="S89" s="326"/>
      <c r="T89" s="331"/>
    </row>
    <row r="90" spans="1:20" s="325" customFormat="1" x14ac:dyDescent="0.25">
      <c r="A90" s="338">
        <f>'A) Base RI'!A91</f>
        <v>5535</v>
      </c>
      <c r="B90" s="338" t="str">
        <f>'A) Base RI'!B91</f>
        <v>Saint-Barthélemy</v>
      </c>
      <c r="C90" s="397">
        <v>0</v>
      </c>
      <c r="D90" s="327">
        <f>'B) D RI'!AR91</f>
        <v>782</v>
      </c>
      <c r="E90" s="328">
        <f>'B) D RI'!S91</f>
        <v>75</v>
      </c>
      <c r="F90" s="14">
        <f>'B) D RI'!R91</f>
        <v>1623958.48</v>
      </c>
      <c r="G90" s="14">
        <f>'B) D RI'!U91</f>
        <v>21652.779733333333</v>
      </c>
      <c r="H90" s="52">
        <f>'B) D RI'!T91</f>
        <v>1494608.78</v>
      </c>
      <c r="I90" s="14">
        <f t="shared" si="10"/>
        <v>39856.234133333332</v>
      </c>
      <c r="J90" s="41">
        <f t="shared" si="11"/>
        <v>66821.281916743596</v>
      </c>
      <c r="K90" s="14">
        <f t="shared" si="7"/>
        <v>39856.234133333332</v>
      </c>
      <c r="L90" s="14">
        <f t="shared" si="12"/>
        <v>26965.047783410264</v>
      </c>
      <c r="M90" s="14">
        <f>'D) Ecrêtage'!M89</f>
        <v>21652.779733333333</v>
      </c>
      <c r="N90" s="14">
        <f t="shared" si="8"/>
        <v>28065.663009410691</v>
      </c>
      <c r="O90" s="75">
        <f t="shared" si="9"/>
        <v>67921.897142744026</v>
      </c>
      <c r="P90" s="329"/>
      <c r="Q90" s="330"/>
      <c r="R90" s="326"/>
      <c r="S90" s="326"/>
      <c r="T90" s="331"/>
    </row>
    <row r="91" spans="1:20" s="325" customFormat="1" x14ac:dyDescent="0.25">
      <c r="A91" s="338">
        <f>'A) Base RI'!A92</f>
        <v>5537</v>
      </c>
      <c r="B91" s="338" t="str">
        <f>'A) Base RI'!B92</f>
        <v>Villars-le-Terroir</v>
      </c>
      <c r="C91" s="397">
        <v>0</v>
      </c>
      <c r="D91" s="327">
        <f>'B) D RI'!AR92</f>
        <v>1033</v>
      </c>
      <c r="E91" s="328">
        <f>'B) D RI'!S92</f>
        <v>73</v>
      </c>
      <c r="F91" s="14">
        <f>'B) D RI'!R92</f>
        <v>2057266.2</v>
      </c>
      <c r="G91" s="14">
        <f>'B) D RI'!U92</f>
        <v>28181.728767123288</v>
      </c>
      <c r="H91" s="52">
        <f>'B) D RI'!T92</f>
        <v>1878264.45</v>
      </c>
      <c r="I91" s="14">
        <f t="shared" si="10"/>
        <v>51459.299999999996</v>
      </c>
      <c r="J91" s="41">
        <f t="shared" si="11"/>
        <v>88269.033529406821</v>
      </c>
      <c r="K91" s="14">
        <f t="shared" si="7"/>
        <v>51459.299999999996</v>
      </c>
      <c r="L91" s="14">
        <f t="shared" si="12"/>
        <v>36809.733529406825</v>
      </c>
      <c r="M91" s="14">
        <f>'D) Ecrêtage'!M90</f>
        <v>28181.728767123288</v>
      </c>
      <c r="N91" s="14">
        <f t="shared" si="8"/>
        <v>36528.284697926698</v>
      </c>
      <c r="O91" s="75">
        <f t="shared" si="9"/>
        <v>87987.584697926693</v>
      </c>
      <c r="P91" s="329"/>
      <c r="Q91" s="330"/>
      <c r="R91" s="326"/>
      <c r="S91" s="326"/>
      <c r="T91" s="331"/>
    </row>
    <row r="92" spans="1:20" s="325" customFormat="1" x14ac:dyDescent="0.25">
      <c r="A92" s="338">
        <f>'A) Base RI'!A93</f>
        <v>5539</v>
      </c>
      <c r="B92" s="338" t="str">
        <f>'A) Base RI'!B93</f>
        <v>Vuarrens</v>
      </c>
      <c r="C92" s="397">
        <v>0</v>
      </c>
      <c r="D92" s="327">
        <f>'B) D RI'!AR93</f>
        <v>935</v>
      </c>
      <c r="E92" s="328">
        <f>'B) D RI'!S93</f>
        <v>75</v>
      </c>
      <c r="F92" s="14">
        <f>'B) D RI'!R93</f>
        <v>1706712.97</v>
      </c>
      <c r="G92" s="14">
        <f>'B) D RI'!U93</f>
        <v>22756.172933333331</v>
      </c>
      <c r="H92" s="52">
        <f>'B) D RI'!T93</f>
        <v>1547461.97</v>
      </c>
      <c r="I92" s="14">
        <f t="shared" si="10"/>
        <v>41265.652533333334</v>
      </c>
      <c r="J92" s="41">
        <f t="shared" si="11"/>
        <v>79895.010987410817</v>
      </c>
      <c r="K92" s="14">
        <f t="shared" si="7"/>
        <v>41265.652533333334</v>
      </c>
      <c r="L92" s="14">
        <f t="shared" si="12"/>
        <v>38629.358454077483</v>
      </c>
      <c r="M92" s="14">
        <f>'D) Ecrêtage'!M91</f>
        <v>22756.172933333331</v>
      </c>
      <c r="N92" s="14">
        <f t="shared" si="8"/>
        <v>29495.847128930574</v>
      </c>
      <c r="O92" s="75">
        <f t="shared" si="9"/>
        <v>70761.499662263901</v>
      </c>
      <c r="P92" s="329"/>
      <c r="Q92" s="330"/>
      <c r="R92" s="326"/>
      <c r="S92" s="326"/>
      <c r="T92" s="331"/>
    </row>
    <row r="93" spans="1:20" s="325" customFormat="1" x14ac:dyDescent="0.25">
      <c r="A93" s="338">
        <f>'A) Base RI'!A94</f>
        <v>5540</v>
      </c>
      <c r="B93" s="338" t="str">
        <f>'A) Base RI'!B94</f>
        <v>Montilliez</v>
      </c>
      <c r="C93" s="397">
        <v>0</v>
      </c>
      <c r="D93" s="327">
        <f>'B) D RI'!AR94</f>
        <v>1656</v>
      </c>
      <c r="E93" s="328">
        <f>'B) D RI'!S94</f>
        <v>74</v>
      </c>
      <c r="F93" s="14">
        <f>'B) D RI'!R94</f>
        <v>3492745.6174999997</v>
      </c>
      <c r="G93" s="14">
        <f>'B) D RI'!U94</f>
        <v>47199.265101351346</v>
      </c>
      <c r="H93" s="52">
        <f>'B) D RI'!T94</f>
        <v>3203874.9299999997</v>
      </c>
      <c r="I93" s="14">
        <f t="shared" si="10"/>
        <v>86591.214324324319</v>
      </c>
      <c r="J93" s="41">
        <f t="shared" si="11"/>
        <v>141503.89111780998</v>
      </c>
      <c r="K93" s="14">
        <f t="shared" si="7"/>
        <v>86591.214324324319</v>
      </c>
      <c r="L93" s="14">
        <f t="shared" si="12"/>
        <v>54912.676793485662</v>
      </c>
      <c r="M93" s="14">
        <f>'D) Ecrêtage'!M92</f>
        <v>47199.265101351346</v>
      </c>
      <c r="N93" s="14">
        <f t="shared" si="8"/>
        <v>61178.226765364969</v>
      </c>
      <c r="O93" s="75">
        <f t="shared" si="9"/>
        <v>147769.4410896893</v>
      </c>
      <c r="P93" s="329"/>
      <c r="Q93" s="330"/>
      <c r="R93" s="326"/>
      <c r="S93" s="326"/>
      <c r="T93" s="331"/>
    </row>
    <row r="94" spans="1:20" s="325" customFormat="1" x14ac:dyDescent="0.25">
      <c r="A94" s="338">
        <f>'A) Base RI'!A95</f>
        <v>5541</v>
      </c>
      <c r="B94" s="338" t="str">
        <f>'A) Base RI'!B95</f>
        <v>Goumoëns</v>
      </c>
      <c r="C94" s="397">
        <v>0</v>
      </c>
      <c r="D94" s="327">
        <f>'B) D RI'!AR95</f>
        <v>1055</v>
      </c>
      <c r="E94" s="328">
        <f>'B) D RI'!S95</f>
        <v>77</v>
      </c>
      <c r="F94" s="14">
        <f>'B) D RI'!R95</f>
        <v>2741792.1600000006</v>
      </c>
      <c r="G94" s="14">
        <f>'B) D RI'!U95</f>
        <v>35607.690389610398</v>
      </c>
      <c r="H94" s="52">
        <f>'B) D RI'!T95</f>
        <v>2576304.3100000005</v>
      </c>
      <c r="I94" s="14">
        <f t="shared" si="10"/>
        <v>66916.995064935079</v>
      </c>
      <c r="J94" s="41">
        <f t="shared" si="11"/>
        <v>90148.916140875313</v>
      </c>
      <c r="K94" s="14">
        <f t="shared" si="7"/>
        <v>66916.995064935079</v>
      </c>
      <c r="L94" s="14">
        <f t="shared" si="12"/>
        <v>23231.921075940234</v>
      </c>
      <c r="M94" s="14">
        <f>'D) Ecrêtage'!M93</f>
        <v>35607.690389610398</v>
      </c>
      <c r="N94" s="14">
        <f t="shared" si="8"/>
        <v>46153.586344379808</v>
      </c>
      <c r="O94" s="75">
        <f t="shared" si="9"/>
        <v>113070.58140931488</v>
      </c>
      <c r="P94" s="329"/>
      <c r="Q94" s="330"/>
      <c r="R94" s="326"/>
      <c r="S94" s="326"/>
      <c r="T94" s="331"/>
    </row>
    <row r="95" spans="1:20" s="325" customFormat="1" x14ac:dyDescent="0.25">
      <c r="A95" s="338">
        <f>'A) Base RI'!A96</f>
        <v>5551</v>
      </c>
      <c r="B95" s="338" t="str">
        <f>'A) Base RI'!B96</f>
        <v>Bonvillars</v>
      </c>
      <c r="C95" s="397">
        <v>0</v>
      </c>
      <c r="D95" s="327">
        <f>'B) D RI'!AR96</f>
        <v>506</v>
      </c>
      <c r="E95" s="328">
        <f>'B) D RI'!S96</f>
        <v>55</v>
      </c>
      <c r="F95" s="14">
        <f>'B) D RI'!R96</f>
        <v>879363.70142857148</v>
      </c>
      <c r="G95" s="14">
        <f>'B) D RI'!U96</f>
        <v>15988.430935064936</v>
      </c>
      <c r="H95" s="52">
        <f>'B) D RI'!T96</f>
        <v>786044.73</v>
      </c>
      <c r="I95" s="14">
        <f t="shared" si="10"/>
        <v>28583.444727272727</v>
      </c>
      <c r="J95" s="41">
        <f t="shared" si="11"/>
        <v>43237.30006377527</v>
      </c>
      <c r="K95" s="14">
        <f t="shared" si="7"/>
        <v>28583.444727272727</v>
      </c>
      <c r="L95" s="14">
        <f t="shared" si="12"/>
        <v>14653.855336502544</v>
      </c>
      <c r="M95" s="14">
        <f>'D) Ecrêtage'!M94</f>
        <v>15988.430935064936</v>
      </c>
      <c r="N95" s="14">
        <f t="shared" si="8"/>
        <v>20723.709389699248</v>
      </c>
      <c r="O95" s="75">
        <f t="shared" si="9"/>
        <v>49307.154116971971</v>
      </c>
      <c r="P95" s="329"/>
      <c r="Q95" s="330"/>
      <c r="R95" s="326"/>
      <c r="S95" s="326"/>
      <c r="T95" s="331"/>
    </row>
    <row r="96" spans="1:20" s="325" customFormat="1" x14ac:dyDescent="0.25">
      <c r="A96" s="338">
        <f>'A) Base RI'!A97</f>
        <v>5552</v>
      </c>
      <c r="B96" s="338" t="str">
        <f>'A) Base RI'!B97</f>
        <v>Bullet</v>
      </c>
      <c r="C96" s="397">
        <v>0</v>
      </c>
      <c r="D96" s="327">
        <f>'B) D RI'!AR97</f>
        <v>606</v>
      </c>
      <c r="E96" s="328">
        <f>'B) D RI'!S97</f>
        <v>70</v>
      </c>
      <c r="F96" s="14">
        <f>'B) D RI'!R97</f>
        <v>1086792.5300000003</v>
      </c>
      <c r="G96" s="14">
        <f>'B) D RI'!U97</f>
        <v>15525.607571428574</v>
      </c>
      <c r="H96" s="52">
        <f>'B) D RI'!T97</f>
        <v>980057.28000000014</v>
      </c>
      <c r="I96" s="14">
        <f t="shared" si="10"/>
        <v>28001.636571428575</v>
      </c>
      <c r="J96" s="41">
        <f t="shared" si="11"/>
        <v>51782.221024995677</v>
      </c>
      <c r="K96" s="14">
        <f t="shared" si="7"/>
        <v>28001.636571428575</v>
      </c>
      <c r="L96" s="14">
        <f t="shared" si="12"/>
        <v>23780.584453567102</v>
      </c>
      <c r="M96" s="14">
        <f>'D) Ecrêtage'!M95</f>
        <v>15525.607571428574</v>
      </c>
      <c r="N96" s="14">
        <f t="shared" si="8"/>
        <v>20123.812068585161</v>
      </c>
      <c r="O96" s="75">
        <f t="shared" si="9"/>
        <v>48125.448640013739</v>
      </c>
      <c r="P96" s="329"/>
      <c r="Q96" s="330"/>
      <c r="R96" s="326"/>
      <c r="S96" s="326"/>
      <c r="T96" s="331"/>
    </row>
    <row r="97" spans="1:20" s="325" customFormat="1" x14ac:dyDescent="0.25">
      <c r="A97" s="338">
        <f>'A) Base RI'!A98</f>
        <v>5553</v>
      </c>
      <c r="B97" s="338" t="str">
        <f>'A) Base RI'!B98</f>
        <v>Champagne</v>
      </c>
      <c r="C97" s="397">
        <v>0</v>
      </c>
      <c r="D97" s="327">
        <f>'B) D RI'!AR98</f>
        <v>1048</v>
      </c>
      <c r="E97" s="328">
        <f>'B) D RI'!S98</f>
        <v>63</v>
      </c>
      <c r="F97" s="14">
        <f>'B) D RI'!R98</f>
        <v>3486065.3299999996</v>
      </c>
      <c r="G97" s="14">
        <f>'B) D RI'!U98</f>
        <v>55334.370317460314</v>
      </c>
      <c r="H97" s="52">
        <f>'B) D RI'!T98</f>
        <v>3292293.6299999994</v>
      </c>
      <c r="I97" s="14">
        <f t="shared" si="10"/>
        <v>104517.25809523808</v>
      </c>
      <c r="J97" s="41">
        <f t="shared" si="11"/>
        <v>89550.771673589887</v>
      </c>
      <c r="K97" s="14">
        <f t="shared" si="7"/>
        <v>89550.771673589887</v>
      </c>
      <c r="L97" s="14">
        <f t="shared" si="12"/>
        <v>0</v>
      </c>
      <c r="M97" s="14">
        <f>'D) Ecrêtage'!M96</f>
        <v>55334.370317460314</v>
      </c>
      <c r="N97" s="14">
        <f t="shared" si="8"/>
        <v>71722.698392254111</v>
      </c>
      <c r="O97" s="75">
        <f t="shared" si="9"/>
        <v>161273.47006584401</v>
      </c>
      <c r="P97" s="329"/>
      <c r="Q97" s="330"/>
      <c r="R97" s="326"/>
      <c r="S97" s="326"/>
      <c r="T97" s="331"/>
    </row>
    <row r="98" spans="1:20" s="325" customFormat="1" x14ac:dyDescent="0.25">
      <c r="A98" s="338">
        <f>'A) Base RI'!A99</f>
        <v>5554</v>
      </c>
      <c r="B98" s="338" t="str">
        <f>'A) Base RI'!B99</f>
        <v>Concise</v>
      </c>
      <c r="C98" s="397">
        <v>0</v>
      </c>
      <c r="D98" s="327">
        <f>'B) D RI'!AR99</f>
        <v>954</v>
      </c>
      <c r="E98" s="328">
        <f>'B) D RI'!S99</f>
        <v>75</v>
      </c>
      <c r="F98" s="14">
        <f>'B) D RI'!R99</f>
        <v>2226832.5699999998</v>
      </c>
      <c r="G98" s="14">
        <f>'B) D RI'!U99</f>
        <v>29691.100933333331</v>
      </c>
      <c r="H98" s="52">
        <f>'B) D RI'!T99</f>
        <v>2065872.8699999999</v>
      </c>
      <c r="I98" s="14">
        <f t="shared" si="10"/>
        <v>55089.943199999994</v>
      </c>
      <c r="J98" s="41">
        <f t="shared" si="11"/>
        <v>81518.545970042702</v>
      </c>
      <c r="K98" s="14">
        <f t="shared" si="7"/>
        <v>55089.943199999994</v>
      </c>
      <c r="L98" s="14">
        <f t="shared" si="12"/>
        <v>26428.602770042708</v>
      </c>
      <c r="M98" s="14">
        <f>'D) Ecrêtage'!M97</f>
        <v>29691.100933333331</v>
      </c>
      <c r="N98" s="14">
        <f t="shared" si="8"/>
        <v>38484.686189760185</v>
      </c>
      <c r="O98" s="75">
        <f t="shared" si="9"/>
        <v>93574.629389760172</v>
      </c>
      <c r="P98" s="329"/>
      <c r="Q98" s="330"/>
      <c r="R98" s="326"/>
      <c r="S98" s="326"/>
      <c r="T98" s="331"/>
    </row>
    <row r="99" spans="1:20" s="325" customFormat="1" x14ac:dyDescent="0.25">
      <c r="A99" s="338">
        <f>'A) Base RI'!A100</f>
        <v>5555</v>
      </c>
      <c r="B99" s="338" t="str">
        <f>'A) Base RI'!B100</f>
        <v>Corcelles-près-Concise</v>
      </c>
      <c r="C99" s="397">
        <v>0</v>
      </c>
      <c r="D99" s="327">
        <f>'B) D RI'!AR100</f>
        <v>337</v>
      </c>
      <c r="E99" s="328">
        <f>'B) D RI'!S100</f>
        <v>71</v>
      </c>
      <c r="F99" s="14">
        <f>'B) D RI'!R100</f>
        <v>693150.75999999989</v>
      </c>
      <c r="G99" s="14">
        <f>'B) D RI'!U100</f>
        <v>9762.6867605633779</v>
      </c>
      <c r="H99" s="52">
        <f>'B) D RI'!T100</f>
        <v>628423.25999999989</v>
      </c>
      <c r="I99" s="14">
        <f t="shared" si="10"/>
        <v>17702.063661971828</v>
      </c>
      <c r="J99" s="41">
        <f t="shared" si="11"/>
        <v>28796.383639312779</v>
      </c>
      <c r="K99" s="14">
        <f t="shared" si="7"/>
        <v>17702.063661971828</v>
      </c>
      <c r="L99" s="14">
        <f t="shared" si="12"/>
        <v>11094.319977340951</v>
      </c>
      <c r="M99" s="14">
        <f>'D) Ecrêtage'!M98</f>
        <v>9762.6867605633779</v>
      </c>
      <c r="N99" s="14">
        <f t="shared" si="8"/>
        <v>12654.092456619046</v>
      </c>
      <c r="O99" s="75">
        <f t="shared" si="9"/>
        <v>30356.156118590872</v>
      </c>
      <c r="P99" s="329"/>
      <c r="Q99" s="330"/>
      <c r="R99" s="326"/>
      <c r="S99" s="326"/>
      <c r="T99" s="331"/>
    </row>
    <row r="100" spans="1:20" s="325" customFormat="1" x14ac:dyDescent="0.25">
      <c r="A100" s="338">
        <f>'A) Base RI'!A101</f>
        <v>5556</v>
      </c>
      <c r="B100" s="338" t="str">
        <f>'A) Base RI'!B101</f>
        <v>Fiez</v>
      </c>
      <c r="C100" s="397">
        <v>0</v>
      </c>
      <c r="D100" s="327">
        <f>'B) D RI'!AR101</f>
        <v>421</v>
      </c>
      <c r="E100" s="328">
        <f>'B) D RI'!S101</f>
        <v>69</v>
      </c>
      <c r="F100" s="14">
        <f>'B) D RI'!R101</f>
        <v>745195.31166666653</v>
      </c>
      <c r="G100" s="14">
        <f>'B) D RI'!U101</f>
        <v>10799.932053140095</v>
      </c>
      <c r="H100" s="52">
        <f>'B) D RI'!T101</f>
        <v>683451.5199999999</v>
      </c>
      <c r="I100" s="14">
        <f t="shared" si="10"/>
        <v>19810.188985507244</v>
      </c>
      <c r="J100" s="41">
        <f t="shared" si="11"/>
        <v>35974.117246737922</v>
      </c>
      <c r="K100" s="14">
        <f t="shared" si="7"/>
        <v>19810.188985507244</v>
      </c>
      <c r="L100" s="14">
        <f t="shared" si="12"/>
        <v>16163.928261230678</v>
      </c>
      <c r="M100" s="14">
        <f>'D) Ecrêtage'!M99</f>
        <v>10799.932053140095</v>
      </c>
      <c r="N100" s="14">
        <f t="shared" si="8"/>
        <v>13998.537705592827</v>
      </c>
      <c r="O100" s="75">
        <f t="shared" si="9"/>
        <v>33808.72669110007</v>
      </c>
      <c r="P100" s="329"/>
      <c r="Q100" s="330"/>
      <c r="R100" s="326"/>
      <c r="S100" s="326"/>
      <c r="T100" s="331"/>
    </row>
    <row r="101" spans="1:20" s="325" customFormat="1" x14ac:dyDescent="0.25">
      <c r="A101" s="338">
        <f>'A) Base RI'!A102</f>
        <v>5557</v>
      </c>
      <c r="B101" s="338" t="str">
        <f>'A) Base RI'!B102</f>
        <v>Fontaines-sur-Grandson</v>
      </c>
      <c r="C101" s="397">
        <v>0</v>
      </c>
      <c r="D101" s="327">
        <f>'B) D RI'!AR102</f>
        <v>191</v>
      </c>
      <c r="E101" s="328">
        <f>'B) D RI'!S102</f>
        <v>69</v>
      </c>
      <c r="F101" s="14">
        <f>'B) D RI'!R102</f>
        <v>289845.01</v>
      </c>
      <c r="G101" s="14">
        <f>'B) D RI'!U102</f>
        <v>4200.6523188405799</v>
      </c>
      <c r="H101" s="52">
        <f>'B) D RI'!T102</f>
        <v>263095.11</v>
      </c>
      <c r="I101" s="14">
        <f t="shared" si="10"/>
        <v>7625.9452173913041</v>
      </c>
      <c r="J101" s="41">
        <f t="shared" si="11"/>
        <v>16320.799035930981</v>
      </c>
      <c r="K101" s="14">
        <f t="shared" si="7"/>
        <v>7625.9452173913041</v>
      </c>
      <c r="L101" s="14">
        <f t="shared" si="12"/>
        <v>8694.8538185396756</v>
      </c>
      <c r="M101" s="14">
        <f>'D) Ecrêtage'!M100</f>
        <v>4200.6523188405799</v>
      </c>
      <c r="N101" s="14">
        <f t="shared" si="8"/>
        <v>5444.755539575709</v>
      </c>
      <c r="O101" s="75">
        <f t="shared" si="9"/>
        <v>13070.700756967013</v>
      </c>
      <c r="P101" s="329"/>
      <c r="Q101" s="330"/>
      <c r="R101" s="326"/>
      <c r="S101" s="326"/>
      <c r="T101" s="331"/>
    </row>
    <row r="102" spans="1:20" s="325" customFormat="1" x14ac:dyDescent="0.25">
      <c r="A102" s="338">
        <f>'A) Base RI'!A103</f>
        <v>5559</v>
      </c>
      <c r="B102" s="338" t="str">
        <f>'A) Base RI'!B103</f>
        <v>Giez</v>
      </c>
      <c r="C102" s="397">
        <v>0</v>
      </c>
      <c r="D102" s="327">
        <f>'B) D RI'!AR103</f>
        <v>389</v>
      </c>
      <c r="E102" s="328">
        <f>'B) D RI'!S103</f>
        <v>66</v>
      </c>
      <c r="F102" s="14">
        <f>'B) D RI'!R103</f>
        <v>1187899.9200000002</v>
      </c>
      <c r="G102" s="14">
        <f>'B) D RI'!U103</f>
        <v>17998.483636363639</v>
      </c>
      <c r="H102" s="52">
        <f>'B) D RI'!T103</f>
        <v>1105907.1200000001</v>
      </c>
      <c r="I102" s="14">
        <f t="shared" si="10"/>
        <v>33512.336969696975</v>
      </c>
      <c r="J102" s="41">
        <f t="shared" si="11"/>
        <v>33239.742539147388</v>
      </c>
      <c r="K102" s="14">
        <f t="shared" si="7"/>
        <v>33239.742539147388</v>
      </c>
      <c r="L102" s="14">
        <f t="shared" si="12"/>
        <v>0</v>
      </c>
      <c r="M102" s="14">
        <f>'D) Ecrêtage'!M101</f>
        <v>17998.483636363639</v>
      </c>
      <c r="N102" s="14">
        <f t="shared" si="8"/>
        <v>23329.077496730766</v>
      </c>
      <c r="O102" s="75">
        <f t="shared" si="9"/>
        <v>56568.820035878154</v>
      </c>
      <c r="P102" s="329"/>
      <c r="Q102" s="330"/>
      <c r="R102" s="326"/>
      <c r="S102" s="326"/>
      <c r="T102" s="331"/>
    </row>
    <row r="103" spans="1:20" s="325" customFormat="1" x14ac:dyDescent="0.25">
      <c r="A103" s="338">
        <f>'A) Base RI'!A104</f>
        <v>5560</v>
      </c>
      <c r="B103" s="338" t="str">
        <f>'A) Base RI'!B104</f>
        <v>Grandevent</v>
      </c>
      <c r="C103" s="397">
        <v>0</v>
      </c>
      <c r="D103" s="327">
        <f>'B) D RI'!AR104</f>
        <v>232</v>
      </c>
      <c r="E103" s="328">
        <f>'B) D RI'!S104</f>
        <v>68</v>
      </c>
      <c r="F103" s="14">
        <f>'B) D RI'!R104</f>
        <v>434937.81999999995</v>
      </c>
      <c r="G103" s="14">
        <f>'B) D RI'!U104</f>
        <v>6396.1444117647052</v>
      </c>
      <c r="H103" s="52">
        <f>'B) D RI'!T104</f>
        <v>397295.06999999995</v>
      </c>
      <c r="I103" s="14">
        <f t="shared" si="10"/>
        <v>11685.149117647057</v>
      </c>
      <c r="J103" s="41">
        <f t="shared" si="11"/>
        <v>19824.216630031347</v>
      </c>
      <c r="K103" s="14">
        <f t="shared" si="7"/>
        <v>11685.149117647057</v>
      </c>
      <c r="L103" s="14">
        <f t="shared" si="12"/>
        <v>8139.0675123842902</v>
      </c>
      <c r="M103" s="14">
        <f>'D) Ecrêtage'!M102</f>
        <v>6396.1444117647052</v>
      </c>
      <c r="N103" s="14">
        <f t="shared" si="8"/>
        <v>8290.4844473046633</v>
      </c>
      <c r="O103" s="75">
        <f t="shared" si="9"/>
        <v>19975.63356495172</v>
      </c>
      <c r="P103" s="329"/>
      <c r="Q103" s="330"/>
      <c r="R103" s="326"/>
      <c r="S103" s="326"/>
      <c r="T103" s="331"/>
    </row>
    <row r="104" spans="1:20" s="325" customFormat="1" x14ac:dyDescent="0.25">
      <c r="A104" s="338">
        <f>'A) Base RI'!A105</f>
        <v>5561</v>
      </c>
      <c r="B104" s="338" t="str">
        <f>'A) Base RI'!B105</f>
        <v>Grandson</v>
      </c>
      <c r="C104" s="397">
        <v>0</v>
      </c>
      <c r="D104" s="327">
        <f>'B) D RI'!AR105</f>
        <v>3303</v>
      </c>
      <c r="E104" s="328">
        <f>'B) D RI'!S105</f>
        <v>69</v>
      </c>
      <c r="F104" s="14">
        <f>'B) D RI'!R105</f>
        <v>7349042.9200000009</v>
      </c>
      <c r="G104" s="14">
        <f>'B) D RI'!U105</f>
        <v>106507.86840579711</v>
      </c>
      <c r="H104" s="52">
        <f>'B) D RI'!T105</f>
        <v>6794689.620000001</v>
      </c>
      <c r="I104" s="14">
        <f t="shared" si="10"/>
        <v>196947.52521739135</v>
      </c>
      <c r="J104" s="41">
        <f t="shared" si="11"/>
        <v>282238.73934911011</v>
      </c>
      <c r="K104" s="14">
        <f t="shared" si="7"/>
        <v>196947.52521739135</v>
      </c>
      <c r="L104" s="14">
        <f t="shared" si="12"/>
        <v>85291.214131718763</v>
      </c>
      <c r="M104" s="14">
        <f>'D) Ecrêtage'!M103</f>
        <v>106507.86840579711</v>
      </c>
      <c r="N104" s="14">
        <f t="shared" si="8"/>
        <v>138052.20296616337</v>
      </c>
      <c r="O104" s="75">
        <f t="shared" si="9"/>
        <v>334999.72818355472</v>
      </c>
      <c r="P104" s="329"/>
      <c r="Q104" s="330"/>
      <c r="R104" s="326"/>
      <c r="S104" s="326"/>
      <c r="T104" s="331"/>
    </row>
    <row r="105" spans="1:20" s="325" customFormat="1" x14ac:dyDescent="0.25">
      <c r="A105" s="338">
        <f>'A) Base RI'!A106</f>
        <v>5562</v>
      </c>
      <c r="B105" s="338" t="str">
        <f>'A) Base RI'!B106</f>
        <v>Mauborget</v>
      </c>
      <c r="C105" s="397">
        <v>0</v>
      </c>
      <c r="D105" s="327">
        <f>'B) D RI'!AR106</f>
        <v>119</v>
      </c>
      <c r="E105" s="328">
        <f>'B) D RI'!S106</f>
        <v>70</v>
      </c>
      <c r="F105" s="14">
        <f>'B) D RI'!R106</f>
        <v>274185.23499999999</v>
      </c>
      <c r="G105" s="14">
        <f>'B) D RI'!U106</f>
        <v>3916.9319285714282</v>
      </c>
      <c r="H105" s="52">
        <f>'B) D RI'!T106</f>
        <v>246815.61</v>
      </c>
      <c r="I105" s="14">
        <f t="shared" si="10"/>
        <v>7051.8745714285715</v>
      </c>
      <c r="J105" s="41">
        <f t="shared" si="11"/>
        <v>10168.455943852287</v>
      </c>
      <c r="K105" s="14">
        <f t="shared" si="7"/>
        <v>7051.8745714285715</v>
      </c>
      <c r="L105" s="14">
        <f t="shared" si="12"/>
        <v>3116.581372423715</v>
      </c>
      <c r="M105" s="14">
        <f>'D) Ecrêtage'!M104</f>
        <v>3916.9319285714282</v>
      </c>
      <c r="N105" s="14">
        <f t="shared" si="8"/>
        <v>5077.0059499036652</v>
      </c>
      <c r="O105" s="75">
        <f t="shared" si="9"/>
        <v>12128.880521332238</v>
      </c>
      <c r="P105" s="329"/>
      <c r="Q105" s="330"/>
      <c r="R105" s="326"/>
      <c r="S105" s="326"/>
      <c r="T105" s="331"/>
    </row>
    <row r="106" spans="1:20" s="325" customFormat="1" x14ac:dyDescent="0.25">
      <c r="A106" s="338">
        <f>'A) Base RI'!A107</f>
        <v>5563</v>
      </c>
      <c r="B106" s="338" t="str">
        <f>'A) Base RI'!B107</f>
        <v>Mutrux</v>
      </c>
      <c r="C106" s="397">
        <v>0</v>
      </c>
      <c r="D106" s="327">
        <f>'B) D RI'!AR107</f>
        <v>153</v>
      </c>
      <c r="E106" s="328">
        <f>'B) D RI'!S107</f>
        <v>78.5</v>
      </c>
      <c r="F106" s="14">
        <f>'B) D RI'!R107</f>
        <v>322023.82</v>
      </c>
      <c r="G106" s="14">
        <f>'B) D RI'!U107</f>
        <v>4102.2142675159239</v>
      </c>
      <c r="H106" s="52">
        <f>'B) D RI'!T107</f>
        <v>301665.62</v>
      </c>
      <c r="I106" s="14">
        <f t="shared" si="10"/>
        <v>7685.7482802547765</v>
      </c>
      <c r="J106" s="41">
        <f t="shared" si="11"/>
        <v>13073.729070667225</v>
      </c>
      <c r="K106" s="14">
        <f t="shared" si="7"/>
        <v>7685.7482802547765</v>
      </c>
      <c r="L106" s="14">
        <f t="shared" si="12"/>
        <v>5387.9807904124482</v>
      </c>
      <c r="M106" s="14">
        <f>'D) Ecrêtage'!M105</f>
        <v>4102.2142675159239</v>
      </c>
      <c r="N106" s="14">
        <f t="shared" si="8"/>
        <v>5317.1631837763389</v>
      </c>
      <c r="O106" s="75">
        <f t="shared" si="9"/>
        <v>13002.911464031116</v>
      </c>
      <c r="P106" s="329"/>
      <c r="Q106" s="330"/>
      <c r="R106" s="326"/>
      <c r="S106" s="326"/>
      <c r="T106" s="331"/>
    </row>
    <row r="107" spans="1:20" s="325" customFormat="1" x14ac:dyDescent="0.25">
      <c r="A107" s="338">
        <f>'A) Base RI'!A108</f>
        <v>5564</v>
      </c>
      <c r="B107" s="338" t="str">
        <f>'A) Base RI'!B108</f>
        <v>Novalles</v>
      </c>
      <c r="C107" s="397">
        <v>0</v>
      </c>
      <c r="D107" s="327">
        <f>'B) D RI'!AR108</f>
        <v>102</v>
      </c>
      <c r="E107" s="328">
        <f>'B) D RI'!S108</f>
        <v>76</v>
      </c>
      <c r="F107" s="14">
        <f>'B) D RI'!R108</f>
        <v>161135.01249999998</v>
      </c>
      <c r="G107" s="14">
        <f>'B) D RI'!U108</f>
        <v>2120.1975328947365</v>
      </c>
      <c r="H107" s="52">
        <f>'B) D RI'!T108</f>
        <v>149006.94999999998</v>
      </c>
      <c r="I107" s="14">
        <f t="shared" si="10"/>
        <v>3921.2355263157892</v>
      </c>
      <c r="J107" s="41">
        <f t="shared" si="11"/>
        <v>8715.8193804448165</v>
      </c>
      <c r="K107" s="14">
        <f t="shared" si="7"/>
        <v>3921.2355263157892</v>
      </c>
      <c r="L107" s="14">
        <f t="shared" si="12"/>
        <v>4794.5838541290268</v>
      </c>
      <c r="M107" s="14">
        <f>'D) Ecrêtage'!M106</f>
        <v>2120.1975328947365</v>
      </c>
      <c r="N107" s="14">
        <f t="shared" si="8"/>
        <v>2748.1344291330474</v>
      </c>
      <c r="O107" s="75">
        <f t="shared" si="9"/>
        <v>6669.3699554488367</v>
      </c>
      <c r="P107" s="329"/>
      <c r="Q107" s="330"/>
      <c r="R107" s="326"/>
      <c r="S107" s="326"/>
      <c r="T107" s="331"/>
    </row>
    <row r="108" spans="1:20" s="325" customFormat="1" x14ac:dyDescent="0.25">
      <c r="A108" s="338">
        <f>'A) Base RI'!A109</f>
        <v>5565</v>
      </c>
      <c r="B108" s="338" t="str">
        <f>'A) Base RI'!B109</f>
        <v>Onnens</v>
      </c>
      <c r="C108" s="397">
        <v>0</v>
      </c>
      <c r="D108" s="327">
        <f>'B) D RI'!AR109</f>
        <v>493</v>
      </c>
      <c r="E108" s="328">
        <f>'B) D RI'!S109</f>
        <v>65</v>
      </c>
      <c r="F108" s="14">
        <f>'B) D RI'!R109</f>
        <v>1459473.26</v>
      </c>
      <c r="G108" s="14">
        <f>'B) D RI'!U109</f>
        <v>22453.434769230771</v>
      </c>
      <c r="H108" s="52">
        <f>'B) D RI'!T109</f>
        <v>1337283.6599999999</v>
      </c>
      <c r="I108" s="14">
        <f t="shared" si="10"/>
        <v>41147.189538461535</v>
      </c>
      <c r="J108" s="41">
        <f t="shared" si="11"/>
        <v>42126.460338816614</v>
      </c>
      <c r="K108" s="14">
        <f t="shared" si="7"/>
        <v>41147.189538461535</v>
      </c>
      <c r="L108" s="14">
        <f t="shared" si="12"/>
        <v>979.2708003550797</v>
      </c>
      <c r="M108" s="14">
        <f>'D) Ecrêtage'!M107</f>
        <v>22453.434769230771</v>
      </c>
      <c r="N108" s="14">
        <f t="shared" si="8"/>
        <v>29103.447289352003</v>
      </c>
      <c r="O108" s="75">
        <f t="shared" si="9"/>
        <v>70250.636827813534</v>
      </c>
      <c r="P108" s="329"/>
      <c r="Q108" s="330"/>
      <c r="R108" s="326"/>
      <c r="S108" s="326"/>
      <c r="T108" s="331"/>
    </row>
    <row r="109" spans="1:20" s="325" customFormat="1" x14ac:dyDescent="0.25">
      <c r="A109" s="338">
        <f>'A) Base RI'!A110</f>
        <v>5566</v>
      </c>
      <c r="B109" s="338" t="str">
        <f>'A) Base RI'!B110</f>
        <v>Provence</v>
      </c>
      <c r="C109" s="397">
        <v>0</v>
      </c>
      <c r="D109" s="327">
        <f>'B) D RI'!AR110</f>
        <v>385</v>
      </c>
      <c r="E109" s="328">
        <f>'B) D RI'!S110</f>
        <v>81</v>
      </c>
      <c r="F109" s="14">
        <f>'B) D RI'!R110</f>
        <v>632944.68999999994</v>
      </c>
      <c r="G109" s="14">
        <f>'B) D RI'!U110</f>
        <v>7814.1319753086409</v>
      </c>
      <c r="H109" s="52">
        <f>'B) D RI'!T110</f>
        <v>582297.78999999992</v>
      </c>
      <c r="I109" s="14">
        <f t="shared" si="10"/>
        <v>14377.723209876542</v>
      </c>
      <c r="J109" s="41">
        <f t="shared" si="11"/>
        <v>32897.945700698576</v>
      </c>
      <c r="K109" s="14">
        <f t="shared" si="7"/>
        <v>14377.723209876542</v>
      </c>
      <c r="L109" s="14">
        <f t="shared" si="12"/>
        <v>18520.222490822034</v>
      </c>
      <c r="M109" s="14">
        <f>'D) Ecrêtage'!M108</f>
        <v>7814.1319753086409</v>
      </c>
      <c r="N109" s="14">
        <f t="shared" si="8"/>
        <v>10128.436045209406</v>
      </c>
      <c r="O109" s="75">
        <f t="shared" si="9"/>
        <v>24506.15925508595</v>
      </c>
      <c r="P109" s="329"/>
      <c r="Q109" s="330"/>
      <c r="R109" s="326"/>
      <c r="S109" s="326"/>
      <c r="T109" s="331"/>
    </row>
    <row r="110" spans="1:20" s="325" customFormat="1" x14ac:dyDescent="0.25">
      <c r="A110" s="338">
        <f>'A) Base RI'!A111</f>
        <v>5568</v>
      </c>
      <c r="B110" s="338" t="str">
        <f>'A) Base RI'!B111</f>
        <v>Sainte-Croix</v>
      </c>
      <c r="C110" s="397">
        <v>0</v>
      </c>
      <c r="D110" s="327">
        <f>'B) D RI'!AR111</f>
        <v>4763</v>
      </c>
      <c r="E110" s="328">
        <f>'B) D RI'!S111</f>
        <v>70</v>
      </c>
      <c r="F110" s="14">
        <f>'B) D RI'!R111</f>
        <v>6540452.0800000001</v>
      </c>
      <c r="G110" s="14">
        <f>'B) D RI'!U111</f>
        <v>93435.029714285716</v>
      </c>
      <c r="H110" s="52">
        <f>'B) D RI'!T111</f>
        <v>5966745.6299999999</v>
      </c>
      <c r="I110" s="14">
        <f t="shared" si="10"/>
        <v>170478.44657142856</v>
      </c>
      <c r="J110" s="41">
        <f t="shared" si="11"/>
        <v>406994.58538292808</v>
      </c>
      <c r="K110" s="14">
        <f t="shared" si="7"/>
        <v>170478.44657142856</v>
      </c>
      <c r="L110" s="14">
        <f t="shared" si="12"/>
        <v>236516.13881149952</v>
      </c>
      <c r="M110" s="14">
        <f>'D) Ecrêtage'!M109</f>
        <v>93435.029714285716</v>
      </c>
      <c r="N110" s="14">
        <f t="shared" si="8"/>
        <v>121107.59401475357</v>
      </c>
      <c r="O110" s="75">
        <f t="shared" si="9"/>
        <v>291586.04058618215</v>
      </c>
      <c r="P110" s="329"/>
      <c r="Q110" s="330"/>
      <c r="R110" s="326"/>
      <c r="S110" s="326"/>
      <c r="T110" s="331"/>
    </row>
    <row r="111" spans="1:20" s="325" customFormat="1" x14ac:dyDescent="0.25">
      <c r="A111" s="338">
        <f>'A) Base RI'!A112</f>
        <v>5571</v>
      </c>
      <c r="B111" s="338" t="str">
        <f>'A) Base RI'!B112</f>
        <v>Tévenon</v>
      </c>
      <c r="C111" s="397">
        <v>0</v>
      </c>
      <c r="D111" s="327">
        <f>'B) D RI'!AR112</f>
        <v>811</v>
      </c>
      <c r="E111" s="328">
        <f>'B) D RI'!S112</f>
        <v>73</v>
      </c>
      <c r="F111" s="14">
        <f>'B) D RI'!R112</f>
        <v>1515931.32</v>
      </c>
      <c r="G111" s="14">
        <f>'B) D RI'!U112</f>
        <v>20766.182465753427</v>
      </c>
      <c r="H111" s="52">
        <f>'B) D RI'!T112</f>
        <v>1383319.57</v>
      </c>
      <c r="I111" s="14">
        <f t="shared" si="10"/>
        <v>37899.166301369864</v>
      </c>
      <c r="J111" s="41">
        <f t="shared" si="11"/>
        <v>69299.308995497515</v>
      </c>
      <c r="K111" s="14">
        <f t="shared" si="7"/>
        <v>37899.166301369864</v>
      </c>
      <c r="L111" s="14">
        <f t="shared" si="12"/>
        <v>31400.142694127651</v>
      </c>
      <c r="M111" s="14">
        <f>'D) Ecrêtage'!M110</f>
        <v>20766.182465753427</v>
      </c>
      <c r="N111" s="14">
        <f t="shared" si="8"/>
        <v>26916.483068386493</v>
      </c>
      <c r="O111" s="75">
        <f t="shared" si="9"/>
        <v>64815.649369756356</v>
      </c>
      <c r="P111" s="329"/>
      <c r="Q111" s="330"/>
      <c r="R111" s="326"/>
      <c r="S111" s="326"/>
      <c r="T111" s="331"/>
    </row>
    <row r="112" spans="1:20" s="325" customFormat="1" x14ac:dyDescent="0.25">
      <c r="A112" s="338">
        <f>'A) Base RI'!A113</f>
        <v>5581</v>
      </c>
      <c r="B112" s="338" t="str">
        <f>'A) Base RI'!B113</f>
        <v>Belmont-sur-Lausanne</v>
      </c>
      <c r="C112" s="397">
        <v>1</v>
      </c>
      <c r="D112" s="327">
        <f>'B) D RI'!AR113</f>
        <v>3602</v>
      </c>
      <c r="E112" s="328">
        <f>'B) D RI'!S113</f>
        <v>69.5</v>
      </c>
      <c r="F112" s="14">
        <f>'B) D RI'!R113</f>
        <v>12025887.449999999</v>
      </c>
      <c r="G112" s="14">
        <f>'B) D RI'!U113</f>
        <v>173034.35179856114</v>
      </c>
      <c r="H112" s="52">
        <f>'B) D RI'!T113</f>
        <v>11227672.25</v>
      </c>
      <c r="I112" s="14">
        <f t="shared" si="10"/>
        <v>323098.48201438849</v>
      </c>
      <c r="J112" s="41">
        <f t="shared" si="11"/>
        <v>307788.0530231591</v>
      </c>
      <c r="K112" s="14">
        <f t="shared" si="7"/>
        <v>0</v>
      </c>
      <c r="L112" s="14">
        <f t="shared" si="12"/>
        <v>307788.0530231591</v>
      </c>
      <c r="M112" s="14">
        <f>'D) Ecrêtage'!M111</f>
        <v>173034.35179856114</v>
      </c>
      <c r="N112" s="14">
        <f t="shared" si="8"/>
        <v>224281.77196825104</v>
      </c>
      <c r="O112" s="75">
        <f t="shared" si="9"/>
        <v>224281.77196825104</v>
      </c>
      <c r="P112" s="329"/>
      <c r="Q112" s="330"/>
      <c r="R112" s="326"/>
      <c r="S112" s="326"/>
      <c r="T112" s="331"/>
    </row>
    <row r="113" spans="1:20" s="325" customFormat="1" x14ac:dyDescent="0.25">
      <c r="A113" s="338">
        <f>'A) Base RI'!A114</f>
        <v>5582</v>
      </c>
      <c r="B113" s="338" t="str">
        <f>'A) Base RI'!B114</f>
        <v>Cheseaux-sur-Lausanne</v>
      </c>
      <c r="C113" s="397">
        <v>0</v>
      </c>
      <c r="D113" s="327">
        <f>'B) D RI'!AR114</f>
        <v>4297</v>
      </c>
      <c r="E113" s="328">
        <f>'B) D RI'!S114</f>
        <v>74.5</v>
      </c>
      <c r="F113" s="14">
        <f>'B) D RI'!R114</f>
        <v>12318310.43</v>
      </c>
      <c r="G113" s="14">
        <f>'B) D RI'!U114</f>
        <v>165346.44872483221</v>
      </c>
      <c r="H113" s="52">
        <f>'B) D RI'!T114</f>
        <v>11546910.43</v>
      </c>
      <c r="I113" s="14">
        <f t="shared" si="10"/>
        <v>309984.17261744966</v>
      </c>
      <c r="J113" s="41">
        <f t="shared" si="11"/>
        <v>367175.25370364095</v>
      </c>
      <c r="K113" s="14">
        <f t="shared" si="7"/>
        <v>309984.17261744966</v>
      </c>
      <c r="L113" s="14">
        <f t="shared" si="12"/>
        <v>57191.081086191291</v>
      </c>
      <c r="M113" s="14">
        <f>'D) Ecrêtage'!M112</f>
        <v>165346.44872483221</v>
      </c>
      <c r="N113" s="14">
        <f t="shared" si="8"/>
        <v>214316.94991890795</v>
      </c>
      <c r="O113" s="75">
        <f t="shared" si="9"/>
        <v>524301.12253635761</v>
      </c>
      <c r="P113" s="329"/>
      <c r="Q113" s="330"/>
      <c r="R113" s="326"/>
      <c r="S113" s="326"/>
      <c r="T113" s="331"/>
    </row>
    <row r="114" spans="1:20" s="325" customFormat="1" x14ac:dyDescent="0.25">
      <c r="A114" s="338">
        <f>'A) Base RI'!A115</f>
        <v>5583</v>
      </c>
      <c r="B114" s="338" t="str">
        <f>'A) Base RI'!B115</f>
        <v>Crissier</v>
      </c>
      <c r="C114" s="397">
        <v>1</v>
      </c>
      <c r="D114" s="327">
        <f>'B) D RI'!AR115</f>
        <v>7542</v>
      </c>
      <c r="E114" s="328">
        <f>'B) D RI'!S115</f>
        <v>65</v>
      </c>
      <c r="F114" s="14">
        <f>'B) D RI'!R115</f>
        <v>21055171.780000001</v>
      </c>
      <c r="G114" s="14">
        <f>'B) D RI'!U115</f>
        <v>323925.7196923077</v>
      </c>
      <c r="H114" s="52">
        <f>'B) D RI'!T115</f>
        <v>18854243.030000001</v>
      </c>
      <c r="I114" s="14">
        <f t="shared" si="10"/>
        <v>580130.55476923077</v>
      </c>
      <c r="J114" s="41">
        <f t="shared" si="11"/>
        <v>644457.93889524322</v>
      </c>
      <c r="K114" s="14">
        <f t="shared" si="7"/>
        <v>0</v>
      </c>
      <c r="L114" s="14">
        <f t="shared" si="12"/>
        <v>644457.93889524322</v>
      </c>
      <c r="M114" s="14">
        <f>'D) Ecrêtage'!M113</f>
        <v>323925.7196923077</v>
      </c>
      <c r="N114" s="14">
        <f t="shared" si="8"/>
        <v>419862.49345019297</v>
      </c>
      <c r="O114" s="75">
        <f t="shared" si="9"/>
        <v>419862.49345019297</v>
      </c>
      <c r="P114" s="329"/>
      <c r="Q114" s="330"/>
      <c r="R114" s="326"/>
      <c r="S114" s="326"/>
      <c r="T114" s="331"/>
    </row>
    <row r="115" spans="1:20" s="325" customFormat="1" x14ac:dyDescent="0.25">
      <c r="A115" s="338">
        <f>'A) Base RI'!A116</f>
        <v>5584</v>
      </c>
      <c r="B115" s="338" t="str">
        <f>'A) Base RI'!B116</f>
        <v>Epalinges</v>
      </c>
      <c r="C115" s="397">
        <v>0</v>
      </c>
      <c r="D115" s="327">
        <f>'B) D RI'!AR116</f>
        <v>9185</v>
      </c>
      <c r="E115" s="328">
        <f>'B) D RI'!S116</f>
        <v>66</v>
      </c>
      <c r="F115" s="14">
        <f>'B) D RI'!R116</f>
        <v>30090958.060000002</v>
      </c>
      <c r="G115" s="14">
        <f>'B) D RI'!U116</f>
        <v>455923.60696969699</v>
      </c>
      <c r="H115" s="52">
        <f>'B) D RI'!T116</f>
        <v>27987797.600000001</v>
      </c>
      <c r="I115" s="14">
        <f t="shared" si="10"/>
        <v>848115.07878787885</v>
      </c>
      <c r="J115" s="41">
        <f t="shared" si="11"/>
        <v>784850.9902880945</v>
      </c>
      <c r="K115" s="14">
        <f t="shared" si="7"/>
        <v>784850.9902880945</v>
      </c>
      <c r="L115" s="14">
        <f t="shared" si="12"/>
        <v>0</v>
      </c>
      <c r="M115" s="14">
        <f>'D) Ecrêtage'!M114</f>
        <v>455923.60696969699</v>
      </c>
      <c r="N115" s="14">
        <f t="shared" si="8"/>
        <v>590954.07004709216</v>
      </c>
      <c r="O115" s="75">
        <f t="shared" si="9"/>
        <v>1375805.0603351868</v>
      </c>
      <c r="P115" s="329"/>
      <c r="Q115" s="330"/>
      <c r="R115" s="326"/>
      <c r="S115" s="326"/>
      <c r="T115" s="331"/>
    </row>
    <row r="116" spans="1:20" s="325" customFormat="1" x14ac:dyDescent="0.25">
      <c r="A116" s="338">
        <f>'A) Base RI'!A117</f>
        <v>5585</v>
      </c>
      <c r="B116" s="338" t="str">
        <f>'A) Base RI'!B117</f>
        <v>Jouxtens-Mézery</v>
      </c>
      <c r="C116" s="397">
        <v>0</v>
      </c>
      <c r="D116" s="327">
        <f>'B) D RI'!AR117</f>
        <v>1405</v>
      </c>
      <c r="E116" s="328">
        <f>'B) D RI'!S117</f>
        <v>53</v>
      </c>
      <c r="F116" s="14">
        <f>'B) D RI'!R117</f>
        <v>8436427.6499999985</v>
      </c>
      <c r="G116" s="14">
        <f>'B) D RI'!U117</f>
        <v>159177.88018867921</v>
      </c>
      <c r="H116" s="52">
        <f>'B) D RI'!T117</f>
        <v>7983488.6499999994</v>
      </c>
      <c r="I116" s="14">
        <f t="shared" si="10"/>
        <v>301263.72264150943</v>
      </c>
      <c r="J116" s="41">
        <f t="shared" si="11"/>
        <v>120056.13950514674</v>
      </c>
      <c r="K116" s="14">
        <f t="shared" si="7"/>
        <v>120056.13950514674</v>
      </c>
      <c r="L116" s="14">
        <f t="shared" si="12"/>
        <v>0</v>
      </c>
      <c r="M116" s="14">
        <f>'D) Ecrêtage'!M115</f>
        <v>120397.11668857002</v>
      </c>
      <c r="N116" s="14">
        <f t="shared" si="8"/>
        <v>156055.01676462669</v>
      </c>
      <c r="O116" s="75">
        <f t="shared" si="9"/>
        <v>276111.15626977343</v>
      </c>
      <c r="P116" s="329"/>
      <c r="Q116" s="330"/>
      <c r="R116" s="326"/>
      <c r="S116" s="326"/>
      <c r="T116" s="331"/>
    </row>
    <row r="117" spans="1:20" s="325" customFormat="1" x14ac:dyDescent="0.25">
      <c r="A117" s="338">
        <f>'A) Base RI'!A118</f>
        <v>5586</v>
      </c>
      <c r="B117" s="338" t="str">
        <f>'A) Base RI'!B118</f>
        <v>Lausanne</v>
      </c>
      <c r="C117" s="397">
        <v>1</v>
      </c>
      <c r="D117" s="327">
        <f>'B) D RI'!AR118</f>
        <v>134937</v>
      </c>
      <c r="E117" s="328">
        <f>'B) D RI'!S118</f>
        <v>79</v>
      </c>
      <c r="F117" s="14">
        <f>'B) D RI'!R118</f>
        <v>465900849.26666665</v>
      </c>
      <c r="G117" s="14">
        <f>'B) D RI'!U118</f>
        <v>5897479.10464135</v>
      </c>
      <c r="H117" s="52">
        <f>'B) D RI'!T118</f>
        <v>439311198.39999998</v>
      </c>
      <c r="I117" s="14">
        <f t="shared" si="10"/>
        <v>11121802.491139241</v>
      </c>
      <c r="J117" s="41">
        <f t="shared" si="11"/>
        <v>11530259.997441983</v>
      </c>
      <c r="K117" s="14">
        <f t="shared" si="7"/>
        <v>0</v>
      </c>
      <c r="L117" s="14">
        <f t="shared" si="12"/>
        <v>11530259.997441983</v>
      </c>
      <c r="M117" s="14">
        <f>'D) Ecrêtage'!M116</f>
        <v>5897479.10464135</v>
      </c>
      <c r="N117" s="14">
        <f t="shared" si="8"/>
        <v>7644129.9082307154</v>
      </c>
      <c r="O117" s="75">
        <f t="shared" si="9"/>
        <v>7644129.9082307154</v>
      </c>
      <c r="P117" s="329"/>
      <c r="Q117" s="330"/>
      <c r="R117" s="326"/>
      <c r="S117" s="326"/>
      <c r="T117" s="331"/>
    </row>
    <row r="118" spans="1:20" s="325" customFormat="1" x14ac:dyDescent="0.25">
      <c r="A118" s="338">
        <f>'A) Base RI'!A119</f>
        <v>5587</v>
      </c>
      <c r="B118" s="338" t="str">
        <f>'A) Base RI'!B119</f>
        <v>Le Mont-sur-Lausanne</v>
      </c>
      <c r="C118" s="397">
        <v>0</v>
      </c>
      <c r="D118" s="327">
        <f>'B) D RI'!AR119</f>
        <v>7271</v>
      </c>
      <c r="E118" s="328">
        <f>'B) D RI'!S119</f>
        <v>75</v>
      </c>
      <c r="F118" s="14">
        <f>'B) D RI'!R119</f>
        <v>28533675.261666667</v>
      </c>
      <c r="G118" s="14">
        <f>'B) D RI'!U119</f>
        <v>380449.00348888891</v>
      </c>
      <c r="H118" s="52">
        <f>'B) D RI'!T119</f>
        <v>26699263.469999999</v>
      </c>
      <c r="I118" s="14">
        <f t="shared" si="10"/>
        <v>711980.35919999995</v>
      </c>
      <c r="J118" s="41">
        <f t="shared" si="11"/>
        <v>621301.20309033594</v>
      </c>
      <c r="K118" s="14">
        <f t="shared" si="7"/>
        <v>621301.20309033594</v>
      </c>
      <c r="L118" s="14">
        <f t="shared" si="12"/>
        <v>0</v>
      </c>
      <c r="M118" s="14">
        <f>'D) Ecrêtage'!M117</f>
        <v>380449.00348888891</v>
      </c>
      <c r="N118" s="14">
        <f t="shared" si="8"/>
        <v>493126.22470119753</v>
      </c>
      <c r="O118" s="75">
        <f t="shared" si="9"/>
        <v>1114427.4277915335</v>
      </c>
      <c r="P118" s="329"/>
      <c r="Q118" s="330"/>
      <c r="R118" s="326"/>
      <c r="S118" s="326"/>
      <c r="T118" s="331"/>
    </row>
    <row r="119" spans="1:20" s="325" customFormat="1" x14ac:dyDescent="0.25">
      <c r="A119" s="338">
        <f>'A) Base RI'!A120</f>
        <v>5588</v>
      </c>
      <c r="B119" s="338" t="str">
        <f>'A) Base RI'!B120</f>
        <v>Paudex</v>
      </c>
      <c r="C119" s="397">
        <v>1</v>
      </c>
      <c r="D119" s="327">
        <f>'B) D RI'!AR120</f>
        <v>1485</v>
      </c>
      <c r="E119" s="328">
        <f>'B) D RI'!S120</f>
        <v>61.5</v>
      </c>
      <c r="F119" s="14">
        <f>'B) D RI'!R120</f>
        <v>9396572.2271428555</v>
      </c>
      <c r="G119" s="14">
        <f>'B) D RI'!U120</f>
        <v>152789.79231126595</v>
      </c>
      <c r="H119" s="52">
        <f>'B) D RI'!T120</f>
        <v>8888309.3699999992</v>
      </c>
      <c r="I119" s="14">
        <f t="shared" si="10"/>
        <v>289050.71121951216</v>
      </c>
      <c r="J119" s="41">
        <f t="shared" si="11"/>
        <v>126892.07627412307</v>
      </c>
      <c r="K119" s="14">
        <f t="shared" si="7"/>
        <v>0</v>
      </c>
      <c r="L119" s="14">
        <f t="shared" si="12"/>
        <v>126892.07627412307</v>
      </c>
      <c r="M119" s="14">
        <f>'D) Ecrêtage'!M118</f>
        <v>120453.76581784204</v>
      </c>
      <c r="N119" s="14">
        <f t="shared" si="8"/>
        <v>156128.44361288846</v>
      </c>
      <c r="O119" s="75">
        <f t="shared" si="9"/>
        <v>156128.44361288846</v>
      </c>
      <c r="P119" s="329"/>
      <c r="Q119" s="330"/>
      <c r="R119" s="326"/>
      <c r="S119" s="326"/>
      <c r="T119" s="331"/>
    </row>
    <row r="120" spans="1:20" s="325" customFormat="1" x14ac:dyDescent="0.25">
      <c r="A120" s="338">
        <f>'A) Base RI'!A121</f>
        <v>5589</v>
      </c>
      <c r="B120" s="338" t="str">
        <f>'A) Base RI'!B121</f>
        <v>Prilly</v>
      </c>
      <c r="C120" s="397">
        <v>1</v>
      </c>
      <c r="D120" s="327">
        <f>'B) D RI'!AR121</f>
        <v>11782</v>
      </c>
      <c r="E120" s="328">
        <f>'B) D RI'!S121</f>
        <v>73.5</v>
      </c>
      <c r="F120" s="14">
        <f>'B) D RI'!R121</f>
        <v>33987500.520000003</v>
      </c>
      <c r="G120" s="14">
        <f>'B) D RI'!U121</f>
        <v>462414.97306122456</v>
      </c>
      <c r="H120" s="52">
        <f>'B) D RI'!T121</f>
        <v>31929171.920000002</v>
      </c>
      <c r="I120" s="14">
        <f t="shared" si="10"/>
        <v>868821.00462585036</v>
      </c>
      <c r="J120" s="41">
        <f t="shared" si="11"/>
        <v>1006762.5876509886</v>
      </c>
      <c r="K120" s="14">
        <f t="shared" si="7"/>
        <v>0</v>
      </c>
      <c r="L120" s="14">
        <f t="shared" si="12"/>
        <v>1006762.5876509886</v>
      </c>
      <c r="M120" s="14">
        <f>'D) Ecrêtage'!M119</f>
        <v>462414.97306122456</v>
      </c>
      <c r="N120" s="14">
        <f t="shared" si="8"/>
        <v>599367.97788891371</v>
      </c>
      <c r="O120" s="75">
        <f t="shared" si="9"/>
        <v>599367.97788891371</v>
      </c>
      <c r="P120" s="329"/>
      <c r="Q120" s="330"/>
      <c r="R120" s="326"/>
      <c r="S120" s="326"/>
      <c r="T120" s="331"/>
    </row>
    <row r="121" spans="1:20" s="325" customFormat="1" x14ac:dyDescent="0.25">
      <c r="A121" s="338">
        <f>'A) Base RI'!A122</f>
        <v>5590</v>
      </c>
      <c r="B121" s="338" t="str">
        <f>'A) Base RI'!B122</f>
        <v>Pully</v>
      </c>
      <c r="C121" s="397">
        <v>1</v>
      </c>
      <c r="D121" s="327">
        <f>'B) D RI'!AR122</f>
        <v>17811</v>
      </c>
      <c r="E121" s="328">
        <f>'B) D RI'!S122</f>
        <v>63</v>
      </c>
      <c r="F121" s="14">
        <f>'B) D RI'!R122</f>
        <v>86101055.861428559</v>
      </c>
      <c r="G121" s="14">
        <f>'B) D RI'!U122</f>
        <v>1366683.426371882</v>
      </c>
      <c r="H121" s="52">
        <f>'B) D RI'!T122</f>
        <v>81316654.789999992</v>
      </c>
      <c r="I121" s="14">
        <f t="shared" si="10"/>
        <v>2581481.1044444442</v>
      </c>
      <c r="J121" s="41">
        <f t="shared" si="11"/>
        <v>1521935.872402967</v>
      </c>
      <c r="K121" s="14">
        <f t="shared" si="7"/>
        <v>0</v>
      </c>
      <c r="L121" s="14">
        <f t="shared" si="12"/>
        <v>1521935.872402967</v>
      </c>
      <c r="M121" s="14">
        <f>'D) Ecrêtage'!M120</f>
        <v>1213129.8133681584</v>
      </c>
      <c r="N121" s="14">
        <f t="shared" si="8"/>
        <v>1572421.3217874274</v>
      </c>
      <c r="O121" s="75">
        <f t="shared" si="9"/>
        <v>1572421.3217874274</v>
      </c>
      <c r="P121" s="329"/>
      <c r="Q121" s="330"/>
      <c r="R121" s="326"/>
      <c r="S121" s="326"/>
      <c r="T121" s="331"/>
    </row>
    <row r="122" spans="1:20" s="325" customFormat="1" x14ac:dyDescent="0.25">
      <c r="A122" s="338">
        <f>'A) Base RI'!A123</f>
        <v>5591</v>
      </c>
      <c r="B122" s="338" t="str">
        <f>'A) Base RI'!B123</f>
        <v>Renens</v>
      </c>
      <c r="C122" s="397">
        <v>1</v>
      </c>
      <c r="D122" s="327">
        <f>'B) D RI'!AR123</f>
        <v>20362</v>
      </c>
      <c r="E122" s="328">
        <f>'B) D RI'!S123</f>
        <v>78.5</v>
      </c>
      <c r="F122" s="14">
        <f>'B) D RI'!R123</f>
        <v>42931279.927142859</v>
      </c>
      <c r="G122" s="14">
        <f>'B) D RI'!U123</f>
        <v>546895.28569608741</v>
      </c>
      <c r="H122" s="52">
        <f>'B) D RI'!T123</f>
        <v>39099907.32</v>
      </c>
      <c r="I122" s="14">
        <f t="shared" si="10"/>
        <v>996175.98267515923</v>
      </c>
      <c r="J122" s="41">
        <f t="shared" si="11"/>
        <v>1739916.8061236995</v>
      </c>
      <c r="K122" s="14">
        <f t="shared" si="7"/>
        <v>0</v>
      </c>
      <c r="L122" s="14">
        <f t="shared" si="12"/>
        <v>1739916.8061236995</v>
      </c>
      <c r="M122" s="14">
        <f>'D) Ecrêtage'!M121</f>
        <v>546895.28569608741</v>
      </c>
      <c r="N122" s="14">
        <f t="shared" si="8"/>
        <v>708868.7447437899</v>
      </c>
      <c r="O122" s="75">
        <f t="shared" si="9"/>
        <v>708868.7447437899</v>
      </c>
      <c r="P122" s="329"/>
      <c r="Q122" s="330"/>
      <c r="R122" s="326"/>
      <c r="S122" s="326"/>
      <c r="T122" s="331"/>
    </row>
    <row r="123" spans="1:20" s="325" customFormat="1" x14ac:dyDescent="0.25">
      <c r="A123" s="338">
        <f>'A) Base RI'!A124</f>
        <v>5592</v>
      </c>
      <c r="B123" s="338" t="str">
        <f>'A) Base RI'!B124</f>
        <v>Romanel-sur-Lausanne</v>
      </c>
      <c r="C123" s="397">
        <v>0</v>
      </c>
      <c r="D123" s="327">
        <f>'B) D RI'!AR124</f>
        <v>3351</v>
      </c>
      <c r="E123" s="328">
        <f>'B) D RI'!S124</f>
        <v>70</v>
      </c>
      <c r="F123" s="14">
        <f>'B) D RI'!R124</f>
        <v>7719168.6799999997</v>
      </c>
      <c r="G123" s="14">
        <f>'B) D RI'!U124</f>
        <v>110273.83828571429</v>
      </c>
      <c r="H123" s="52">
        <f>'B) D RI'!T124</f>
        <v>6996550.4799999995</v>
      </c>
      <c r="I123" s="14">
        <f t="shared" si="10"/>
        <v>199901.44228571426</v>
      </c>
      <c r="J123" s="41">
        <f t="shared" si="11"/>
        <v>286340.30141049589</v>
      </c>
      <c r="K123" s="14">
        <f t="shared" si="7"/>
        <v>199901.44228571426</v>
      </c>
      <c r="L123" s="14">
        <f t="shared" si="12"/>
        <v>86438.859124781622</v>
      </c>
      <c r="M123" s="14">
        <f>'D) Ecrêtage'!M122</f>
        <v>110273.83828571429</v>
      </c>
      <c r="N123" s="14">
        <f t="shared" si="8"/>
        <v>142933.53658037065</v>
      </c>
      <c r="O123" s="75">
        <f t="shared" si="9"/>
        <v>342834.97886608494</v>
      </c>
      <c r="P123" s="329"/>
      <c r="Q123" s="330"/>
      <c r="R123" s="326"/>
      <c r="S123" s="326"/>
      <c r="T123" s="331"/>
    </row>
    <row r="124" spans="1:20" s="325" customFormat="1" x14ac:dyDescent="0.25">
      <c r="A124" s="338">
        <f>'A) Base RI'!A125</f>
        <v>5601</v>
      </c>
      <c r="B124" s="338" t="str">
        <f>'A) Base RI'!B125</f>
        <v>Chexbres</v>
      </c>
      <c r="C124" s="397">
        <v>1</v>
      </c>
      <c r="D124" s="327">
        <f>'B) D RI'!AR125</f>
        <v>2218</v>
      </c>
      <c r="E124" s="328">
        <f>'B) D RI'!S125</f>
        <v>64</v>
      </c>
      <c r="F124" s="14">
        <f>'B) D RI'!R125</f>
        <v>6686397.4900000012</v>
      </c>
      <c r="G124" s="14">
        <f>'B) D RI'!U125</f>
        <v>104474.96078125002</v>
      </c>
      <c r="H124" s="52">
        <f>'B) D RI'!T125</f>
        <v>6280365.2400000012</v>
      </c>
      <c r="I124" s="14">
        <f t="shared" si="10"/>
        <v>196261.41375000004</v>
      </c>
      <c r="J124" s="41">
        <f t="shared" si="11"/>
        <v>189526.34691986867</v>
      </c>
      <c r="K124" s="14">
        <f t="shared" si="7"/>
        <v>0</v>
      </c>
      <c r="L124" s="14">
        <f t="shared" si="12"/>
        <v>189526.34691986867</v>
      </c>
      <c r="M124" s="14">
        <f>'D) Ecrêtage'!M123</f>
        <v>104474.96078125002</v>
      </c>
      <c r="N124" s="14">
        <f t="shared" si="8"/>
        <v>135417.21101490053</v>
      </c>
      <c r="O124" s="75">
        <f t="shared" si="9"/>
        <v>135417.21101490053</v>
      </c>
      <c r="P124" s="329"/>
      <c r="Q124" s="330"/>
      <c r="R124" s="326"/>
      <c r="S124" s="326"/>
      <c r="T124" s="331"/>
    </row>
    <row r="125" spans="1:20" s="325" customFormat="1" x14ac:dyDescent="0.25">
      <c r="A125" s="338">
        <f>'A) Base RI'!A126</f>
        <v>5604</v>
      </c>
      <c r="B125" s="338" t="str">
        <f>'A) Base RI'!B126</f>
        <v>Forel (Lavaux)</v>
      </c>
      <c r="C125" s="397">
        <v>0</v>
      </c>
      <c r="D125" s="327">
        <f>'B) D RI'!AR126</f>
        <v>2085</v>
      </c>
      <c r="E125" s="328">
        <f>'B) D RI'!S126</f>
        <v>68</v>
      </c>
      <c r="F125" s="14">
        <f>'B) D RI'!R126</f>
        <v>4454999.59</v>
      </c>
      <c r="G125" s="14">
        <f>'B) D RI'!U126</f>
        <v>65514.699852941172</v>
      </c>
      <c r="H125" s="52">
        <f>'B) D RI'!T126</f>
        <v>4097131.54</v>
      </c>
      <c r="I125" s="14">
        <f t="shared" si="10"/>
        <v>120503.86882352941</v>
      </c>
      <c r="J125" s="41">
        <f t="shared" si="11"/>
        <v>178161.60204144553</v>
      </c>
      <c r="K125" s="14">
        <f t="shared" si="7"/>
        <v>120503.86882352941</v>
      </c>
      <c r="L125" s="14">
        <f t="shared" si="12"/>
        <v>57657.733217916117</v>
      </c>
      <c r="M125" s="14">
        <f>'D) Ecrêtage'!M124</f>
        <v>65514.699852941172</v>
      </c>
      <c r="N125" s="14">
        <f t="shared" si="8"/>
        <v>84918.126489077564</v>
      </c>
      <c r="O125" s="75">
        <f t="shared" si="9"/>
        <v>205421.99531260697</v>
      </c>
      <c r="P125" s="329"/>
      <c r="Q125" s="330"/>
      <c r="R125" s="326"/>
      <c r="S125" s="326"/>
      <c r="T125" s="331"/>
    </row>
    <row r="126" spans="1:20" s="325" customFormat="1" x14ac:dyDescent="0.25">
      <c r="A126" s="338">
        <f>'A) Base RI'!A127</f>
        <v>5606</v>
      </c>
      <c r="B126" s="338" t="str">
        <f>'A) Base RI'!B127</f>
        <v>Lutry</v>
      </c>
      <c r="C126" s="397">
        <v>1</v>
      </c>
      <c r="D126" s="327">
        <f>'B) D RI'!AR127</f>
        <v>9739</v>
      </c>
      <c r="E126" s="328">
        <f>'B) D RI'!S127</f>
        <v>56</v>
      </c>
      <c r="F126" s="14">
        <f>'B) D RI'!R127</f>
        <v>41578356.861428574</v>
      </c>
      <c r="G126" s="14">
        <f>'B) D RI'!U127</f>
        <v>742470.65823979594</v>
      </c>
      <c r="H126" s="52">
        <f>'B) D RI'!T127</f>
        <v>38852908.789999999</v>
      </c>
      <c r="I126" s="14">
        <f t="shared" si="10"/>
        <v>1387603.8853571429</v>
      </c>
      <c r="J126" s="41">
        <f t="shared" si="11"/>
        <v>832189.8524132556</v>
      </c>
      <c r="K126" s="14">
        <f t="shared" si="7"/>
        <v>0</v>
      </c>
      <c r="L126" s="14">
        <f t="shared" si="12"/>
        <v>832189.8524132556</v>
      </c>
      <c r="M126" s="14">
        <f>'D) Ecrêtage'!M125</f>
        <v>660728.72689955926</v>
      </c>
      <c r="N126" s="14">
        <f t="shared" si="8"/>
        <v>856416.12846838206</v>
      </c>
      <c r="O126" s="75">
        <f t="shared" si="9"/>
        <v>856416.12846838206</v>
      </c>
      <c r="P126" s="329"/>
      <c r="Q126" s="330"/>
      <c r="R126" s="326"/>
      <c r="S126" s="326"/>
      <c r="T126" s="331"/>
    </row>
    <row r="127" spans="1:20" s="325" customFormat="1" x14ac:dyDescent="0.25">
      <c r="A127" s="338">
        <f>'A) Base RI'!A128</f>
        <v>5607</v>
      </c>
      <c r="B127" s="338" t="str">
        <f>'A) Base RI'!B128</f>
        <v>Puidoux</v>
      </c>
      <c r="C127" s="397">
        <v>1</v>
      </c>
      <c r="D127" s="327">
        <f>'B) D RI'!AR128</f>
        <v>2858</v>
      </c>
      <c r="E127" s="328">
        <f>'B) D RI'!S128</f>
        <v>68</v>
      </c>
      <c r="F127" s="14">
        <f>'B) D RI'!R128</f>
        <v>6858647.4169565216</v>
      </c>
      <c r="G127" s="14">
        <f>'B) D RI'!U128</f>
        <v>100862.46201406649</v>
      </c>
      <c r="H127" s="52">
        <f>'B) D RI'!T128</f>
        <v>6261542.8300000001</v>
      </c>
      <c r="I127" s="14">
        <f t="shared" si="10"/>
        <v>184163.02441176469</v>
      </c>
      <c r="J127" s="41">
        <f t="shared" si="11"/>
        <v>244213.84107167929</v>
      </c>
      <c r="K127" s="14">
        <f t="shared" si="7"/>
        <v>0</v>
      </c>
      <c r="L127" s="14">
        <f t="shared" si="12"/>
        <v>244213.84107167929</v>
      </c>
      <c r="M127" s="14">
        <f>'D) Ecrêtage'!M126</f>
        <v>100862.46201406649</v>
      </c>
      <c r="N127" s="14">
        <f t="shared" si="8"/>
        <v>130734.8019076022</v>
      </c>
      <c r="O127" s="75">
        <f t="shared" si="9"/>
        <v>130734.8019076022</v>
      </c>
      <c r="P127" s="329"/>
      <c r="Q127" s="330"/>
      <c r="R127" s="326"/>
      <c r="S127" s="326"/>
      <c r="T127" s="331"/>
    </row>
    <row r="128" spans="1:20" s="325" customFormat="1" x14ac:dyDescent="0.25">
      <c r="A128" s="338">
        <f>'A) Base RI'!A129</f>
        <v>5609</v>
      </c>
      <c r="B128" s="338" t="str">
        <f>'A) Base RI'!B129</f>
        <v>Rivaz</v>
      </c>
      <c r="C128" s="397">
        <v>1</v>
      </c>
      <c r="D128" s="327">
        <f>'B) D RI'!AR129</f>
        <v>360</v>
      </c>
      <c r="E128" s="328">
        <f>'B) D RI'!S129</f>
        <v>63.5</v>
      </c>
      <c r="F128" s="14">
        <f>'B) D RI'!R129</f>
        <v>1023762.5199999999</v>
      </c>
      <c r="G128" s="14">
        <f>'B) D RI'!U129</f>
        <v>16122.244409448818</v>
      </c>
      <c r="H128" s="52">
        <f>'B) D RI'!T129</f>
        <v>974095.41999999993</v>
      </c>
      <c r="I128" s="14">
        <f t="shared" si="10"/>
        <v>30680.170708661415</v>
      </c>
      <c r="J128" s="41">
        <f t="shared" si="11"/>
        <v>30761.715460393472</v>
      </c>
      <c r="K128" s="14">
        <f t="shared" si="7"/>
        <v>0</v>
      </c>
      <c r="L128" s="14">
        <f t="shared" si="12"/>
        <v>30761.715460393472</v>
      </c>
      <c r="M128" s="14">
        <f>'D) Ecrêtage'!M127</f>
        <v>16122.244409448818</v>
      </c>
      <c r="N128" s="14">
        <f t="shared" si="8"/>
        <v>20897.154274117249</v>
      </c>
      <c r="O128" s="75">
        <f t="shared" si="9"/>
        <v>20897.154274117249</v>
      </c>
      <c r="P128" s="329"/>
      <c r="Q128" s="330"/>
      <c r="R128" s="326"/>
      <c r="S128" s="326"/>
      <c r="T128" s="331"/>
    </row>
    <row r="129" spans="1:20" s="325" customFormat="1" x14ac:dyDescent="0.25">
      <c r="A129" s="338">
        <f>'A) Base RI'!A130</f>
        <v>5610</v>
      </c>
      <c r="B129" s="338" t="str">
        <f>'A) Base RI'!B130</f>
        <v>St-Saphorin (Lavaux)</v>
      </c>
      <c r="C129" s="397">
        <v>1</v>
      </c>
      <c r="D129" s="327">
        <f>'B) D RI'!AR130</f>
        <v>383</v>
      </c>
      <c r="E129" s="328">
        <f>'B) D RI'!S130</f>
        <v>62</v>
      </c>
      <c r="F129" s="14">
        <f>'B) D RI'!R130</f>
        <v>1300418.2</v>
      </c>
      <c r="G129" s="14">
        <f>'B) D RI'!U130</f>
        <v>20974.487096774192</v>
      </c>
      <c r="H129" s="52">
        <f>'B) D RI'!T130</f>
        <v>1215945.6499999999</v>
      </c>
      <c r="I129" s="14">
        <f t="shared" si="10"/>
        <v>39224.053225806449</v>
      </c>
      <c r="J129" s="41">
        <f t="shared" si="11"/>
        <v>32727.047281474166</v>
      </c>
      <c r="K129" s="14">
        <f t="shared" si="7"/>
        <v>0</v>
      </c>
      <c r="L129" s="14">
        <f t="shared" si="12"/>
        <v>32727.047281474166</v>
      </c>
      <c r="M129" s="14">
        <f>'D) Ecrêtage'!M128</f>
        <v>20974.487096774192</v>
      </c>
      <c r="N129" s="14">
        <f t="shared" si="8"/>
        <v>27186.481084785675</v>
      </c>
      <c r="O129" s="75">
        <f t="shared" si="9"/>
        <v>27186.481084785675</v>
      </c>
      <c r="P129" s="329"/>
      <c r="Q129" s="330"/>
      <c r="R129" s="326"/>
      <c r="S129" s="326"/>
      <c r="T129" s="331"/>
    </row>
    <row r="130" spans="1:20" s="325" customFormat="1" x14ac:dyDescent="0.25">
      <c r="A130" s="338">
        <f>'A) Base RI'!A131</f>
        <v>5611</v>
      </c>
      <c r="B130" s="338" t="str">
        <f>'A) Base RI'!B131</f>
        <v>Savigny</v>
      </c>
      <c r="C130" s="397">
        <v>1</v>
      </c>
      <c r="D130" s="327">
        <f>'B) D RI'!AR131</f>
        <v>3304</v>
      </c>
      <c r="E130" s="328">
        <f>'B) D RI'!S131</f>
        <v>67</v>
      </c>
      <c r="F130" s="14">
        <f>'B) D RI'!R131</f>
        <v>8730931.25</v>
      </c>
      <c r="G130" s="14">
        <f>'B) D RI'!U131</f>
        <v>130312.40671641791</v>
      </c>
      <c r="H130" s="52">
        <f>'B) D RI'!T131</f>
        <v>8112638.7499999991</v>
      </c>
      <c r="I130" s="14">
        <f t="shared" si="10"/>
        <v>242168.32089552237</v>
      </c>
      <c r="J130" s="41">
        <f t="shared" si="11"/>
        <v>282324.18855872232</v>
      </c>
      <c r="K130" s="14">
        <f t="shared" si="7"/>
        <v>0</v>
      </c>
      <c r="L130" s="14">
        <f t="shared" si="12"/>
        <v>282324.18855872232</v>
      </c>
      <c r="M130" s="14">
        <f>'D) Ecrêtage'!M129</f>
        <v>130312.40671641791</v>
      </c>
      <c r="N130" s="14">
        <f t="shared" si="8"/>
        <v>168906.90885374046</v>
      </c>
      <c r="O130" s="75">
        <f t="shared" si="9"/>
        <v>168906.90885374046</v>
      </c>
      <c r="P130" s="329"/>
      <c r="Q130" s="330"/>
      <c r="R130" s="326"/>
      <c r="S130" s="326"/>
      <c r="T130" s="331"/>
    </row>
    <row r="131" spans="1:20" s="325" customFormat="1" x14ac:dyDescent="0.25">
      <c r="A131" s="338">
        <f>'A) Base RI'!A132</f>
        <v>5613</v>
      </c>
      <c r="B131" s="338" t="str">
        <f>'A) Base RI'!B132</f>
        <v>Bourg-en-Lavaux</v>
      </c>
      <c r="C131" s="397">
        <v>1</v>
      </c>
      <c r="D131" s="327">
        <f>'B) D RI'!AR132</f>
        <v>5247</v>
      </c>
      <c r="E131" s="328">
        <f>'B) D RI'!S132</f>
        <v>61</v>
      </c>
      <c r="F131" s="14">
        <f>'B) D RI'!R132</f>
        <v>18035192.243333336</v>
      </c>
      <c r="G131" s="14">
        <f>'B) D RI'!U132</f>
        <v>295658.88923497271</v>
      </c>
      <c r="H131" s="52">
        <f>'B) D RI'!T132</f>
        <v>16828641.210000001</v>
      </c>
      <c r="I131" s="14">
        <f t="shared" si="10"/>
        <v>551758.72819672129</v>
      </c>
      <c r="J131" s="41">
        <f t="shared" si="11"/>
        <v>448352.00283523486</v>
      </c>
      <c r="K131" s="14">
        <f t="shared" si="7"/>
        <v>0</v>
      </c>
      <c r="L131" s="14">
        <f t="shared" si="12"/>
        <v>448352.00283523486</v>
      </c>
      <c r="M131" s="14">
        <f>'D) Ecrêtage'!M130</f>
        <v>293114.98705338885</v>
      </c>
      <c r="N131" s="14">
        <f t="shared" si="8"/>
        <v>379926.5752925002</v>
      </c>
      <c r="O131" s="75">
        <f t="shared" si="9"/>
        <v>379926.5752925002</v>
      </c>
      <c r="P131" s="329"/>
      <c r="Q131" s="330"/>
      <c r="R131" s="326"/>
      <c r="S131" s="326"/>
      <c r="T131" s="331"/>
    </row>
    <row r="132" spans="1:20" s="325" customFormat="1" x14ac:dyDescent="0.25">
      <c r="A132" s="338">
        <f>'A) Base RI'!A133</f>
        <v>5621</v>
      </c>
      <c r="B132" s="338" t="str">
        <f>'A) Base RI'!B133</f>
        <v>Aclens</v>
      </c>
      <c r="C132" s="397">
        <v>0</v>
      </c>
      <c r="D132" s="327">
        <f>'B) D RI'!AR133</f>
        <v>528</v>
      </c>
      <c r="E132" s="328">
        <f>'B) D RI'!S133</f>
        <v>62</v>
      </c>
      <c r="F132" s="14">
        <f>'B) D RI'!R133</f>
        <v>2093079.0227272727</v>
      </c>
      <c r="G132" s="14">
        <f>'B) D RI'!U133</f>
        <v>33759.339076246331</v>
      </c>
      <c r="H132" s="52">
        <f>'B) D RI'!T133</f>
        <v>1809338.75</v>
      </c>
      <c r="I132" s="14">
        <f t="shared" si="10"/>
        <v>58365.766129032258</v>
      </c>
      <c r="J132" s="41">
        <f t="shared" si="11"/>
        <v>45117.182675243756</v>
      </c>
      <c r="K132" s="14">
        <f t="shared" si="7"/>
        <v>45117.182675243756</v>
      </c>
      <c r="L132" s="14">
        <f t="shared" si="12"/>
        <v>0</v>
      </c>
      <c r="M132" s="14">
        <f>'D) Ecrêtage'!M131</f>
        <v>32060.648499917781</v>
      </c>
      <c r="N132" s="14">
        <f t="shared" si="8"/>
        <v>41556.020416014311</v>
      </c>
      <c r="O132" s="75">
        <f t="shared" si="9"/>
        <v>86673.203091258067</v>
      </c>
      <c r="P132" s="329"/>
      <c r="Q132" s="330"/>
      <c r="R132" s="326"/>
      <c r="S132" s="326"/>
      <c r="T132" s="331"/>
    </row>
    <row r="133" spans="1:20" s="325" customFormat="1" x14ac:dyDescent="0.25">
      <c r="A133" s="338">
        <f>'A) Base RI'!A134</f>
        <v>5622</v>
      </c>
      <c r="B133" s="338" t="str">
        <f>'A) Base RI'!B134</f>
        <v>Bremblens</v>
      </c>
      <c r="C133" s="397">
        <v>0</v>
      </c>
      <c r="D133" s="327">
        <f>'B) D RI'!AR134</f>
        <v>511</v>
      </c>
      <c r="E133" s="328">
        <f>'B) D RI'!S134</f>
        <v>66</v>
      </c>
      <c r="F133" s="14">
        <f>'B) D RI'!R134</f>
        <v>1856335.0499999998</v>
      </c>
      <c r="G133" s="14">
        <f>'B) D RI'!U134</f>
        <v>28126.288636363635</v>
      </c>
      <c r="H133" s="52">
        <f>'B) D RI'!T134</f>
        <v>1725551.0499999998</v>
      </c>
      <c r="I133" s="14">
        <f t="shared" si="10"/>
        <v>52289.425757575751</v>
      </c>
      <c r="J133" s="41">
        <f t="shared" si="11"/>
        <v>43664.546111836287</v>
      </c>
      <c r="K133" s="14">
        <f t="shared" si="7"/>
        <v>43664.546111836287</v>
      </c>
      <c r="L133" s="14">
        <f t="shared" si="12"/>
        <v>0</v>
      </c>
      <c r="M133" s="14">
        <f>'D) Ecrêtage'!M132</f>
        <v>28118.887477201486</v>
      </c>
      <c r="N133" s="14">
        <f t="shared" si="8"/>
        <v>36446.83176265729</v>
      </c>
      <c r="O133" s="75">
        <f t="shared" si="9"/>
        <v>80111.37787449357</v>
      </c>
      <c r="P133" s="329"/>
      <c r="Q133" s="330"/>
      <c r="R133" s="326"/>
      <c r="S133" s="326"/>
      <c r="T133" s="331"/>
    </row>
    <row r="134" spans="1:20" s="325" customFormat="1" x14ac:dyDescent="0.25">
      <c r="A134" s="338">
        <f>'A) Base RI'!A135</f>
        <v>5623</v>
      </c>
      <c r="B134" s="338" t="str">
        <f>'A) Base RI'!B135</f>
        <v>Buchillon</v>
      </c>
      <c r="C134" s="397">
        <v>1</v>
      </c>
      <c r="D134" s="327">
        <f>'B) D RI'!AR135</f>
        <v>624</v>
      </c>
      <c r="E134" s="328">
        <f>'B) D RI'!S135</f>
        <v>53</v>
      </c>
      <c r="F134" s="14">
        <f>'B) D RI'!R135</f>
        <v>4560414.13</v>
      </c>
      <c r="G134" s="14">
        <f>'B) D RI'!U135</f>
        <v>86045.549622641513</v>
      </c>
      <c r="H134" s="52">
        <f>'B) D RI'!T135</f>
        <v>4263144.63</v>
      </c>
      <c r="I134" s="14">
        <f t="shared" si="10"/>
        <v>160873.38226415095</v>
      </c>
      <c r="J134" s="41">
        <f t="shared" si="11"/>
        <v>53320.30679801535</v>
      </c>
      <c r="K134" s="14">
        <f t="shared" ref="K134:K197" si="13">IF(C134=1,0,IF(J134&gt;I134,I134,J134))</f>
        <v>0</v>
      </c>
      <c r="L134" s="14">
        <f t="shared" si="12"/>
        <v>53320.30679801535</v>
      </c>
      <c r="M134" s="14">
        <f>'D) Ecrêtage'!M133</f>
        <v>60201.490489984266</v>
      </c>
      <c r="N134" s="14">
        <f t="shared" ref="N134:N197" si="14">+$N$5*M134</f>
        <v>78031.308938828646</v>
      </c>
      <c r="O134" s="75">
        <f t="shared" ref="O134:O197" si="15">+N134+K134</f>
        <v>78031.308938828646</v>
      </c>
      <c r="P134" s="329"/>
      <c r="Q134" s="330"/>
      <c r="R134" s="326"/>
      <c r="S134" s="326"/>
      <c r="T134" s="331"/>
    </row>
    <row r="135" spans="1:20" s="325" customFormat="1" x14ac:dyDescent="0.25">
      <c r="A135" s="338">
        <f>'A) Base RI'!A136</f>
        <v>5624</v>
      </c>
      <c r="B135" s="338" t="str">
        <f>'A) Base RI'!B136</f>
        <v>Bussigny</v>
      </c>
      <c r="C135" s="397">
        <v>1</v>
      </c>
      <c r="D135" s="327">
        <f>'B) D RI'!AR136</f>
        <v>8215</v>
      </c>
      <c r="E135" s="328">
        <f>'B) D RI'!S136</f>
        <v>62</v>
      </c>
      <c r="F135" s="14">
        <f>'B) D RI'!R136</f>
        <v>19354839.939999998</v>
      </c>
      <c r="G135" s="14">
        <f>'B) D RI'!U136</f>
        <v>312174.83774193545</v>
      </c>
      <c r="H135" s="52">
        <f>'B) D RI'!T136</f>
        <v>17501337.439999998</v>
      </c>
      <c r="I135" s="14">
        <f t="shared" ref="I135:I198" si="16">+H135/E135*$I$5</f>
        <v>564559.27225806448</v>
      </c>
      <c r="J135" s="41">
        <f t="shared" ref="J135:J198" si="17">+$I$324/$D$324*D135</f>
        <v>701965.25696425652</v>
      </c>
      <c r="K135" s="14">
        <f t="shared" si="13"/>
        <v>0</v>
      </c>
      <c r="L135" s="14">
        <f t="shared" ref="L135:L198" si="18">+J135-K135</f>
        <v>701965.25696425652</v>
      </c>
      <c r="M135" s="14">
        <f>'D) Ecrêtage'!M134</f>
        <v>312174.83774193545</v>
      </c>
      <c r="N135" s="14">
        <f t="shared" si="14"/>
        <v>404631.36391651881</v>
      </c>
      <c r="O135" s="75">
        <f t="shared" si="15"/>
        <v>404631.36391651881</v>
      </c>
      <c r="P135" s="329"/>
      <c r="Q135" s="330"/>
      <c r="R135" s="326"/>
      <c r="S135" s="326"/>
      <c r="T135" s="331"/>
    </row>
    <row r="136" spans="1:20" s="325" customFormat="1" x14ac:dyDescent="0.25">
      <c r="A136" s="338">
        <f>'A) Base RI'!A137</f>
        <v>5625</v>
      </c>
      <c r="B136" s="338" t="str">
        <f>'A) Base RI'!B137</f>
        <v>Bussy-Chardonney</v>
      </c>
      <c r="C136" s="397">
        <v>0</v>
      </c>
      <c r="D136" s="327">
        <f>'B) D RI'!AR137</f>
        <v>377</v>
      </c>
      <c r="E136" s="328">
        <f>'B) D RI'!S137</f>
        <v>78</v>
      </c>
      <c r="F136" s="14">
        <f>'B) D RI'!R137</f>
        <v>1261464.1416666668</v>
      </c>
      <c r="G136" s="14">
        <f>'B) D RI'!U137</f>
        <v>16172.617200854704</v>
      </c>
      <c r="H136" s="52">
        <f>'B) D RI'!T137</f>
        <v>1172898.3500000001</v>
      </c>
      <c r="I136" s="14">
        <f t="shared" si="16"/>
        <v>30074.316666666669</v>
      </c>
      <c r="J136" s="41">
        <f t="shared" si="17"/>
        <v>32214.352023800941</v>
      </c>
      <c r="K136" s="14">
        <f t="shared" si="13"/>
        <v>30074.316666666669</v>
      </c>
      <c r="L136" s="14">
        <f t="shared" si="18"/>
        <v>2140.0353571342712</v>
      </c>
      <c r="M136" s="14">
        <f>'D) Ecrêtage'!M135</f>
        <v>16172.617200854704</v>
      </c>
      <c r="N136" s="14">
        <f t="shared" si="14"/>
        <v>20962.445927468554</v>
      </c>
      <c r="O136" s="75">
        <f t="shared" si="15"/>
        <v>51036.762594135223</v>
      </c>
      <c r="P136" s="329"/>
      <c r="Q136" s="330"/>
      <c r="R136" s="326"/>
      <c r="S136" s="326"/>
      <c r="T136" s="331"/>
    </row>
    <row r="137" spans="1:20" s="325" customFormat="1" x14ac:dyDescent="0.25">
      <c r="A137" s="338">
        <f>'A) Base RI'!A138</f>
        <v>5627</v>
      </c>
      <c r="B137" s="338" t="str">
        <f>'A) Base RI'!B138</f>
        <v>Chavannes-près-Renens</v>
      </c>
      <c r="C137" s="397">
        <v>1</v>
      </c>
      <c r="D137" s="327">
        <f>'B) D RI'!AR138</f>
        <v>7374</v>
      </c>
      <c r="E137" s="328">
        <f>'B) D RI'!S138</f>
        <v>79</v>
      </c>
      <c r="F137" s="14">
        <f>'B) D RI'!R138</f>
        <v>12838441.873333331</v>
      </c>
      <c r="G137" s="14">
        <f>'B) D RI'!U138</f>
        <v>162511.92244725736</v>
      </c>
      <c r="H137" s="52">
        <f>'B) D RI'!T138</f>
        <v>11832936.339999998</v>
      </c>
      <c r="I137" s="14">
        <f t="shared" si="16"/>
        <v>299568.00860759488</v>
      </c>
      <c r="J137" s="41">
        <f t="shared" si="17"/>
        <v>630102.47168039298</v>
      </c>
      <c r="K137" s="14">
        <f t="shared" si="13"/>
        <v>0</v>
      </c>
      <c r="L137" s="14">
        <f t="shared" si="18"/>
        <v>630102.47168039298</v>
      </c>
      <c r="M137" s="14">
        <f>'D) Ecrêtage'!M136</f>
        <v>162511.92244725736</v>
      </c>
      <c r="N137" s="14">
        <f t="shared" si="14"/>
        <v>210642.92467700021</v>
      </c>
      <c r="O137" s="75">
        <f t="shared" si="15"/>
        <v>210642.92467700021</v>
      </c>
      <c r="P137" s="329"/>
      <c r="Q137" s="330"/>
      <c r="R137" s="326"/>
      <c r="S137" s="326"/>
      <c r="T137" s="331"/>
    </row>
    <row r="138" spans="1:20" s="325" customFormat="1" x14ac:dyDescent="0.25">
      <c r="A138" s="338">
        <f>'A) Base RI'!A139</f>
        <v>5628</v>
      </c>
      <c r="B138" s="338" t="str">
        <f>'A) Base RI'!B139</f>
        <v>Chigny</v>
      </c>
      <c r="C138" s="397">
        <v>0</v>
      </c>
      <c r="D138" s="327">
        <f>'B) D RI'!AR139</f>
        <v>331</v>
      </c>
      <c r="E138" s="328">
        <f>'B) D RI'!S139</f>
        <v>62</v>
      </c>
      <c r="F138" s="14">
        <f>'B) D RI'!R139</f>
        <v>1181985.2575000001</v>
      </c>
      <c r="G138" s="14">
        <f>'B) D RI'!U139</f>
        <v>19064.278346774194</v>
      </c>
      <c r="H138" s="52">
        <f>'B) D RI'!T139</f>
        <v>1099756.07</v>
      </c>
      <c r="I138" s="14">
        <f t="shared" si="16"/>
        <v>35476.002258064516</v>
      </c>
      <c r="J138" s="41">
        <f t="shared" si="17"/>
        <v>28283.688381639553</v>
      </c>
      <c r="K138" s="14">
        <f t="shared" si="13"/>
        <v>28283.688381639553</v>
      </c>
      <c r="L138" s="14">
        <f t="shared" si="18"/>
        <v>0</v>
      </c>
      <c r="M138" s="14">
        <f>'D) Ecrêtage'!M137</f>
        <v>18755.108338073293</v>
      </c>
      <c r="N138" s="14">
        <f t="shared" si="14"/>
        <v>24309.791020089087</v>
      </c>
      <c r="O138" s="75">
        <f t="shared" si="15"/>
        <v>52593.47940172864</v>
      </c>
      <c r="P138" s="329"/>
      <c r="Q138" s="330"/>
      <c r="R138" s="326"/>
      <c r="S138" s="326"/>
      <c r="T138" s="331"/>
    </row>
    <row r="139" spans="1:20" s="325" customFormat="1" x14ac:dyDescent="0.25">
      <c r="A139" s="338">
        <f>'A) Base RI'!A140</f>
        <v>5629</v>
      </c>
      <c r="B139" s="338" t="str">
        <f>'A) Base RI'!B140</f>
        <v>Clarmont</v>
      </c>
      <c r="C139" s="397">
        <v>0</v>
      </c>
      <c r="D139" s="327">
        <f>'B) D RI'!AR140</f>
        <v>160</v>
      </c>
      <c r="E139" s="328">
        <f>'B) D RI'!S140</f>
        <v>75</v>
      </c>
      <c r="F139" s="14">
        <f>'B) D RI'!R140</f>
        <v>568642.42999999993</v>
      </c>
      <c r="G139" s="14">
        <f>'B) D RI'!U140</f>
        <v>7581.8990666666659</v>
      </c>
      <c r="H139" s="52">
        <f>'B) D RI'!T140</f>
        <v>539166.32999999996</v>
      </c>
      <c r="I139" s="14">
        <f t="shared" si="16"/>
        <v>14377.768799999998</v>
      </c>
      <c r="J139" s="41">
        <f t="shared" si="17"/>
        <v>13671.873537952653</v>
      </c>
      <c r="K139" s="14">
        <f t="shared" si="13"/>
        <v>13671.873537952653</v>
      </c>
      <c r="L139" s="14">
        <f t="shared" si="18"/>
        <v>0</v>
      </c>
      <c r="M139" s="14">
        <f>'D) Ecrêtage'!M138</f>
        <v>7581.8990666666659</v>
      </c>
      <c r="N139" s="14">
        <f t="shared" si="14"/>
        <v>9827.4229358575776</v>
      </c>
      <c r="O139" s="75">
        <f t="shared" si="15"/>
        <v>23499.296473810231</v>
      </c>
      <c r="P139" s="329"/>
      <c r="Q139" s="330"/>
      <c r="R139" s="326"/>
      <c r="S139" s="326"/>
      <c r="T139" s="331"/>
    </row>
    <row r="140" spans="1:20" s="325" customFormat="1" x14ac:dyDescent="0.25">
      <c r="A140" s="338">
        <f>'A) Base RI'!A141</f>
        <v>5631</v>
      </c>
      <c r="B140" s="338" t="str">
        <f>'A) Base RI'!B141</f>
        <v>Denens</v>
      </c>
      <c r="C140" s="397">
        <v>0</v>
      </c>
      <c r="D140" s="327">
        <f>'B) D RI'!AR141</f>
        <v>714</v>
      </c>
      <c r="E140" s="328">
        <f>'B) D RI'!S141</f>
        <v>68</v>
      </c>
      <c r="F140" s="14">
        <f>'B) D RI'!R141</f>
        <v>2326848.4500000007</v>
      </c>
      <c r="G140" s="14">
        <f>'B) D RI'!U141</f>
        <v>34218.35955882354</v>
      </c>
      <c r="H140" s="52">
        <f>'B) D RI'!T141</f>
        <v>2155101.7500000005</v>
      </c>
      <c r="I140" s="14">
        <f t="shared" si="16"/>
        <v>63385.345588235308</v>
      </c>
      <c r="J140" s="41">
        <f t="shared" si="17"/>
        <v>61010.735663113715</v>
      </c>
      <c r="K140" s="14">
        <f t="shared" si="13"/>
        <v>61010.735663113715</v>
      </c>
      <c r="L140" s="14">
        <f t="shared" si="18"/>
        <v>0</v>
      </c>
      <c r="M140" s="14">
        <f>'D) Ecrêtage'!M139</f>
        <v>34218.35955882354</v>
      </c>
      <c r="N140" s="14">
        <f t="shared" si="14"/>
        <v>44352.778716644993</v>
      </c>
      <c r="O140" s="75">
        <f t="shared" si="15"/>
        <v>105363.51437975871</v>
      </c>
      <c r="P140" s="329"/>
      <c r="Q140" s="330"/>
      <c r="R140" s="326"/>
      <c r="S140" s="326"/>
      <c r="T140" s="331"/>
    </row>
    <row r="141" spans="1:20" s="325" customFormat="1" x14ac:dyDescent="0.25">
      <c r="A141" s="338">
        <f>'A) Base RI'!A142</f>
        <v>5632</v>
      </c>
      <c r="B141" s="338" t="str">
        <f>'A) Base RI'!B142</f>
        <v>Denges</v>
      </c>
      <c r="C141" s="397">
        <v>0</v>
      </c>
      <c r="D141" s="327">
        <f>'B) D RI'!AR142</f>
        <v>1651</v>
      </c>
      <c r="E141" s="328">
        <f>'B) D RI'!S142</f>
        <v>62</v>
      </c>
      <c r="F141" s="14">
        <f>'B) D RI'!R142</f>
        <v>4377175.1499999994</v>
      </c>
      <c r="G141" s="14">
        <f>'B) D RI'!U142</f>
        <v>70599.599193548376</v>
      </c>
      <c r="H141" s="52">
        <f>'B) D RI'!T142</f>
        <v>4033410.8999999994</v>
      </c>
      <c r="I141" s="14">
        <f t="shared" si="16"/>
        <v>130110.02903225804</v>
      </c>
      <c r="J141" s="41">
        <f t="shared" si="17"/>
        <v>141076.64506974895</v>
      </c>
      <c r="K141" s="14">
        <f t="shared" si="13"/>
        <v>130110.02903225804</v>
      </c>
      <c r="L141" s="14">
        <f t="shared" si="18"/>
        <v>10966.616037490909</v>
      </c>
      <c r="M141" s="14">
        <f>'D) Ecrêtage'!M140</f>
        <v>70599.599193548376</v>
      </c>
      <c r="N141" s="14">
        <f t="shared" si="14"/>
        <v>91509.015653786526</v>
      </c>
      <c r="O141" s="75">
        <f t="shared" si="15"/>
        <v>221619.04468604457</v>
      </c>
      <c r="P141" s="329"/>
      <c r="Q141" s="330"/>
      <c r="R141" s="326"/>
      <c r="S141" s="326"/>
      <c r="T141" s="331"/>
    </row>
    <row r="142" spans="1:20" s="325" customFormat="1" x14ac:dyDescent="0.25">
      <c r="A142" s="338">
        <f>'A) Base RI'!A143</f>
        <v>5633</v>
      </c>
      <c r="B142" s="338" t="str">
        <f>'A) Base RI'!B143</f>
        <v>Echandens</v>
      </c>
      <c r="C142" s="397">
        <v>0</v>
      </c>
      <c r="D142" s="327">
        <f>'B) D RI'!AR143</f>
        <v>2631</v>
      </c>
      <c r="E142" s="328">
        <f>'B) D RI'!S143</f>
        <v>62</v>
      </c>
      <c r="F142" s="14">
        <f>'B) D RI'!R143</f>
        <v>7626834.3000000007</v>
      </c>
      <c r="G142" s="14">
        <f>'B) D RI'!U143</f>
        <v>123013.45645161292</v>
      </c>
      <c r="H142" s="52">
        <f>'B) D RI'!T143</f>
        <v>7073748.0000000009</v>
      </c>
      <c r="I142" s="14">
        <f t="shared" si="16"/>
        <v>228185.41935483873</v>
      </c>
      <c r="J142" s="41">
        <f t="shared" si="17"/>
        <v>224816.87048970896</v>
      </c>
      <c r="K142" s="14">
        <f t="shared" si="13"/>
        <v>224816.87048970896</v>
      </c>
      <c r="L142" s="14">
        <f t="shared" si="18"/>
        <v>0</v>
      </c>
      <c r="M142" s="14">
        <f>'D) Ecrêtage'!M141</f>
        <v>123013.45645161292</v>
      </c>
      <c r="N142" s="14">
        <f t="shared" si="14"/>
        <v>159446.23539853923</v>
      </c>
      <c r="O142" s="75">
        <f t="shared" si="15"/>
        <v>384263.10588824819</v>
      </c>
      <c r="P142" s="329"/>
      <c r="Q142" s="330"/>
      <c r="R142" s="326"/>
      <c r="S142" s="326"/>
      <c r="T142" s="331"/>
    </row>
    <row r="143" spans="1:20" s="325" customFormat="1" x14ac:dyDescent="0.25">
      <c r="A143" s="338">
        <f>'A) Base RI'!A144</f>
        <v>5634</v>
      </c>
      <c r="B143" s="338" t="str">
        <f>'A) Base RI'!B144</f>
        <v>Echichens</v>
      </c>
      <c r="C143" s="397">
        <v>0</v>
      </c>
      <c r="D143" s="327">
        <f>'B) D RI'!AR144</f>
        <v>2585</v>
      </c>
      <c r="E143" s="328">
        <f>'B) D RI'!S144</f>
        <v>68</v>
      </c>
      <c r="F143" s="14">
        <f>'B) D RI'!R144</f>
        <v>8272893.7200000007</v>
      </c>
      <c r="G143" s="14">
        <f>'B) D RI'!U144</f>
        <v>121660.2017647059</v>
      </c>
      <c r="H143" s="52">
        <f>'B) D RI'!T144</f>
        <v>7777799.0700000003</v>
      </c>
      <c r="I143" s="14">
        <f t="shared" si="16"/>
        <v>228758.79617647058</v>
      </c>
      <c r="J143" s="41">
        <f t="shared" si="17"/>
        <v>220886.20684754755</v>
      </c>
      <c r="K143" s="14">
        <f t="shared" si="13"/>
        <v>220886.20684754755</v>
      </c>
      <c r="L143" s="14">
        <f t="shared" si="18"/>
        <v>0</v>
      </c>
      <c r="M143" s="14">
        <f>'D) Ecrêtage'!M142</f>
        <v>121660.2017647059</v>
      </c>
      <c r="N143" s="14">
        <f t="shared" si="14"/>
        <v>157692.18855206575</v>
      </c>
      <c r="O143" s="75">
        <f t="shared" si="15"/>
        <v>378578.39539961331</v>
      </c>
      <c r="P143" s="329"/>
      <c r="Q143" s="330"/>
      <c r="R143" s="326"/>
      <c r="S143" s="326"/>
      <c r="T143" s="331"/>
    </row>
    <row r="144" spans="1:20" s="325" customFormat="1" x14ac:dyDescent="0.25">
      <c r="A144" s="338">
        <f>'A) Base RI'!A145</f>
        <v>5635</v>
      </c>
      <c r="B144" s="338" t="str">
        <f>'A) Base RI'!B145</f>
        <v>Ecublens</v>
      </c>
      <c r="C144" s="397">
        <v>1</v>
      </c>
      <c r="D144" s="327">
        <f>'B) D RI'!AR145</f>
        <v>12288</v>
      </c>
      <c r="E144" s="328">
        <f>'B) D RI'!S145</f>
        <v>62</v>
      </c>
      <c r="F144" s="14">
        <f>'B) D RI'!R145</f>
        <v>29145440.523684211</v>
      </c>
      <c r="G144" s="14">
        <f>'B) D RI'!U145</f>
        <v>470087.75038200343</v>
      </c>
      <c r="H144" s="52">
        <f>'B) D RI'!T145</f>
        <v>26923900.550000001</v>
      </c>
      <c r="I144" s="14">
        <f t="shared" si="16"/>
        <v>868512.92096774199</v>
      </c>
      <c r="J144" s="41">
        <f t="shared" si="17"/>
        <v>1049999.8877147639</v>
      </c>
      <c r="K144" s="14">
        <f t="shared" si="13"/>
        <v>0</v>
      </c>
      <c r="L144" s="14">
        <f t="shared" si="18"/>
        <v>1049999.8877147639</v>
      </c>
      <c r="M144" s="14">
        <f>'D) Ecrêtage'!M143</f>
        <v>470087.75038200343</v>
      </c>
      <c r="N144" s="14">
        <f t="shared" si="14"/>
        <v>609313.19440537423</v>
      </c>
      <c r="O144" s="75">
        <f t="shared" si="15"/>
        <v>609313.19440537423</v>
      </c>
      <c r="P144" s="329"/>
      <c r="Q144" s="330"/>
      <c r="R144" s="326"/>
      <c r="S144" s="326"/>
      <c r="T144" s="331"/>
    </row>
    <row r="145" spans="1:20" s="325" customFormat="1" x14ac:dyDescent="0.25">
      <c r="A145" s="338">
        <f>'A) Base RI'!A146</f>
        <v>5636</v>
      </c>
      <c r="B145" s="338" t="str">
        <f>'A) Base RI'!B146</f>
        <v>Etoy</v>
      </c>
      <c r="C145" s="397">
        <v>0</v>
      </c>
      <c r="D145" s="327">
        <f>'B) D RI'!AR146</f>
        <v>2932</v>
      </c>
      <c r="E145" s="328">
        <f>'B) D RI'!S146</f>
        <v>61</v>
      </c>
      <c r="F145" s="14">
        <f>'B) D RI'!R146</f>
        <v>9685521.5800000001</v>
      </c>
      <c r="G145" s="14">
        <f>'B) D RI'!U146</f>
        <v>158779.04229508198</v>
      </c>
      <c r="H145" s="52">
        <f>'B) D RI'!T146</f>
        <v>8590300.4299999997</v>
      </c>
      <c r="I145" s="14">
        <f t="shared" si="16"/>
        <v>281649.19442622951</v>
      </c>
      <c r="J145" s="41">
        <f t="shared" si="17"/>
        <v>250537.08258298237</v>
      </c>
      <c r="K145" s="14">
        <f t="shared" si="13"/>
        <v>250537.08258298237</v>
      </c>
      <c r="L145" s="14">
        <f t="shared" si="18"/>
        <v>0</v>
      </c>
      <c r="M145" s="14">
        <f>'D) Ecrêtage'!M144</f>
        <v>158779.04229508198</v>
      </c>
      <c r="N145" s="14">
        <f t="shared" si="14"/>
        <v>205804.48094387571</v>
      </c>
      <c r="O145" s="75">
        <f t="shared" si="15"/>
        <v>456341.56352685811</v>
      </c>
      <c r="P145" s="329"/>
      <c r="Q145" s="330"/>
      <c r="R145" s="326"/>
      <c r="S145" s="326"/>
      <c r="T145" s="331"/>
    </row>
    <row r="146" spans="1:20" s="325" customFormat="1" x14ac:dyDescent="0.25">
      <c r="A146" s="338">
        <f>'A) Base RI'!A147</f>
        <v>5637</v>
      </c>
      <c r="B146" s="338" t="str">
        <f>'A) Base RI'!B147</f>
        <v>Lavigny</v>
      </c>
      <c r="C146" s="397">
        <v>0</v>
      </c>
      <c r="D146" s="327">
        <f>'B) D RI'!AR147</f>
        <v>981</v>
      </c>
      <c r="E146" s="328">
        <f>'B) D RI'!S147</f>
        <v>74.5</v>
      </c>
      <c r="F146" s="14">
        <f>'B) D RI'!R147</f>
        <v>2315116.4266666672</v>
      </c>
      <c r="G146" s="14">
        <f>'B) D RI'!U147</f>
        <v>31075.388277404931</v>
      </c>
      <c r="H146" s="52">
        <f>'B) D RI'!T147</f>
        <v>2141357.3600000003</v>
      </c>
      <c r="I146" s="14">
        <f t="shared" si="16"/>
        <v>57486.103624161085</v>
      </c>
      <c r="J146" s="41">
        <f t="shared" si="17"/>
        <v>83825.674629572211</v>
      </c>
      <c r="K146" s="14">
        <f t="shared" si="13"/>
        <v>57486.103624161085</v>
      </c>
      <c r="L146" s="14">
        <f t="shared" si="18"/>
        <v>26339.571005411126</v>
      </c>
      <c r="M146" s="14">
        <f>'D) Ecrêtage'!M145</f>
        <v>31075.388277404931</v>
      </c>
      <c r="N146" s="14">
        <f t="shared" si="14"/>
        <v>40278.956606093692</v>
      </c>
      <c r="O146" s="75">
        <f t="shared" si="15"/>
        <v>97765.060230254778</v>
      </c>
      <c r="P146" s="329"/>
      <c r="Q146" s="330"/>
      <c r="R146" s="326"/>
      <c r="S146" s="326"/>
      <c r="T146" s="331"/>
    </row>
    <row r="147" spans="1:20" s="325" customFormat="1" x14ac:dyDescent="0.25">
      <c r="A147" s="338">
        <f>'A) Base RI'!A148</f>
        <v>5638</v>
      </c>
      <c r="B147" s="338" t="str">
        <f>'A) Base RI'!B148</f>
        <v>Lonay</v>
      </c>
      <c r="C147" s="397">
        <v>0</v>
      </c>
      <c r="D147" s="327">
        <f>'B) D RI'!AR148</f>
        <v>2536</v>
      </c>
      <c r="E147" s="328">
        <f>'B) D RI'!S148</f>
        <v>55</v>
      </c>
      <c r="F147" s="14">
        <f>'B) D RI'!R148</f>
        <v>8386156.3800000018</v>
      </c>
      <c r="G147" s="14">
        <f>'B) D RI'!U148</f>
        <v>152475.57054545457</v>
      </c>
      <c r="H147" s="52">
        <f>'B) D RI'!T148</f>
        <v>7751797.9800000014</v>
      </c>
      <c r="I147" s="14">
        <f t="shared" si="16"/>
        <v>281883.56290909095</v>
      </c>
      <c r="J147" s="41">
        <f t="shared" si="17"/>
        <v>216699.19557654957</v>
      </c>
      <c r="K147" s="14">
        <f t="shared" si="13"/>
        <v>216699.19557654957</v>
      </c>
      <c r="L147" s="14">
        <f t="shared" si="18"/>
        <v>0</v>
      </c>
      <c r="M147" s="14">
        <f>'D) Ecrêtage'!M146</f>
        <v>147798.4691291679</v>
      </c>
      <c r="N147" s="14">
        <f t="shared" si="14"/>
        <v>191571.80181814203</v>
      </c>
      <c r="O147" s="75">
        <f t="shared" si="15"/>
        <v>408270.99739469157</v>
      </c>
      <c r="P147" s="329"/>
      <c r="Q147" s="330"/>
      <c r="R147" s="326"/>
      <c r="S147" s="326"/>
      <c r="T147" s="331"/>
    </row>
    <row r="148" spans="1:20" s="325" customFormat="1" x14ac:dyDescent="0.25">
      <c r="A148" s="338">
        <f>'A) Base RI'!A149</f>
        <v>5639</v>
      </c>
      <c r="B148" s="338" t="str">
        <f>'A) Base RI'!B149</f>
        <v>Lully</v>
      </c>
      <c r="C148" s="397">
        <v>0</v>
      </c>
      <c r="D148" s="327">
        <f>'B) D RI'!AR149</f>
        <v>760</v>
      </c>
      <c r="E148" s="328">
        <f>'B) D RI'!S149</f>
        <v>61</v>
      </c>
      <c r="F148" s="14">
        <f>'B) D RI'!R149</f>
        <v>2581424.13</v>
      </c>
      <c r="G148" s="14">
        <f>'B) D RI'!U149</f>
        <v>42318.428360655736</v>
      </c>
      <c r="H148" s="52">
        <f>'B) D RI'!T149</f>
        <v>2402430.9699999997</v>
      </c>
      <c r="I148" s="14">
        <f t="shared" si="16"/>
        <v>78768.228524590158</v>
      </c>
      <c r="J148" s="41">
        <f t="shared" si="17"/>
        <v>64941.399305275103</v>
      </c>
      <c r="K148" s="14">
        <f t="shared" si="13"/>
        <v>64941.399305275103</v>
      </c>
      <c r="L148" s="14">
        <f t="shared" si="18"/>
        <v>0</v>
      </c>
      <c r="M148" s="14">
        <f>'D) Ecrêtage'!M147</f>
        <v>42132.184933492586</v>
      </c>
      <c r="N148" s="14">
        <f t="shared" si="14"/>
        <v>54610.434260928894</v>
      </c>
      <c r="O148" s="75">
        <f t="shared" si="15"/>
        <v>119551.833566204</v>
      </c>
      <c r="P148" s="329"/>
      <c r="Q148" s="330"/>
      <c r="R148" s="326"/>
      <c r="S148" s="326"/>
      <c r="T148" s="331"/>
    </row>
    <row r="149" spans="1:20" s="325" customFormat="1" x14ac:dyDescent="0.25">
      <c r="A149" s="338">
        <f>'A) Base RI'!A150</f>
        <v>5640</v>
      </c>
      <c r="B149" s="338" t="str">
        <f>'A) Base RI'!B150</f>
        <v>Lussy-sur-Morges</v>
      </c>
      <c r="C149" s="397">
        <v>1</v>
      </c>
      <c r="D149" s="327">
        <f>'B) D RI'!AR150</f>
        <v>646</v>
      </c>
      <c r="E149" s="328">
        <f>'B) D RI'!S150</f>
        <v>66</v>
      </c>
      <c r="F149" s="14">
        <f>'B) D RI'!R150</f>
        <v>2990515.73</v>
      </c>
      <c r="G149" s="14">
        <f>'B) D RI'!U150</f>
        <v>45310.844393939391</v>
      </c>
      <c r="H149" s="52">
        <f>'B) D RI'!T150</f>
        <v>2815287.58</v>
      </c>
      <c r="I149" s="14">
        <f t="shared" si="16"/>
        <v>85311.744848484857</v>
      </c>
      <c r="J149" s="41">
        <f t="shared" si="17"/>
        <v>55200.189409483843</v>
      </c>
      <c r="K149" s="14">
        <f t="shared" si="13"/>
        <v>0</v>
      </c>
      <c r="L149" s="14">
        <f t="shared" si="18"/>
        <v>55200.189409483843</v>
      </c>
      <c r="M149" s="14">
        <f>'D) Ecrêtage'!M148</f>
        <v>41700.35347316313</v>
      </c>
      <c r="N149" s="14">
        <f t="shared" si="14"/>
        <v>54050.707685785717</v>
      </c>
      <c r="O149" s="75">
        <f t="shared" si="15"/>
        <v>54050.707685785717</v>
      </c>
      <c r="P149" s="329"/>
      <c r="Q149" s="330"/>
      <c r="R149" s="326"/>
      <c r="S149" s="326"/>
      <c r="T149" s="331"/>
    </row>
    <row r="150" spans="1:20" s="325" customFormat="1" x14ac:dyDescent="0.25">
      <c r="A150" s="338">
        <f>'A) Base RI'!A151</f>
        <v>5642</v>
      </c>
      <c r="B150" s="338" t="str">
        <f>'A) Base RI'!B151</f>
        <v>Morges</v>
      </c>
      <c r="C150" s="397">
        <v>1</v>
      </c>
      <c r="D150" s="327">
        <f>'B) D RI'!AR151</f>
        <v>15623</v>
      </c>
      <c r="E150" s="328">
        <f>'B) D RI'!S151</f>
        <v>68.5</v>
      </c>
      <c r="F150" s="14">
        <f>'B) D RI'!R151</f>
        <v>49003538.949999996</v>
      </c>
      <c r="G150" s="14">
        <f>'B) D RI'!U151</f>
        <v>715380.13065693423</v>
      </c>
      <c r="H150" s="52">
        <f>'B) D RI'!T151</f>
        <v>45681551.299999997</v>
      </c>
      <c r="I150" s="14">
        <f t="shared" si="16"/>
        <v>1333767.9211678831</v>
      </c>
      <c r="J150" s="41">
        <f t="shared" si="17"/>
        <v>1334973.0017714645</v>
      </c>
      <c r="K150" s="14">
        <f t="shared" si="13"/>
        <v>0</v>
      </c>
      <c r="L150" s="14">
        <f t="shared" si="18"/>
        <v>1334973.0017714645</v>
      </c>
      <c r="M150" s="14">
        <f>'D) Ecrêtage'!M149</f>
        <v>715380.13065693423</v>
      </c>
      <c r="N150" s="14">
        <f t="shared" si="14"/>
        <v>927253.58674097876</v>
      </c>
      <c r="O150" s="75">
        <f t="shared" si="15"/>
        <v>927253.58674097876</v>
      </c>
      <c r="P150" s="329"/>
      <c r="Q150" s="330"/>
      <c r="R150" s="326"/>
      <c r="S150" s="326"/>
      <c r="T150" s="331"/>
    </row>
    <row r="151" spans="1:20" s="325" customFormat="1" x14ac:dyDescent="0.25">
      <c r="A151" s="338">
        <f>'A) Base RI'!A152</f>
        <v>5643</v>
      </c>
      <c r="B151" s="338" t="str">
        <f>'A) Base RI'!B152</f>
        <v>Préverenges</v>
      </c>
      <c r="C151" s="397">
        <v>1</v>
      </c>
      <c r="D151" s="327">
        <f>'B) D RI'!AR152</f>
        <v>5263</v>
      </c>
      <c r="E151" s="328">
        <f>'B) D RI'!S152</f>
        <v>64</v>
      </c>
      <c r="F151" s="14">
        <f>'B) D RI'!R152</f>
        <v>15986786.33</v>
      </c>
      <c r="G151" s="14">
        <f>'B) D RI'!U152</f>
        <v>249793.53640625</v>
      </c>
      <c r="H151" s="52">
        <f>'B) D RI'!T152</f>
        <v>14881917.98</v>
      </c>
      <c r="I151" s="14">
        <f t="shared" si="16"/>
        <v>465059.93687500001</v>
      </c>
      <c r="J151" s="41">
        <f t="shared" si="17"/>
        <v>449719.19018903008</v>
      </c>
      <c r="K151" s="14">
        <f t="shared" si="13"/>
        <v>0</v>
      </c>
      <c r="L151" s="14">
        <f t="shared" si="18"/>
        <v>449719.19018903008</v>
      </c>
      <c r="M151" s="14">
        <f>'D) Ecrêtage'!M150</f>
        <v>249793.53640625</v>
      </c>
      <c r="N151" s="14">
        <f t="shared" si="14"/>
        <v>323774.65161732957</v>
      </c>
      <c r="O151" s="75">
        <f t="shared" si="15"/>
        <v>323774.65161732957</v>
      </c>
      <c r="P151" s="329"/>
      <c r="Q151" s="330"/>
      <c r="R151" s="326"/>
      <c r="S151" s="326"/>
      <c r="T151" s="331"/>
    </row>
    <row r="152" spans="1:20" s="325" customFormat="1" x14ac:dyDescent="0.25">
      <c r="A152" s="338">
        <f>'A) Base RI'!A153</f>
        <v>5644</v>
      </c>
      <c r="B152" s="338" t="str">
        <f>'A) Base RI'!B153</f>
        <v>Reverolle</v>
      </c>
      <c r="C152" s="397">
        <v>0</v>
      </c>
      <c r="D152" s="327">
        <f>'B) D RI'!AR153</f>
        <v>360</v>
      </c>
      <c r="E152" s="328">
        <f>'B) D RI'!S153</f>
        <v>76</v>
      </c>
      <c r="F152" s="14">
        <f>'B) D RI'!R153</f>
        <v>1185209.1800000002</v>
      </c>
      <c r="G152" s="14">
        <f>'B) D RI'!U153</f>
        <v>15594.857631578949</v>
      </c>
      <c r="H152" s="52">
        <f>'B) D RI'!T153</f>
        <v>1119297.6300000001</v>
      </c>
      <c r="I152" s="14">
        <f t="shared" si="16"/>
        <v>29455.200789473689</v>
      </c>
      <c r="J152" s="41">
        <f t="shared" si="17"/>
        <v>30761.715460393472</v>
      </c>
      <c r="K152" s="14">
        <f t="shared" si="13"/>
        <v>29455.200789473689</v>
      </c>
      <c r="L152" s="14">
        <f t="shared" si="18"/>
        <v>1306.5146709197834</v>
      </c>
      <c r="M152" s="14">
        <f>'D) Ecrêtage'!M151</f>
        <v>15594.857631578949</v>
      </c>
      <c r="N152" s="14">
        <f t="shared" si="14"/>
        <v>20213.571853494894</v>
      </c>
      <c r="O152" s="75">
        <f t="shared" si="15"/>
        <v>49668.772642968586</v>
      </c>
      <c r="P152" s="329"/>
      <c r="Q152" s="330"/>
      <c r="R152" s="326"/>
      <c r="S152" s="326"/>
      <c r="T152" s="331"/>
    </row>
    <row r="153" spans="1:20" s="325" customFormat="1" x14ac:dyDescent="0.25">
      <c r="A153" s="338">
        <f>'A) Base RI'!A154</f>
        <v>5645</v>
      </c>
      <c r="B153" s="338" t="str">
        <f>'A) Base RI'!B154</f>
        <v>Romanel-sur-Morges</v>
      </c>
      <c r="C153" s="397">
        <v>0</v>
      </c>
      <c r="D153" s="327">
        <f>'B) D RI'!AR154</f>
        <v>459</v>
      </c>
      <c r="E153" s="328">
        <f>'B) D RI'!S154</f>
        <v>56</v>
      </c>
      <c r="F153" s="14">
        <f>'B) D RI'!R154</f>
        <v>1421201.8949999998</v>
      </c>
      <c r="G153" s="14">
        <f>'B) D RI'!U154</f>
        <v>25378.60526785714</v>
      </c>
      <c r="H153" s="52">
        <f>'B) D RI'!T154</f>
        <v>1277092.7699999998</v>
      </c>
      <c r="I153" s="14">
        <f t="shared" si="16"/>
        <v>45610.456071428562</v>
      </c>
      <c r="J153" s="41">
        <f t="shared" si="17"/>
        <v>39221.187212001678</v>
      </c>
      <c r="K153" s="14">
        <f t="shared" si="13"/>
        <v>39221.187212001678</v>
      </c>
      <c r="L153" s="14">
        <f t="shared" si="18"/>
        <v>0</v>
      </c>
      <c r="M153" s="14">
        <f>'D) Ecrêtage'!M152</f>
        <v>25330.743383595498</v>
      </c>
      <c r="N153" s="14">
        <f t="shared" si="14"/>
        <v>32832.925672236895</v>
      </c>
      <c r="O153" s="75">
        <f t="shared" si="15"/>
        <v>72054.112884238566</v>
      </c>
      <c r="P153" s="329"/>
      <c r="Q153" s="330"/>
      <c r="R153" s="326"/>
      <c r="S153" s="326"/>
      <c r="T153" s="331"/>
    </row>
    <row r="154" spans="1:20" s="325" customFormat="1" x14ac:dyDescent="0.25">
      <c r="A154" s="338">
        <f>'A) Base RI'!A155</f>
        <v>5646</v>
      </c>
      <c r="B154" s="338" t="str">
        <f>'A) Base RI'!B155</f>
        <v>Saint-Prex</v>
      </c>
      <c r="C154" s="397">
        <v>1</v>
      </c>
      <c r="D154" s="327">
        <f>'B) D RI'!AR155</f>
        <v>5604</v>
      </c>
      <c r="E154" s="328">
        <f>'B) D RI'!S155</f>
        <v>55</v>
      </c>
      <c r="F154" s="14">
        <f>'B) D RI'!R155</f>
        <v>16902470.280000001</v>
      </c>
      <c r="G154" s="14">
        <f>'B) D RI'!U155</f>
        <v>307317.64145454549</v>
      </c>
      <c r="H154" s="52">
        <f>'B) D RI'!T155</f>
        <v>15355680.33</v>
      </c>
      <c r="I154" s="14">
        <f t="shared" si="16"/>
        <v>558388.37563636363</v>
      </c>
      <c r="J154" s="41">
        <f t="shared" si="17"/>
        <v>478857.37066679168</v>
      </c>
      <c r="K154" s="14">
        <f t="shared" si="13"/>
        <v>0</v>
      </c>
      <c r="L154" s="14">
        <f t="shared" si="18"/>
        <v>478857.37066679168</v>
      </c>
      <c r="M154" s="14">
        <f>'D) Ecrêtage'!M153</f>
        <v>307317.64145454549</v>
      </c>
      <c r="N154" s="14">
        <f t="shared" si="14"/>
        <v>398335.61640274397</v>
      </c>
      <c r="O154" s="75">
        <f t="shared" si="15"/>
        <v>398335.61640274397</v>
      </c>
      <c r="P154" s="329"/>
      <c r="Q154" s="330"/>
      <c r="R154" s="326"/>
      <c r="S154" s="326"/>
      <c r="T154" s="331"/>
    </row>
    <row r="155" spans="1:20" s="325" customFormat="1" x14ac:dyDescent="0.25">
      <c r="A155" s="338">
        <f>'A) Base RI'!A156</f>
        <v>5648</v>
      </c>
      <c r="B155" s="338" t="str">
        <f>'A) Base RI'!B156</f>
        <v>Saint-Sulpice</v>
      </c>
      <c r="C155" s="397">
        <v>1</v>
      </c>
      <c r="D155" s="327">
        <f>'B) D RI'!AR156</f>
        <v>3898</v>
      </c>
      <c r="E155" s="328">
        <f>'B) D RI'!S156</f>
        <v>55</v>
      </c>
      <c r="F155" s="14">
        <f>'B) D RI'!R156</f>
        <v>16903458.695</v>
      </c>
      <c r="G155" s="14">
        <f>'B) D RI'!U156</f>
        <v>307335.61263636366</v>
      </c>
      <c r="H155" s="52">
        <f>'B) D RI'!T156</f>
        <v>15692901.470000001</v>
      </c>
      <c r="I155" s="14">
        <f t="shared" si="16"/>
        <v>570650.96254545462</v>
      </c>
      <c r="J155" s="41">
        <f t="shared" si="17"/>
        <v>333081.0190683715</v>
      </c>
      <c r="K155" s="14">
        <f t="shared" si="13"/>
        <v>0</v>
      </c>
      <c r="L155" s="14">
        <f t="shared" si="18"/>
        <v>333081.0190683715</v>
      </c>
      <c r="M155" s="14">
        <f>'D) Ecrêtage'!M154</f>
        <v>269943.08106620441</v>
      </c>
      <c r="N155" s="14">
        <f t="shared" si="14"/>
        <v>349891.86784471199</v>
      </c>
      <c r="O155" s="75">
        <f t="shared" si="15"/>
        <v>349891.86784471199</v>
      </c>
      <c r="P155" s="329"/>
      <c r="Q155" s="330"/>
      <c r="R155" s="326"/>
      <c r="S155" s="326"/>
      <c r="T155" s="331"/>
    </row>
    <row r="156" spans="1:20" s="325" customFormat="1" x14ac:dyDescent="0.25">
      <c r="A156" s="338">
        <f>'A) Base RI'!A157</f>
        <v>5649</v>
      </c>
      <c r="B156" s="338" t="str">
        <f>'A) Base RI'!B157</f>
        <v>Tolochenaz</v>
      </c>
      <c r="C156" s="397">
        <v>1</v>
      </c>
      <c r="D156" s="327">
        <f>'B) D RI'!AR157</f>
        <v>1855</v>
      </c>
      <c r="E156" s="328">
        <f>'B) D RI'!S157</f>
        <v>65</v>
      </c>
      <c r="F156" s="14">
        <f>'B) D RI'!R157</f>
        <v>7108408.0700000003</v>
      </c>
      <c r="G156" s="14">
        <f>'B) D RI'!U157</f>
        <v>109360.12415384616</v>
      </c>
      <c r="H156" s="52">
        <f>'B) D RI'!T157</f>
        <v>6531560.9700000007</v>
      </c>
      <c r="I156" s="14">
        <f t="shared" si="16"/>
        <v>200971.1067692308</v>
      </c>
      <c r="J156" s="41">
        <f t="shared" si="17"/>
        <v>158508.28383063857</v>
      </c>
      <c r="K156" s="14">
        <f t="shared" si="13"/>
        <v>0</v>
      </c>
      <c r="L156" s="14">
        <f t="shared" si="18"/>
        <v>158508.28383063857</v>
      </c>
      <c r="M156" s="14">
        <f>'D) Ecrêtage'!M155</f>
        <v>106720.43327669609</v>
      </c>
      <c r="N156" s="14">
        <f t="shared" si="14"/>
        <v>138327.72297365253</v>
      </c>
      <c r="O156" s="75">
        <f t="shared" si="15"/>
        <v>138327.72297365253</v>
      </c>
      <c r="P156" s="329"/>
      <c r="Q156" s="330"/>
      <c r="R156" s="326"/>
      <c r="S156" s="326"/>
      <c r="T156" s="331"/>
    </row>
    <row r="157" spans="1:20" s="325" customFormat="1" x14ac:dyDescent="0.25">
      <c r="A157" s="338">
        <f>'A) Base RI'!A158</f>
        <v>5650</v>
      </c>
      <c r="B157" s="338" t="str">
        <f>'A) Base RI'!B158</f>
        <v>Vaux-sur-Morges</v>
      </c>
      <c r="C157" s="397">
        <v>0</v>
      </c>
      <c r="D157" s="327">
        <f>'B) D RI'!AR158</f>
        <v>203</v>
      </c>
      <c r="E157" s="328">
        <f>'B) D RI'!S158</f>
        <v>39</v>
      </c>
      <c r="F157" s="14">
        <f>'B) D RI'!R158</f>
        <v>7217397.2699999996</v>
      </c>
      <c r="G157" s="14">
        <f>'B) D RI'!U158</f>
        <v>185061.46846153846</v>
      </c>
      <c r="H157" s="52">
        <f>'B) D RI'!T158</f>
        <v>7175216.2299999995</v>
      </c>
      <c r="I157" s="14">
        <f t="shared" si="16"/>
        <v>367959.80666666664</v>
      </c>
      <c r="J157" s="41">
        <f t="shared" si="17"/>
        <v>17346.189551277428</v>
      </c>
      <c r="K157" s="14">
        <f t="shared" si="13"/>
        <v>17346.189551277428</v>
      </c>
      <c r="L157" s="14">
        <f t="shared" si="18"/>
        <v>0</v>
      </c>
      <c r="M157" s="14">
        <f>'D) Ecrêtage'!M156</f>
        <v>72988.269043769353</v>
      </c>
      <c r="N157" s="14">
        <f t="shared" si="14"/>
        <v>94605.135592319755</v>
      </c>
      <c r="O157" s="75">
        <f t="shared" si="15"/>
        <v>111951.32514359718</v>
      </c>
      <c r="P157" s="329"/>
      <c r="Q157" s="330"/>
      <c r="R157" s="326"/>
      <c r="S157" s="326"/>
      <c r="T157" s="331"/>
    </row>
    <row r="158" spans="1:20" s="325" customFormat="1" x14ac:dyDescent="0.25">
      <c r="A158" s="338">
        <f>'A) Base RI'!A159</f>
        <v>5651</v>
      </c>
      <c r="B158" s="338" t="str">
        <f>'A) Base RI'!B159</f>
        <v>Villars-Sainte-Croix</v>
      </c>
      <c r="C158" s="397">
        <v>1</v>
      </c>
      <c r="D158" s="327">
        <f>'B) D RI'!AR159</f>
        <v>709</v>
      </c>
      <c r="E158" s="328">
        <f>'B) D RI'!S159</f>
        <v>59</v>
      </c>
      <c r="F158" s="14">
        <f>'B) D RI'!R159</f>
        <v>2231574.5700000003</v>
      </c>
      <c r="G158" s="14">
        <f>'B) D RI'!U159</f>
        <v>37823.297796610175</v>
      </c>
      <c r="H158" s="52">
        <f>'B) D RI'!T159</f>
        <v>2017643.1700000002</v>
      </c>
      <c r="I158" s="14">
        <f t="shared" si="16"/>
        <v>68394.683728813558</v>
      </c>
      <c r="J158" s="41">
        <f t="shared" si="17"/>
        <v>60583.489615052698</v>
      </c>
      <c r="K158" s="14">
        <f t="shared" si="13"/>
        <v>0</v>
      </c>
      <c r="L158" s="14">
        <f t="shared" si="18"/>
        <v>60583.489615052698</v>
      </c>
      <c r="M158" s="14">
        <f>'D) Ecrêtage'!M157</f>
        <v>37823.297796610175</v>
      </c>
      <c r="N158" s="14">
        <f t="shared" si="14"/>
        <v>49025.388099712094</v>
      </c>
      <c r="O158" s="75">
        <f t="shared" si="15"/>
        <v>49025.388099712094</v>
      </c>
      <c r="P158" s="329"/>
      <c r="Q158" s="330"/>
      <c r="R158" s="326"/>
      <c r="S158" s="326"/>
      <c r="T158" s="331"/>
    </row>
    <row r="159" spans="1:20" s="325" customFormat="1" x14ac:dyDescent="0.25">
      <c r="A159" s="338">
        <f>'A) Base RI'!A160</f>
        <v>5652</v>
      </c>
      <c r="B159" s="338" t="str">
        <f>'A) Base RI'!B160</f>
        <v>Villars-sous-Yens</v>
      </c>
      <c r="C159" s="397">
        <v>0</v>
      </c>
      <c r="D159" s="327">
        <f>'B) D RI'!AR160</f>
        <v>564</v>
      </c>
      <c r="E159" s="328">
        <f>'B) D RI'!S160</f>
        <v>76</v>
      </c>
      <c r="F159" s="14">
        <f>'B) D RI'!R160</f>
        <v>1796661.3866666667</v>
      </c>
      <c r="G159" s="14">
        <f>'B) D RI'!U160</f>
        <v>23640.281403508772</v>
      </c>
      <c r="H159" s="52">
        <f>'B) D RI'!T160</f>
        <v>1700032.47</v>
      </c>
      <c r="I159" s="14">
        <f t="shared" si="16"/>
        <v>44737.696578947369</v>
      </c>
      <c r="J159" s="41">
        <f t="shared" si="17"/>
        <v>48193.354221283102</v>
      </c>
      <c r="K159" s="14">
        <f t="shared" si="13"/>
        <v>44737.696578947369</v>
      </c>
      <c r="L159" s="14">
        <f t="shared" si="18"/>
        <v>3455.6576423357328</v>
      </c>
      <c r="M159" s="14">
        <f>'D) Ecrêtage'!M158</f>
        <v>23640.281403508772</v>
      </c>
      <c r="N159" s="14">
        <f t="shared" si="14"/>
        <v>30641.801167779038</v>
      </c>
      <c r="O159" s="75">
        <f t="shared" si="15"/>
        <v>75379.497746726411</v>
      </c>
      <c r="P159" s="329"/>
      <c r="Q159" s="330"/>
      <c r="R159" s="326"/>
      <c r="S159" s="326"/>
      <c r="T159" s="331"/>
    </row>
    <row r="160" spans="1:20" s="325" customFormat="1" x14ac:dyDescent="0.25">
      <c r="A160" s="338">
        <f>'A) Base RI'!A161</f>
        <v>5653</v>
      </c>
      <c r="B160" s="338" t="str">
        <f>'A) Base RI'!B161</f>
        <v>Vufflens-le-Château</v>
      </c>
      <c r="C160" s="397">
        <v>0</v>
      </c>
      <c r="D160" s="327">
        <f>'B) D RI'!AR161</f>
        <v>821</v>
      </c>
      <c r="E160" s="328">
        <f>'B) D RI'!S161</f>
        <v>55</v>
      </c>
      <c r="F160" s="14">
        <f>'B) D RI'!R161</f>
        <v>3289547.625</v>
      </c>
      <c r="G160" s="14">
        <f>'B) D RI'!U161</f>
        <v>59809.956818181818</v>
      </c>
      <c r="H160" s="52">
        <f>'B) D RI'!T161</f>
        <v>3068890.75</v>
      </c>
      <c r="I160" s="14">
        <f t="shared" si="16"/>
        <v>111596.02727272727</v>
      </c>
      <c r="J160" s="41">
        <f t="shared" si="17"/>
        <v>70153.801091619549</v>
      </c>
      <c r="K160" s="14">
        <f t="shared" si="13"/>
        <v>70153.801091619549</v>
      </c>
      <c r="L160" s="14">
        <f t="shared" si="18"/>
        <v>0</v>
      </c>
      <c r="M160" s="14">
        <f>'D) Ecrêtage'!M159</f>
        <v>54198.120409152303</v>
      </c>
      <c r="N160" s="14">
        <f t="shared" si="14"/>
        <v>70249.926424230347</v>
      </c>
      <c r="O160" s="75">
        <f t="shared" si="15"/>
        <v>140403.7275158499</v>
      </c>
      <c r="P160" s="329"/>
      <c r="Q160" s="330"/>
      <c r="R160" s="326"/>
      <c r="S160" s="326"/>
      <c r="T160" s="331"/>
    </row>
    <row r="161" spans="1:20" s="325" customFormat="1" x14ac:dyDescent="0.25">
      <c r="A161" s="338">
        <f>'A) Base RI'!A162</f>
        <v>5654</v>
      </c>
      <c r="B161" s="338" t="str">
        <f>'A) Base RI'!B162</f>
        <v>Vullierens</v>
      </c>
      <c r="C161" s="397">
        <v>0</v>
      </c>
      <c r="D161" s="327">
        <f>'B) D RI'!AR162</f>
        <v>460</v>
      </c>
      <c r="E161" s="328">
        <f>'B) D RI'!S162</f>
        <v>76</v>
      </c>
      <c r="F161" s="14">
        <f>'B) D RI'!R162</f>
        <v>1288115.6700000002</v>
      </c>
      <c r="G161" s="14">
        <f>'B) D RI'!U162</f>
        <v>16948.890394736845</v>
      </c>
      <c r="H161" s="52">
        <f>'B) D RI'!T162</f>
        <v>1205430.5200000003</v>
      </c>
      <c r="I161" s="14">
        <f t="shared" si="16"/>
        <v>31721.855789473691</v>
      </c>
      <c r="J161" s="41">
        <f t="shared" si="17"/>
        <v>39306.636421613883</v>
      </c>
      <c r="K161" s="14">
        <f t="shared" si="13"/>
        <v>31721.855789473691</v>
      </c>
      <c r="L161" s="14">
        <f t="shared" si="18"/>
        <v>7584.7806321401913</v>
      </c>
      <c r="M161" s="14">
        <f>'D) Ecrêtage'!M160</f>
        <v>16948.890394736845</v>
      </c>
      <c r="N161" s="14">
        <f t="shared" si="14"/>
        <v>21968.627218325899</v>
      </c>
      <c r="O161" s="75">
        <f t="shared" si="15"/>
        <v>53690.483007799587</v>
      </c>
      <c r="P161" s="329"/>
      <c r="Q161" s="330"/>
      <c r="R161" s="326"/>
      <c r="S161" s="326"/>
      <c r="T161" s="331"/>
    </row>
    <row r="162" spans="1:20" s="325" customFormat="1" x14ac:dyDescent="0.25">
      <c r="A162" s="338">
        <f>'A) Base RI'!A163</f>
        <v>5655</v>
      </c>
      <c r="B162" s="338" t="str">
        <f>'A) Base RI'!B163</f>
        <v>Yens</v>
      </c>
      <c r="C162" s="397">
        <v>0</v>
      </c>
      <c r="D162" s="327">
        <f>'B) D RI'!AR163</f>
        <v>1405</v>
      </c>
      <c r="E162" s="328">
        <f>'B) D RI'!S163</f>
        <v>73</v>
      </c>
      <c r="F162" s="14">
        <f>'B) D RI'!R163</f>
        <v>4971831.6000000006</v>
      </c>
      <c r="G162" s="14">
        <f>'B) D RI'!U163</f>
        <v>68107.282191780832</v>
      </c>
      <c r="H162" s="52">
        <f>'B) D RI'!T163</f>
        <v>4636510.0500000007</v>
      </c>
      <c r="I162" s="14">
        <f t="shared" si="16"/>
        <v>127027.67260273975</v>
      </c>
      <c r="J162" s="41">
        <f t="shared" si="17"/>
        <v>120056.13950514674</v>
      </c>
      <c r="K162" s="14">
        <f t="shared" si="13"/>
        <v>120056.13950514674</v>
      </c>
      <c r="L162" s="14">
        <f t="shared" si="18"/>
        <v>0</v>
      </c>
      <c r="M162" s="14">
        <f>'D) Ecrêtage'!M161</f>
        <v>68107.282191780832</v>
      </c>
      <c r="N162" s="14">
        <f t="shared" si="14"/>
        <v>88278.551484950483</v>
      </c>
      <c r="O162" s="75">
        <f t="shared" si="15"/>
        <v>208334.69099009724</v>
      </c>
      <c r="P162" s="329"/>
      <c r="Q162" s="330"/>
      <c r="R162" s="326"/>
      <c r="S162" s="326"/>
      <c r="T162" s="331"/>
    </row>
    <row r="163" spans="1:20" s="325" customFormat="1" x14ac:dyDescent="0.25">
      <c r="A163" s="338">
        <f>'A) Base RI'!A164</f>
        <v>5661</v>
      </c>
      <c r="B163" s="338" t="str">
        <f>'A) Base RI'!B164</f>
        <v>Boulens</v>
      </c>
      <c r="C163" s="397">
        <v>0</v>
      </c>
      <c r="D163" s="327">
        <f>'B) D RI'!AR164</f>
        <v>325</v>
      </c>
      <c r="E163" s="328">
        <f>'B) D RI'!S164</f>
        <v>79</v>
      </c>
      <c r="F163" s="14">
        <f>'B) D RI'!R164</f>
        <v>574920.54</v>
      </c>
      <c r="G163" s="14">
        <f>'B) D RI'!U164</f>
        <v>7277.4751898734185</v>
      </c>
      <c r="H163" s="52">
        <f>'B) D RI'!T164</f>
        <v>534561.44000000006</v>
      </c>
      <c r="I163" s="14">
        <f t="shared" si="16"/>
        <v>13533.20101265823</v>
      </c>
      <c r="J163" s="41">
        <f t="shared" si="17"/>
        <v>27770.993123966327</v>
      </c>
      <c r="K163" s="14">
        <f t="shared" si="13"/>
        <v>13533.20101265823</v>
      </c>
      <c r="L163" s="14">
        <f t="shared" si="18"/>
        <v>14237.792111308097</v>
      </c>
      <c r="M163" s="14">
        <f>'D) Ecrêtage'!M162</f>
        <v>7277.4751898734185</v>
      </c>
      <c r="N163" s="14">
        <f t="shared" si="14"/>
        <v>9432.8381276564924</v>
      </c>
      <c r="O163" s="75">
        <f t="shared" si="15"/>
        <v>22966.039140314722</v>
      </c>
      <c r="P163" s="329"/>
      <c r="Q163" s="330"/>
      <c r="R163" s="326"/>
      <c r="S163" s="326"/>
      <c r="T163" s="331"/>
    </row>
    <row r="164" spans="1:20" s="325" customFormat="1" x14ac:dyDescent="0.25">
      <c r="A164" s="338">
        <f>'A) Base RI'!A165</f>
        <v>5662</v>
      </c>
      <c r="B164" s="338" t="str">
        <f>'A) Base RI'!B165</f>
        <v>Brenles</v>
      </c>
      <c r="C164" s="397">
        <v>0</v>
      </c>
      <c r="D164" s="327">
        <f>'B) D RI'!AR165</f>
        <v>144</v>
      </c>
      <c r="E164" s="328">
        <f>'B) D RI'!S165</f>
        <v>78</v>
      </c>
      <c r="F164" s="14">
        <f>'B) D RI'!R165</f>
        <v>365043.22444444441</v>
      </c>
      <c r="G164" s="14">
        <f>'B) D RI'!U165</f>
        <v>4680.0413390313388</v>
      </c>
      <c r="H164" s="52">
        <f>'B) D RI'!T165</f>
        <v>347127.77999999997</v>
      </c>
      <c r="I164" s="14">
        <f t="shared" si="16"/>
        <v>8900.7123076923071</v>
      </c>
      <c r="J164" s="41">
        <f t="shared" si="17"/>
        <v>12304.686184157388</v>
      </c>
      <c r="K164" s="14">
        <f t="shared" si="13"/>
        <v>8900.7123076923071</v>
      </c>
      <c r="L164" s="14">
        <f t="shared" si="18"/>
        <v>3403.973876465081</v>
      </c>
      <c r="M164" s="14">
        <f>'D) Ecrêtage'!M163</f>
        <v>4680.0413390313388</v>
      </c>
      <c r="N164" s="14">
        <f t="shared" si="14"/>
        <v>6066.1247520640773</v>
      </c>
      <c r="O164" s="75">
        <f t="shared" si="15"/>
        <v>14966.837059756384</v>
      </c>
      <c r="P164" s="329"/>
      <c r="Q164" s="330"/>
      <c r="R164" s="326"/>
      <c r="S164" s="326"/>
      <c r="T164" s="331"/>
    </row>
    <row r="165" spans="1:20" s="325" customFormat="1" x14ac:dyDescent="0.25">
      <c r="A165" s="338">
        <f>'A) Base RI'!A166</f>
        <v>5663</v>
      </c>
      <c r="B165" s="338" t="str">
        <f>'A) Base RI'!B166</f>
        <v>Bussy-sur-Moudon</v>
      </c>
      <c r="C165" s="397">
        <v>0</v>
      </c>
      <c r="D165" s="327">
        <f>'B) D RI'!AR166</f>
        <v>198</v>
      </c>
      <c r="E165" s="328">
        <f>'B) D RI'!S166</f>
        <v>80</v>
      </c>
      <c r="F165" s="14">
        <f>'B) D RI'!R166</f>
        <v>399928.31999999995</v>
      </c>
      <c r="G165" s="14">
        <f>'B) D RI'!U166</f>
        <v>4999.1039999999994</v>
      </c>
      <c r="H165" s="52">
        <f>'B) D RI'!T166</f>
        <v>378457.51999999996</v>
      </c>
      <c r="I165" s="14">
        <f t="shared" si="16"/>
        <v>9461.4379999999983</v>
      </c>
      <c r="J165" s="41">
        <f t="shared" si="17"/>
        <v>16918.943503216407</v>
      </c>
      <c r="K165" s="14">
        <f t="shared" si="13"/>
        <v>9461.4379999999983</v>
      </c>
      <c r="L165" s="14">
        <f t="shared" si="18"/>
        <v>7457.5055032164091</v>
      </c>
      <c r="M165" s="14">
        <f>'D) Ecrêtage'!M164</f>
        <v>4999.1039999999994</v>
      </c>
      <c r="N165" s="14">
        <f t="shared" si="14"/>
        <v>6479.6838992920411</v>
      </c>
      <c r="O165" s="75">
        <f t="shared" si="15"/>
        <v>15941.12189929204</v>
      </c>
      <c r="P165" s="329"/>
      <c r="Q165" s="330"/>
      <c r="R165" s="326"/>
      <c r="S165" s="326"/>
      <c r="T165" s="331"/>
    </row>
    <row r="166" spans="1:20" s="325" customFormat="1" x14ac:dyDescent="0.25">
      <c r="A166" s="338">
        <f>'A) Base RI'!A167</f>
        <v>5665</v>
      </c>
      <c r="B166" s="338" t="str">
        <f>'A) Base RI'!B167</f>
        <v>Chavannes-sur-Moudon</v>
      </c>
      <c r="C166" s="397">
        <v>0</v>
      </c>
      <c r="D166" s="327">
        <f>'B) D RI'!AR167</f>
        <v>224</v>
      </c>
      <c r="E166" s="328">
        <f>'B) D RI'!S167</f>
        <v>72</v>
      </c>
      <c r="F166" s="14">
        <f>'B) D RI'!R167</f>
        <v>348085.13999999996</v>
      </c>
      <c r="G166" s="14">
        <f>'B) D RI'!U167</f>
        <v>4834.5158333333329</v>
      </c>
      <c r="H166" s="52">
        <f>'B) D RI'!T167</f>
        <v>325494.83999999997</v>
      </c>
      <c r="I166" s="14">
        <f t="shared" si="16"/>
        <v>9041.5233333333326</v>
      </c>
      <c r="J166" s="41">
        <f t="shared" si="17"/>
        <v>19140.622953133716</v>
      </c>
      <c r="K166" s="14">
        <f t="shared" si="13"/>
        <v>9041.5233333333326</v>
      </c>
      <c r="L166" s="14">
        <f t="shared" si="18"/>
        <v>10099.099619800383</v>
      </c>
      <c r="M166" s="14">
        <f>'D) Ecrêtage'!M165</f>
        <v>4834.5158333333329</v>
      </c>
      <c r="N166" s="14">
        <f t="shared" si="14"/>
        <v>6266.3498111106401</v>
      </c>
      <c r="O166" s="75">
        <f t="shared" si="15"/>
        <v>15307.873144443973</v>
      </c>
      <c r="P166" s="329"/>
      <c r="Q166" s="330"/>
      <c r="R166" s="326"/>
      <c r="S166" s="326"/>
      <c r="T166" s="331"/>
    </row>
    <row r="167" spans="1:20" s="325" customFormat="1" x14ac:dyDescent="0.25">
      <c r="A167" s="338">
        <f>'A) Base RI'!A168</f>
        <v>5666</v>
      </c>
      <c r="B167" s="338" t="str">
        <f>'A) Base RI'!B168</f>
        <v>Chesalles-sur-Moudon</v>
      </c>
      <c r="C167" s="397">
        <v>0</v>
      </c>
      <c r="D167" s="327">
        <f>'B) D RI'!AR168</f>
        <v>169</v>
      </c>
      <c r="E167" s="328">
        <f>'B) D RI'!S168</f>
        <v>75</v>
      </c>
      <c r="F167" s="14">
        <f>'B) D RI'!R168</f>
        <v>267095.12</v>
      </c>
      <c r="G167" s="14">
        <f>'B) D RI'!U168</f>
        <v>3561.2682666666665</v>
      </c>
      <c r="H167" s="52">
        <f>'B) D RI'!T168</f>
        <v>243910.96000000002</v>
      </c>
      <c r="I167" s="14">
        <f t="shared" si="16"/>
        <v>6504.2922666666673</v>
      </c>
      <c r="J167" s="41">
        <f t="shared" si="17"/>
        <v>14440.91642446249</v>
      </c>
      <c r="K167" s="14">
        <f t="shared" si="13"/>
        <v>6504.2922666666673</v>
      </c>
      <c r="L167" s="14">
        <f t="shared" si="18"/>
        <v>7936.6241577958226</v>
      </c>
      <c r="M167" s="14">
        <f>'D) Ecrêtage'!M166</f>
        <v>3561.2682666666665</v>
      </c>
      <c r="N167" s="14">
        <f t="shared" si="14"/>
        <v>4616.0057179405903</v>
      </c>
      <c r="O167" s="75">
        <f t="shared" si="15"/>
        <v>11120.297984607258</v>
      </c>
      <c r="P167" s="329"/>
      <c r="Q167" s="330"/>
      <c r="R167" s="326"/>
      <c r="S167" s="326"/>
      <c r="T167" s="331"/>
    </row>
    <row r="168" spans="1:20" s="325" customFormat="1" x14ac:dyDescent="0.25">
      <c r="A168" s="338">
        <f>'A) Base RI'!A169</f>
        <v>5668</v>
      </c>
      <c r="B168" s="338" t="str">
        <f>'A) Base RI'!B169</f>
        <v>Cremin</v>
      </c>
      <c r="C168" s="397">
        <v>0</v>
      </c>
      <c r="D168" s="327">
        <f>'B) D RI'!AR169</f>
        <v>58</v>
      </c>
      <c r="E168" s="328">
        <f>'B) D RI'!S169</f>
        <v>77</v>
      </c>
      <c r="F168" s="14">
        <f>'B) D RI'!R169</f>
        <v>69528.549999999988</v>
      </c>
      <c r="G168" s="14">
        <f>'B) D RI'!U169</f>
        <v>902.96818181818162</v>
      </c>
      <c r="H168" s="52">
        <f>'B) D RI'!T169</f>
        <v>63776.999999999993</v>
      </c>
      <c r="I168" s="14">
        <f t="shared" si="16"/>
        <v>1656.5454545454543</v>
      </c>
      <c r="J168" s="41">
        <f t="shared" si="17"/>
        <v>4956.0541575078369</v>
      </c>
      <c r="K168" s="14">
        <f t="shared" si="13"/>
        <v>1656.5454545454543</v>
      </c>
      <c r="L168" s="14">
        <f t="shared" si="18"/>
        <v>3299.5087029623828</v>
      </c>
      <c r="M168" s="14">
        <f>'D) Ecrêtage'!M167</f>
        <v>902.96818181818162</v>
      </c>
      <c r="N168" s="14">
        <f t="shared" si="14"/>
        <v>1170.3994134349437</v>
      </c>
      <c r="O168" s="75">
        <f t="shared" si="15"/>
        <v>2826.9448679803982</v>
      </c>
      <c r="P168" s="329"/>
      <c r="Q168" s="330"/>
      <c r="R168" s="326"/>
      <c r="S168" s="326"/>
      <c r="T168" s="331"/>
    </row>
    <row r="169" spans="1:20" s="325" customFormat="1" x14ac:dyDescent="0.25">
      <c r="A169" s="338">
        <f>'A) Base RI'!A170</f>
        <v>5669</v>
      </c>
      <c r="B169" s="338" t="str">
        <f>'A) Base RI'!B170</f>
        <v>Curtilles</v>
      </c>
      <c r="C169" s="397">
        <v>0</v>
      </c>
      <c r="D169" s="327">
        <f>'B) D RI'!AR170</f>
        <v>311</v>
      </c>
      <c r="E169" s="328">
        <f>'B) D RI'!S170</f>
        <v>72</v>
      </c>
      <c r="F169" s="14">
        <f>'B) D RI'!R170</f>
        <v>626961.59</v>
      </c>
      <c r="G169" s="14">
        <f>'B) D RI'!U170</f>
        <v>8707.7998611111107</v>
      </c>
      <c r="H169" s="52">
        <f>'B) D RI'!T170</f>
        <v>584496.18999999994</v>
      </c>
      <c r="I169" s="14">
        <f t="shared" si="16"/>
        <v>16236.005277777776</v>
      </c>
      <c r="J169" s="41">
        <f t="shared" si="17"/>
        <v>26574.70418939547</v>
      </c>
      <c r="K169" s="14">
        <f t="shared" si="13"/>
        <v>16236.005277777776</v>
      </c>
      <c r="L169" s="14">
        <f t="shared" si="18"/>
        <v>10338.698911617694</v>
      </c>
      <c r="M169" s="14">
        <f>'D) Ecrêtage'!M168</f>
        <v>8707.7998611111107</v>
      </c>
      <c r="N169" s="14">
        <f t="shared" si="14"/>
        <v>11286.780702761764</v>
      </c>
      <c r="O169" s="75">
        <f t="shared" si="15"/>
        <v>27522.785980539542</v>
      </c>
      <c r="P169" s="329"/>
      <c r="Q169" s="330"/>
      <c r="R169" s="326"/>
      <c r="S169" s="326"/>
      <c r="T169" s="331"/>
    </row>
    <row r="170" spans="1:20" s="325" customFormat="1" x14ac:dyDescent="0.25">
      <c r="A170" s="338">
        <f>'A) Base RI'!A171</f>
        <v>5671</v>
      </c>
      <c r="B170" s="338" t="str">
        <f>'A) Base RI'!B171</f>
        <v>Dompierre</v>
      </c>
      <c r="C170" s="397">
        <v>0</v>
      </c>
      <c r="D170" s="327">
        <f>'B) D RI'!AR171</f>
        <v>247</v>
      </c>
      <c r="E170" s="328">
        <f>'B) D RI'!S171</f>
        <v>80</v>
      </c>
      <c r="F170" s="14">
        <f>'B) D RI'!R171</f>
        <v>498135.58</v>
      </c>
      <c r="G170" s="14">
        <f>'B) D RI'!U171</f>
        <v>6226.6947500000006</v>
      </c>
      <c r="H170" s="52">
        <f>'B) D RI'!T171</f>
        <v>466075.08</v>
      </c>
      <c r="I170" s="14">
        <f t="shared" si="16"/>
        <v>11651.877</v>
      </c>
      <c r="J170" s="41">
        <f t="shared" si="17"/>
        <v>21105.95477421441</v>
      </c>
      <c r="K170" s="14">
        <f t="shared" si="13"/>
        <v>11651.877</v>
      </c>
      <c r="L170" s="14">
        <f t="shared" si="18"/>
        <v>9454.0777742144091</v>
      </c>
      <c r="M170" s="14">
        <f>'D) Ecrêtage'!M169</f>
        <v>6226.6947500000006</v>
      </c>
      <c r="N170" s="14">
        <f t="shared" si="14"/>
        <v>8070.8490396241586</v>
      </c>
      <c r="O170" s="75">
        <f t="shared" si="15"/>
        <v>19722.726039624158</v>
      </c>
      <c r="P170" s="329"/>
      <c r="Q170" s="330"/>
      <c r="R170" s="326"/>
      <c r="S170" s="326"/>
      <c r="T170" s="331"/>
    </row>
    <row r="171" spans="1:20" s="325" customFormat="1" x14ac:dyDescent="0.25">
      <c r="A171" s="338">
        <f>'A) Base RI'!A172</f>
        <v>5672</v>
      </c>
      <c r="B171" s="338" t="str">
        <f>'A) Base RI'!B172</f>
        <v>Forel-sur-Lucens</v>
      </c>
      <c r="C171" s="397">
        <v>0</v>
      </c>
      <c r="D171" s="327">
        <f>'B) D RI'!AR172</f>
        <v>154</v>
      </c>
      <c r="E171" s="328">
        <f>'B) D RI'!S172</f>
        <v>75</v>
      </c>
      <c r="F171" s="14">
        <f>'B) D RI'!R172</f>
        <v>324369.005</v>
      </c>
      <c r="G171" s="14">
        <f>'B) D RI'!U172</f>
        <v>4324.9200666666666</v>
      </c>
      <c r="H171" s="52">
        <f>'B) D RI'!T172</f>
        <v>309434.88</v>
      </c>
      <c r="I171" s="14">
        <f t="shared" si="16"/>
        <v>8251.5967999999993</v>
      </c>
      <c r="J171" s="41">
        <f t="shared" si="17"/>
        <v>13159.17828027943</v>
      </c>
      <c r="K171" s="14">
        <f t="shared" si="13"/>
        <v>8251.5967999999993</v>
      </c>
      <c r="L171" s="14">
        <f t="shared" si="18"/>
        <v>4907.5814802794303</v>
      </c>
      <c r="M171" s="14">
        <f>'D) Ecrêtage'!M170</f>
        <v>4324.9200666666666</v>
      </c>
      <c r="N171" s="14">
        <f t="shared" si="14"/>
        <v>5605.8275486377288</v>
      </c>
      <c r="O171" s="75">
        <f t="shared" si="15"/>
        <v>13857.424348637727</v>
      </c>
      <c r="P171" s="329"/>
      <c r="Q171" s="330"/>
      <c r="R171" s="326"/>
      <c r="S171" s="326"/>
      <c r="T171" s="331"/>
    </row>
    <row r="172" spans="1:20" s="325" customFormat="1" x14ac:dyDescent="0.25">
      <c r="A172" s="338">
        <f>'A) Base RI'!A173</f>
        <v>5673</v>
      </c>
      <c r="B172" s="338" t="str">
        <f>'A) Base RI'!B173</f>
        <v>Hermenches</v>
      </c>
      <c r="C172" s="397">
        <v>0</v>
      </c>
      <c r="D172" s="327">
        <f>'B) D RI'!AR173</f>
        <v>382</v>
      </c>
      <c r="E172" s="328">
        <f>'B) D RI'!S173</f>
        <v>75</v>
      </c>
      <c r="F172" s="14">
        <f>'B) D RI'!R173</f>
        <v>664072.08666666667</v>
      </c>
      <c r="G172" s="14">
        <f>'B) D RI'!U173</f>
        <v>8854.2944888888887</v>
      </c>
      <c r="H172" s="52">
        <f>'B) D RI'!T173</f>
        <v>620342.92000000004</v>
      </c>
      <c r="I172" s="14">
        <f t="shared" si="16"/>
        <v>16542.477866666668</v>
      </c>
      <c r="J172" s="41">
        <f t="shared" si="17"/>
        <v>32641.598071861961</v>
      </c>
      <c r="K172" s="14">
        <f t="shared" si="13"/>
        <v>16542.477866666668</v>
      </c>
      <c r="L172" s="14">
        <f t="shared" si="18"/>
        <v>16099.120205195293</v>
      </c>
      <c r="M172" s="14">
        <f>'D) Ecrêtage'!M171</f>
        <v>8854.2944888888887</v>
      </c>
      <c r="N172" s="14">
        <f t="shared" si="14"/>
        <v>11476.662505769753</v>
      </c>
      <c r="O172" s="75">
        <f t="shared" si="15"/>
        <v>28019.140372436421</v>
      </c>
      <c r="P172" s="329"/>
      <c r="Q172" s="330"/>
      <c r="R172" s="326"/>
      <c r="S172" s="326"/>
      <c r="T172" s="331"/>
    </row>
    <row r="173" spans="1:20" s="325" customFormat="1" x14ac:dyDescent="0.25">
      <c r="A173" s="338">
        <f>'A) Base RI'!A174</f>
        <v>5674</v>
      </c>
      <c r="B173" s="338" t="str">
        <f>'A) Base RI'!B174</f>
        <v>Lovatens</v>
      </c>
      <c r="C173" s="397">
        <v>0</v>
      </c>
      <c r="D173" s="327">
        <f>'B) D RI'!AR174</f>
        <v>151</v>
      </c>
      <c r="E173" s="328">
        <f>'B) D RI'!S174</f>
        <v>75</v>
      </c>
      <c r="F173" s="14">
        <f>'B) D RI'!R174</f>
        <v>251057.38</v>
      </c>
      <c r="G173" s="14">
        <f>'B) D RI'!U174</f>
        <v>3347.4317333333333</v>
      </c>
      <c r="H173" s="52">
        <f>'B) D RI'!T174</f>
        <v>234405.38</v>
      </c>
      <c r="I173" s="14">
        <f t="shared" si="16"/>
        <v>6250.8101333333334</v>
      </c>
      <c r="J173" s="41">
        <f t="shared" si="17"/>
        <v>12902.830651442817</v>
      </c>
      <c r="K173" s="14">
        <f t="shared" si="13"/>
        <v>6250.8101333333334</v>
      </c>
      <c r="L173" s="14">
        <f t="shared" si="18"/>
        <v>6652.0205181094834</v>
      </c>
      <c r="M173" s="14">
        <f>'D) Ecrêtage'!M172</f>
        <v>3347.4317333333333</v>
      </c>
      <c r="N173" s="14">
        <f t="shared" si="14"/>
        <v>4338.8374209576859</v>
      </c>
      <c r="O173" s="75">
        <f t="shared" si="15"/>
        <v>10589.647554291019</v>
      </c>
      <c r="P173" s="329"/>
      <c r="Q173" s="330"/>
      <c r="R173" s="326"/>
      <c r="S173" s="326"/>
      <c r="T173" s="331"/>
    </row>
    <row r="174" spans="1:20" s="325" customFormat="1" x14ac:dyDescent="0.25">
      <c r="A174" s="338">
        <f>'A) Base RI'!A175</f>
        <v>5675</v>
      </c>
      <c r="B174" s="338" t="str">
        <f>'A) Base RI'!B175</f>
        <v>Lucens</v>
      </c>
      <c r="C174" s="397">
        <v>0</v>
      </c>
      <c r="D174" s="327">
        <f>'B) D RI'!AR175</f>
        <v>3285</v>
      </c>
      <c r="E174" s="328">
        <f>'B) D RI'!S175</f>
        <v>66</v>
      </c>
      <c r="F174" s="14">
        <f>'B) D RI'!R175</f>
        <v>5053940.4609090919</v>
      </c>
      <c r="G174" s="14">
        <f>'B) D RI'!U175</f>
        <v>76574.855468319569</v>
      </c>
      <c r="H174" s="52">
        <f>'B) D RI'!T175</f>
        <v>4567862.870000001</v>
      </c>
      <c r="I174" s="14">
        <f t="shared" si="16"/>
        <v>138420.086969697</v>
      </c>
      <c r="J174" s="41">
        <f t="shared" si="17"/>
        <v>280700.65357609041</v>
      </c>
      <c r="K174" s="14">
        <f t="shared" si="13"/>
        <v>138420.086969697</v>
      </c>
      <c r="L174" s="14">
        <f t="shared" si="18"/>
        <v>142280.5666063934</v>
      </c>
      <c r="M174" s="14">
        <f>'D) Ecrêtage'!M173</f>
        <v>76574.855468319569</v>
      </c>
      <c r="N174" s="14">
        <f t="shared" si="14"/>
        <v>99253.957922996895</v>
      </c>
      <c r="O174" s="75">
        <f t="shared" si="15"/>
        <v>237674.0448926939</v>
      </c>
      <c r="P174" s="329"/>
      <c r="Q174" s="330"/>
      <c r="R174" s="326"/>
      <c r="S174" s="326"/>
      <c r="T174" s="331"/>
    </row>
    <row r="175" spans="1:20" s="325" customFormat="1" x14ac:dyDescent="0.25">
      <c r="A175" s="338">
        <f>'A) Base RI'!A176</f>
        <v>5678</v>
      </c>
      <c r="B175" s="338" t="str">
        <f>'A) Base RI'!B176</f>
        <v>Moudon</v>
      </c>
      <c r="C175" s="397">
        <v>0</v>
      </c>
      <c r="D175" s="327">
        <f>'B) D RI'!AR176</f>
        <v>5770</v>
      </c>
      <c r="E175" s="328">
        <f>'B) D RI'!S176</f>
        <v>75</v>
      </c>
      <c r="F175" s="14">
        <f>'B) D RI'!R176</f>
        <v>9154534.2299999986</v>
      </c>
      <c r="G175" s="14">
        <f>'B) D RI'!U176</f>
        <v>122060.45639999998</v>
      </c>
      <c r="H175" s="52">
        <f>'B) D RI'!T176</f>
        <v>8373596.7799999993</v>
      </c>
      <c r="I175" s="14">
        <f t="shared" si="16"/>
        <v>223295.91413333331</v>
      </c>
      <c r="J175" s="41">
        <f t="shared" si="17"/>
        <v>493041.93946241756</v>
      </c>
      <c r="K175" s="14">
        <f t="shared" si="13"/>
        <v>223295.91413333331</v>
      </c>
      <c r="L175" s="14">
        <f t="shared" si="18"/>
        <v>269746.02532908425</v>
      </c>
      <c r="M175" s="14">
        <f>'D) Ecrêtage'!M174</f>
        <v>122060.45639999998</v>
      </c>
      <c r="N175" s="14">
        <f t="shared" si="14"/>
        <v>158210.98622379493</v>
      </c>
      <c r="O175" s="75">
        <f t="shared" si="15"/>
        <v>381506.90035712824</v>
      </c>
      <c r="P175" s="329"/>
      <c r="Q175" s="330"/>
      <c r="R175" s="326"/>
      <c r="S175" s="326"/>
      <c r="T175" s="331"/>
    </row>
    <row r="176" spans="1:20" s="325" customFormat="1" x14ac:dyDescent="0.25">
      <c r="A176" s="338">
        <f>'A) Base RI'!A177</f>
        <v>5680</v>
      </c>
      <c r="B176" s="338" t="str">
        <f>'A) Base RI'!B177</f>
        <v>Ogens</v>
      </c>
      <c r="C176" s="397">
        <v>0</v>
      </c>
      <c r="D176" s="327">
        <f>'B) D RI'!AR177</f>
        <v>283</v>
      </c>
      <c r="E176" s="328">
        <f>'B) D RI'!S177</f>
        <v>78</v>
      </c>
      <c r="F176" s="14">
        <f>'B) D RI'!R177</f>
        <v>636742.77666666673</v>
      </c>
      <c r="G176" s="14">
        <f>'B) D RI'!U177</f>
        <v>8163.3689316239324</v>
      </c>
      <c r="H176" s="52">
        <f>'B) D RI'!T177</f>
        <v>600427.51</v>
      </c>
      <c r="I176" s="14">
        <f t="shared" si="16"/>
        <v>15395.57717948718</v>
      </c>
      <c r="J176" s="41">
        <f t="shared" si="17"/>
        <v>24182.126320253756</v>
      </c>
      <c r="K176" s="14">
        <f t="shared" si="13"/>
        <v>15395.57717948718</v>
      </c>
      <c r="L176" s="14">
        <f t="shared" si="18"/>
        <v>8786.5491407665759</v>
      </c>
      <c r="M176" s="14">
        <f>'D) Ecrêtage'!M175</f>
        <v>8163.3689316239324</v>
      </c>
      <c r="N176" s="14">
        <f t="shared" si="14"/>
        <v>10581.1061802724</v>
      </c>
      <c r="O176" s="75">
        <f t="shared" si="15"/>
        <v>25976.68335975958</v>
      </c>
      <c r="P176" s="329"/>
      <c r="Q176" s="330"/>
      <c r="R176" s="326"/>
      <c r="S176" s="326"/>
      <c r="T176" s="331"/>
    </row>
    <row r="177" spans="1:20" s="325" customFormat="1" x14ac:dyDescent="0.25">
      <c r="A177" s="338">
        <f>'A) Base RI'!A178</f>
        <v>5683</v>
      </c>
      <c r="B177" s="338" t="str">
        <f>'A) Base RI'!B178</f>
        <v>Prévonloup</v>
      </c>
      <c r="C177" s="397">
        <v>0</v>
      </c>
      <c r="D177" s="327">
        <f>'B) D RI'!AR178</f>
        <v>172</v>
      </c>
      <c r="E177" s="328">
        <f>'B) D RI'!S178</f>
        <v>74</v>
      </c>
      <c r="F177" s="14">
        <f>'B) D RI'!R178</f>
        <v>267769.14</v>
      </c>
      <c r="G177" s="14">
        <f>'B) D RI'!U178</f>
        <v>3618.5018918918922</v>
      </c>
      <c r="H177" s="52">
        <f>'B) D RI'!T178</f>
        <v>248373.89</v>
      </c>
      <c r="I177" s="14">
        <f t="shared" si="16"/>
        <v>6712.8078378378386</v>
      </c>
      <c r="J177" s="41">
        <f t="shared" si="17"/>
        <v>14697.264053299103</v>
      </c>
      <c r="K177" s="14">
        <f t="shared" si="13"/>
        <v>6712.8078378378386</v>
      </c>
      <c r="L177" s="14">
        <f t="shared" si="18"/>
        <v>7984.456215461264</v>
      </c>
      <c r="M177" s="14">
        <f>'D) Ecrêtage'!M176</f>
        <v>3618.5018918918922</v>
      </c>
      <c r="N177" s="14">
        <f t="shared" si="14"/>
        <v>4690.1901717687188</v>
      </c>
      <c r="O177" s="75">
        <f t="shared" si="15"/>
        <v>11402.998009606557</v>
      </c>
      <c r="P177" s="329"/>
      <c r="Q177" s="330"/>
      <c r="R177" s="326"/>
      <c r="S177" s="326"/>
      <c r="T177" s="331"/>
    </row>
    <row r="178" spans="1:20" s="325" customFormat="1" x14ac:dyDescent="0.25">
      <c r="A178" s="338">
        <f>'A) Base RI'!A179</f>
        <v>5684</v>
      </c>
      <c r="B178" s="338" t="str">
        <f>'A) Base RI'!B179</f>
        <v>Rossenges</v>
      </c>
      <c r="C178" s="397">
        <v>0</v>
      </c>
      <c r="D178" s="327">
        <f>'B) D RI'!AR179</f>
        <v>65</v>
      </c>
      <c r="E178" s="328">
        <f>'B) D RI'!S179</f>
        <v>60</v>
      </c>
      <c r="F178" s="14">
        <f>'B) D RI'!R179</f>
        <v>156704.37999999998</v>
      </c>
      <c r="G178" s="14">
        <f>'B) D RI'!U179</f>
        <v>2611.7396666666664</v>
      </c>
      <c r="H178" s="52">
        <f>'B) D RI'!T179</f>
        <v>149204.37999999998</v>
      </c>
      <c r="I178" s="14">
        <f t="shared" si="16"/>
        <v>4973.4793333333328</v>
      </c>
      <c r="J178" s="41">
        <f t="shared" si="17"/>
        <v>5554.1986247932655</v>
      </c>
      <c r="K178" s="14">
        <f t="shared" si="13"/>
        <v>4973.4793333333328</v>
      </c>
      <c r="L178" s="14">
        <f t="shared" si="18"/>
        <v>580.71929145993272</v>
      </c>
      <c r="M178" s="14">
        <f>'D) Ecrêtage'!M177</f>
        <v>2611.7396666666664</v>
      </c>
      <c r="N178" s="14">
        <f t="shared" si="14"/>
        <v>3385.2561313472102</v>
      </c>
      <c r="O178" s="75">
        <f t="shared" si="15"/>
        <v>8358.7354646805434</v>
      </c>
      <c r="P178" s="329"/>
      <c r="Q178" s="330"/>
      <c r="R178" s="326"/>
      <c r="S178" s="326"/>
      <c r="T178" s="331"/>
    </row>
    <row r="179" spans="1:20" s="325" customFormat="1" x14ac:dyDescent="0.25">
      <c r="A179" s="338">
        <f>'A) Base RI'!A180</f>
        <v>5686</v>
      </c>
      <c r="B179" s="338" t="str">
        <f>'A) Base RI'!B180</f>
        <v>Sarzens</v>
      </c>
      <c r="C179" s="397">
        <v>0</v>
      </c>
      <c r="D179" s="327">
        <f>'B) D RI'!AR180</f>
        <v>80</v>
      </c>
      <c r="E179" s="328">
        <f>'B) D RI'!S180</f>
        <v>74</v>
      </c>
      <c r="F179" s="14">
        <f>'B) D RI'!R180</f>
        <v>137441.63999999998</v>
      </c>
      <c r="G179" s="14">
        <f>'B) D RI'!U180</f>
        <v>1857.3194594594593</v>
      </c>
      <c r="H179" s="52">
        <f>'B) D RI'!T180</f>
        <v>127370.88999999998</v>
      </c>
      <c r="I179" s="14">
        <f t="shared" si="16"/>
        <v>3442.456486486486</v>
      </c>
      <c r="J179" s="41">
        <f t="shared" si="17"/>
        <v>6835.9367689763267</v>
      </c>
      <c r="K179" s="14">
        <f t="shared" si="13"/>
        <v>3442.456486486486</v>
      </c>
      <c r="L179" s="14">
        <f t="shared" si="18"/>
        <v>3393.4802824898406</v>
      </c>
      <c r="M179" s="14">
        <f>'D) Ecrêtage'!M178</f>
        <v>1857.3194594594593</v>
      </c>
      <c r="N179" s="14">
        <f t="shared" si="14"/>
        <v>2407.4000055412444</v>
      </c>
      <c r="O179" s="75">
        <f t="shared" si="15"/>
        <v>5849.8564920277304</v>
      </c>
      <c r="P179" s="329"/>
      <c r="Q179" s="330"/>
      <c r="R179" s="326"/>
      <c r="S179" s="326"/>
      <c r="T179" s="331"/>
    </row>
    <row r="180" spans="1:20" s="325" customFormat="1" x14ac:dyDescent="0.25">
      <c r="A180" s="338">
        <f>'A) Base RI'!A181</f>
        <v>5688</v>
      </c>
      <c r="B180" s="338" t="str">
        <f>'A) Base RI'!B181</f>
        <v>Syens</v>
      </c>
      <c r="C180" s="397">
        <v>0</v>
      </c>
      <c r="D180" s="327">
        <f>'B) D RI'!AR181</f>
        <v>139</v>
      </c>
      <c r="E180" s="328">
        <f>'B) D RI'!S181</f>
        <v>75.599999999999994</v>
      </c>
      <c r="F180" s="14">
        <f>'B) D RI'!R181</f>
        <v>407154.14000000013</v>
      </c>
      <c r="G180" s="14">
        <f>'B) D RI'!U181</f>
        <v>5385.636772486775</v>
      </c>
      <c r="H180" s="52">
        <f>'B) D RI'!T181</f>
        <v>388196.74000000011</v>
      </c>
      <c r="I180" s="14">
        <f t="shared" si="16"/>
        <v>10269.75502645503</v>
      </c>
      <c r="J180" s="41">
        <f t="shared" si="17"/>
        <v>11877.440136096367</v>
      </c>
      <c r="K180" s="14">
        <f t="shared" si="13"/>
        <v>10269.75502645503</v>
      </c>
      <c r="L180" s="14">
        <f t="shared" si="18"/>
        <v>1607.6851096413375</v>
      </c>
      <c r="M180" s="14">
        <f>'D) Ecrêtage'!M179</f>
        <v>5385.636772486775</v>
      </c>
      <c r="N180" s="14">
        <f t="shared" si="14"/>
        <v>6980.6957170960468</v>
      </c>
      <c r="O180" s="75">
        <f t="shared" si="15"/>
        <v>17250.450743551075</v>
      </c>
      <c r="P180" s="329"/>
      <c r="Q180" s="330"/>
      <c r="R180" s="326"/>
      <c r="S180" s="326"/>
      <c r="T180" s="331"/>
    </row>
    <row r="181" spans="1:20" s="325" customFormat="1" x14ac:dyDescent="0.25">
      <c r="A181" s="338">
        <f>'A) Base RI'!A182</f>
        <v>5690</v>
      </c>
      <c r="B181" s="338" t="str">
        <f>'A) Base RI'!B182</f>
        <v>Villars-le-Comte</v>
      </c>
      <c r="C181" s="397">
        <v>0</v>
      </c>
      <c r="D181" s="327">
        <f>'B) D RI'!AR182</f>
        <v>150</v>
      </c>
      <c r="E181" s="328">
        <f>'B) D RI'!S182</f>
        <v>76</v>
      </c>
      <c r="F181" s="14">
        <f>'B) D RI'!R182</f>
        <v>263595.81</v>
      </c>
      <c r="G181" s="14">
        <f>'B) D RI'!U182</f>
        <v>3468.3659210526316</v>
      </c>
      <c r="H181" s="52">
        <f>'B) D RI'!T182</f>
        <v>244497.71</v>
      </c>
      <c r="I181" s="14">
        <f t="shared" si="16"/>
        <v>6434.1502631578942</v>
      </c>
      <c r="J181" s="41">
        <f t="shared" si="17"/>
        <v>12817.381441830614</v>
      </c>
      <c r="K181" s="14">
        <f t="shared" si="13"/>
        <v>6434.1502631578942</v>
      </c>
      <c r="L181" s="14">
        <f t="shared" si="18"/>
        <v>6383.2311786727196</v>
      </c>
      <c r="M181" s="14">
        <f>'D) Ecrêtage'!M180</f>
        <v>3468.3659210526316</v>
      </c>
      <c r="N181" s="14">
        <f t="shared" si="14"/>
        <v>4495.5885725717953</v>
      </c>
      <c r="O181" s="75">
        <f t="shared" si="15"/>
        <v>10929.73883572969</v>
      </c>
      <c r="P181" s="329"/>
      <c r="Q181" s="330"/>
      <c r="R181" s="326"/>
      <c r="S181" s="326"/>
      <c r="T181" s="331"/>
    </row>
    <row r="182" spans="1:20" s="325" customFormat="1" x14ac:dyDescent="0.25">
      <c r="A182" s="338">
        <f>'A) Base RI'!A183</f>
        <v>5692</v>
      </c>
      <c r="B182" s="338" t="str">
        <f>'A) Base RI'!B183</f>
        <v>Vucherens</v>
      </c>
      <c r="C182" s="397">
        <v>0</v>
      </c>
      <c r="D182" s="327">
        <f>'B) D RI'!AR183</f>
        <v>543</v>
      </c>
      <c r="E182" s="328">
        <f>'B) D RI'!S183</f>
        <v>79</v>
      </c>
      <c r="F182" s="14">
        <f>'B) D RI'!R183</f>
        <v>1194945.1800000002</v>
      </c>
      <c r="G182" s="14">
        <f>'B) D RI'!U183</f>
        <v>15125.888354430383</v>
      </c>
      <c r="H182" s="52">
        <f>'B) D RI'!T183</f>
        <v>1115377.0300000003</v>
      </c>
      <c r="I182" s="14">
        <f t="shared" si="16"/>
        <v>28237.393164556968</v>
      </c>
      <c r="J182" s="41">
        <f t="shared" si="17"/>
        <v>46398.920819426821</v>
      </c>
      <c r="K182" s="14">
        <f t="shared" si="13"/>
        <v>28237.393164556968</v>
      </c>
      <c r="L182" s="14">
        <f t="shared" si="18"/>
        <v>18161.527654869853</v>
      </c>
      <c r="M182" s="14">
        <f>'D) Ecrêtage'!M181</f>
        <v>15125.888354430383</v>
      </c>
      <c r="N182" s="14">
        <f t="shared" si="14"/>
        <v>19605.708389481704</v>
      </c>
      <c r="O182" s="75">
        <f t="shared" si="15"/>
        <v>47843.101554038672</v>
      </c>
      <c r="P182" s="329"/>
      <c r="Q182" s="330"/>
      <c r="R182" s="326"/>
      <c r="S182" s="326"/>
      <c r="T182" s="331"/>
    </row>
    <row r="183" spans="1:20" s="325" customFormat="1" x14ac:dyDescent="0.25">
      <c r="A183" s="338">
        <f>'A) Base RI'!A184</f>
        <v>5693</v>
      </c>
      <c r="B183" s="338" t="str">
        <f>'A) Base RI'!B184</f>
        <v>Montanaire</v>
      </c>
      <c r="C183" s="397">
        <v>0</v>
      </c>
      <c r="D183" s="327">
        <f>'B) D RI'!AR184</f>
        <v>2421</v>
      </c>
      <c r="E183" s="328">
        <f>'B) D RI'!S184</f>
        <v>72</v>
      </c>
      <c r="F183" s="14">
        <f>'B) D RI'!R184</f>
        <v>4535121.2800000012</v>
      </c>
      <c r="G183" s="14">
        <f>'B) D RI'!U184</f>
        <v>62987.795555555575</v>
      </c>
      <c r="H183" s="52">
        <f>'B) D RI'!T184</f>
        <v>4227606.8800000008</v>
      </c>
      <c r="I183" s="14">
        <f t="shared" si="16"/>
        <v>117433.52444444447</v>
      </c>
      <c r="J183" s="41">
        <f t="shared" si="17"/>
        <v>206872.5364711461</v>
      </c>
      <c r="K183" s="14">
        <f t="shared" si="13"/>
        <v>117433.52444444447</v>
      </c>
      <c r="L183" s="14">
        <f t="shared" si="18"/>
        <v>89439.012026701632</v>
      </c>
      <c r="M183" s="14">
        <f>'D) Ecrêtage'!M182</f>
        <v>62987.795555555575</v>
      </c>
      <c r="N183" s="14">
        <f t="shared" si="14"/>
        <v>81642.831338022239</v>
      </c>
      <c r="O183" s="75">
        <f t="shared" si="15"/>
        <v>199076.35578246671</v>
      </c>
      <c r="P183" s="329"/>
      <c r="Q183" s="330"/>
      <c r="R183" s="326"/>
      <c r="S183" s="326"/>
      <c r="T183" s="331"/>
    </row>
    <row r="184" spans="1:20" s="325" customFormat="1" x14ac:dyDescent="0.25">
      <c r="A184" s="338">
        <f>'A) Base RI'!A185</f>
        <v>5701</v>
      </c>
      <c r="B184" s="338" t="str">
        <f>'A) Base RI'!B185</f>
        <v>Arnex-sur-Nyon</v>
      </c>
      <c r="C184" s="397">
        <v>0</v>
      </c>
      <c r="D184" s="327">
        <f>'B) D RI'!AR185</f>
        <v>208</v>
      </c>
      <c r="E184" s="328">
        <f>'B) D RI'!S185</f>
        <v>65</v>
      </c>
      <c r="F184" s="14">
        <f>'B) D RI'!R185</f>
        <v>935119.65999999992</v>
      </c>
      <c r="G184" s="14">
        <f>'B) D RI'!U185</f>
        <v>14386.456307692306</v>
      </c>
      <c r="H184" s="52">
        <f>'B) D RI'!T185</f>
        <v>870415.25999999989</v>
      </c>
      <c r="I184" s="14">
        <f t="shared" si="16"/>
        <v>26782.007999999998</v>
      </c>
      <c r="J184" s="41">
        <f t="shared" si="17"/>
        <v>17773.435599338449</v>
      </c>
      <c r="K184" s="14">
        <f t="shared" si="13"/>
        <v>17773.435599338449</v>
      </c>
      <c r="L184" s="14">
        <f t="shared" si="18"/>
        <v>0</v>
      </c>
      <c r="M184" s="14">
        <f>'D) Ecrêtage'!M183</f>
        <v>13317.230492981491</v>
      </c>
      <c r="N184" s="14">
        <f t="shared" si="14"/>
        <v>17261.382041368452</v>
      </c>
      <c r="O184" s="75">
        <f t="shared" si="15"/>
        <v>35034.817640706897</v>
      </c>
      <c r="P184" s="329"/>
      <c r="Q184" s="330"/>
      <c r="R184" s="326"/>
      <c r="S184" s="326"/>
      <c r="T184" s="331"/>
    </row>
    <row r="185" spans="1:20" s="325" customFormat="1" x14ac:dyDescent="0.25">
      <c r="A185" s="338">
        <f>'A) Base RI'!A186</f>
        <v>5702</v>
      </c>
      <c r="B185" s="338" t="str">
        <f>'A) Base RI'!B186</f>
        <v>Arzier-Le Muids</v>
      </c>
      <c r="C185" s="397">
        <v>0</v>
      </c>
      <c r="D185" s="327">
        <f>'B) D RI'!AR186</f>
        <v>2506</v>
      </c>
      <c r="E185" s="328">
        <f>'B) D RI'!S186</f>
        <v>64</v>
      </c>
      <c r="F185" s="14">
        <f>'B) D RI'!R186</f>
        <v>8789547.3966666665</v>
      </c>
      <c r="G185" s="14">
        <f>'B) D RI'!U186</f>
        <v>137336.67807291666</v>
      </c>
      <c r="H185" s="52">
        <f>'B) D RI'!T186</f>
        <v>8111044.3300000001</v>
      </c>
      <c r="I185" s="14">
        <f t="shared" si="16"/>
        <v>253470.1353125</v>
      </c>
      <c r="J185" s="41">
        <f t="shared" si="17"/>
        <v>214135.71928818343</v>
      </c>
      <c r="K185" s="14">
        <f t="shared" si="13"/>
        <v>214135.71928818343</v>
      </c>
      <c r="L185" s="14">
        <f t="shared" si="18"/>
        <v>0</v>
      </c>
      <c r="M185" s="14">
        <f>'D) Ecrêtage'!M184</f>
        <v>137336.67807291666</v>
      </c>
      <c r="N185" s="14">
        <f t="shared" si="14"/>
        <v>178011.55200838641</v>
      </c>
      <c r="O185" s="75">
        <f t="shared" si="15"/>
        <v>392147.27129656984</v>
      </c>
      <c r="P185" s="329"/>
      <c r="Q185" s="330"/>
      <c r="R185" s="326"/>
      <c r="S185" s="326"/>
      <c r="T185" s="331"/>
    </row>
    <row r="186" spans="1:20" s="325" customFormat="1" x14ac:dyDescent="0.25">
      <c r="A186" s="338">
        <f>'A) Base RI'!A187</f>
        <v>5703</v>
      </c>
      <c r="B186" s="338" t="str">
        <f>'A) Base RI'!B187</f>
        <v>Bassins</v>
      </c>
      <c r="C186" s="397">
        <v>0</v>
      </c>
      <c r="D186" s="327">
        <f>'B) D RI'!AR187</f>
        <v>1320</v>
      </c>
      <c r="E186" s="328">
        <f>'B) D RI'!S187</f>
        <v>71</v>
      </c>
      <c r="F186" s="14">
        <f>'B) D RI'!R187</f>
        <v>3664852.9899999993</v>
      </c>
      <c r="G186" s="14">
        <f>'B) D RI'!U187</f>
        <v>51617.647746478862</v>
      </c>
      <c r="H186" s="52">
        <f>'B) D RI'!T187</f>
        <v>3379254.7399999993</v>
      </c>
      <c r="I186" s="14">
        <f t="shared" si="16"/>
        <v>95190.274366197162</v>
      </c>
      <c r="J186" s="41">
        <f t="shared" si="17"/>
        <v>112792.95668810939</v>
      </c>
      <c r="K186" s="14">
        <f t="shared" si="13"/>
        <v>95190.274366197162</v>
      </c>
      <c r="L186" s="14">
        <f t="shared" si="18"/>
        <v>17602.682321912231</v>
      </c>
      <c r="M186" s="14">
        <f>'D) Ecrêtage'!M185</f>
        <v>51617.647746478862</v>
      </c>
      <c r="N186" s="14">
        <f t="shared" si="14"/>
        <v>66905.197615850208</v>
      </c>
      <c r="O186" s="75">
        <f t="shared" si="15"/>
        <v>162095.47198204737</v>
      </c>
      <c r="P186" s="329"/>
      <c r="Q186" s="330"/>
      <c r="R186" s="326"/>
      <c r="S186" s="326"/>
      <c r="T186" s="331"/>
    </row>
    <row r="187" spans="1:20" s="325" customFormat="1" x14ac:dyDescent="0.25">
      <c r="A187" s="338">
        <f>'A) Base RI'!A188</f>
        <v>5704</v>
      </c>
      <c r="B187" s="338" t="str">
        <f>'A) Base RI'!B188</f>
        <v>Begnins</v>
      </c>
      <c r="C187" s="397">
        <v>0</v>
      </c>
      <c r="D187" s="327">
        <f>'B) D RI'!AR188</f>
        <v>1802</v>
      </c>
      <c r="E187" s="328">
        <f>'B) D RI'!S188</f>
        <v>67</v>
      </c>
      <c r="F187" s="14">
        <f>'B) D RI'!R188</f>
        <v>7315900.2066666679</v>
      </c>
      <c r="G187" s="14">
        <f>'B) D RI'!U188</f>
        <v>109192.54039800997</v>
      </c>
      <c r="H187" s="52">
        <f>'B) D RI'!T188</f>
        <v>6897647.4400000013</v>
      </c>
      <c r="I187" s="14">
        <f t="shared" si="16"/>
        <v>205899.9235820896</v>
      </c>
      <c r="J187" s="41">
        <f t="shared" si="17"/>
        <v>153979.47572119176</v>
      </c>
      <c r="K187" s="14">
        <f t="shared" si="13"/>
        <v>153979.47572119176</v>
      </c>
      <c r="L187" s="14">
        <f t="shared" si="18"/>
        <v>0</v>
      </c>
      <c r="M187" s="14">
        <f>'D) Ecrêtage'!M186</f>
        <v>105563.75242101138</v>
      </c>
      <c r="N187" s="14">
        <f t="shared" si="14"/>
        <v>136828.46904390841</v>
      </c>
      <c r="O187" s="75">
        <f t="shared" si="15"/>
        <v>290807.94476510014</v>
      </c>
      <c r="P187" s="329"/>
      <c r="Q187" s="330"/>
      <c r="R187" s="326"/>
      <c r="S187" s="326"/>
      <c r="T187" s="331"/>
    </row>
    <row r="188" spans="1:20" s="325" customFormat="1" x14ac:dyDescent="0.25">
      <c r="A188" s="338">
        <f>'A) Base RI'!A189</f>
        <v>5705</v>
      </c>
      <c r="B188" s="338" t="str">
        <f>'A) Base RI'!B189</f>
        <v>Bogis-Bossey</v>
      </c>
      <c r="C188" s="397">
        <v>0</v>
      </c>
      <c r="D188" s="327">
        <f>'B) D RI'!AR189</f>
        <v>830</v>
      </c>
      <c r="E188" s="328">
        <f>'B) D RI'!S189</f>
        <v>64</v>
      </c>
      <c r="F188" s="14">
        <f>'B) D RI'!R189</f>
        <v>3161206.8799999994</v>
      </c>
      <c r="G188" s="14">
        <f>'B) D RI'!U189</f>
        <v>49393.857499999991</v>
      </c>
      <c r="H188" s="52">
        <f>'B) D RI'!T189</f>
        <v>2955957.4799999995</v>
      </c>
      <c r="I188" s="14">
        <f t="shared" si="16"/>
        <v>92373.671249999985</v>
      </c>
      <c r="J188" s="41">
        <f t="shared" si="17"/>
        <v>70922.843978129386</v>
      </c>
      <c r="K188" s="14">
        <f t="shared" si="13"/>
        <v>70922.843978129386</v>
      </c>
      <c r="L188" s="14">
        <f t="shared" si="18"/>
        <v>0</v>
      </c>
      <c r="M188" s="14">
        <f>'D) Ecrêtage'!M187</f>
        <v>48046.495575813839</v>
      </c>
      <c r="N188" s="14">
        <f t="shared" si="14"/>
        <v>62276.380687420635</v>
      </c>
      <c r="O188" s="75">
        <f t="shared" si="15"/>
        <v>133199.22466555002</v>
      </c>
      <c r="P188" s="329"/>
      <c r="Q188" s="330"/>
      <c r="R188" s="326"/>
      <c r="S188" s="326"/>
      <c r="T188" s="331"/>
    </row>
    <row r="189" spans="1:20" s="325" customFormat="1" x14ac:dyDescent="0.25">
      <c r="A189" s="338">
        <f>'A) Base RI'!A190</f>
        <v>5706</v>
      </c>
      <c r="B189" s="338" t="str">
        <f>'A) Base RI'!B190</f>
        <v>Borex</v>
      </c>
      <c r="C189" s="397">
        <v>0</v>
      </c>
      <c r="D189" s="327">
        <f>'B) D RI'!AR190</f>
        <v>1049</v>
      </c>
      <c r="E189" s="328">
        <f>'B) D RI'!S190</f>
        <v>55</v>
      </c>
      <c r="F189" s="14">
        <f>'B) D RI'!R190</f>
        <v>3358571.2433333332</v>
      </c>
      <c r="G189" s="14">
        <f>'B) D RI'!U190</f>
        <v>61064.931696969696</v>
      </c>
      <c r="H189" s="52">
        <f>'B) D RI'!T190</f>
        <v>3136202.61</v>
      </c>
      <c r="I189" s="14">
        <f t="shared" si="16"/>
        <v>114043.73127272727</v>
      </c>
      <c r="J189" s="41">
        <f t="shared" si="17"/>
        <v>89636.220883202084</v>
      </c>
      <c r="K189" s="14">
        <f t="shared" si="13"/>
        <v>89636.220883202084</v>
      </c>
      <c r="L189" s="14">
        <f t="shared" si="18"/>
        <v>0</v>
      </c>
      <c r="M189" s="14">
        <f>'D) Ecrêtage'!M188</f>
        <v>59852.295668986771</v>
      </c>
      <c r="N189" s="14">
        <f t="shared" si="14"/>
        <v>77578.693418260635</v>
      </c>
      <c r="O189" s="75">
        <f t="shared" si="15"/>
        <v>167214.9143014627</v>
      </c>
      <c r="P189" s="329"/>
      <c r="Q189" s="330"/>
      <c r="R189" s="326"/>
      <c r="S189" s="326"/>
      <c r="T189" s="331"/>
    </row>
    <row r="190" spans="1:20" s="325" customFormat="1" x14ac:dyDescent="0.25">
      <c r="A190" s="338">
        <f>'A) Base RI'!A191</f>
        <v>5707</v>
      </c>
      <c r="B190" s="338" t="str">
        <f>'A) Base RI'!B191</f>
        <v>Chavannes-de-Bogis</v>
      </c>
      <c r="C190" s="397">
        <v>0</v>
      </c>
      <c r="D190" s="327">
        <f>'B) D RI'!AR191</f>
        <v>1155</v>
      </c>
      <c r="E190" s="328">
        <f>'B) D RI'!S191</f>
        <v>59</v>
      </c>
      <c r="F190" s="14">
        <f>'B) D RI'!R191</f>
        <v>5315851.01</v>
      </c>
      <c r="G190" s="14">
        <f>'B) D RI'!U191</f>
        <v>90099.169661016946</v>
      </c>
      <c r="H190" s="52">
        <f>'B) D RI'!T191</f>
        <v>4796569.41</v>
      </c>
      <c r="I190" s="14">
        <f t="shared" si="16"/>
        <v>162595.57322033899</v>
      </c>
      <c r="J190" s="41">
        <f t="shared" si="17"/>
        <v>98693.837102095713</v>
      </c>
      <c r="K190" s="14">
        <f t="shared" si="13"/>
        <v>98693.837102095713</v>
      </c>
      <c r="L190" s="14">
        <f t="shared" si="18"/>
        <v>0</v>
      </c>
      <c r="M190" s="14">
        <f>'D) Ecrêtage'!M189</f>
        <v>79463.976714477656</v>
      </c>
      <c r="N190" s="14">
        <f t="shared" si="14"/>
        <v>102998.747473651</v>
      </c>
      <c r="O190" s="75">
        <f t="shared" si="15"/>
        <v>201692.58457574673</v>
      </c>
      <c r="P190" s="329"/>
      <c r="Q190" s="330"/>
      <c r="R190" s="326"/>
      <c r="S190" s="326"/>
      <c r="T190" s="331"/>
    </row>
    <row r="191" spans="1:20" s="325" customFormat="1" x14ac:dyDescent="0.25">
      <c r="A191" s="338">
        <f>'A) Base RI'!A192</f>
        <v>5708</v>
      </c>
      <c r="B191" s="338" t="str">
        <f>'A) Base RI'!B192</f>
        <v>Chavannes-des-Bois</v>
      </c>
      <c r="C191" s="397">
        <v>0</v>
      </c>
      <c r="D191" s="327">
        <f>'B) D RI'!AR192</f>
        <v>807</v>
      </c>
      <c r="E191" s="328">
        <f>'B) D RI'!S192</f>
        <v>61</v>
      </c>
      <c r="F191" s="14">
        <f>'B) D RI'!R192</f>
        <v>3779341.51</v>
      </c>
      <c r="G191" s="14">
        <f>'B) D RI'!U192</f>
        <v>61956.418196721308</v>
      </c>
      <c r="H191" s="52">
        <f>'B) D RI'!T192</f>
        <v>3527718.9099999997</v>
      </c>
      <c r="I191" s="14">
        <f t="shared" si="16"/>
        <v>115662.91508196721</v>
      </c>
      <c r="J191" s="41">
        <f t="shared" si="17"/>
        <v>68957.512157048695</v>
      </c>
      <c r="K191" s="14">
        <f t="shared" si="13"/>
        <v>68957.512157048695</v>
      </c>
      <c r="L191" s="14">
        <f t="shared" si="18"/>
        <v>0</v>
      </c>
      <c r="M191" s="14">
        <f>'D) Ecrêtage'!M190</f>
        <v>54983.749855411763</v>
      </c>
      <c r="N191" s="14">
        <f t="shared" si="14"/>
        <v>71268.234999874519</v>
      </c>
      <c r="O191" s="75">
        <f t="shared" si="15"/>
        <v>140225.74715692323</v>
      </c>
      <c r="P191" s="329"/>
      <c r="Q191" s="330"/>
      <c r="R191" s="326"/>
      <c r="S191" s="326"/>
      <c r="T191" s="331"/>
    </row>
    <row r="192" spans="1:20" s="325" customFormat="1" x14ac:dyDescent="0.25">
      <c r="A192" s="338">
        <f>'A) Base RI'!A193</f>
        <v>5709</v>
      </c>
      <c r="B192" s="338" t="str">
        <f>'A) Base RI'!B193</f>
        <v>Chéserex</v>
      </c>
      <c r="C192" s="397">
        <v>0</v>
      </c>
      <c r="D192" s="327">
        <f>'B) D RI'!AR193</f>
        <v>1174</v>
      </c>
      <c r="E192" s="328">
        <f>'B) D RI'!S193</f>
        <v>52</v>
      </c>
      <c r="F192" s="14">
        <f>'B) D RI'!R193</f>
        <v>7239451.2400000002</v>
      </c>
      <c r="G192" s="14">
        <f>'B) D RI'!U193</f>
        <v>139220.21615384615</v>
      </c>
      <c r="H192" s="52">
        <f>'B) D RI'!T193</f>
        <v>6944519.1900000004</v>
      </c>
      <c r="I192" s="14">
        <f t="shared" si="16"/>
        <v>267096.89192307694</v>
      </c>
      <c r="J192" s="41">
        <f t="shared" si="17"/>
        <v>100317.3720847276</v>
      </c>
      <c r="K192" s="14">
        <f t="shared" si="13"/>
        <v>100317.3720847276</v>
      </c>
      <c r="L192" s="14">
        <f t="shared" si="18"/>
        <v>0</v>
      </c>
      <c r="M192" s="14">
        <f>'D) Ecrêtage'!M191</f>
        <v>103336.10450421691</v>
      </c>
      <c r="N192" s="14">
        <f t="shared" si="14"/>
        <v>133941.06075239368</v>
      </c>
      <c r="O192" s="75">
        <f t="shared" si="15"/>
        <v>234258.43283712128</v>
      </c>
      <c r="P192" s="329"/>
      <c r="Q192" s="330"/>
      <c r="R192" s="326"/>
      <c r="S192" s="326"/>
      <c r="T192" s="331"/>
    </row>
    <row r="193" spans="1:20" s="325" customFormat="1" x14ac:dyDescent="0.25">
      <c r="A193" s="338">
        <f>'A) Base RI'!A194</f>
        <v>5710</v>
      </c>
      <c r="B193" s="338" t="str">
        <f>'A) Base RI'!B194</f>
        <v>Coinsins</v>
      </c>
      <c r="C193" s="397">
        <v>0</v>
      </c>
      <c r="D193" s="327">
        <f>'B) D RI'!AR194</f>
        <v>435</v>
      </c>
      <c r="E193" s="328">
        <f>'B) D RI'!S194</f>
        <v>41</v>
      </c>
      <c r="F193" s="14">
        <f>'B) D RI'!R194</f>
        <v>4622286.91</v>
      </c>
      <c r="G193" s="14">
        <f>'B) D RI'!U194</f>
        <v>112738.70512195122</v>
      </c>
      <c r="H193" s="52">
        <f>'B) D RI'!T194</f>
        <v>4504585.91</v>
      </c>
      <c r="I193" s="14">
        <f t="shared" si="16"/>
        <v>219735.89804878051</v>
      </c>
      <c r="J193" s="41">
        <f t="shared" si="17"/>
        <v>37170.406181308776</v>
      </c>
      <c r="K193" s="14">
        <f t="shared" si="13"/>
        <v>37170.406181308776</v>
      </c>
      <c r="L193" s="14">
        <f t="shared" si="18"/>
        <v>0</v>
      </c>
      <c r="M193" s="14">
        <f>'D) Ecrêtage'!M192</f>
        <v>59904.094956134039</v>
      </c>
      <c r="N193" s="14">
        <f t="shared" si="14"/>
        <v>77645.834051246653</v>
      </c>
      <c r="O193" s="75">
        <f t="shared" si="15"/>
        <v>114816.24023255543</v>
      </c>
      <c r="P193" s="329"/>
      <c r="Q193" s="330"/>
      <c r="R193" s="326"/>
      <c r="S193" s="326"/>
      <c r="T193" s="331"/>
    </row>
    <row r="194" spans="1:20" s="325" customFormat="1" x14ac:dyDescent="0.25">
      <c r="A194" s="338">
        <f>'A) Base RI'!A195</f>
        <v>5711</v>
      </c>
      <c r="B194" s="338" t="str">
        <f>'A) Base RI'!B195</f>
        <v>Commugny</v>
      </c>
      <c r="C194" s="397">
        <v>0</v>
      </c>
      <c r="D194" s="327">
        <f>'B) D RI'!AR195</f>
        <v>2591</v>
      </c>
      <c r="E194" s="328">
        <f>'B) D RI'!S195</f>
        <v>58</v>
      </c>
      <c r="F194" s="14">
        <f>'B) D RI'!R195</f>
        <v>13740968.244615385</v>
      </c>
      <c r="G194" s="14">
        <f>'B) D RI'!U195</f>
        <v>236913.245596817</v>
      </c>
      <c r="H194" s="52">
        <f>'B) D RI'!T195</f>
        <v>12950069.360000001</v>
      </c>
      <c r="I194" s="14">
        <f t="shared" si="16"/>
        <v>446554.11586206901</v>
      </c>
      <c r="J194" s="41">
        <f t="shared" si="17"/>
        <v>221398.9021052208</v>
      </c>
      <c r="K194" s="14">
        <f t="shared" si="13"/>
        <v>221398.9021052208</v>
      </c>
      <c r="L194" s="14">
        <f t="shared" si="18"/>
        <v>0</v>
      </c>
      <c r="M194" s="14">
        <f>'D) Ecrêtage'!M193</f>
        <v>197049.87247310052</v>
      </c>
      <c r="N194" s="14">
        <f t="shared" si="14"/>
        <v>255409.94666674259</v>
      </c>
      <c r="O194" s="75">
        <f t="shared" si="15"/>
        <v>476808.84877196338</v>
      </c>
      <c r="P194" s="329"/>
      <c r="Q194" s="330"/>
      <c r="R194" s="326"/>
      <c r="S194" s="326"/>
      <c r="T194" s="331"/>
    </row>
    <row r="195" spans="1:20" s="325" customFormat="1" x14ac:dyDescent="0.25">
      <c r="A195" s="338">
        <f>'A) Base RI'!A196</f>
        <v>5712</v>
      </c>
      <c r="B195" s="338" t="str">
        <f>'A) Base RI'!B196</f>
        <v>Coppet</v>
      </c>
      <c r="C195" s="397">
        <v>0</v>
      </c>
      <c r="D195" s="327">
        <f>'B) D RI'!AR196</f>
        <v>2936</v>
      </c>
      <c r="E195" s="328">
        <f>'B) D RI'!S196</f>
        <v>53</v>
      </c>
      <c r="F195" s="14">
        <f>'B) D RI'!R196</f>
        <v>16411045.706666667</v>
      </c>
      <c r="G195" s="14">
        <f>'B) D RI'!U196</f>
        <v>309642.37182389939</v>
      </c>
      <c r="H195" s="52">
        <f>'B) D RI'!T196</f>
        <v>15356963.24</v>
      </c>
      <c r="I195" s="14">
        <f t="shared" si="16"/>
        <v>579508.04679245281</v>
      </c>
      <c r="J195" s="41">
        <f t="shared" si="17"/>
        <v>250878.87942143119</v>
      </c>
      <c r="K195" s="14">
        <f t="shared" si="13"/>
        <v>250878.87942143119</v>
      </c>
      <c r="L195" s="14">
        <f t="shared" si="18"/>
        <v>0</v>
      </c>
      <c r="M195" s="14">
        <f>'D) Ecrêtage'!M194</f>
        <v>241476.5096912689</v>
      </c>
      <c r="N195" s="14">
        <f t="shared" si="14"/>
        <v>312994.37897346279</v>
      </c>
      <c r="O195" s="75">
        <f t="shared" si="15"/>
        <v>563873.25839489396</v>
      </c>
      <c r="P195" s="329"/>
      <c r="Q195" s="330"/>
      <c r="R195" s="326"/>
      <c r="S195" s="326"/>
      <c r="T195" s="331"/>
    </row>
    <row r="196" spans="1:20" s="325" customFormat="1" x14ac:dyDescent="0.25">
      <c r="A196" s="338">
        <f>'A) Base RI'!A197</f>
        <v>5713</v>
      </c>
      <c r="B196" s="338" t="str">
        <f>'A) Base RI'!B197</f>
        <v>Crans-près-Céligny</v>
      </c>
      <c r="C196" s="397">
        <v>1</v>
      </c>
      <c r="D196" s="327">
        <f>'B) D RI'!AR197</f>
        <v>2044</v>
      </c>
      <c r="E196" s="328">
        <f>'B) D RI'!S197</f>
        <v>53</v>
      </c>
      <c r="F196" s="14">
        <f>'B) D RI'!R197</f>
        <v>13744575.939999999</v>
      </c>
      <c r="G196" s="14">
        <f>'B) D RI'!U197</f>
        <v>259331.62150943396</v>
      </c>
      <c r="H196" s="52">
        <f>'B) D RI'!T197</f>
        <v>13043273.889999999</v>
      </c>
      <c r="I196" s="14">
        <f t="shared" si="16"/>
        <v>492199.0147169811</v>
      </c>
      <c r="J196" s="41">
        <f t="shared" si="17"/>
        <v>174658.18444734515</v>
      </c>
      <c r="K196" s="14">
        <f t="shared" si="13"/>
        <v>0</v>
      </c>
      <c r="L196" s="14">
        <f t="shared" si="18"/>
        <v>174658.18444734515</v>
      </c>
      <c r="M196" s="14">
        <f>'D) Ecrêtage'!M195</f>
        <v>187368.18263493144</v>
      </c>
      <c r="N196" s="14">
        <f t="shared" si="14"/>
        <v>242860.83991434786</v>
      </c>
      <c r="O196" s="75">
        <f t="shared" si="15"/>
        <v>242860.83991434786</v>
      </c>
      <c r="P196" s="329"/>
      <c r="Q196" s="330"/>
      <c r="R196" s="326"/>
      <c r="S196" s="326"/>
      <c r="T196" s="331"/>
    </row>
    <row r="197" spans="1:20" s="325" customFormat="1" x14ac:dyDescent="0.25">
      <c r="A197" s="338">
        <f>'A) Base RI'!A198</f>
        <v>5714</v>
      </c>
      <c r="B197" s="338" t="str">
        <f>'A) Base RI'!B198</f>
        <v>Crassier</v>
      </c>
      <c r="C197" s="397">
        <v>0</v>
      </c>
      <c r="D197" s="327">
        <f>'B) D RI'!AR198</f>
        <v>1141</v>
      </c>
      <c r="E197" s="328">
        <f>'B) D RI'!S198</f>
        <v>64</v>
      </c>
      <c r="F197" s="14">
        <f>'B) D RI'!R198</f>
        <v>4799395.8999999994</v>
      </c>
      <c r="G197" s="14">
        <f>'B) D RI'!U198</f>
        <v>74990.560937499991</v>
      </c>
      <c r="H197" s="52">
        <f>'B) D RI'!T198</f>
        <v>4542058.05</v>
      </c>
      <c r="I197" s="14">
        <f t="shared" si="16"/>
        <v>141939.31406249999</v>
      </c>
      <c r="J197" s="41">
        <f t="shared" si="17"/>
        <v>97497.548167524859</v>
      </c>
      <c r="K197" s="14">
        <f t="shared" si="13"/>
        <v>97497.548167524859</v>
      </c>
      <c r="L197" s="14">
        <f t="shared" si="18"/>
        <v>0</v>
      </c>
      <c r="M197" s="14">
        <f>'D) Ecrêtage'!M196</f>
        <v>70586.345688197092</v>
      </c>
      <c r="N197" s="14">
        <f t="shared" si="14"/>
        <v>91491.836870301748</v>
      </c>
      <c r="O197" s="75">
        <f t="shared" si="15"/>
        <v>188989.38503782661</v>
      </c>
      <c r="P197" s="329"/>
      <c r="Q197" s="330"/>
      <c r="R197" s="326"/>
      <c r="S197" s="326"/>
      <c r="T197" s="331"/>
    </row>
    <row r="198" spans="1:20" s="325" customFormat="1" x14ac:dyDescent="0.25">
      <c r="A198" s="338">
        <f>'A) Base RI'!A199</f>
        <v>5715</v>
      </c>
      <c r="B198" s="338" t="str">
        <f>'A) Base RI'!B199</f>
        <v>Duillier</v>
      </c>
      <c r="C198" s="397">
        <v>0</v>
      </c>
      <c r="D198" s="327">
        <f>'B) D RI'!AR199</f>
        <v>998</v>
      </c>
      <c r="E198" s="328">
        <f>'B) D RI'!S199</f>
        <v>66</v>
      </c>
      <c r="F198" s="14">
        <f>'B) D RI'!R199</f>
        <v>3848675.9299999997</v>
      </c>
      <c r="G198" s="14">
        <f>'B) D RI'!U199</f>
        <v>58313.27166666666</v>
      </c>
      <c r="H198" s="52">
        <f>'B) D RI'!T199</f>
        <v>3615461.63</v>
      </c>
      <c r="I198" s="14">
        <f t="shared" si="16"/>
        <v>109559.44333333333</v>
      </c>
      <c r="J198" s="41">
        <f t="shared" si="17"/>
        <v>85278.311192979672</v>
      </c>
      <c r="K198" s="14">
        <f t="shared" ref="K198:K261" si="19">IF(C198=1,0,IF(J198&gt;I198,I198,J198))</f>
        <v>85278.311192979672</v>
      </c>
      <c r="L198" s="14">
        <f t="shared" si="18"/>
        <v>0</v>
      </c>
      <c r="M198" s="14">
        <f>'D) Ecrêtage'!M197</f>
        <v>57081.407026018729</v>
      </c>
      <c r="N198" s="14">
        <f t="shared" ref="N198:N261" si="20">+$N$5*M198</f>
        <v>73987.153308958805</v>
      </c>
      <c r="O198" s="75">
        <f t="shared" ref="O198:O261" si="21">+N198+K198</f>
        <v>159265.46450193849</v>
      </c>
      <c r="P198" s="329"/>
      <c r="Q198" s="330"/>
      <c r="R198" s="326"/>
      <c r="S198" s="326"/>
      <c r="T198" s="331"/>
    </row>
    <row r="199" spans="1:20" s="325" customFormat="1" x14ac:dyDescent="0.25">
      <c r="A199" s="338">
        <f>'A) Base RI'!A200</f>
        <v>5716</v>
      </c>
      <c r="B199" s="338" t="str">
        <f>'A) Base RI'!B200</f>
        <v>Eysins</v>
      </c>
      <c r="C199" s="397">
        <v>0</v>
      </c>
      <c r="D199" s="327">
        <f>'B) D RI'!AR200</f>
        <v>1469</v>
      </c>
      <c r="E199" s="328">
        <f>'B) D RI'!S200</f>
        <v>61</v>
      </c>
      <c r="F199" s="14">
        <f>'B) D RI'!R200</f>
        <v>7585991.5100000007</v>
      </c>
      <c r="G199" s="14">
        <f>'B) D RI'!U200</f>
        <v>124360.51655737706</v>
      </c>
      <c r="H199" s="52">
        <f>'B) D RI'!T200</f>
        <v>6932350.2600000007</v>
      </c>
      <c r="I199" s="14">
        <f t="shared" ref="I199:I262" si="22">+H199/E199*$I$5</f>
        <v>227290.17245901641</v>
      </c>
      <c r="J199" s="41">
        <f t="shared" ref="J199:J262" si="23">+$I$324/$D$324*D199</f>
        <v>125524.88892032781</v>
      </c>
      <c r="K199" s="14">
        <f t="shared" si="19"/>
        <v>125524.88892032781</v>
      </c>
      <c r="L199" s="14">
        <f t="shared" ref="L199:L262" si="24">+J199-K199</f>
        <v>0</v>
      </c>
      <c r="M199" s="14">
        <f>'D) Ecrêtage'!M198</f>
        <v>106341.27155420385</v>
      </c>
      <c r="N199" s="14">
        <f t="shared" si="20"/>
        <v>137836.26528274216</v>
      </c>
      <c r="O199" s="75">
        <f t="shared" si="21"/>
        <v>263361.15420306998</v>
      </c>
      <c r="P199" s="329"/>
      <c r="Q199" s="330"/>
      <c r="R199" s="326"/>
      <c r="S199" s="326"/>
      <c r="T199" s="331"/>
    </row>
    <row r="200" spans="1:20" s="325" customFormat="1" x14ac:dyDescent="0.25">
      <c r="A200" s="338">
        <f>'A) Base RI'!A201</f>
        <v>5717</v>
      </c>
      <c r="B200" s="338" t="str">
        <f>'A) Base RI'!B201</f>
        <v>Founex</v>
      </c>
      <c r="C200" s="397">
        <v>0</v>
      </c>
      <c r="D200" s="327">
        <f>'B) D RI'!AR201</f>
        <v>3372</v>
      </c>
      <c r="E200" s="328">
        <f>'B) D RI'!S201</f>
        <v>57</v>
      </c>
      <c r="F200" s="14">
        <f>'B) D RI'!R201</f>
        <v>19698954.18</v>
      </c>
      <c r="G200" s="14">
        <f>'B) D RI'!U201</f>
        <v>345595.68736842106</v>
      </c>
      <c r="H200" s="52">
        <f>'B) D RI'!T201</f>
        <v>18520010.379999999</v>
      </c>
      <c r="I200" s="14">
        <f t="shared" si="22"/>
        <v>649824.92561403511</v>
      </c>
      <c r="J200" s="41">
        <f t="shared" si="23"/>
        <v>288134.73481235217</v>
      </c>
      <c r="K200" s="14">
        <f t="shared" si="19"/>
        <v>288134.73481235217</v>
      </c>
      <c r="L200" s="14">
        <f t="shared" si="24"/>
        <v>0</v>
      </c>
      <c r="M200" s="14">
        <f>'D) Ecrêtage'!M199</f>
        <v>272923.34101542807</v>
      </c>
      <c r="N200" s="14">
        <f t="shared" si="20"/>
        <v>353754.7885618424</v>
      </c>
      <c r="O200" s="75">
        <f t="shared" si="21"/>
        <v>641889.52337419451</v>
      </c>
      <c r="P200" s="329"/>
      <c r="Q200" s="330"/>
      <c r="R200" s="326"/>
      <c r="S200" s="326"/>
      <c r="T200" s="331"/>
    </row>
    <row r="201" spans="1:20" s="325" customFormat="1" x14ac:dyDescent="0.25">
      <c r="A201" s="338">
        <f>'A) Base RI'!A202</f>
        <v>5718</v>
      </c>
      <c r="B201" s="338" t="str">
        <f>'A) Base RI'!B202</f>
        <v>Genolier</v>
      </c>
      <c r="C201" s="397">
        <v>0</v>
      </c>
      <c r="D201" s="327">
        <f>'B) D RI'!AR202</f>
        <v>1890</v>
      </c>
      <c r="E201" s="328">
        <f>'B) D RI'!S202</f>
        <v>55</v>
      </c>
      <c r="F201" s="14">
        <f>'B) D RI'!R202</f>
        <v>8116010.6799999997</v>
      </c>
      <c r="G201" s="14">
        <f>'B) D RI'!U202</f>
        <v>147563.83054545455</v>
      </c>
      <c r="H201" s="52">
        <f>'B) D RI'!T202</f>
        <v>7523818.8799999999</v>
      </c>
      <c r="I201" s="14">
        <f t="shared" si="22"/>
        <v>273593.41381818184</v>
      </c>
      <c r="J201" s="41">
        <f t="shared" si="23"/>
        <v>161499.00616706573</v>
      </c>
      <c r="K201" s="14">
        <f t="shared" si="19"/>
        <v>161499.00616706573</v>
      </c>
      <c r="L201" s="14">
        <f t="shared" si="24"/>
        <v>0</v>
      </c>
      <c r="M201" s="14">
        <f>'D) Ecrêtage'!M200</f>
        <v>130101.52774504664</v>
      </c>
      <c r="N201" s="14">
        <f t="shared" si="20"/>
        <v>168633.57405704615</v>
      </c>
      <c r="O201" s="75">
        <f t="shared" si="21"/>
        <v>330132.58022411191</v>
      </c>
      <c r="P201" s="329"/>
      <c r="Q201" s="330"/>
      <c r="R201" s="326"/>
      <c r="S201" s="326"/>
      <c r="T201" s="331"/>
    </row>
    <row r="202" spans="1:20" s="325" customFormat="1" x14ac:dyDescent="0.25">
      <c r="A202" s="338">
        <f>'A) Base RI'!A203</f>
        <v>5719</v>
      </c>
      <c r="B202" s="338" t="str">
        <f>'A) Base RI'!B203</f>
        <v>Gingins</v>
      </c>
      <c r="C202" s="397">
        <v>0</v>
      </c>
      <c r="D202" s="327">
        <f>'B) D RI'!AR203</f>
        <v>1204</v>
      </c>
      <c r="E202" s="328">
        <f>'B) D RI'!S203</f>
        <v>57</v>
      </c>
      <c r="F202" s="14">
        <f>'B) D RI'!R203</f>
        <v>5501339.3899999997</v>
      </c>
      <c r="G202" s="14">
        <f>'B) D RI'!U203</f>
        <v>96514.726140350875</v>
      </c>
      <c r="H202" s="52">
        <f>'B) D RI'!T203</f>
        <v>5146175.3899999997</v>
      </c>
      <c r="I202" s="14">
        <f t="shared" si="22"/>
        <v>180567.55754385964</v>
      </c>
      <c r="J202" s="41">
        <f t="shared" si="23"/>
        <v>102880.84837309372</v>
      </c>
      <c r="K202" s="14">
        <f t="shared" si="19"/>
        <v>102880.84837309372</v>
      </c>
      <c r="L202" s="14">
        <f t="shared" si="24"/>
        <v>0</v>
      </c>
      <c r="M202" s="14">
        <f>'D) Ecrêtage'!M201</f>
        <v>84235.486156849482</v>
      </c>
      <c r="N202" s="14">
        <f t="shared" si="20"/>
        <v>109183.43035063389</v>
      </c>
      <c r="O202" s="75">
        <f t="shared" si="21"/>
        <v>212064.27872372762</v>
      </c>
      <c r="P202" s="329"/>
      <c r="Q202" s="330"/>
      <c r="R202" s="326"/>
      <c r="S202" s="326"/>
      <c r="T202" s="331"/>
    </row>
    <row r="203" spans="1:20" s="325" customFormat="1" x14ac:dyDescent="0.25">
      <c r="A203" s="338">
        <f>'A) Base RI'!A204</f>
        <v>5720</v>
      </c>
      <c r="B203" s="338" t="str">
        <f>'A) Base RI'!B204</f>
        <v>Givrins</v>
      </c>
      <c r="C203" s="397">
        <v>0</v>
      </c>
      <c r="D203" s="327">
        <f>'B) D RI'!AR204</f>
        <v>971</v>
      </c>
      <c r="E203" s="328">
        <f>'B) D RI'!S204</f>
        <v>61</v>
      </c>
      <c r="F203" s="14">
        <f>'B) D RI'!R204</f>
        <v>4943309.7911111116</v>
      </c>
      <c r="G203" s="14">
        <f>'B) D RI'!U204</f>
        <v>81037.865428051009</v>
      </c>
      <c r="H203" s="52">
        <f>'B) D RI'!T204</f>
        <v>4666786.6800000006</v>
      </c>
      <c r="I203" s="14">
        <f t="shared" si="22"/>
        <v>153009.39934426232</v>
      </c>
      <c r="J203" s="41">
        <f t="shared" si="23"/>
        <v>82971.182533450163</v>
      </c>
      <c r="K203" s="14">
        <f t="shared" si="19"/>
        <v>82971.182533450163</v>
      </c>
      <c r="L203" s="14">
        <f t="shared" si="24"/>
        <v>0</v>
      </c>
      <c r="M203" s="14">
        <f>'D) Ecrêtage'!M202</f>
        <v>69662.544967251597</v>
      </c>
      <c r="N203" s="14">
        <f t="shared" si="20"/>
        <v>90294.434964347223</v>
      </c>
      <c r="O203" s="75">
        <f t="shared" si="21"/>
        <v>173265.61749779739</v>
      </c>
      <c r="P203" s="329"/>
      <c r="Q203" s="330"/>
      <c r="R203" s="326"/>
      <c r="S203" s="326"/>
      <c r="T203" s="331"/>
    </row>
    <row r="204" spans="1:20" s="325" customFormat="1" x14ac:dyDescent="0.25">
      <c r="A204" s="338">
        <f>'A) Base RI'!A205</f>
        <v>5721</v>
      </c>
      <c r="B204" s="338" t="str">
        <f>'A) Base RI'!B205</f>
        <v>Gland</v>
      </c>
      <c r="C204" s="397">
        <v>0</v>
      </c>
      <c r="D204" s="327">
        <f>'B) D RI'!AR205</f>
        <v>12663</v>
      </c>
      <c r="E204" s="328">
        <f>'B) D RI'!S205</f>
        <v>62.5</v>
      </c>
      <c r="F204" s="14">
        <f>'B) D RI'!R205</f>
        <v>34785928.334545448</v>
      </c>
      <c r="G204" s="14">
        <f>'B) D RI'!U205</f>
        <v>556574.85335272714</v>
      </c>
      <c r="H204" s="52">
        <f>'B) D RI'!T205</f>
        <v>32368860.379999995</v>
      </c>
      <c r="I204" s="14">
        <f t="shared" si="22"/>
        <v>1035803.5321599998</v>
      </c>
      <c r="J204" s="41">
        <f t="shared" si="23"/>
        <v>1082043.3413193403</v>
      </c>
      <c r="K204" s="14">
        <f t="shared" si="19"/>
        <v>1035803.5321599998</v>
      </c>
      <c r="L204" s="14">
        <f t="shared" si="24"/>
        <v>46239.809159340453</v>
      </c>
      <c r="M204" s="14">
        <f>'D) Ecrêtage'!M203</f>
        <v>556574.85335272714</v>
      </c>
      <c r="N204" s="14">
        <f t="shared" si="20"/>
        <v>721415.10079016071</v>
      </c>
      <c r="O204" s="75">
        <f t="shared" si="21"/>
        <v>1757218.6329501607</v>
      </c>
      <c r="P204" s="329"/>
      <c r="Q204" s="330"/>
      <c r="R204" s="326"/>
      <c r="S204" s="326"/>
      <c r="T204" s="331"/>
    </row>
    <row r="205" spans="1:20" s="325" customFormat="1" x14ac:dyDescent="0.25">
      <c r="A205" s="338">
        <f>'A) Base RI'!A206</f>
        <v>5722</v>
      </c>
      <c r="B205" s="338" t="str">
        <f>'A) Base RI'!B206</f>
        <v>Grens</v>
      </c>
      <c r="C205" s="397">
        <v>0</v>
      </c>
      <c r="D205" s="327">
        <f>'B) D RI'!AR206</f>
        <v>380</v>
      </c>
      <c r="E205" s="328">
        <f>'B) D RI'!S206</f>
        <v>57</v>
      </c>
      <c r="F205" s="14">
        <f>'B) D RI'!R206</f>
        <v>1425605.3399999999</v>
      </c>
      <c r="G205" s="14">
        <f>'B) D RI'!U206</f>
        <v>25010.62</v>
      </c>
      <c r="H205" s="52">
        <f>'B) D RI'!T206</f>
        <v>1340659.94</v>
      </c>
      <c r="I205" s="14">
        <f t="shared" si="22"/>
        <v>47040.699649122806</v>
      </c>
      <c r="J205" s="41">
        <f t="shared" si="23"/>
        <v>32470.699652637551</v>
      </c>
      <c r="K205" s="14">
        <f t="shared" si="19"/>
        <v>32470.699652637551</v>
      </c>
      <c r="L205" s="14">
        <f t="shared" si="24"/>
        <v>0</v>
      </c>
      <c r="M205" s="14">
        <f>'D) Ecrêtage'!M204</f>
        <v>23530.992191336456</v>
      </c>
      <c r="N205" s="14">
        <f t="shared" si="20"/>
        <v>30500.143873095978</v>
      </c>
      <c r="O205" s="75">
        <f t="shared" si="21"/>
        <v>62970.84352573353</v>
      </c>
      <c r="P205" s="329"/>
      <c r="Q205" s="330"/>
      <c r="R205" s="326"/>
      <c r="S205" s="326"/>
      <c r="T205" s="331"/>
    </row>
    <row r="206" spans="1:20" s="325" customFormat="1" x14ac:dyDescent="0.25">
      <c r="A206" s="338">
        <f>'A) Base RI'!A207</f>
        <v>5723</v>
      </c>
      <c r="B206" s="338" t="str">
        <f>'A) Base RI'!B207</f>
        <v>Mies</v>
      </c>
      <c r="C206" s="397">
        <v>0</v>
      </c>
      <c r="D206" s="327">
        <f>'B) D RI'!AR207</f>
        <v>1778</v>
      </c>
      <c r="E206" s="328">
        <f>'B) D RI'!S207</f>
        <v>49</v>
      </c>
      <c r="F206" s="14">
        <f>'B) D RI'!R207</f>
        <v>13026096.549999999</v>
      </c>
      <c r="G206" s="14">
        <f>'B) D RI'!U207</f>
        <v>265838.70510204078</v>
      </c>
      <c r="H206" s="52">
        <f>'B) D RI'!T207</f>
        <v>12290808.899999999</v>
      </c>
      <c r="I206" s="14">
        <f t="shared" si="22"/>
        <v>501665.66938775504</v>
      </c>
      <c r="J206" s="41">
        <f t="shared" si="23"/>
        <v>151928.69469049887</v>
      </c>
      <c r="K206" s="14">
        <f t="shared" si="19"/>
        <v>151928.69469049887</v>
      </c>
      <c r="L206" s="14">
        <f t="shared" si="24"/>
        <v>0</v>
      </c>
      <c r="M206" s="14">
        <f>'D) Ecrêtage'!M205</f>
        <v>178561.43286500283</v>
      </c>
      <c r="N206" s="14">
        <f t="shared" si="20"/>
        <v>231445.80340194478</v>
      </c>
      <c r="O206" s="75">
        <f t="shared" si="21"/>
        <v>383374.49809244368</v>
      </c>
      <c r="P206" s="329"/>
      <c r="Q206" s="330"/>
      <c r="R206" s="326"/>
      <c r="S206" s="326"/>
      <c r="T206" s="331"/>
    </row>
    <row r="207" spans="1:20" s="325" customFormat="1" x14ac:dyDescent="0.25">
      <c r="A207" s="338">
        <f>'A) Base RI'!A208</f>
        <v>5724</v>
      </c>
      <c r="B207" s="338" t="str">
        <f>'A) Base RI'!B208</f>
        <v>Nyon</v>
      </c>
      <c r="C207" s="397">
        <v>1</v>
      </c>
      <c r="D207" s="327">
        <f>'B) D RI'!AR208</f>
        <v>19861</v>
      </c>
      <c r="E207" s="328">
        <f>'B) D RI'!S208</f>
        <v>61</v>
      </c>
      <c r="F207" s="14">
        <f>'B) D RI'!R208</f>
        <v>83780288.066923067</v>
      </c>
      <c r="G207" s="14">
        <f>'B) D RI'!U208</f>
        <v>1373447.3453593946</v>
      </c>
      <c r="H207" s="52">
        <f>'B) D RI'!T208</f>
        <v>78747496.489999995</v>
      </c>
      <c r="I207" s="14">
        <f t="shared" si="22"/>
        <v>2581885.1308196718</v>
      </c>
      <c r="J207" s="41">
        <f t="shared" si="23"/>
        <v>1697106.7521079853</v>
      </c>
      <c r="K207" s="14">
        <f t="shared" si="19"/>
        <v>0</v>
      </c>
      <c r="L207" s="14">
        <f t="shared" si="24"/>
        <v>1697106.7521079853</v>
      </c>
      <c r="M207" s="14">
        <f>'D) Ecrêtage'!M206</f>
        <v>1271467.4997079377</v>
      </c>
      <c r="N207" s="14">
        <f t="shared" si="20"/>
        <v>1648036.8254652501</v>
      </c>
      <c r="O207" s="75">
        <f t="shared" si="21"/>
        <v>1648036.8254652501</v>
      </c>
      <c r="P207" s="329"/>
      <c r="Q207" s="330"/>
      <c r="R207" s="326"/>
      <c r="S207" s="326"/>
      <c r="T207" s="331"/>
    </row>
    <row r="208" spans="1:20" s="325" customFormat="1" x14ac:dyDescent="0.25">
      <c r="A208" s="338">
        <f>'A) Base RI'!A209</f>
        <v>5725</v>
      </c>
      <c r="B208" s="338" t="str">
        <f>'A) Base RI'!B209</f>
        <v>Prangins</v>
      </c>
      <c r="C208" s="397">
        <v>1</v>
      </c>
      <c r="D208" s="327">
        <f>'B) D RI'!AR209</f>
        <v>3976</v>
      </c>
      <c r="E208" s="328">
        <f>'B) D RI'!S209</f>
        <v>56</v>
      </c>
      <c r="F208" s="14">
        <f>'B) D RI'!R209</f>
        <v>15627987.658571428</v>
      </c>
      <c r="G208" s="14">
        <f>'B) D RI'!U209</f>
        <v>279071.20818877552</v>
      </c>
      <c r="H208" s="52">
        <f>'B) D RI'!T209</f>
        <v>14500711.729999999</v>
      </c>
      <c r="I208" s="14">
        <f t="shared" si="22"/>
        <v>517882.56178571424</v>
      </c>
      <c r="J208" s="41">
        <f t="shared" si="23"/>
        <v>339746.05741812347</v>
      </c>
      <c r="K208" s="14">
        <f t="shared" si="19"/>
        <v>0</v>
      </c>
      <c r="L208" s="14">
        <f t="shared" si="24"/>
        <v>339746.05741812347</v>
      </c>
      <c r="M208" s="14">
        <f>'D) Ecrêtage'!M207</f>
        <v>256761.00669706723</v>
      </c>
      <c r="N208" s="14">
        <f t="shared" si="20"/>
        <v>332805.67098844168</v>
      </c>
      <c r="O208" s="75">
        <f t="shared" si="21"/>
        <v>332805.67098844168</v>
      </c>
      <c r="P208" s="329"/>
      <c r="Q208" s="330"/>
      <c r="R208" s="326"/>
      <c r="S208" s="326"/>
      <c r="T208" s="331"/>
    </row>
    <row r="209" spans="1:20" s="325" customFormat="1" x14ac:dyDescent="0.25">
      <c r="A209" s="338">
        <f>'A) Base RI'!A210</f>
        <v>5726</v>
      </c>
      <c r="B209" s="338" t="str">
        <f>'A) Base RI'!B210</f>
        <v>La Rippe</v>
      </c>
      <c r="C209" s="397">
        <v>0</v>
      </c>
      <c r="D209" s="327">
        <f>'B) D RI'!AR210</f>
        <v>1104</v>
      </c>
      <c r="E209" s="328">
        <f>'B) D RI'!S210</f>
        <v>65</v>
      </c>
      <c r="F209" s="14">
        <f>'B) D RI'!R210</f>
        <v>3927954.8600000003</v>
      </c>
      <c r="G209" s="14">
        <f>'B) D RI'!U210</f>
        <v>60430.074769230778</v>
      </c>
      <c r="H209" s="52">
        <f>'B) D RI'!T210</f>
        <v>3702233.0600000005</v>
      </c>
      <c r="I209" s="14">
        <f t="shared" si="22"/>
        <v>113914.8633846154</v>
      </c>
      <c r="J209" s="41">
        <f t="shared" si="23"/>
        <v>94335.927411873316</v>
      </c>
      <c r="K209" s="14">
        <f t="shared" si="19"/>
        <v>94335.927411873316</v>
      </c>
      <c r="L209" s="14">
        <f t="shared" si="24"/>
        <v>0</v>
      </c>
      <c r="M209" s="14">
        <f>'D) Ecrêtage'!M208</f>
        <v>60430.074769230778</v>
      </c>
      <c r="N209" s="14">
        <f t="shared" si="20"/>
        <v>78327.592807670924</v>
      </c>
      <c r="O209" s="75">
        <f t="shared" si="21"/>
        <v>172663.52021954424</v>
      </c>
      <c r="P209" s="329"/>
      <c r="Q209" s="330"/>
      <c r="R209" s="326"/>
      <c r="S209" s="326"/>
      <c r="T209" s="331"/>
    </row>
    <row r="210" spans="1:20" s="325" customFormat="1" x14ac:dyDescent="0.25">
      <c r="A210" s="338">
        <f>'A) Base RI'!A211</f>
        <v>5727</v>
      </c>
      <c r="B210" s="338" t="str">
        <f>'A) Base RI'!B211</f>
        <v>Saint-Cergue</v>
      </c>
      <c r="C210" s="397">
        <v>0</v>
      </c>
      <c r="D210" s="327">
        <f>'B) D RI'!AR211</f>
        <v>2406</v>
      </c>
      <c r="E210" s="328">
        <f>'B) D RI'!S211</f>
        <v>66</v>
      </c>
      <c r="F210" s="14">
        <f>'B) D RI'!R211</f>
        <v>6097381.7233333327</v>
      </c>
      <c r="G210" s="14">
        <f>'B) D RI'!U211</f>
        <v>92384.571565656559</v>
      </c>
      <c r="H210" s="52">
        <f>'B) D RI'!T211</f>
        <v>5643794.7899999991</v>
      </c>
      <c r="I210" s="14">
        <f t="shared" si="22"/>
        <v>171024.08454545451</v>
      </c>
      <c r="J210" s="41">
        <f t="shared" si="23"/>
        <v>205590.79832696303</v>
      </c>
      <c r="K210" s="14">
        <f t="shared" si="19"/>
        <v>171024.08454545451</v>
      </c>
      <c r="L210" s="14">
        <f t="shared" si="24"/>
        <v>34566.71378150853</v>
      </c>
      <c r="M210" s="14">
        <f>'D) Ecrêtage'!M209</f>
        <v>92384.571565656559</v>
      </c>
      <c r="N210" s="14">
        <f t="shared" si="20"/>
        <v>119746.02267065822</v>
      </c>
      <c r="O210" s="75">
        <f t="shared" si="21"/>
        <v>290770.10721611272</v>
      </c>
      <c r="P210" s="329"/>
      <c r="Q210" s="330"/>
      <c r="R210" s="326"/>
      <c r="S210" s="326"/>
      <c r="T210" s="331"/>
    </row>
    <row r="211" spans="1:20" s="325" customFormat="1" x14ac:dyDescent="0.25">
      <c r="A211" s="338">
        <f>'A) Base RI'!A212</f>
        <v>5728</v>
      </c>
      <c r="B211" s="338" t="str">
        <f>'A) Base RI'!B212</f>
        <v>Signy-Avenex</v>
      </c>
      <c r="C211" s="397">
        <v>0</v>
      </c>
      <c r="D211" s="327">
        <f>'B) D RI'!AR212</f>
        <v>481</v>
      </c>
      <c r="E211" s="328">
        <f>'B) D RI'!S212</f>
        <v>56</v>
      </c>
      <c r="F211" s="14">
        <f>'B) D RI'!R212</f>
        <v>1746377.48</v>
      </c>
      <c r="G211" s="14">
        <f>'B) D RI'!U212</f>
        <v>31185.312142857143</v>
      </c>
      <c r="H211" s="52">
        <f>'B) D RI'!T212</f>
        <v>1502251.08</v>
      </c>
      <c r="I211" s="14">
        <f t="shared" si="22"/>
        <v>53651.82428571429</v>
      </c>
      <c r="J211" s="41">
        <f t="shared" si="23"/>
        <v>41101.069823470163</v>
      </c>
      <c r="K211" s="14">
        <f t="shared" si="19"/>
        <v>41101.069823470163</v>
      </c>
      <c r="L211" s="14">
        <f t="shared" si="24"/>
        <v>0</v>
      </c>
      <c r="M211" s="14">
        <f>'D) Ecrêtage'!M210</f>
        <v>29482.647095725504</v>
      </c>
      <c r="N211" s="14">
        <f t="shared" si="20"/>
        <v>38214.494776400301</v>
      </c>
      <c r="O211" s="75">
        <f t="shared" si="21"/>
        <v>79315.564599870471</v>
      </c>
      <c r="P211" s="329"/>
      <c r="Q211" s="330"/>
      <c r="R211" s="326"/>
      <c r="S211" s="326"/>
      <c r="T211" s="331"/>
    </row>
    <row r="212" spans="1:20" s="325" customFormat="1" x14ac:dyDescent="0.25">
      <c r="A212" s="338">
        <f>'A) Base RI'!A213</f>
        <v>5729</v>
      </c>
      <c r="B212" s="338" t="str">
        <f>'A) Base RI'!B213</f>
        <v>Tannay</v>
      </c>
      <c r="C212" s="397">
        <v>0</v>
      </c>
      <c r="D212" s="327">
        <f>'B) D RI'!AR213</f>
        <v>1448</v>
      </c>
      <c r="E212" s="328">
        <f>'B) D RI'!S213</f>
        <v>61</v>
      </c>
      <c r="F212" s="14">
        <f>'B) D RI'!R213</f>
        <v>8444722.3766666669</v>
      </c>
      <c r="G212" s="14">
        <f>'B) D RI'!U213</f>
        <v>138438.0717486339</v>
      </c>
      <c r="H212" s="52">
        <f>'B) D RI'!T213</f>
        <v>7917527.1100000003</v>
      </c>
      <c r="I212" s="14">
        <f t="shared" si="22"/>
        <v>259591.05278688527</v>
      </c>
      <c r="J212" s="41">
        <f t="shared" si="23"/>
        <v>123730.45551847151</v>
      </c>
      <c r="K212" s="14">
        <f t="shared" si="19"/>
        <v>123730.45551847151</v>
      </c>
      <c r="L212" s="14">
        <f t="shared" si="24"/>
        <v>0</v>
      </c>
      <c r="M212" s="14">
        <f>'D) Ecrêtage'!M211</f>
        <v>112812.83266494203</v>
      </c>
      <c r="N212" s="14">
        <f t="shared" si="20"/>
        <v>146224.50252136227</v>
      </c>
      <c r="O212" s="75">
        <f t="shared" si="21"/>
        <v>269954.95803983381</v>
      </c>
      <c r="P212" s="329"/>
      <c r="Q212" s="330"/>
      <c r="R212" s="326"/>
      <c r="S212" s="326"/>
      <c r="T212" s="331"/>
    </row>
    <row r="213" spans="1:20" s="325" customFormat="1" x14ac:dyDescent="0.25">
      <c r="A213" s="338">
        <f>'A) Base RI'!A214</f>
        <v>5730</v>
      </c>
      <c r="B213" s="338" t="str">
        <f>'A) Base RI'!B214</f>
        <v>Trélex</v>
      </c>
      <c r="C213" s="397">
        <v>0</v>
      </c>
      <c r="D213" s="327">
        <f>'B) D RI'!AR214</f>
        <v>1394</v>
      </c>
      <c r="E213" s="328">
        <f>'B) D RI'!S214</f>
        <v>53</v>
      </c>
      <c r="F213" s="14">
        <f>'B) D RI'!R214</f>
        <v>7898175.4499999993</v>
      </c>
      <c r="G213" s="14">
        <f>'B) D RI'!U214</f>
        <v>149022.17830188677</v>
      </c>
      <c r="H213" s="52">
        <f>'B) D RI'!T214</f>
        <v>7519152.4499999993</v>
      </c>
      <c r="I213" s="14">
        <f t="shared" si="22"/>
        <v>283741.6018867924</v>
      </c>
      <c r="J213" s="41">
        <f t="shared" si="23"/>
        <v>119116.19819941249</v>
      </c>
      <c r="K213" s="14">
        <f t="shared" si="19"/>
        <v>119116.19819941249</v>
      </c>
      <c r="L213" s="14">
        <f t="shared" si="24"/>
        <v>0</v>
      </c>
      <c r="M213" s="14">
        <f>'D) Ecrêtage'!M212</f>
        <v>115534.33928652294</v>
      </c>
      <c r="N213" s="14">
        <f t="shared" si="20"/>
        <v>149752.03518275009</v>
      </c>
      <c r="O213" s="75">
        <f t="shared" si="21"/>
        <v>268868.23338216258</v>
      </c>
      <c r="P213" s="329"/>
      <c r="Q213" s="330"/>
      <c r="R213" s="326"/>
      <c r="S213" s="326"/>
      <c r="T213" s="331"/>
    </row>
    <row r="214" spans="1:20" s="325" customFormat="1" x14ac:dyDescent="0.25">
      <c r="A214" s="338">
        <f>'A) Base RI'!A215</f>
        <v>5731</v>
      </c>
      <c r="B214" s="338" t="str">
        <f>'A) Base RI'!B215</f>
        <v>Le Vaud</v>
      </c>
      <c r="C214" s="397">
        <v>0</v>
      </c>
      <c r="D214" s="327">
        <f>'B) D RI'!AR215</f>
        <v>1243</v>
      </c>
      <c r="E214" s="328">
        <f>'B) D RI'!S215</f>
        <v>75</v>
      </c>
      <c r="F214" s="14">
        <f>'B) D RI'!R215</f>
        <v>3483741.21</v>
      </c>
      <c r="G214" s="14">
        <f>'B) D RI'!U215</f>
        <v>46449.882799999999</v>
      </c>
      <c r="H214" s="52">
        <f>'B) D RI'!T215</f>
        <v>3253136.21</v>
      </c>
      <c r="I214" s="14">
        <f t="shared" si="22"/>
        <v>86750.298933333339</v>
      </c>
      <c r="J214" s="41">
        <f t="shared" si="23"/>
        <v>106213.36754796968</v>
      </c>
      <c r="K214" s="14">
        <f t="shared" si="19"/>
        <v>86750.298933333339</v>
      </c>
      <c r="L214" s="14">
        <f t="shared" si="24"/>
        <v>19463.068614636344</v>
      </c>
      <c r="M214" s="14">
        <f>'D) Ecrêtage'!M213</f>
        <v>46449.882799999999</v>
      </c>
      <c r="N214" s="14">
        <f t="shared" si="20"/>
        <v>60206.900617223073</v>
      </c>
      <c r="O214" s="75">
        <f t="shared" si="21"/>
        <v>146957.19955055643</v>
      </c>
      <c r="P214" s="329"/>
      <c r="Q214" s="330"/>
      <c r="R214" s="326"/>
      <c r="S214" s="326"/>
      <c r="T214" s="331"/>
    </row>
    <row r="215" spans="1:20" s="325" customFormat="1" x14ac:dyDescent="0.25">
      <c r="A215" s="338">
        <f>'A) Base RI'!A216</f>
        <v>5732</v>
      </c>
      <c r="B215" s="338" t="str">
        <f>'A) Base RI'!B216</f>
        <v>Vich</v>
      </c>
      <c r="C215" s="397">
        <v>0</v>
      </c>
      <c r="D215" s="327">
        <f>'B) D RI'!AR216</f>
        <v>882</v>
      </c>
      <c r="E215" s="328">
        <f>'B) D RI'!S216</f>
        <v>68</v>
      </c>
      <c r="F215" s="14">
        <f>'B) D RI'!R216</f>
        <v>3895916.8500000006</v>
      </c>
      <c r="G215" s="14">
        <f>'B) D RI'!U216</f>
        <v>57292.894852941186</v>
      </c>
      <c r="H215" s="52">
        <f>'B) D RI'!T216</f>
        <v>3626338.9500000007</v>
      </c>
      <c r="I215" s="14">
        <f t="shared" si="22"/>
        <v>106657.02794117649</v>
      </c>
      <c r="J215" s="41">
        <f t="shared" si="23"/>
        <v>75366.20287796401</v>
      </c>
      <c r="K215" s="14">
        <f t="shared" si="19"/>
        <v>75366.20287796401</v>
      </c>
      <c r="L215" s="14">
        <f t="shared" si="24"/>
        <v>0</v>
      </c>
      <c r="M215" s="14">
        <f>'D) Ecrêtage'!M214</f>
        <v>54131.506219458031</v>
      </c>
      <c r="N215" s="14">
        <f t="shared" si="20"/>
        <v>70163.583173034451</v>
      </c>
      <c r="O215" s="75">
        <f t="shared" si="21"/>
        <v>145529.78605099846</v>
      </c>
      <c r="P215" s="329"/>
      <c r="Q215" s="330"/>
      <c r="R215" s="326"/>
      <c r="S215" s="326"/>
      <c r="T215" s="331"/>
    </row>
    <row r="216" spans="1:20" s="325" customFormat="1" x14ac:dyDescent="0.25">
      <c r="A216" s="338">
        <f>'A) Base RI'!A217</f>
        <v>5741</v>
      </c>
      <c r="B216" s="338" t="str">
        <f>'A) Base RI'!B217</f>
        <v>L'Abergement</v>
      </c>
      <c r="C216" s="397">
        <v>0</v>
      </c>
      <c r="D216" s="327">
        <f>'B) D RI'!AR217</f>
        <v>250</v>
      </c>
      <c r="E216" s="328">
        <f>'B) D RI'!S217</f>
        <v>81</v>
      </c>
      <c r="F216" s="14">
        <f>'B) D RI'!R217</f>
        <v>566586.00833333342</v>
      </c>
      <c r="G216" s="14">
        <f>'B) D RI'!U217</f>
        <v>6994.8889917695487</v>
      </c>
      <c r="H216" s="52">
        <f>'B) D RI'!T217</f>
        <v>531333.55000000005</v>
      </c>
      <c r="I216" s="14">
        <f t="shared" si="22"/>
        <v>13119.346913580248</v>
      </c>
      <c r="J216" s="41">
        <f t="shared" si="23"/>
        <v>21362.302403051021</v>
      </c>
      <c r="K216" s="14">
        <f t="shared" si="19"/>
        <v>13119.346913580248</v>
      </c>
      <c r="L216" s="14">
        <f t="shared" si="24"/>
        <v>8242.9554894707726</v>
      </c>
      <c r="M216" s="14">
        <f>'D) Ecrêtage'!M215</f>
        <v>6994.8889917695487</v>
      </c>
      <c r="N216" s="14">
        <f t="shared" si="20"/>
        <v>9066.5586427696417</v>
      </c>
      <c r="O216" s="75">
        <f t="shared" si="21"/>
        <v>22185.905556349891</v>
      </c>
      <c r="P216" s="329"/>
      <c r="Q216" s="330"/>
      <c r="R216" s="326"/>
      <c r="S216" s="326"/>
      <c r="T216" s="331"/>
    </row>
    <row r="217" spans="1:20" s="325" customFormat="1" x14ac:dyDescent="0.25">
      <c r="A217" s="338">
        <f>'A) Base RI'!A218</f>
        <v>5742</v>
      </c>
      <c r="B217" s="338" t="str">
        <f>'A) Base RI'!B218</f>
        <v>Agiez</v>
      </c>
      <c r="C217" s="397">
        <v>0</v>
      </c>
      <c r="D217" s="327">
        <f>'B) D RI'!AR218</f>
        <v>308</v>
      </c>
      <c r="E217" s="328">
        <f>'B) D RI'!S218</f>
        <v>76</v>
      </c>
      <c r="F217" s="14">
        <f>'B) D RI'!R218</f>
        <v>704827.27</v>
      </c>
      <c r="G217" s="14">
        <f>'B) D RI'!U218</f>
        <v>9274.0430263157905</v>
      </c>
      <c r="H217" s="52">
        <f>'B) D RI'!T218</f>
        <v>657678.87</v>
      </c>
      <c r="I217" s="14">
        <f t="shared" si="22"/>
        <v>17307.338684210525</v>
      </c>
      <c r="J217" s="41">
        <f t="shared" si="23"/>
        <v>26318.356560558859</v>
      </c>
      <c r="K217" s="14">
        <f t="shared" si="19"/>
        <v>17307.338684210525</v>
      </c>
      <c r="L217" s="14">
        <f t="shared" si="24"/>
        <v>9011.0178763483345</v>
      </c>
      <c r="M217" s="14">
        <f>'D) Ecrêtage'!M216</f>
        <v>9274.0430263157905</v>
      </c>
      <c r="N217" s="14">
        <f t="shared" si="20"/>
        <v>12020.727570172588</v>
      </c>
      <c r="O217" s="75">
        <f t="shared" si="21"/>
        <v>29328.066254383113</v>
      </c>
      <c r="P217" s="329"/>
      <c r="Q217" s="330"/>
      <c r="R217" s="326"/>
      <c r="S217" s="326"/>
      <c r="T217" s="331"/>
    </row>
    <row r="218" spans="1:20" s="325" customFormat="1" x14ac:dyDescent="0.25">
      <c r="A218" s="338">
        <f>'A) Base RI'!A219</f>
        <v>5743</v>
      </c>
      <c r="B218" s="338" t="str">
        <f>'A) Base RI'!B219</f>
        <v>Arnex-sur-Orbe</v>
      </c>
      <c r="C218" s="397">
        <v>0</v>
      </c>
      <c r="D218" s="327">
        <f>'B) D RI'!AR219</f>
        <v>625</v>
      </c>
      <c r="E218" s="328">
        <f>'B) D RI'!S219</f>
        <v>73</v>
      </c>
      <c r="F218" s="14">
        <f>'B) D RI'!R219</f>
        <v>1266464.9075000002</v>
      </c>
      <c r="G218" s="14">
        <f>'B) D RI'!U219</f>
        <v>17348.834349315071</v>
      </c>
      <c r="H218" s="52">
        <f>'B) D RI'!T219</f>
        <v>1192922.2200000002</v>
      </c>
      <c r="I218" s="14">
        <f t="shared" si="22"/>
        <v>32682.800547945211</v>
      </c>
      <c r="J218" s="41">
        <f t="shared" si="23"/>
        <v>53405.756007627555</v>
      </c>
      <c r="K218" s="14">
        <f t="shared" si="19"/>
        <v>32682.800547945211</v>
      </c>
      <c r="L218" s="14">
        <f t="shared" si="24"/>
        <v>20722.955459682344</v>
      </c>
      <c r="M218" s="14">
        <f>'D) Ecrêtage'!M217</f>
        <v>17348.834349315071</v>
      </c>
      <c r="N218" s="14">
        <f t="shared" si="20"/>
        <v>22487.022195325721</v>
      </c>
      <c r="O218" s="75">
        <f t="shared" si="21"/>
        <v>55169.822743270932</v>
      </c>
      <c r="P218" s="329"/>
      <c r="Q218" s="330"/>
      <c r="R218" s="326"/>
      <c r="S218" s="326"/>
      <c r="T218" s="331"/>
    </row>
    <row r="219" spans="1:20" s="325" customFormat="1" x14ac:dyDescent="0.25">
      <c r="A219" s="338">
        <f>'A) Base RI'!A220</f>
        <v>5744</v>
      </c>
      <c r="B219" s="338" t="str">
        <f>'A) Base RI'!B220</f>
        <v>Ballaigues</v>
      </c>
      <c r="C219" s="397">
        <v>0</v>
      </c>
      <c r="D219" s="327">
        <f>'B) D RI'!AR220</f>
        <v>1069</v>
      </c>
      <c r="E219" s="328">
        <f>'B) D RI'!S220</f>
        <v>66</v>
      </c>
      <c r="F219" s="14">
        <f>'B) D RI'!R220</f>
        <v>3512022.25</v>
      </c>
      <c r="G219" s="14">
        <f>'B) D RI'!U220</f>
        <v>53212.458333333336</v>
      </c>
      <c r="H219" s="52">
        <f>'B) D RI'!T220</f>
        <v>3367393.25</v>
      </c>
      <c r="I219" s="14">
        <f t="shared" si="22"/>
        <v>102042.2196969697</v>
      </c>
      <c r="J219" s="41">
        <f t="shared" si="23"/>
        <v>91345.205075446167</v>
      </c>
      <c r="K219" s="14">
        <f t="shared" si="19"/>
        <v>91345.205075446167</v>
      </c>
      <c r="L219" s="14">
        <f t="shared" si="24"/>
        <v>0</v>
      </c>
      <c r="M219" s="14">
        <f>'D) Ecrêtage'!M218</f>
        <v>53212.458333333336</v>
      </c>
      <c r="N219" s="14">
        <f t="shared" si="20"/>
        <v>68972.341744490346</v>
      </c>
      <c r="O219" s="75">
        <f t="shared" si="21"/>
        <v>160317.54681993651</v>
      </c>
      <c r="P219" s="329"/>
      <c r="Q219" s="330"/>
      <c r="R219" s="326"/>
      <c r="S219" s="326"/>
      <c r="T219" s="331"/>
    </row>
    <row r="220" spans="1:20" s="325" customFormat="1" x14ac:dyDescent="0.25">
      <c r="A220" s="338">
        <f>'A) Base RI'!A221</f>
        <v>5745</v>
      </c>
      <c r="B220" s="338" t="str">
        <f>'A) Base RI'!B221</f>
        <v>Baulmes</v>
      </c>
      <c r="C220" s="397">
        <v>0</v>
      </c>
      <c r="D220" s="327">
        <f>'B) D RI'!AR221</f>
        <v>1034</v>
      </c>
      <c r="E220" s="328">
        <f>'B) D RI'!S221</f>
        <v>78</v>
      </c>
      <c r="F220" s="14">
        <f>'B) D RI'!R221</f>
        <v>2146727.83</v>
      </c>
      <c r="G220" s="14">
        <f>'B) D RI'!U221</f>
        <v>27522.151666666668</v>
      </c>
      <c r="H220" s="52">
        <f>'B) D RI'!T221</f>
        <v>2026959.6300000001</v>
      </c>
      <c r="I220" s="14">
        <f t="shared" si="22"/>
        <v>51973.323846153849</v>
      </c>
      <c r="J220" s="41">
        <f t="shared" si="23"/>
        <v>88354.482739019018</v>
      </c>
      <c r="K220" s="14">
        <f t="shared" si="19"/>
        <v>51973.323846153849</v>
      </c>
      <c r="L220" s="14">
        <f t="shared" si="24"/>
        <v>36381.158892865169</v>
      </c>
      <c r="M220" s="14">
        <f>'D) Ecrêtage'!M219</f>
        <v>27522.151666666668</v>
      </c>
      <c r="N220" s="14">
        <f t="shared" si="20"/>
        <v>35673.361272014678</v>
      </c>
      <c r="O220" s="75">
        <f t="shared" si="21"/>
        <v>87646.685118168534</v>
      </c>
      <c r="P220" s="329"/>
      <c r="Q220" s="330"/>
      <c r="R220" s="326"/>
      <c r="S220" s="326"/>
      <c r="T220" s="331"/>
    </row>
    <row r="221" spans="1:20" s="325" customFormat="1" x14ac:dyDescent="0.25">
      <c r="A221" s="338">
        <f>'A) Base RI'!A222</f>
        <v>5746</v>
      </c>
      <c r="B221" s="338" t="str">
        <f>'A) Base RI'!B222</f>
        <v>Bavois</v>
      </c>
      <c r="C221" s="397">
        <v>0</v>
      </c>
      <c r="D221" s="327">
        <f>'B) D RI'!AR222</f>
        <v>939</v>
      </c>
      <c r="E221" s="328">
        <f>'B) D RI'!S222</f>
        <v>73</v>
      </c>
      <c r="F221" s="14">
        <f>'B) D RI'!R222</f>
        <v>1746896.1016666666</v>
      </c>
      <c r="G221" s="14">
        <f>'B) D RI'!U222</f>
        <v>23930.083584474884</v>
      </c>
      <c r="H221" s="52">
        <f>'B) D RI'!T222</f>
        <v>1590438.0599999998</v>
      </c>
      <c r="I221" s="14">
        <f t="shared" si="22"/>
        <v>43573.645479452047</v>
      </c>
      <c r="J221" s="41">
        <f t="shared" si="23"/>
        <v>80236.807825859636</v>
      </c>
      <c r="K221" s="14">
        <f t="shared" si="19"/>
        <v>43573.645479452047</v>
      </c>
      <c r="L221" s="14">
        <f t="shared" si="24"/>
        <v>36663.162346407589</v>
      </c>
      <c r="M221" s="14">
        <f>'D) Ecrêtage'!M220</f>
        <v>23930.083584474884</v>
      </c>
      <c r="N221" s="14">
        <f t="shared" si="20"/>
        <v>31017.433786341451</v>
      </c>
      <c r="O221" s="75">
        <f t="shared" si="21"/>
        <v>74591.079265793494</v>
      </c>
      <c r="P221" s="329"/>
      <c r="Q221" s="330"/>
      <c r="R221" s="326"/>
      <c r="S221" s="326"/>
      <c r="T221" s="331"/>
    </row>
    <row r="222" spans="1:20" s="325" customFormat="1" x14ac:dyDescent="0.25">
      <c r="A222" s="338">
        <f>'A) Base RI'!A223</f>
        <v>5747</v>
      </c>
      <c r="B222" s="338" t="str">
        <f>'A) Base RI'!B223</f>
        <v>Bofflens</v>
      </c>
      <c r="C222" s="397">
        <v>0</v>
      </c>
      <c r="D222" s="327">
        <f>'B) D RI'!AR223</f>
        <v>187</v>
      </c>
      <c r="E222" s="328">
        <f>'B) D RI'!S223</f>
        <v>69</v>
      </c>
      <c r="F222" s="14">
        <f>'B) D RI'!R223</f>
        <v>357657.49</v>
      </c>
      <c r="G222" s="14">
        <f>'B) D RI'!U223</f>
        <v>5183.441884057971</v>
      </c>
      <c r="H222" s="52">
        <f>'B) D RI'!T223</f>
        <v>331737.64</v>
      </c>
      <c r="I222" s="14">
        <f t="shared" si="22"/>
        <v>9615.5837681159428</v>
      </c>
      <c r="J222" s="41">
        <f t="shared" si="23"/>
        <v>15979.002197482165</v>
      </c>
      <c r="K222" s="14">
        <f t="shared" si="19"/>
        <v>9615.5837681159428</v>
      </c>
      <c r="L222" s="14">
        <f t="shared" si="24"/>
        <v>6363.418429366222</v>
      </c>
      <c r="M222" s="14">
        <f>'D) Ecrêtage'!M221</f>
        <v>5183.441884057971</v>
      </c>
      <c r="N222" s="14">
        <f t="shared" si="20"/>
        <v>6718.6169599685145</v>
      </c>
      <c r="O222" s="75">
        <f t="shared" si="21"/>
        <v>16334.200728084457</v>
      </c>
      <c r="P222" s="329"/>
      <c r="Q222" s="330"/>
      <c r="R222" s="326"/>
      <c r="S222" s="326"/>
      <c r="T222" s="331"/>
    </row>
    <row r="223" spans="1:20" s="325" customFormat="1" x14ac:dyDescent="0.25">
      <c r="A223" s="338">
        <f>'A) Base RI'!A224</f>
        <v>5748</v>
      </c>
      <c r="B223" s="338" t="str">
        <f>'A) Base RI'!B224</f>
        <v>Bretonnières</v>
      </c>
      <c r="C223" s="397">
        <v>0</v>
      </c>
      <c r="D223" s="327">
        <f>'B) D RI'!AR224</f>
        <v>252</v>
      </c>
      <c r="E223" s="328">
        <f>'B) D RI'!S224</f>
        <v>72</v>
      </c>
      <c r="F223" s="14">
        <f>'B) D RI'!R224</f>
        <v>442141.49000000005</v>
      </c>
      <c r="G223" s="14">
        <f>'B) D RI'!U224</f>
        <v>6140.8540277777784</v>
      </c>
      <c r="H223" s="52">
        <f>'B) D RI'!T224</f>
        <v>410190.49000000005</v>
      </c>
      <c r="I223" s="14">
        <f t="shared" si="22"/>
        <v>11394.180277777779</v>
      </c>
      <c r="J223" s="41">
        <f t="shared" si="23"/>
        <v>21533.20082227543</v>
      </c>
      <c r="K223" s="14">
        <f t="shared" si="19"/>
        <v>11394.180277777779</v>
      </c>
      <c r="L223" s="14">
        <f t="shared" si="24"/>
        <v>10139.020544497651</v>
      </c>
      <c r="M223" s="14">
        <f>'D) Ecrêtage'!M222</f>
        <v>6140.8540277777784</v>
      </c>
      <c r="N223" s="14">
        <f t="shared" si="20"/>
        <v>7959.5849519622625</v>
      </c>
      <c r="O223" s="75">
        <f t="shared" si="21"/>
        <v>19353.765229740042</v>
      </c>
      <c r="P223" s="329"/>
      <c r="Q223" s="330"/>
      <c r="R223" s="326"/>
      <c r="S223" s="326"/>
      <c r="T223" s="331"/>
    </row>
    <row r="224" spans="1:20" s="325" customFormat="1" x14ac:dyDescent="0.25">
      <c r="A224" s="338">
        <f>'A) Base RI'!A225</f>
        <v>5749</v>
      </c>
      <c r="B224" s="338" t="str">
        <f>'A) Base RI'!B225</f>
        <v>Chavornay</v>
      </c>
      <c r="C224" s="397">
        <v>0</v>
      </c>
      <c r="D224" s="327">
        <f>'B) D RI'!AR225</f>
        <v>4156</v>
      </c>
      <c r="E224" s="328">
        <f>'B) D RI'!S225</f>
        <v>72</v>
      </c>
      <c r="F224" s="14">
        <f>'B) D RI'!R225</f>
        <v>7947465.3000000007</v>
      </c>
      <c r="G224" s="14">
        <f>'B) D RI'!U225</f>
        <v>110381.46250000001</v>
      </c>
      <c r="H224" s="52">
        <f>'B) D RI'!T225</f>
        <v>7314560.6000000006</v>
      </c>
      <c r="I224" s="14">
        <f t="shared" si="22"/>
        <v>203182.23888888891</v>
      </c>
      <c r="J224" s="41">
        <f t="shared" si="23"/>
        <v>355126.9151483202</v>
      </c>
      <c r="K224" s="14">
        <f t="shared" si="19"/>
        <v>203182.23888888891</v>
      </c>
      <c r="L224" s="14">
        <f t="shared" si="24"/>
        <v>151944.67625943129</v>
      </c>
      <c r="M224" s="14">
        <f>'D) Ecrêtage'!M223</f>
        <v>110381.46250000001</v>
      </c>
      <c r="N224" s="14">
        <f t="shared" si="20"/>
        <v>143073.03575631921</v>
      </c>
      <c r="O224" s="75">
        <f t="shared" si="21"/>
        <v>346255.27464520815</v>
      </c>
      <c r="P224" s="329"/>
      <c r="Q224" s="330"/>
      <c r="R224" s="326"/>
      <c r="S224" s="326"/>
      <c r="T224" s="331"/>
    </row>
    <row r="225" spans="1:20" s="325" customFormat="1" x14ac:dyDescent="0.25">
      <c r="A225" s="338">
        <f>'A) Base RI'!A226</f>
        <v>5750</v>
      </c>
      <c r="B225" s="338" t="str">
        <f>'A) Base RI'!B226</f>
        <v>Les Clées</v>
      </c>
      <c r="C225" s="397">
        <v>0</v>
      </c>
      <c r="D225" s="327">
        <f>'B) D RI'!AR226</f>
        <v>186</v>
      </c>
      <c r="E225" s="328">
        <f>'B) D RI'!S226</f>
        <v>80</v>
      </c>
      <c r="F225" s="14">
        <f>'B) D RI'!R226</f>
        <v>349289.17333333334</v>
      </c>
      <c r="G225" s="14">
        <f>'B) D RI'!U226</f>
        <v>4366.1146666666664</v>
      </c>
      <c r="H225" s="52">
        <f>'B) D RI'!T226</f>
        <v>328472.09000000003</v>
      </c>
      <c r="I225" s="14">
        <f t="shared" si="22"/>
        <v>8211.8022500000006</v>
      </c>
      <c r="J225" s="41">
        <f t="shared" si="23"/>
        <v>15893.55298786996</v>
      </c>
      <c r="K225" s="14">
        <f t="shared" si="19"/>
        <v>8211.8022500000006</v>
      </c>
      <c r="L225" s="14">
        <f t="shared" si="24"/>
        <v>7681.7507378699593</v>
      </c>
      <c r="M225" s="14">
        <f>'D) Ecrêtage'!M224</f>
        <v>4366.1146666666664</v>
      </c>
      <c r="N225" s="14">
        <f t="shared" si="20"/>
        <v>5659.2227143229748</v>
      </c>
      <c r="O225" s="75">
        <f t="shared" si="21"/>
        <v>13871.024964322976</v>
      </c>
      <c r="P225" s="329"/>
      <c r="Q225" s="330"/>
      <c r="R225" s="326"/>
      <c r="S225" s="326"/>
      <c r="T225" s="331"/>
    </row>
    <row r="226" spans="1:20" s="325" customFormat="1" x14ac:dyDescent="0.25">
      <c r="A226" s="338">
        <f>'A) Base RI'!A227</f>
        <v>5751</v>
      </c>
      <c r="B226" s="338" t="str">
        <f>'A) Base RI'!B227</f>
        <v>Corcelles-sur-Chavornay</v>
      </c>
      <c r="C226" s="397">
        <v>1</v>
      </c>
      <c r="D226" s="327">
        <f>'B) D RI'!AR227</f>
        <v>352</v>
      </c>
      <c r="E226" s="328">
        <f>'B) D RI'!S227</f>
        <v>76</v>
      </c>
      <c r="F226" s="14">
        <f>'B) D RI'!R227</f>
        <v>669111.29999999993</v>
      </c>
      <c r="G226" s="14">
        <f>'B) D RI'!U227</f>
        <v>8804.0960526315775</v>
      </c>
      <c r="H226" s="52">
        <f>'B) D RI'!T227</f>
        <v>624896.55999999994</v>
      </c>
      <c r="I226" s="14">
        <f t="shared" si="22"/>
        <v>16444.646315789472</v>
      </c>
      <c r="J226" s="41">
        <f t="shared" si="23"/>
        <v>30078.121783495837</v>
      </c>
      <c r="K226" s="14">
        <f t="shared" si="19"/>
        <v>0</v>
      </c>
      <c r="L226" s="14">
        <f t="shared" si="24"/>
        <v>30078.121783495837</v>
      </c>
      <c r="M226" s="14">
        <f>'D) Ecrêtage'!M225</f>
        <v>8804.0960526315775</v>
      </c>
      <c r="N226" s="14">
        <f t="shared" si="20"/>
        <v>11411.596846166323</v>
      </c>
      <c r="O226" s="75">
        <f t="shared" si="21"/>
        <v>11411.596846166323</v>
      </c>
      <c r="P226" s="329"/>
      <c r="Q226" s="330"/>
      <c r="R226" s="326"/>
      <c r="S226" s="326"/>
      <c r="T226" s="331"/>
    </row>
    <row r="227" spans="1:20" s="325" customFormat="1" x14ac:dyDescent="0.25">
      <c r="A227" s="338">
        <f>'A) Base RI'!A228</f>
        <v>5752</v>
      </c>
      <c r="B227" s="338" t="str">
        <f>'A) Base RI'!B228</f>
        <v>Croy</v>
      </c>
      <c r="C227" s="397">
        <v>0</v>
      </c>
      <c r="D227" s="327">
        <f>'B) D RI'!AR228</f>
        <v>335</v>
      </c>
      <c r="E227" s="328">
        <f>'B) D RI'!S228</f>
        <v>74</v>
      </c>
      <c r="F227" s="14">
        <f>'B) D RI'!R228</f>
        <v>1058493.6471428571</v>
      </c>
      <c r="G227" s="14">
        <f>'B) D RI'!U228</f>
        <v>14303.968204633204</v>
      </c>
      <c r="H227" s="52">
        <f>'B) D RI'!T228</f>
        <v>1014980.7899999999</v>
      </c>
      <c r="I227" s="14">
        <f t="shared" si="22"/>
        <v>27431.913243243242</v>
      </c>
      <c r="J227" s="41">
        <f t="shared" si="23"/>
        <v>28625.485220088369</v>
      </c>
      <c r="K227" s="14">
        <f t="shared" si="19"/>
        <v>27431.913243243242</v>
      </c>
      <c r="L227" s="14">
        <f t="shared" si="24"/>
        <v>1193.5719768451272</v>
      </c>
      <c r="M227" s="14">
        <f>'D) Ecrêtage'!M226</f>
        <v>14303.968204633204</v>
      </c>
      <c r="N227" s="14">
        <f t="shared" si="20"/>
        <v>18540.360926987531</v>
      </c>
      <c r="O227" s="75">
        <f t="shared" si="21"/>
        <v>45972.274170230769</v>
      </c>
      <c r="P227" s="329"/>
      <c r="Q227" s="330"/>
      <c r="R227" s="326"/>
      <c r="S227" s="326"/>
      <c r="T227" s="331"/>
    </row>
    <row r="228" spans="1:20" s="325" customFormat="1" x14ac:dyDescent="0.25">
      <c r="A228" s="338">
        <f>'A) Base RI'!A229</f>
        <v>5754</v>
      </c>
      <c r="B228" s="338" t="str">
        <f>'A) Base RI'!B229</f>
        <v>Juriens</v>
      </c>
      <c r="C228" s="397">
        <v>0</v>
      </c>
      <c r="D228" s="327">
        <f>'B) D RI'!AR229</f>
        <v>302</v>
      </c>
      <c r="E228" s="328">
        <f>'B) D RI'!S229</f>
        <v>79</v>
      </c>
      <c r="F228" s="14">
        <f>'B) D RI'!R229</f>
        <v>511589.11</v>
      </c>
      <c r="G228" s="14">
        <f>'B) D RI'!U229</f>
        <v>6475.8115189873415</v>
      </c>
      <c r="H228" s="52">
        <f>'B) D RI'!T229</f>
        <v>474360.61</v>
      </c>
      <c r="I228" s="14">
        <f t="shared" si="22"/>
        <v>12009.129367088608</v>
      </c>
      <c r="J228" s="41">
        <f t="shared" si="23"/>
        <v>25805.661302885634</v>
      </c>
      <c r="K228" s="14">
        <f t="shared" si="19"/>
        <v>12009.129367088608</v>
      </c>
      <c r="L228" s="14">
        <f t="shared" si="24"/>
        <v>13796.531935797026</v>
      </c>
      <c r="M228" s="14">
        <f>'D) Ecrêtage'!M227</f>
        <v>6475.8115189873415</v>
      </c>
      <c r="N228" s="14">
        <f t="shared" si="20"/>
        <v>8393.7464862567813</v>
      </c>
      <c r="O228" s="75">
        <f t="shared" si="21"/>
        <v>20402.875853345387</v>
      </c>
      <c r="P228" s="329"/>
      <c r="Q228" s="330"/>
      <c r="R228" s="326"/>
      <c r="S228" s="326"/>
      <c r="T228" s="331"/>
    </row>
    <row r="229" spans="1:20" s="325" customFormat="1" x14ac:dyDescent="0.25">
      <c r="A229" s="338">
        <f>'A) Base RI'!A230</f>
        <v>5755</v>
      </c>
      <c r="B229" s="338" t="str">
        <f>'A) Base RI'!B230</f>
        <v>Lignerolle</v>
      </c>
      <c r="C229" s="397">
        <v>0</v>
      </c>
      <c r="D229" s="327">
        <f>'B) D RI'!AR230</f>
        <v>394</v>
      </c>
      <c r="E229" s="328">
        <f>'B) D RI'!S230</f>
        <v>81</v>
      </c>
      <c r="F229" s="14">
        <f>'B) D RI'!R230</f>
        <v>718590.7428571427</v>
      </c>
      <c r="G229" s="14">
        <f>'B) D RI'!U230</f>
        <v>8871.4906525573169</v>
      </c>
      <c r="H229" s="52">
        <f>'B) D RI'!T230</f>
        <v>669799.09999999986</v>
      </c>
      <c r="I229" s="14">
        <f t="shared" si="22"/>
        <v>16538.249382716047</v>
      </c>
      <c r="J229" s="41">
        <f t="shared" si="23"/>
        <v>33666.988587208412</v>
      </c>
      <c r="K229" s="14">
        <f t="shared" si="19"/>
        <v>16538.249382716047</v>
      </c>
      <c r="L229" s="14">
        <f t="shared" si="24"/>
        <v>17128.739204492365</v>
      </c>
      <c r="M229" s="14">
        <f>'D) Ecrêtage'!M228</f>
        <v>8871.4906525573169</v>
      </c>
      <c r="N229" s="14">
        <f t="shared" si="20"/>
        <v>11498.951640953159</v>
      </c>
      <c r="O229" s="75">
        <f t="shared" si="21"/>
        <v>28037.201023669208</v>
      </c>
      <c r="P229" s="329"/>
      <c r="Q229" s="330"/>
      <c r="R229" s="326"/>
      <c r="S229" s="326"/>
      <c r="T229" s="331"/>
    </row>
    <row r="230" spans="1:20" s="325" customFormat="1" x14ac:dyDescent="0.25">
      <c r="A230" s="338">
        <f>'A) Base RI'!A231</f>
        <v>5756</v>
      </c>
      <c r="B230" s="338" t="str">
        <f>'A) Base RI'!B231</f>
        <v>Montcherand</v>
      </c>
      <c r="C230" s="397">
        <v>1</v>
      </c>
      <c r="D230" s="327">
        <f>'B) D RI'!AR231</f>
        <v>474</v>
      </c>
      <c r="E230" s="328">
        <f>'B) D RI'!S231</f>
        <v>69</v>
      </c>
      <c r="F230" s="14">
        <f>'B) D RI'!R231</f>
        <v>1021768.9166666666</v>
      </c>
      <c r="G230" s="14">
        <f>'B) D RI'!U231</f>
        <v>14808.245169082125</v>
      </c>
      <c r="H230" s="52">
        <f>'B) D RI'!T231</f>
        <v>942332</v>
      </c>
      <c r="I230" s="14">
        <f t="shared" si="22"/>
        <v>27313.971014492752</v>
      </c>
      <c r="J230" s="41">
        <f t="shared" si="23"/>
        <v>40502.925356184736</v>
      </c>
      <c r="K230" s="14">
        <f t="shared" si="19"/>
        <v>0</v>
      </c>
      <c r="L230" s="14">
        <f t="shared" si="24"/>
        <v>40502.925356184736</v>
      </c>
      <c r="M230" s="14">
        <f>'D) Ecrêtage'!M229</f>
        <v>14808.245169082125</v>
      </c>
      <c r="N230" s="14">
        <f t="shared" si="20"/>
        <v>19193.989122624895</v>
      </c>
      <c r="O230" s="75">
        <f t="shared" si="21"/>
        <v>19193.989122624895</v>
      </c>
      <c r="P230" s="329"/>
      <c r="Q230" s="330"/>
      <c r="R230" s="326"/>
      <c r="S230" s="326"/>
      <c r="T230" s="331"/>
    </row>
    <row r="231" spans="1:20" s="325" customFormat="1" x14ac:dyDescent="0.25">
      <c r="A231" s="338">
        <f>'A) Base RI'!A232</f>
        <v>5757</v>
      </c>
      <c r="B231" s="338" t="str">
        <f>'A) Base RI'!B232</f>
        <v>Orbe</v>
      </c>
      <c r="C231" s="397">
        <v>1</v>
      </c>
      <c r="D231" s="327">
        <f>'B) D RI'!AR232</f>
        <v>6767</v>
      </c>
      <c r="E231" s="328">
        <f>'B) D RI'!S232</f>
        <v>72</v>
      </c>
      <c r="F231" s="14">
        <f>'B) D RI'!R232</f>
        <v>15150987.480000002</v>
      </c>
      <c r="G231" s="14">
        <f>'B) D RI'!U232</f>
        <v>210430.38166666671</v>
      </c>
      <c r="H231" s="52">
        <f>'B) D RI'!T232</f>
        <v>14041945.580000002</v>
      </c>
      <c r="I231" s="14">
        <f t="shared" si="22"/>
        <v>390054.04388888896</v>
      </c>
      <c r="J231" s="41">
        <f t="shared" si="23"/>
        <v>578234.80144578509</v>
      </c>
      <c r="K231" s="14">
        <f t="shared" si="19"/>
        <v>0</v>
      </c>
      <c r="L231" s="14">
        <f t="shared" si="24"/>
        <v>578234.80144578509</v>
      </c>
      <c r="M231" s="14">
        <f>'D) Ecrêtage'!M230</f>
        <v>210430.38166666671</v>
      </c>
      <c r="N231" s="14">
        <f t="shared" si="20"/>
        <v>272753.34860154532</v>
      </c>
      <c r="O231" s="75">
        <f t="shared" si="21"/>
        <v>272753.34860154532</v>
      </c>
      <c r="P231" s="329"/>
      <c r="Q231" s="330"/>
      <c r="R231" s="326"/>
      <c r="S231" s="326"/>
      <c r="T231" s="331"/>
    </row>
    <row r="232" spans="1:20" s="325" customFormat="1" x14ac:dyDescent="0.25">
      <c r="A232" s="338">
        <f>'A) Base RI'!A233</f>
        <v>5758</v>
      </c>
      <c r="B232" s="338" t="str">
        <f>'A) Base RI'!B233</f>
        <v>La Praz</v>
      </c>
      <c r="C232" s="397">
        <v>0</v>
      </c>
      <c r="D232" s="327">
        <f>'B) D RI'!AR233</f>
        <v>160</v>
      </c>
      <c r="E232" s="328">
        <f>'B) D RI'!S233</f>
        <v>83</v>
      </c>
      <c r="F232" s="14">
        <f>'B) D RI'!R233</f>
        <v>320729.29444444441</v>
      </c>
      <c r="G232" s="14">
        <f>'B) D RI'!U233</f>
        <v>3864.2083668005353</v>
      </c>
      <c r="H232" s="52">
        <f>'B) D RI'!T233</f>
        <v>298829.34999999998</v>
      </c>
      <c r="I232" s="14">
        <f t="shared" si="22"/>
        <v>7200.7072289156622</v>
      </c>
      <c r="J232" s="41">
        <f t="shared" si="23"/>
        <v>13671.873537952653</v>
      </c>
      <c r="K232" s="14">
        <f t="shared" si="19"/>
        <v>7200.7072289156622</v>
      </c>
      <c r="L232" s="14">
        <f t="shared" si="24"/>
        <v>6471.1663090369912</v>
      </c>
      <c r="M232" s="14">
        <f>'D) Ecrêtage'!M231</f>
        <v>3864.2083668005353</v>
      </c>
      <c r="N232" s="14">
        <f t="shared" si="20"/>
        <v>5008.6673007537001</v>
      </c>
      <c r="O232" s="75">
        <f t="shared" si="21"/>
        <v>12209.374529669363</v>
      </c>
      <c r="P232" s="329"/>
      <c r="Q232" s="330"/>
      <c r="R232" s="326"/>
      <c r="S232" s="326"/>
      <c r="T232" s="331"/>
    </row>
    <row r="233" spans="1:20" s="325" customFormat="1" x14ac:dyDescent="0.25">
      <c r="A233" s="338">
        <f>'A) Base RI'!A234</f>
        <v>5759</v>
      </c>
      <c r="B233" s="338" t="str">
        <f>'A) Base RI'!B234</f>
        <v>Premier</v>
      </c>
      <c r="C233" s="397">
        <v>0</v>
      </c>
      <c r="D233" s="327">
        <f>'B) D RI'!AR234</f>
        <v>185</v>
      </c>
      <c r="E233" s="328">
        <f>'B) D RI'!S234</f>
        <v>81</v>
      </c>
      <c r="F233" s="14">
        <f>'B) D RI'!R234</f>
        <v>369256.72999999992</v>
      </c>
      <c r="G233" s="14">
        <f>'B) D RI'!U234</f>
        <v>4558.7250617283944</v>
      </c>
      <c r="H233" s="52">
        <f>'B) D RI'!T234</f>
        <v>343737.42999999993</v>
      </c>
      <c r="I233" s="14">
        <f t="shared" si="22"/>
        <v>8487.3439506172817</v>
      </c>
      <c r="J233" s="41">
        <f t="shared" si="23"/>
        <v>15808.103778257757</v>
      </c>
      <c r="K233" s="14">
        <f t="shared" si="19"/>
        <v>8487.3439506172817</v>
      </c>
      <c r="L233" s="14">
        <f t="shared" si="24"/>
        <v>7320.7598276404751</v>
      </c>
      <c r="M233" s="14">
        <f>'D) Ecrêtage'!M232</f>
        <v>4558.7250617283944</v>
      </c>
      <c r="N233" s="14">
        <f t="shared" si="20"/>
        <v>5908.8783477560373</v>
      </c>
      <c r="O233" s="75">
        <f t="shared" si="21"/>
        <v>14396.222298373319</v>
      </c>
      <c r="P233" s="329"/>
      <c r="Q233" s="330"/>
      <c r="R233" s="326"/>
      <c r="S233" s="326"/>
      <c r="T233" s="331"/>
    </row>
    <row r="234" spans="1:20" s="325" customFormat="1" x14ac:dyDescent="0.25">
      <c r="A234" s="338">
        <f>'A) Base RI'!A235</f>
        <v>5760</v>
      </c>
      <c r="B234" s="338" t="str">
        <f>'A) Base RI'!B235</f>
        <v>Rances</v>
      </c>
      <c r="C234" s="397">
        <v>0</v>
      </c>
      <c r="D234" s="327">
        <f>'B) D RI'!AR235</f>
        <v>460</v>
      </c>
      <c r="E234" s="328">
        <f>'B) D RI'!S235</f>
        <v>78</v>
      </c>
      <c r="F234" s="14">
        <f>'B) D RI'!R235</f>
        <v>894681.44000000006</v>
      </c>
      <c r="G234" s="14">
        <f>'B) D RI'!U235</f>
        <v>11470.274871794873</v>
      </c>
      <c r="H234" s="52">
        <f>'B) D RI'!T235</f>
        <v>835153.34000000008</v>
      </c>
      <c r="I234" s="14">
        <f t="shared" si="22"/>
        <v>21414.188205128208</v>
      </c>
      <c r="J234" s="41">
        <f t="shared" si="23"/>
        <v>39306.636421613883</v>
      </c>
      <c r="K234" s="14">
        <f t="shared" si="19"/>
        <v>21414.188205128208</v>
      </c>
      <c r="L234" s="14">
        <f t="shared" si="24"/>
        <v>17892.448216485674</v>
      </c>
      <c r="M234" s="14">
        <f>'D) Ecrêtage'!M233</f>
        <v>11470.274871794873</v>
      </c>
      <c r="N234" s="14">
        <f t="shared" si="20"/>
        <v>14867.415322270415</v>
      </c>
      <c r="O234" s="75">
        <f t="shared" si="21"/>
        <v>36281.60352739862</v>
      </c>
      <c r="P234" s="329"/>
      <c r="Q234" s="330"/>
      <c r="R234" s="326"/>
      <c r="S234" s="326"/>
      <c r="T234" s="331"/>
    </row>
    <row r="235" spans="1:20" s="325" customFormat="1" x14ac:dyDescent="0.25">
      <c r="A235" s="338">
        <f>'A) Base RI'!A236</f>
        <v>5761</v>
      </c>
      <c r="B235" s="338" t="str">
        <f>'A) Base RI'!B236</f>
        <v>Romainmôtier-Envy</v>
      </c>
      <c r="C235" s="397">
        <v>0</v>
      </c>
      <c r="D235" s="327">
        <f>'B) D RI'!AR236</f>
        <v>525</v>
      </c>
      <c r="E235" s="328">
        <f>'B) D RI'!S236</f>
        <v>76</v>
      </c>
      <c r="F235" s="14">
        <f>'B) D RI'!R236</f>
        <v>862399.03499999992</v>
      </c>
      <c r="G235" s="14">
        <f>'B) D RI'!U236</f>
        <v>11347.35572368421</v>
      </c>
      <c r="H235" s="52">
        <f>'B) D RI'!T236</f>
        <v>787866.40999999992</v>
      </c>
      <c r="I235" s="14">
        <f t="shared" si="22"/>
        <v>20733.326578947366</v>
      </c>
      <c r="J235" s="41">
        <f t="shared" si="23"/>
        <v>44860.835046407148</v>
      </c>
      <c r="K235" s="14">
        <f t="shared" si="19"/>
        <v>20733.326578947366</v>
      </c>
      <c r="L235" s="14">
        <f t="shared" si="24"/>
        <v>24127.508467459782</v>
      </c>
      <c r="M235" s="14">
        <f>'D) Ecrêtage'!M234</f>
        <v>11347.35572368421</v>
      </c>
      <c r="N235" s="14">
        <f t="shared" si="20"/>
        <v>14708.09132642489</v>
      </c>
      <c r="O235" s="75">
        <f t="shared" si="21"/>
        <v>35441.417905372255</v>
      </c>
      <c r="P235" s="329"/>
      <c r="Q235" s="330"/>
      <c r="R235" s="326"/>
      <c r="S235" s="326"/>
      <c r="T235" s="331"/>
    </row>
    <row r="236" spans="1:20" s="325" customFormat="1" x14ac:dyDescent="0.25">
      <c r="A236" s="338">
        <f>'A) Base RI'!A237</f>
        <v>5762</v>
      </c>
      <c r="B236" s="338" t="str">
        <f>'A) Base RI'!B237</f>
        <v>Sergey</v>
      </c>
      <c r="C236" s="397">
        <v>0</v>
      </c>
      <c r="D236" s="327">
        <f>'B) D RI'!AR237</f>
        <v>144</v>
      </c>
      <c r="E236" s="328">
        <f>'B) D RI'!S237</f>
        <v>81</v>
      </c>
      <c r="F236" s="14">
        <f>'B) D RI'!R237</f>
        <v>251489.55</v>
      </c>
      <c r="G236" s="14">
        <f>'B) D RI'!U237</f>
        <v>3104.8092592592593</v>
      </c>
      <c r="H236" s="52">
        <f>'B) D RI'!T237</f>
        <v>233355.44999999998</v>
      </c>
      <c r="I236" s="14">
        <f t="shared" si="22"/>
        <v>5761.8629629629622</v>
      </c>
      <c r="J236" s="41">
        <f t="shared" si="23"/>
        <v>12304.686184157388</v>
      </c>
      <c r="K236" s="14">
        <f t="shared" si="19"/>
        <v>5761.8629629629622</v>
      </c>
      <c r="L236" s="14">
        <f t="shared" si="24"/>
        <v>6542.823221194426</v>
      </c>
      <c r="M236" s="14">
        <f>'D) Ecrêtage'!M235</f>
        <v>3104.8092592592593</v>
      </c>
      <c r="N236" s="14">
        <f t="shared" si="20"/>
        <v>4024.3576784149868</v>
      </c>
      <c r="O236" s="75">
        <f t="shared" si="21"/>
        <v>9786.2206413779495</v>
      </c>
      <c r="P236" s="329"/>
      <c r="Q236" s="330"/>
      <c r="R236" s="326"/>
      <c r="S236" s="326"/>
      <c r="T236" s="331"/>
    </row>
    <row r="237" spans="1:20" s="325" customFormat="1" x14ac:dyDescent="0.25">
      <c r="A237" s="338">
        <f>'A) Base RI'!A238</f>
        <v>5763</v>
      </c>
      <c r="B237" s="338" t="str">
        <f>'A) Base RI'!B238</f>
        <v>Valeyres-sous-Rances</v>
      </c>
      <c r="C237" s="397">
        <v>0</v>
      </c>
      <c r="D237" s="327">
        <f>'B) D RI'!AR238</f>
        <v>600</v>
      </c>
      <c r="E237" s="328">
        <f>'B) D RI'!S238</f>
        <v>68</v>
      </c>
      <c r="F237" s="14">
        <f>'B) D RI'!R238</f>
        <v>1096782.32</v>
      </c>
      <c r="G237" s="14">
        <f>'B) D RI'!U238</f>
        <v>16129.151764705883</v>
      </c>
      <c r="H237" s="52">
        <f>'B) D RI'!T238</f>
        <v>1016045.17</v>
      </c>
      <c r="I237" s="14">
        <f t="shared" si="22"/>
        <v>29883.681470588235</v>
      </c>
      <c r="J237" s="41">
        <f t="shared" si="23"/>
        <v>51269.525767322455</v>
      </c>
      <c r="K237" s="14">
        <f t="shared" si="19"/>
        <v>29883.681470588235</v>
      </c>
      <c r="L237" s="14">
        <f t="shared" si="24"/>
        <v>21385.84429673422</v>
      </c>
      <c r="M237" s="14">
        <f>'D) Ecrêtage'!M236</f>
        <v>16129.151764705883</v>
      </c>
      <c r="N237" s="14">
        <f t="shared" si="20"/>
        <v>20906.107374241972</v>
      </c>
      <c r="O237" s="75">
        <f t="shared" si="21"/>
        <v>50789.788844830211</v>
      </c>
      <c r="P237" s="329"/>
      <c r="Q237" s="330"/>
      <c r="R237" s="326"/>
      <c r="S237" s="326"/>
      <c r="T237" s="331"/>
    </row>
    <row r="238" spans="1:20" s="325" customFormat="1" x14ac:dyDescent="0.25">
      <c r="A238" s="338">
        <f>'A) Base RI'!A239</f>
        <v>5764</v>
      </c>
      <c r="B238" s="338" t="str">
        <f>'A) Base RI'!B239</f>
        <v>Vallorbe</v>
      </c>
      <c r="C238" s="397">
        <v>0</v>
      </c>
      <c r="D238" s="327">
        <f>'B) D RI'!AR239</f>
        <v>3650</v>
      </c>
      <c r="E238" s="328">
        <f>'B) D RI'!S239</f>
        <v>74</v>
      </c>
      <c r="F238" s="14">
        <f>'B) D RI'!R239</f>
        <v>6245155.5199999996</v>
      </c>
      <c r="G238" s="14">
        <f>'B) D RI'!U239</f>
        <v>84393.993513513502</v>
      </c>
      <c r="H238" s="52">
        <f>'B) D RI'!T239</f>
        <v>5846434.2699999996</v>
      </c>
      <c r="I238" s="14">
        <f t="shared" si="22"/>
        <v>158011.737027027</v>
      </c>
      <c r="J238" s="41">
        <f t="shared" si="23"/>
        <v>311889.61508454493</v>
      </c>
      <c r="K238" s="14">
        <f t="shared" si="19"/>
        <v>158011.737027027</v>
      </c>
      <c r="L238" s="14">
        <f t="shared" si="24"/>
        <v>153877.87805751793</v>
      </c>
      <c r="M238" s="14">
        <f>'D) Ecrêtage'!M237</f>
        <v>84393.993513513502</v>
      </c>
      <c r="N238" s="14">
        <f t="shared" si="20"/>
        <v>109388.88268107054</v>
      </c>
      <c r="O238" s="75">
        <f t="shared" si="21"/>
        <v>267400.61970809754</v>
      </c>
      <c r="P238" s="329"/>
      <c r="Q238" s="330"/>
      <c r="R238" s="326"/>
      <c r="S238" s="326"/>
      <c r="T238" s="331"/>
    </row>
    <row r="239" spans="1:20" s="325" customFormat="1" x14ac:dyDescent="0.25">
      <c r="A239" s="338">
        <f>'A) Base RI'!A240</f>
        <v>5765</v>
      </c>
      <c r="B239" s="338" t="str">
        <f>'A) Base RI'!B240</f>
        <v>Vaulion</v>
      </c>
      <c r="C239" s="397">
        <v>0</v>
      </c>
      <c r="D239" s="327">
        <f>'B) D RI'!AR240</f>
        <v>491</v>
      </c>
      <c r="E239" s="328">
        <f>'B) D RI'!S240</f>
        <v>81</v>
      </c>
      <c r="F239" s="14">
        <f>'B) D RI'!R240</f>
        <v>753750.39</v>
      </c>
      <c r="G239" s="14">
        <f>'B) D RI'!U240</f>
        <v>9305.5603703703709</v>
      </c>
      <c r="H239" s="52">
        <f>'B) D RI'!T240</f>
        <v>697289.09</v>
      </c>
      <c r="I239" s="14">
        <f t="shared" si="22"/>
        <v>17217.014567901235</v>
      </c>
      <c r="J239" s="41">
        <f t="shared" si="23"/>
        <v>41955.561919592205</v>
      </c>
      <c r="K239" s="14">
        <f t="shared" si="19"/>
        <v>17217.014567901235</v>
      </c>
      <c r="L239" s="14">
        <f t="shared" si="24"/>
        <v>24738.54735169097</v>
      </c>
      <c r="M239" s="14">
        <f>'D) Ecrêtage'!M238</f>
        <v>9305.5603703703709</v>
      </c>
      <c r="N239" s="14">
        <f t="shared" si="20"/>
        <v>12061.579376180009</v>
      </c>
      <c r="O239" s="75">
        <f t="shared" si="21"/>
        <v>29278.593944081244</v>
      </c>
      <c r="P239" s="329"/>
      <c r="Q239" s="330"/>
      <c r="R239" s="326"/>
      <c r="S239" s="326"/>
      <c r="T239" s="331"/>
    </row>
    <row r="240" spans="1:20" s="325" customFormat="1" x14ac:dyDescent="0.25">
      <c r="A240" s="338">
        <f>'A) Base RI'!A241</f>
        <v>5766</v>
      </c>
      <c r="B240" s="338" t="str">
        <f>'A) Base RI'!B241</f>
        <v>Vuiteboeuf</v>
      </c>
      <c r="C240" s="397">
        <v>0</v>
      </c>
      <c r="D240" s="327">
        <f>'B) D RI'!AR241</f>
        <v>538</v>
      </c>
      <c r="E240" s="328">
        <f>'B) D RI'!S241</f>
        <v>77</v>
      </c>
      <c r="F240" s="14">
        <f>'B) D RI'!R241</f>
        <v>894352.37428571435</v>
      </c>
      <c r="G240" s="14">
        <f>'B) D RI'!U241</f>
        <v>11614.965899814471</v>
      </c>
      <c r="H240" s="52">
        <f>'B) D RI'!T241</f>
        <v>822796.66</v>
      </c>
      <c r="I240" s="14">
        <f t="shared" si="22"/>
        <v>21371.34181818182</v>
      </c>
      <c r="J240" s="41">
        <f t="shared" si="23"/>
        <v>45971.674771365797</v>
      </c>
      <c r="K240" s="14">
        <f t="shared" si="19"/>
        <v>21371.34181818182</v>
      </c>
      <c r="L240" s="14">
        <f t="shared" si="24"/>
        <v>24600.332953183977</v>
      </c>
      <c r="M240" s="14">
        <f>'D) Ecrêtage'!M239</f>
        <v>11614.965899814471</v>
      </c>
      <c r="N240" s="14">
        <f t="shared" si="20"/>
        <v>15054.95935508722</v>
      </c>
      <c r="O240" s="75">
        <f t="shared" si="21"/>
        <v>36426.301173269036</v>
      </c>
      <c r="P240" s="329"/>
      <c r="Q240" s="330"/>
      <c r="R240" s="326"/>
      <c r="S240" s="326"/>
      <c r="T240" s="331"/>
    </row>
    <row r="241" spans="1:20" s="325" customFormat="1" x14ac:dyDescent="0.25">
      <c r="A241" s="338">
        <f>'A) Base RI'!A242</f>
        <v>5782</v>
      </c>
      <c r="B241" s="338" t="str">
        <f>'A) Base RI'!B242</f>
        <v>Carrouge</v>
      </c>
      <c r="C241" s="397">
        <v>0</v>
      </c>
      <c r="D241" s="327">
        <f>'B) D RI'!AR242</f>
        <v>1204</v>
      </c>
      <c r="E241" s="328">
        <f>'B) D RI'!S242</f>
        <v>76</v>
      </c>
      <c r="F241" s="14">
        <f>'B) D RI'!R242</f>
        <v>2285292.5199999996</v>
      </c>
      <c r="G241" s="14">
        <f>'B) D RI'!U242</f>
        <v>30069.638421052627</v>
      </c>
      <c r="H241" s="52">
        <f>'B) D RI'!T242</f>
        <v>2101409.2199999997</v>
      </c>
      <c r="I241" s="14">
        <f t="shared" si="22"/>
        <v>55300.242631578942</v>
      </c>
      <c r="J241" s="41">
        <f t="shared" si="23"/>
        <v>102880.84837309372</v>
      </c>
      <c r="K241" s="14">
        <f t="shared" si="19"/>
        <v>55300.242631578942</v>
      </c>
      <c r="L241" s="14">
        <f t="shared" si="24"/>
        <v>47580.605741514773</v>
      </c>
      <c r="M241" s="14">
        <f>'D) Ecrêtage'!M240</f>
        <v>30069.638421052627</v>
      </c>
      <c r="N241" s="14">
        <f t="shared" si="20"/>
        <v>38975.334766875843</v>
      </c>
      <c r="O241" s="75">
        <f t="shared" si="21"/>
        <v>94275.577398454785</v>
      </c>
      <c r="P241" s="329"/>
      <c r="Q241" s="330"/>
      <c r="R241" s="326"/>
      <c r="S241" s="326"/>
      <c r="T241" s="331"/>
    </row>
    <row r="242" spans="1:20" s="325" customFormat="1" x14ac:dyDescent="0.25">
      <c r="A242" s="338">
        <f>'A) Base RI'!A243</f>
        <v>5785</v>
      </c>
      <c r="B242" s="338" t="str">
        <f>'A) Base RI'!B243</f>
        <v>Corcelles-le-Jorat</v>
      </c>
      <c r="C242" s="397">
        <v>0</v>
      </c>
      <c r="D242" s="327">
        <f>'B) D RI'!AR243</f>
        <v>421</v>
      </c>
      <c r="E242" s="328">
        <f>'B) D RI'!S243</f>
        <v>79</v>
      </c>
      <c r="F242" s="14">
        <f>'B) D RI'!R243</f>
        <v>971151.61</v>
      </c>
      <c r="G242" s="14">
        <f>'B) D RI'!U243</f>
        <v>12293.058354430379</v>
      </c>
      <c r="H242" s="52">
        <f>'B) D RI'!T243</f>
        <v>906242.21</v>
      </c>
      <c r="I242" s="14">
        <f t="shared" si="22"/>
        <v>22942.840759493669</v>
      </c>
      <c r="J242" s="41">
        <f t="shared" si="23"/>
        <v>35974.117246737922</v>
      </c>
      <c r="K242" s="14">
        <f t="shared" si="19"/>
        <v>22942.840759493669</v>
      </c>
      <c r="L242" s="14">
        <f t="shared" si="24"/>
        <v>13031.276487244253</v>
      </c>
      <c r="M242" s="14">
        <f>'D) Ecrêtage'!M241</f>
        <v>12293.058354430379</v>
      </c>
      <c r="N242" s="14">
        <f t="shared" si="20"/>
        <v>15933.881810072375</v>
      </c>
      <c r="O242" s="75">
        <f t="shared" si="21"/>
        <v>38876.722569566045</v>
      </c>
      <c r="P242" s="329"/>
      <c r="Q242" s="330"/>
      <c r="R242" s="326"/>
      <c r="S242" s="326"/>
      <c r="T242" s="331"/>
    </row>
    <row r="243" spans="1:20" s="325" customFormat="1" x14ac:dyDescent="0.25">
      <c r="A243" s="338">
        <f>'A) Base RI'!A244</f>
        <v>5788</v>
      </c>
      <c r="B243" s="338" t="str">
        <f>'A) Base RI'!B244</f>
        <v>Essertes</v>
      </c>
      <c r="C243" s="397">
        <v>0</v>
      </c>
      <c r="D243" s="327">
        <f>'B) D RI'!AR244</f>
        <v>330</v>
      </c>
      <c r="E243" s="328">
        <f>'B) D RI'!S244</f>
        <v>70</v>
      </c>
      <c r="F243" s="14">
        <f>'B) D RI'!R244</f>
        <v>728862.39</v>
      </c>
      <c r="G243" s="14">
        <f>'B) D RI'!U244</f>
        <v>10412.319857142857</v>
      </c>
      <c r="H243" s="52">
        <f>'B) D RI'!T244</f>
        <v>673943.99</v>
      </c>
      <c r="I243" s="14">
        <f t="shared" si="22"/>
        <v>19255.54257142857</v>
      </c>
      <c r="J243" s="41">
        <f t="shared" si="23"/>
        <v>28198.239172027348</v>
      </c>
      <c r="K243" s="14">
        <f t="shared" si="19"/>
        <v>19255.54257142857</v>
      </c>
      <c r="L243" s="14">
        <f t="shared" si="24"/>
        <v>8942.6966005987779</v>
      </c>
      <c r="M243" s="14">
        <f>'D) Ecrêtage'!M242</f>
        <v>10412.319857142857</v>
      </c>
      <c r="N243" s="14">
        <f t="shared" si="20"/>
        <v>13496.126772439098</v>
      </c>
      <c r="O243" s="75">
        <f t="shared" si="21"/>
        <v>32751.669343867667</v>
      </c>
      <c r="P243" s="329"/>
      <c r="Q243" s="330"/>
      <c r="R243" s="326"/>
      <c r="S243" s="326"/>
      <c r="T243" s="331"/>
    </row>
    <row r="244" spans="1:20" s="325" customFormat="1" x14ac:dyDescent="0.25">
      <c r="A244" s="338">
        <f>'A) Base RI'!A245</f>
        <v>5789</v>
      </c>
      <c r="B244" s="338" t="str">
        <f>'A) Base RI'!B245</f>
        <v>Ferlens</v>
      </c>
      <c r="C244" s="397">
        <v>0</v>
      </c>
      <c r="D244" s="327">
        <f>'B) D RI'!AR245</f>
        <v>336</v>
      </c>
      <c r="E244" s="328">
        <f>'B) D RI'!S245</f>
        <v>77</v>
      </c>
      <c r="F244" s="14">
        <f>'B) D RI'!R245</f>
        <v>775656.79</v>
      </c>
      <c r="G244" s="14">
        <f>'B) D RI'!U245</f>
        <v>10073.464805194806</v>
      </c>
      <c r="H244" s="52">
        <f>'B) D RI'!T245</f>
        <v>726891.34000000008</v>
      </c>
      <c r="I244" s="14">
        <f t="shared" si="22"/>
        <v>18880.294545454548</v>
      </c>
      <c r="J244" s="41">
        <f t="shared" si="23"/>
        <v>28710.934429700574</v>
      </c>
      <c r="K244" s="14">
        <f t="shared" si="19"/>
        <v>18880.294545454548</v>
      </c>
      <c r="L244" s="14">
        <f t="shared" si="24"/>
        <v>9830.6398842460258</v>
      </c>
      <c r="M244" s="14">
        <f>'D) Ecrêtage'!M243</f>
        <v>10073.464805194806</v>
      </c>
      <c r="N244" s="14">
        <f t="shared" si="20"/>
        <v>13056.91334053179</v>
      </c>
      <c r="O244" s="75">
        <f t="shared" si="21"/>
        <v>31937.20788598634</v>
      </c>
      <c r="P244" s="329"/>
      <c r="Q244" s="330"/>
      <c r="R244" s="326"/>
      <c r="S244" s="326"/>
      <c r="T244" s="331"/>
    </row>
    <row r="245" spans="1:20" s="325" customFormat="1" x14ac:dyDescent="0.25">
      <c r="A245" s="338">
        <f>'A) Base RI'!A246</f>
        <v>5790</v>
      </c>
      <c r="B245" s="338" t="str">
        <f>'A) Base RI'!B246</f>
        <v>Maracon</v>
      </c>
      <c r="C245" s="397">
        <v>0</v>
      </c>
      <c r="D245" s="327">
        <f>'B) D RI'!AR246</f>
        <v>444</v>
      </c>
      <c r="E245" s="328">
        <f>'B) D RI'!S246</f>
        <v>76</v>
      </c>
      <c r="F245" s="14">
        <f>'B) D RI'!R246</f>
        <v>920185.88999999978</v>
      </c>
      <c r="G245" s="14">
        <f>'B) D RI'!U246</f>
        <v>12107.709078947366</v>
      </c>
      <c r="H245" s="52">
        <f>'B) D RI'!T246</f>
        <v>850762.5399999998</v>
      </c>
      <c r="I245" s="14">
        <f t="shared" si="22"/>
        <v>22388.487894736838</v>
      </c>
      <c r="J245" s="41">
        <f t="shared" si="23"/>
        <v>37939.449067818612</v>
      </c>
      <c r="K245" s="14">
        <f t="shared" si="19"/>
        <v>22388.487894736838</v>
      </c>
      <c r="L245" s="14">
        <f t="shared" si="24"/>
        <v>15550.961173081774</v>
      </c>
      <c r="M245" s="14">
        <f>'D) Ecrêtage'!M244</f>
        <v>12107.709078947366</v>
      </c>
      <c r="N245" s="14">
        <f t="shared" si="20"/>
        <v>15693.637815129936</v>
      </c>
      <c r="O245" s="75">
        <f t="shared" si="21"/>
        <v>38082.12570986677</v>
      </c>
      <c r="P245" s="329"/>
      <c r="Q245" s="330"/>
      <c r="R245" s="326"/>
      <c r="S245" s="326"/>
      <c r="T245" s="331"/>
    </row>
    <row r="246" spans="1:20" s="325" customFormat="1" x14ac:dyDescent="0.25">
      <c r="A246" s="338">
        <f>'A) Base RI'!A247</f>
        <v>5791</v>
      </c>
      <c r="B246" s="338" t="str">
        <f>'A) Base RI'!B247</f>
        <v>Mézières</v>
      </c>
      <c r="C246" s="397">
        <v>0</v>
      </c>
      <c r="D246" s="327">
        <f>'B) D RI'!AR247</f>
        <v>1215</v>
      </c>
      <c r="E246" s="328">
        <f>'B) D RI'!S247</f>
        <v>76</v>
      </c>
      <c r="F246" s="14">
        <f>'B) D RI'!R247</f>
        <v>3261529.2133333338</v>
      </c>
      <c r="G246" s="14">
        <f>'B) D RI'!U247</f>
        <v>42914.858070175447</v>
      </c>
      <c r="H246" s="52">
        <f>'B) D RI'!T247</f>
        <v>3052402.7800000003</v>
      </c>
      <c r="I246" s="14">
        <f t="shared" si="22"/>
        <v>80326.388947368425</v>
      </c>
      <c r="J246" s="41">
        <f t="shared" si="23"/>
        <v>103820.78967882796</v>
      </c>
      <c r="K246" s="14">
        <f t="shared" si="19"/>
        <v>80326.388947368425</v>
      </c>
      <c r="L246" s="14">
        <f t="shared" si="24"/>
        <v>23494.400731459536</v>
      </c>
      <c r="M246" s="14">
        <f>'D) Ecrêtage'!M245</f>
        <v>42914.858070175447</v>
      </c>
      <c r="N246" s="14">
        <f t="shared" si="20"/>
        <v>55624.91095958776</v>
      </c>
      <c r="O246" s="75">
        <f t="shared" si="21"/>
        <v>135951.29990695618</v>
      </c>
      <c r="P246" s="329"/>
      <c r="Q246" s="330"/>
      <c r="R246" s="326"/>
      <c r="S246" s="326"/>
      <c r="T246" s="331"/>
    </row>
    <row r="247" spans="1:20" s="325" customFormat="1" x14ac:dyDescent="0.25">
      <c r="A247" s="338">
        <f>'A) Base RI'!A248</f>
        <v>5792</v>
      </c>
      <c r="B247" s="338" t="str">
        <f>'A) Base RI'!B248</f>
        <v>Montpreveyres</v>
      </c>
      <c r="C247" s="397">
        <v>0</v>
      </c>
      <c r="D247" s="327">
        <f>'B) D RI'!AR248</f>
        <v>628</v>
      </c>
      <c r="E247" s="328">
        <f>'B) D RI'!S248</f>
        <v>77</v>
      </c>
      <c r="F247" s="14">
        <f>'B) D RI'!R248</f>
        <v>1469814.0500000003</v>
      </c>
      <c r="G247" s="14">
        <f>'B) D RI'!U248</f>
        <v>19088.494155844161</v>
      </c>
      <c r="H247" s="52">
        <f>'B) D RI'!T248</f>
        <v>1369442.3500000003</v>
      </c>
      <c r="I247" s="14">
        <f t="shared" si="22"/>
        <v>35569.931168831179</v>
      </c>
      <c r="J247" s="41">
        <f t="shared" si="23"/>
        <v>53662.10363646417</v>
      </c>
      <c r="K247" s="14">
        <f t="shared" si="19"/>
        <v>35569.931168831179</v>
      </c>
      <c r="L247" s="14">
        <f t="shared" si="24"/>
        <v>18092.17246763299</v>
      </c>
      <c r="M247" s="14">
        <f>'D) Ecrêtage'!M246</f>
        <v>19088.494155844161</v>
      </c>
      <c r="N247" s="14">
        <f t="shared" si="20"/>
        <v>24741.915399910395</v>
      </c>
      <c r="O247" s="75">
        <f t="shared" si="21"/>
        <v>60311.846568741574</v>
      </c>
      <c r="P247" s="329"/>
      <c r="Q247" s="330"/>
      <c r="R247" s="326"/>
      <c r="S247" s="326"/>
      <c r="T247" s="331"/>
    </row>
    <row r="248" spans="1:20" s="325" customFormat="1" x14ac:dyDescent="0.25">
      <c r="A248" s="338">
        <f>'A) Base RI'!A249</f>
        <v>5798</v>
      </c>
      <c r="B248" s="338" t="str">
        <f>'A) Base RI'!B249</f>
        <v>Ropraz</v>
      </c>
      <c r="C248" s="397">
        <v>0</v>
      </c>
      <c r="D248" s="327">
        <f>'B) D RI'!AR249</f>
        <v>405</v>
      </c>
      <c r="E248" s="328">
        <f>'B) D RI'!S249</f>
        <v>77.5</v>
      </c>
      <c r="F248" s="14">
        <f>'B) D RI'!R249</f>
        <v>740768.77</v>
      </c>
      <c r="G248" s="14">
        <f>'B) D RI'!U249</f>
        <v>9558.3067096774193</v>
      </c>
      <c r="H248" s="52">
        <f>'B) D RI'!T249</f>
        <v>700586.47</v>
      </c>
      <c r="I248" s="14">
        <f t="shared" si="22"/>
        <v>18079.650838709676</v>
      </c>
      <c r="J248" s="41">
        <f t="shared" si="23"/>
        <v>34606.929892942651</v>
      </c>
      <c r="K248" s="14">
        <f t="shared" si="19"/>
        <v>18079.650838709676</v>
      </c>
      <c r="L248" s="14">
        <f t="shared" si="24"/>
        <v>16527.279054232975</v>
      </c>
      <c r="M248" s="14">
        <f>'D) Ecrêtage'!M247</f>
        <v>9558.3067096774193</v>
      </c>
      <c r="N248" s="14">
        <f t="shared" si="20"/>
        <v>12389.181359538003</v>
      </c>
      <c r="O248" s="75">
        <f t="shared" si="21"/>
        <v>30468.832198247677</v>
      </c>
      <c r="P248" s="329"/>
      <c r="Q248" s="330"/>
      <c r="R248" s="326"/>
      <c r="S248" s="326"/>
      <c r="T248" s="331"/>
    </row>
    <row r="249" spans="1:20" s="325" customFormat="1" x14ac:dyDescent="0.25">
      <c r="A249" s="338">
        <f>'A) Base RI'!A250</f>
        <v>5799</v>
      </c>
      <c r="B249" s="338" t="str">
        <f>'A) Base RI'!B250</f>
        <v>Servion</v>
      </c>
      <c r="C249" s="397">
        <v>0</v>
      </c>
      <c r="D249" s="327">
        <f>'B) D RI'!AR250</f>
        <v>1908</v>
      </c>
      <c r="E249" s="328">
        <f>'B) D RI'!S250</f>
        <v>69</v>
      </c>
      <c r="F249" s="14">
        <f>'B) D RI'!R250</f>
        <v>3544286.9600000009</v>
      </c>
      <c r="G249" s="14">
        <f>'B) D RI'!U250</f>
        <v>51366.477681159435</v>
      </c>
      <c r="H249" s="52">
        <f>'B) D RI'!T250</f>
        <v>3199365.0100000007</v>
      </c>
      <c r="I249" s="14">
        <f t="shared" si="22"/>
        <v>92735.21768115944</v>
      </c>
      <c r="J249" s="41">
        <f t="shared" si="23"/>
        <v>163037.0919400854</v>
      </c>
      <c r="K249" s="14">
        <f t="shared" si="19"/>
        <v>92735.21768115944</v>
      </c>
      <c r="L249" s="14">
        <f t="shared" si="24"/>
        <v>70301.874258925964</v>
      </c>
      <c r="M249" s="14">
        <f>'D) Ecrêtage'!M248</f>
        <v>51366.477681159435</v>
      </c>
      <c r="N249" s="14">
        <f t="shared" si="20"/>
        <v>66579.638750054568</v>
      </c>
      <c r="O249" s="75">
        <f t="shared" si="21"/>
        <v>159314.85643121402</v>
      </c>
      <c r="P249" s="329"/>
      <c r="Q249" s="330"/>
      <c r="R249" s="326"/>
      <c r="S249" s="326"/>
      <c r="T249" s="331"/>
    </row>
    <row r="250" spans="1:20" s="325" customFormat="1" x14ac:dyDescent="0.25">
      <c r="A250" s="338">
        <f>'A) Base RI'!A251</f>
        <v>5803</v>
      </c>
      <c r="B250" s="338" t="str">
        <f>'A) Base RI'!B251</f>
        <v>Vulliens</v>
      </c>
      <c r="C250" s="397">
        <v>0</v>
      </c>
      <c r="D250" s="327">
        <f>'B) D RI'!AR251</f>
        <v>462</v>
      </c>
      <c r="E250" s="328">
        <f>'B) D RI'!S251</f>
        <v>81</v>
      </c>
      <c r="F250" s="14">
        <f>'B) D RI'!R251</f>
        <v>1019721.1</v>
      </c>
      <c r="G250" s="14">
        <f>'B) D RI'!U251</f>
        <v>12589.149382716048</v>
      </c>
      <c r="H250" s="52">
        <f>'B) D RI'!T251</f>
        <v>951874.35</v>
      </c>
      <c r="I250" s="14">
        <f t="shared" si="22"/>
        <v>23503.070370370369</v>
      </c>
      <c r="J250" s="41">
        <f t="shared" si="23"/>
        <v>39477.534840838285</v>
      </c>
      <c r="K250" s="14">
        <f t="shared" si="19"/>
        <v>23503.070370370369</v>
      </c>
      <c r="L250" s="14">
        <f t="shared" si="24"/>
        <v>15974.464470467916</v>
      </c>
      <c r="M250" s="14">
        <f>'D) Ecrêtage'!M249</f>
        <v>12589.149382716048</v>
      </c>
      <c r="N250" s="14">
        <f t="shared" si="20"/>
        <v>16317.66583791166</v>
      </c>
      <c r="O250" s="75">
        <f t="shared" si="21"/>
        <v>39820.736208282033</v>
      </c>
      <c r="P250" s="329"/>
      <c r="Q250" s="330"/>
      <c r="R250" s="326"/>
      <c r="S250" s="326"/>
      <c r="T250" s="331"/>
    </row>
    <row r="251" spans="1:20" s="325" customFormat="1" x14ac:dyDescent="0.25">
      <c r="A251" s="338">
        <f>'A) Base RI'!A252</f>
        <v>5804</v>
      </c>
      <c r="B251" s="338" t="str">
        <f>'A) Base RI'!B252</f>
        <v>Jorat-Menthue</v>
      </c>
      <c r="C251" s="397">
        <v>0</v>
      </c>
      <c r="D251" s="327">
        <f>'B) D RI'!AR252</f>
        <v>1518</v>
      </c>
      <c r="E251" s="328">
        <f>'B) D RI'!S252</f>
        <v>72</v>
      </c>
      <c r="F251" s="14">
        <f>'B) D RI'!R252</f>
        <v>2963784.02</v>
      </c>
      <c r="G251" s="14">
        <f>'B) D RI'!U252</f>
        <v>41163.666944444441</v>
      </c>
      <c r="H251" s="52">
        <f>'B) D RI'!T252</f>
        <v>2734696.97</v>
      </c>
      <c r="I251" s="14">
        <f t="shared" si="22"/>
        <v>75963.804722222223</v>
      </c>
      <c r="J251" s="41">
        <f t="shared" si="23"/>
        <v>129711.9001913258</v>
      </c>
      <c r="K251" s="14">
        <f t="shared" si="19"/>
        <v>75963.804722222223</v>
      </c>
      <c r="L251" s="14">
        <f t="shared" si="24"/>
        <v>53748.095469103573</v>
      </c>
      <c r="M251" s="14">
        <f>'D) Ecrêtage'!M250</f>
        <v>41163.666944444441</v>
      </c>
      <c r="N251" s="14">
        <f t="shared" si="20"/>
        <v>53355.071215909229</v>
      </c>
      <c r="O251" s="75">
        <f t="shared" si="21"/>
        <v>129318.87593813144</v>
      </c>
      <c r="P251" s="329"/>
      <c r="Q251" s="330"/>
      <c r="R251" s="326"/>
      <c r="S251" s="326"/>
      <c r="T251" s="331"/>
    </row>
    <row r="252" spans="1:20" s="325" customFormat="1" x14ac:dyDescent="0.25">
      <c r="A252" s="338">
        <f>'A) Base RI'!A253</f>
        <v>5805</v>
      </c>
      <c r="B252" s="338" t="str">
        <f>'A) Base RI'!B253</f>
        <v>Oron</v>
      </c>
      <c r="C252" s="397">
        <v>0</v>
      </c>
      <c r="D252" s="327">
        <f>'B) D RI'!AR253</f>
        <v>5297</v>
      </c>
      <c r="E252" s="328">
        <f>'B) D RI'!S253</f>
        <v>69</v>
      </c>
      <c r="F252" s="14">
        <f>'B) D RI'!R253</f>
        <v>10108811.18090909</v>
      </c>
      <c r="G252" s="14">
        <f>'B) D RI'!U253</f>
        <v>146504.50986824767</v>
      </c>
      <c r="H252" s="52">
        <f>'B) D RI'!T253</f>
        <v>9267504.0899999999</v>
      </c>
      <c r="I252" s="14">
        <f t="shared" si="22"/>
        <v>268623.30695652176</v>
      </c>
      <c r="J252" s="41">
        <f t="shared" si="23"/>
        <v>452624.46331584506</v>
      </c>
      <c r="K252" s="14">
        <f t="shared" si="19"/>
        <v>268623.30695652176</v>
      </c>
      <c r="L252" s="14">
        <f t="shared" si="24"/>
        <v>184001.1563593233</v>
      </c>
      <c r="M252" s="14">
        <f>'D) Ecrêtage'!M251</f>
        <v>146504.50986824767</v>
      </c>
      <c r="N252" s="14">
        <f t="shared" si="20"/>
        <v>189894.61186783802</v>
      </c>
      <c r="O252" s="75">
        <f t="shared" si="21"/>
        <v>458517.91882435977</v>
      </c>
      <c r="P252" s="329"/>
      <c r="Q252" s="330"/>
      <c r="R252" s="326"/>
      <c r="S252" s="326"/>
      <c r="T252" s="331"/>
    </row>
    <row r="253" spans="1:20" s="325" customFormat="1" x14ac:dyDescent="0.25">
      <c r="A253" s="338">
        <f>'A) Base RI'!A254</f>
        <v>5812</v>
      </c>
      <c r="B253" s="338" t="str">
        <f>'A) Base RI'!B254</f>
        <v>Champtauroz</v>
      </c>
      <c r="C253" s="397">
        <v>0</v>
      </c>
      <c r="D253" s="327">
        <f>'B) D RI'!AR254</f>
        <v>133</v>
      </c>
      <c r="E253" s="328">
        <f>'B) D RI'!S254</f>
        <v>77</v>
      </c>
      <c r="F253" s="14">
        <f>'B) D RI'!R254</f>
        <v>186354.47500000001</v>
      </c>
      <c r="G253" s="14">
        <f>'B) D RI'!U254</f>
        <v>2420.1879870129869</v>
      </c>
      <c r="H253" s="52">
        <f>'B) D RI'!T254</f>
        <v>171817.35</v>
      </c>
      <c r="I253" s="14">
        <f t="shared" si="22"/>
        <v>4462.7883116883122</v>
      </c>
      <c r="J253" s="41">
        <f t="shared" si="23"/>
        <v>11364.744878423144</v>
      </c>
      <c r="K253" s="14">
        <f t="shared" si="19"/>
        <v>4462.7883116883122</v>
      </c>
      <c r="L253" s="14">
        <f t="shared" si="24"/>
        <v>6901.9565667348315</v>
      </c>
      <c r="M253" s="14">
        <f>'D) Ecrêtage'!M252</f>
        <v>2420.1879870129869</v>
      </c>
      <c r="N253" s="14">
        <f t="shared" si="20"/>
        <v>3136.9727720623673</v>
      </c>
      <c r="O253" s="75">
        <f t="shared" si="21"/>
        <v>7599.76108375068</v>
      </c>
      <c r="P253" s="329"/>
      <c r="Q253" s="330"/>
      <c r="R253" s="326"/>
      <c r="S253" s="326"/>
      <c r="T253" s="331"/>
    </row>
    <row r="254" spans="1:20" s="325" customFormat="1" x14ac:dyDescent="0.25">
      <c r="A254" s="338">
        <f>'A) Base RI'!A255</f>
        <v>5813</v>
      </c>
      <c r="B254" s="338" t="str">
        <f>'A) Base RI'!B255</f>
        <v>Chevroux</v>
      </c>
      <c r="C254" s="397">
        <v>0</v>
      </c>
      <c r="D254" s="327">
        <f>'B) D RI'!AR255</f>
        <v>430</v>
      </c>
      <c r="E254" s="328">
        <f>'B) D RI'!S255</f>
        <v>70</v>
      </c>
      <c r="F254" s="14">
        <f>'B) D RI'!R255</f>
        <v>811320.9</v>
      </c>
      <c r="G254" s="14">
        <f>'B) D RI'!U255</f>
        <v>11590.298571428571</v>
      </c>
      <c r="H254" s="52">
        <f>'B) D RI'!T255</f>
        <v>741706.65</v>
      </c>
      <c r="I254" s="14">
        <f t="shared" si="22"/>
        <v>21191.618571428571</v>
      </c>
      <c r="J254" s="41">
        <f t="shared" si="23"/>
        <v>36743.160133247758</v>
      </c>
      <c r="K254" s="14">
        <f t="shared" si="19"/>
        <v>21191.618571428571</v>
      </c>
      <c r="L254" s="14">
        <f t="shared" si="24"/>
        <v>15551.541561819187</v>
      </c>
      <c r="M254" s="14">
        <f>'D) Ecrêtage'!M253</f>
        <v>11590.298571428571</v>
      </c>
      <c r="N254" s="14">
        <f t="shared" si="20"/>
        <v>15022.986327404526</v>
      </c>
      <c r="O254" s="75">
        <f t="shared" si="21"/>
        <v>36214.604898833095</v>
      </c>
      <c r="P254" s="329"/>
      <c r="Q254" s="330"/>
      <c r="R254" s="326"/>
      <c r="S254" s="326"/>
      <c r="T254" s="331"/>
    </row>
    <row r="255" spans="1:20" s="325" customFormat="1" x14ac:dyDescent="0.25">
      <c r="A255" s="338">
        <f>'A) Base RI'!A256</f>
        <v>5816</v>
      </c>
      <c r="B255" s="338" t="str">
        <f>'A) Base RI'!B256</f>
        <v>Corcelles-près-Payerne</v>
      </c>
      <c r="C255" s="397">
        <v>0</v>
      </c>
      <c r="D255" s="327">
        <f>'B) D RI'!AR256</f>
        <v>2229</v>
      </c>
      <c r="E255" s="328">
        <f>'B) D RI'!S256</f>
        <v>72</v>
      </c>
      <c r="F255" s="14">
        <f>'B) D RI'!R256</f>
        <v>3812659.787142857</v>
      </c>
      <c r="G255" s="14">
        <f>'B) D RI'!U256</f>
        <v>52953.608154761903</v>
      </c>
      <c r="H255" s="52">
        <f>'B) D RI'!T256</f>
        <v>3532763.9299999997</v>
      </c>
      <c r="I255" s="14">
        <f t="shared" si="22"/>
        <v>98132.331388888881</v>
      </c>
      <c r="J255" s="41">
        <f t="shared" si="23"/>
        <v>190466.28822560291</v>
      </c>
      <c r="K255" s="14">
        <f t="shared" si="19"/>
        <v>98132.331388888881</v>
      </c>
      <c r="L255" s="14">
        <f t="shared" si="24"/>
        <v>92333.956836714031</v>
      </c>
      <c r="M255" s="14">
        <f>'D) Ecrêtage'!M254</f>
        <v>52953.608154761903</v>
      </c>
      <c r="N255" s="14">
        <f t="shared" si="20"/>
        <v>68636.828153571216</v>
      </c>
      <c r="O255" s="75">
        <f t="shared" si="21"/>
        <v>166769.15954246011</v>
      </c>
      <c r="P255" s="329"/>
      <c r="Q255" s="330"/>
      <c r="R255" s="326"/>
      <c r="S255" s="326"/>
      <c r="T255" s="331"/>
    </row>
    <row r="256" spans="1:20" s="325" customFormat="1" x14ac:dyDescent="0.25">
      <c r="A256" s="338">
        <f>'A) Base RI'!A257</f>
        <v>5817</v>
      </c>
      <c r="B256" s="338" t="str">
        <f>'A) Base RI'!B257</f>
        <v>Grandcour</v>
      </c>
      <c r="C256" s="397">
        <v>0</v>
      </c>
      <c r="D256" s="327">
        <f>'B) D RI'!AR257</f>
        <v>856</v>
      </c>
      <c r="E256" s="328">
        <f>'B) D RI'!S257</f>
        <v>79.5</v>
      </c>
      <c r="F256" s="14">
        <f>'B) D RI'!R257</f>
        <v>1661215.2799999998</v>
      </c>
      <c r="G256" s="14">
        <f>'B) D RI'!U257</f>
        <v>20895.78968553459</v>
      </c>
      <c r="H256" s="52">
        <f>'B) D RI'!T257</f>
        <v>1554670.88</v>
      </c>
      <c r="I256" s="14">
        <f t="shared" si="22"/>
        <v>39111.217106918237</v>
      </c>
      <c r="J256" s="41">
        <f t="shared" si="23"/>
        <v>73144.523428046698</v>
      </c>
      <c r="K256" s="14">
        <f t="shared" si="19"/>
        <v>39111.217106918237</v>
      </c>
      <c r="L256" s="14">
        <f t="shared" si="24"/>
        <v>34033.306321128461</v>
      </c>
      <c r="M256" s="14">
        <f>'D) Ecrêtage'!M255</f>
        <v>20895.78968553459</v>
      </c>
      <c r="N256" s="14">
        <f t="shared" si="20"/>
        <v>27084.475935757928</v>
      </c>
      <c r="O256" s="75">
        <f t="shared" si="21"/>
        <v>66195.693042676168</v>
      </c>
      <c r="P256" s="329"/>
      <c r="Q256" s="330"/>
      <c r="R256" s="326"/>
      <c r="S256" s="326"/>
      <c r="T256" s="331"/>
    </row>
    <row r="257" spans="1:20" s="325" customFormat="1" x14ac:dyDescent="0.25">
      <c r="A257" s="338">
        <f>'A) Base RI'!A258</f>
        <v>5819</v>
      </c>
      <c r="B257" s="338" t="str">
        <f>'A) Base RI'!B258</f>
        <v>Henniez</v>
      </c>
      <c r="C257" s="397">
        <v>0</v>
      </c>
      <c r="D257" s="327">
        <f>'B) D RI'!AR258</f>
        <v>339</v>
      </c>
      <c r="E257" s="328">
        <f>'B) D RI'!S258</f>
        <v>67</v>
      </c>
      <c r="F257" s="14">
        <f>'B) D RI'!R258</f>
        <v>878167.62000000011</v>
      </c>
      <c r="G257" s="14">
        <f>'B) D RI'!U258</f>
        <v>13106.979402985076</v>
      </c>
      <c r="H257" s="52">
        <f>'B) D RI'!T258</f>
        <v>804252.47000000009</v>
      </c>
      <c r="I257" s="14">
        <f t="shared" si="22"/>
        <v>24007.536417910451</v>
      </c>
      <c r="J257" s="41">
        <f t="shared" si="23"/>
        <v>28967.282058537185</v>
      </c>
      <c r="K257" s="14">
        <f t="shared" si="19"/>
        <v>24007.536417910451</v>
      </c>
      <c r="L257" s="14">
        <f t="shared" si="24"/>
        <v>4959.7456406267338</v>
      </c>
      <c r="M257" s="14">
        <f>'D) Ecrêtage'!M256</f>
        <v>13106.979402985076</v>
      </c>
      <c r="N257" s="14">
        <f t="shared" si="20"/>
        <v>16988.861085081411</v>
      </c>
      <c r="O257" s="75">
        <f t="shared" si="21"/>
        <v>40996.397502991866</v>
      </c>
      <c r="P257" s="329"/>
      <c r="Q257" s="330"/>
      <c r="R257" s="326"/>
      <c r="S257" s="326"/>
      <c r="T257" s="331"/>
    </row>
    <row r="258" spans="1:20" s="325" customFormat="1" x14ac:dyDescent="0.25">
      <c r="A258" s="338">
        <f>'A) Base RI'!A259</f>
        <v>5821</v>
      </c>
      <c r="B258" s="338" t="str">
        <f>'A) Base RI'!B259</f>
        <v>Missy</v>
      </c>
      <c r="C258" s="397">
        <v>0</v>
      </c>
      <c r="D258" s="327">
        <f>'B) D RI'!AR259</f>
        <v>350</v>
      </c>
      <c r="E258" s="328">
        <f>'B) D RI'!S259</f>
        <v>72</v>
      </c>
      <c r="F258" s="14">
        <f>'B) D RI'!R259</f>
        <v>526594.11</v>
      </c>
      <c r="G258" s="14">
        <f>'B) D RI'!U259</f>
        <v>7313.8070833333331</v>
      </c>
      <c r="H258" s="52">
        <f>'B) D RI'!T259</f>
        <v>484579.31</v>
      </c>
      <c r="I258" s="14">
        <f t="shared" si="22"/>
        <v>13460.53638888889</v>
      </c>
      <c r="J258" s="41">
        <f t="shared" si="23"/>
        <v>29907.223364271431</v>
      </c>
      <c r="K258" s="14">
        <f t="shared" si="19"/>
        <v>13460.53638888889</v>
      </c>
      <c r="L258" s="14">
        <f t="shared" si="24"/>
        <v>16446.686975382541</v>
      </c>
      <c r="M258" s="14">
        <f>'D) Ecrêtage'!M257</f>
        <v>7313.8070833333331</v>
      </c>
      <c r="N258" s="14">
        <f t="shared" si="20"/>
        <v>9479.9304036089452</v>
      </c>
      <c r="O258" s="75">
        <f t="shared" si="21"/>
        <v>22940.466792497835</v>
      </c>
      <c r="P258" s="329"/>
      <c r="Q258" s="330"/>
      <c r="R258" s="326"/>
      <c r="S258" s="326"/>
      <c r="T258" s="331"/>
    </row>
    <row r="259" spans="1:20" s="325" customFormat="1" x14ac:dyDescent="0.25">
      <c r="A259" s="338">
        <f>'A) Base RI'!A260</f>
        <v>5822</v>
      </c>
      <c r="B259" s="338" t="str">
        <f>'A) Base RI'!B260</f>
        <v>Payerne</v>
      </c>
      <c r="C259" s="397">
        <v>0</v>
      </c>
      <c r="D259" s="327">
        <f>'B) D RI'!AR260</f>
        <v>9302</v>
      </c>
      <c r="E259" s="328">
        <f>'B) D RI'!S260</f>
        <v>75</v>
      </c>
      <c r="F259" s="14">
        <f>'B) D RI'!R260</f>
        <v>16833413.139999997</v>
      </c>
      <c r="G259" s="14">
        <f>'B) D RI'!U260</f>
        <v>224445.50853333328</v>
      </c>
      <c r="H259" s="52">
        <f>'B) D RI'!T260</f>
        <v>15498324.589999998</v>
      </c>
      <c r="I259" s="14">
        <f t="shared" si="22"/>
        <v>413288.65573333326</v>
      </c>
      <c r="J259" s="41">
        <f t="shared" si="23"/>
        <v>794848.54781272239</v>
      </c>
      <c r="K259" s="14">
        <f t="shared" si="19"/>
        <v>413288.65573333326</v>
      </c>
      <c r="L259" s="14">
        <f t="shared" si="24"/>
        <v>381559.89207938913</v>
      </c>
      <c r="M259" s="14">
        <f>'D) Ecrêtage'!M258</f>
        <v>224445.50853333328</v>
      </c>
      <c r="N259" s="14">
        <f t="shared" si="20"/>
        <v>290919.32232493151</v>
      </c>
      <c r="O259" s="75">
        <f t="shared" si="21"/>
        <v>704207.97805826482</v>
      </c>
      <c r="P259" s="329"/>
      <c r="Q259" s="330"/>
      <c r="R259" s="326"/>
      <c r="S259" s="326"/>
      <c r="T259" s="331"/>
    </row>
    <row r="260" spans="1:20" s="325" customFormat="1" x14ac:dyDescent="0.25">
      <c r="A260" s="338">
        <f>'A) Base RI'!A261</f>
        <v>5827</v>
      </c>
      <c r="B260" s="338" t="str">
        <f>'A) Base RI'!B261</f>
        <v>Trey</v>
      </c>
      <c r="C260" s="397">
        <v>0</v>
      </c>
      <c r="D260" s="327">
        <f>'B) D RI'!AR261</f>
        <v>255</v>
      </c>
      <c r="E260" s="328">
        <f>'B) D RI'!S261</f>
        <v>80</v>
      </c>
      <c r="F260" s="14">
        <f>'B) D RI'!R261</f>
        <v>523546.69000000006</v>
      </c>
      <c r="G260" s="14">
        <f>'B) D RI'!U261</f>
        <v>6544.3336250000011</v>
      </c>
      <c r="H260" s="52">
        <f>'B) D RI'!T261</f>
        <v>489895.74000000005</v>
      </c>
      <c r="I260" s="14">
        <f t="shared" si="22"/>
        <v>12247.393500000002</v>
      </c>
      <c r="J260" s="41">
        <f t="shared" si="23"/>
        <v>21789.548451112041</v>
      </c>
      <c r="K260" s="14">
        <f t="shared" si="19"/>
        <v>12247.393500000002</v>
      </c>
      <c r="L260" s="14">
        <f t="shared" si="24"/>
        <v>9542.1549511120393</v>
      </c>
      <c r="M260" s="14">
        <f>'D) Ecrêtage'!M259</f>
        <v>6544.3336250000011</v>
      </c>
      <c r="N260" s="14">
        <f t="shared" si="20"/>
        <v>8482.5627195409488</v>
      </c>
      <c r="O260" s="75">
        <f t="shared" si="21"/>
        <v>20729.956219540953</v>
      </c>
      <c r="P260" s="329"/>
      <c r="Q260" s="330"/>
      <c r="R260" s="326"/>
      <c r="S260" s="326"/>
      <c r="T260" s="331"/>
    </row>
    <row r="261" spans="1:20" s="325" customFormat="1" x14ac:dyDescent="0.25">
      <c r="A261" s="338">
        <f>'A) Base RI'!A262</f>
        <v>5828</v>
      </c>
      <c r="B261" s="338" t="str">
        <f>'A) Base RI'!B262</f>
        <v>Treytorrens (Payerne)</v>
      </c>
      <c r="C261" s="397">
        <v>0</v>
      </c>
      <c r="D261" s="327">
        <f>'B) D RI'!AR262</f>
        <v>124</v>
      </c>
      <c r="E261" s="328">
        <f>'B) D RI'!S262</f>
        <v>84</v>
      </c>
      <c r="F261" s="14">
        <f>'B) D RI'!R262</f>
        <v>179467.41666666669</v>
      </c>
      <c r="G261" s="14">
        <f>'B) D RI'!U262</f>
        <v>2136.5168650793653</v>
      </c>
      <c r="H261" s="52">
        <f>'B) D RI'!T262</f>
        <v>165817.05000000002</v>
      </c>
      <c r="I261" s="14">
        <f t="shared" si="22"/>
        <v>3948.0250000000005</v>
      </c>
      <c r="J261" s="41">
        <f t="shared" si="23"/>
        <v>10595.701991913307</v>
      </c>
      <c r="K261" s="14">
        <f t="shared" si="19"/>
        <v>3948.0250000000005</v>
      </c>
      <c r="L261" s="14">
        <f t="shared" si="24"/>
        <v>6647.6769919133067</v>
      </c>
      <c r="M261" s="14">
        <f>'D) Ecrêtage'!M260</f>
        <v>2136.5168650793653</v>
      </c>
      <c r="N261" s="14">
        <f t="shared" si="20"/>
        <v>2769.2870424821472</v>
      </c>
      <c r="O261" s="75">
        <f t="shared" si="21"/>
        <v>6717.3120424821482</v>
      </c>
      <c r="P261" s="329"/>
      <c r="Q261" s="330"/>
      <c r="R261" s="326"/>
      <c r="S261" s="326"/>
      <c r="T261" s="331"/>
    </row>
    <row r="262" spans="1:20" s="325" customFormat="1" x14ac:dyDescent="0.25">
      <c r="A262" s="338">
        <f>'A) Base RI'!A263</f>
        <v>5830</v>
      </c>
      <c r="B262" s="338" t="str">
        <f>'A) Base RI'!B263</f>
        <v>Villarzel</v>
      </c>
      <c r="C262" s="397">
        <v>0</v>
      </c>
      <c r="D262" s="327">
        <f>'B) D RI'!AR263</f>
        <v>415</v>
      </c>
      <c r="E262" s="328">
        <f>'B) D RI'!S263</f>
        <v>79</v>
      </c>
      <c r="F262" s="14">
        <f>'B) D RI'!R263</f>
        <v>808721.53999999992</v>
      </c>
      <c r="G262" s="14">
        <f>'B) D RI'!U263</f>
        <v>10236.981518987341</v>
      </c>
      <c r="H262" s="52">
        <f>'B) D RI'!T263</f>
        <v>754449.78999999992</v>
      </c>
      <c r="I262" s="14">
        <f t="shared" si="22"/>
        <v>19099.994683544301</v>
      </c>
      <c r="J262" s="41">
        <f t="shared" si="23"/>
        <v>35461.421989064693</v>
      </c>
      <c r="K262" s="14">
        <f t="shared" ref="K262:K311" si="25">IF(C262=1,0,IF(J262&gt;I262,I262,J262))</f>
        <v>19099.994683544301</v>
      </c>
      <c r="L262" s="14">
        <f t="shared" si="24"/>
        <v>16361.427305520392</v>
      </c>
      <c r="M262" s="14">
        <f>'D) Ecrêtage'!M261</f>
        <v>10236.981518987341</v>
      </c>
      <c r="N262" s="14">
        <f t="shared" ref="N262:N322" si="26">+$N$5*M262</f>
        <v>13268.858644655615</v>
      </c>
      <c r="O262" s="75">
        <f t="shared" ref="O262:O323" si="27">+N262+K262</f>
        <v>32368.853328199915</v>
      </c>
      <c r="P262" s="329"/>
      <c r="Q262" s="330"/>
      <c r="R262" s="326"/>
      <c r="S262" s="326"/>
      <c r="T262" s="331"/>
    </row>
    <row r="263" spans="1:20" s="325" customFormat="1" x14ac:dyDescent="0.25">
      <c r="A263" s="338">
        <f>'A) Base RI'!A264</f>
        <v>5831</v>
      </c>
      <c r="B263" s="338" t="str">
        <f>'A) Base RI'!B264</f>
        <v>Valbroye</v>
      </c>
      <c r="C263" s="397">
        <v>0</v>
      </c>
      <c r="D263" s="327">
        <f>'B) D RI'!AR264</f>
        <v>2960</v>
      </c>
      <c r="E263" s="328">
        <f>'B) D RI'!S264</f>
        <v>73</v>
      </c>
      <c r="F263" s="14">
        <f>'B) D RI'!R264</f>
        <v>5696753.2999999998</v>
      </c>
      <c r="G263" s="14">
        <f>'B) D RI'!U264</f>
        <v>78037.716438356161</v>
      </c>
      <c r="H263" s="52">
        <f>'B) D RI'!T264</f>
        <v>5303397.8</v>
      </c>
      <c r="I263" s="14">
        <f t="shared" ref="I263:I294" si="28">+H263/E263*$I$5</f>
        <v>145298.56986301369</v>
      </c>
      <c r="J263" s="41">
        <f t="shared" ref="J263:J323" si="29">+$I$324/$D$324*D263</f>
        <v>252929.66045212411</v>
      </c>
      <c r="K263" s="14">
        <f t="shared" si="25"/>
        <v>145298.56986301369</v>
      </c>
      <c r="L263" s="14">
        <f t="shared" ref="L263:L323" si="30">+J263-K263</f>
        <v>107631.09058911042</v>
      </c>
      <c r="M263" s="14">
        <f>'D) Ecrêtage'!M262</f>
        <v>78037.716438356161</v>
      </c>
      <c r="N263" s="14">
        <f t="shared" si="26"/>
        <v>101150.07304171594</v>
      </c>
      <c r="O263" s="75">
        <f t="shared" si="27"/>
        <v>246448.64290472964</v>
      </c>
      <c r="P263" s="329"/>
      <c r="Q263" s="330"/>
      <c r="R263" s="326"/>
      <c r="S263" s="326"/>
      <c r="T263" s="331"/>
    </row>
    <row r="264" spans="1:20" s="325" customFormat="1" x14ac:dyDescent="0.25">
      <c r="A264" s="338">
        <f>'A) Base RI'!A265</f>
        <v>5841</v>
      </c>
      <c r="B264" s="338" t="str">
        <f>'A) Base RI'!B265</f>
        <v>Château-d'Oex</v>
      </c>
      <c r="C264" s="397">
        <v>0</v>
      </c>
      <c r="D264" s="327">
        <f>'B) D RI'!AR265</f>
        <v>3408</v>
      </c>
      <c r="E264" s="328">
        <f>'B) D RI'!S265</f>
        <v>83</v>
      </c>
      <c r="F264" s="14">
        <f>'B) D RI'!R265</f>
        <v>8924636.0666666664</v>
      </c>
      <c r="G264" s="14">
        <f>'B) D RI'!U265</f>
        <v>107525.73574297188</v>
      </c>
      <c r="H264" s="52">
        <f>'B) D RI'!T265</f>
        <v>8023962.0999999996</v>
      </c>
      <c r="I264" s="14">
        <f t="shared" si="28"/>
        <v>193348.48433734939</v>
      </c>
      <c r="J264" s="41">
        <f t="shared" si="29"/>
        <v>291210.90635839151</v>
      </c>
      <c r="K264" s="14">
        <f t="shared" si="25"/>
        <v>193348.48433734939</v>
      </c>
      <c r="L264" s="14">
        <f t="shared" si="30"/>
        <v>97862.422021042119</v>
      </c>
      <c r="M264" s="14">
        <f>'D) Ecrêtage'!M263</f>
        <v>107525.73574297188</v>
      </c>
      <c r="N264" s="14">
        <f t="shared" si="26"/>
        <v>139371.53110902788</v>
      </c>
      <c r="O264" s="75">
        <f t="shared" si="27"/>
        <v>332720.01544637728</v>
      </c>
      <c r="P264" s="329"/>
      <c r="Q264" s="330"/>
      <c r="R264" s="326"/>
      <c r="S264" s="326"/>
      <c r="T264" s="331"/>
    </row>
    <row r="265" spans="1:20" s="325" customFormat="1" x14ac:dyDescent="0.25">
      <c r="A265" s="338">
        <f>'A) Base RI'!A266</f>
        <v>5842</v>
      </c>
      <c r="B265" s="338" t="str">
        <f>'A) Base RI'!B266</f>
        <v>Rossinière</v>
      </c>
      <c r="C265" s="397">
        <v>0</v>
      </c>
      <c r="D265" s="327">
        <f>'B) D RI'!AR266</f>
        <v>565</v>
      </c>
      <c r="E265" s="328">
        <f>'B) D RI'!S266</f>
        <v>81</v>
      </c>
      <c r="F265" s="14">
        <f>'B) D RI'!R266</f>
        <v>1340884.1533333333</v>
      </c>
      <c r="G265" s="14">
        <f>'B) D RI'!U266</f>
        <v>16554.125349794238</v>
      </c>
      <c r="H265" s="52">
        <f>'B) D RI'!T266</f>
        <v>1257283.52</v>
      </c>
      <c r="I265" s="14">
        <f t="shared" si="28"/>
        <v>31044.0375308642</v>
      </c>
      <c r="J265" s="41">
        <f t="shared" si="29"/>
        <v>48278.803430895307</v>
      </c>
      <c r="K265" s="14">
        <f t="shared" si="25"/>
        <v>31044.0375308642</v>
      </c>
      <c r="L265" s="14">
        <f t="shared" si="30"/>
        <v>17234.765900031107</v>
      </c>
      <c r="M265" s="14">
        <f>'D) Ecrêtage'!M264</f>
        <v>16554.125349794238</v>
      </c>
      <c r="N265" s="14">
        <f t="shared" si="26"/>
        <v>21456.944983725876</v>
      </c>
      <c r="O265" s="75">
        <f t="shared" si="27"/>
        <v>52500.982514590076</v>
      </c>
      <c r="P265" s="329"/>
      <c r="Q265" s="330"/>
      <c r="R265" s="326"/>
      <c r="S265" s="326"/>
      <c r="T265" s="331"/>
    </row>
    <row r="266" spans="1:20" s="325" customFormat="1" x14ac:dyDescent="0.25">
      <c r="A266" s="338">
        <f>'A) Base RI'!A267</f>
        <v>5843</v>
      </c>
      <c r="B266" s="338" t="str">
        <f>'A) Base RI'!B267</f>
        <v>Rougemont</v>
      </c>
      <c r="C266" s="397">
        <v>0</v>
      </c>
      <c r="D266" s="327">
        <f>'B) D RI'!AR267</f>
        <v>881</v>
      </c>
      <c r="E266" s="328">
        <f>'B) D RI'!S267</f>
        <v>69</v>
      </c>
      <c r="F266" s="14">
        <f>'B) D RI'!R267</f>
        <v>6368524.3133333335</v>
      </c>
      <c r="G266" s="14">
        <f>'B) D RI'!U267</f>
        <v>92297.453816425128</v>
      </c>
      <c r="H266" s="52">
        <f>'B) D RI'!T267</f>
        <v>5677014.9800000004</v>
      </c>
      <c r="I266" s="14">
        <f t="shared" si="28"/>
        <v>164551.15884057974</v>
      </c>
      <c r="J266" s="41">
        <f t="shared" si="29"/>
        <v>75280.753668351797</v>
      </c>
      <c r="K266" s="14">
        <f t="shared" si="25"/>
        <v>75280.753668351797</v>
      </c>
      <c r="L266" s="14">
        <f t="shared" si="30"/>
        <v>0</v>
      </c>
      <c r="M266" s="14">
        <f>'D) Ecrêtage'!M265</f>
        <v>72188.208025341344</v>
      </c>
      <c r="N266" s="14">
        <f t="shared" si="26"/>
        <v>93568.121259439475</v>
      </c>
      <c r="O266" s="75">
        <f t="shared" si="27"/>
        <v>168848.87492779127</v>
      </c>
      <c r="P266" s="329"/>
      <c r="Q266" s="330"/>
      <c r="R266" s="326"/>
      <c r="S266" s="326"/>
      <c r="T266" s="331"/>
    </row>
    <row r="267" spans="1:20" s="325" customFormat="1" x14ac:dyDescent="0.25">
      <c r="A267" s="338">
        <f>'A) Base RI'!A268</f>
        <v>5851</v>
      </c>
      <c r="B267" s="338" t="str">
        <f>'A) Base RI'!B268</f>
        <v>Allaman</v>
      </c>
      <c r="C267" s="397">
        <v>0</v>
      </c>
      <c r="D267" s="327">
        <f>'B) D RI'!AR268</f>
        <v>393</v>
      </c>
      <c r="E267" s="328">
        <f>'B) D RI'!S268</f>
        <v>62</v>
      </c>
      <c r="F267" s="14">
        <f>'B) D RI'!R268</f>
        <v>1631337.5081818183</v>
      </c>
      <c r="G267" s="14">
        <f>'B) D RI'!U268</f>
        <v>26311.895293255133</v>
      </c>
      <c r="H267" s="52">
        <f>'B) D RI'!T268</f>
        <v>1408758.6900000002</v>
      </c>
      <c r="I267" s="14">
        <f t="shared" si="28"/>
        <v>45443.828709677422</v>
      </c>
      <c r="J267" s="41">
        <f t="shared" si="29"/>
        <v>33581.539377596207</v>
      </c>
      <c r="K267" s="14">
        <f t="shared" si="25"/>
        <v>33581.539377596207</v>
      </c>
      <c r="L267" s="14">
        <f t="shared" si="30"/>
        <v>0</v>
      </c>
      <c r="M267" s="14">
        <f>'D) Ecrêtage'!M266</f>
        <v>24621.2150634602</v>
      </c>
      <c r="N267" s="14">
        <f t="shared" si="26"/>
        <v>31913.257021200148</v>
      </c>
      <c r="O267" s="75">
        <f t="shared" si="27"/>
        <v>65494.796398796359</v>
      </c>
      <c r="P267" s="329"/>
      <c r="Q267" s="330"/>
      <c r="R267" s="326"/>
      <c r="S267" s="326"/>
      <c r="T267" s="331"/>
    </row>
    <row r="268" spans="1:20" s="325" customFormat="1" x14ac:dyDescent="0.25">
      <c r="A268" s="338">
        <f>'A) Base RI'!A269</f>
        <v>5852</v>
      </c>
      <c r="B268" s="338" t="str">
        <f>'A) Base RI'!B269</f>
        <v>Bursinel</v>
      </c>
      <c r="C268" s="397">
        <v>0</v>
      </c>
      <c r="D268" s="327">
        <f>'B) D RI'!AR269</f>
        <v>477</v>
      </c>
      <c r="E268" s="328">
        <f>'B) D RI'!S269</f>
        <v>63.5</v>
      </c>
      <c r="F268" s="14">
        <f>'B) D RI'!R269</f>
        <v>2008666.68</v>
      </c>
      <c r="G268" s="14">
        <f>'B) D RI'!U269</f>
        <v>31632.546141732284</v>
      </c>
      <c r="H268" s="52">
        <f>'B) D RI'!T269</f>
        <v>1833567.5799999998</v>
      </c>
      <c r="I268" s="14">
        <f t="shared" si="28"/>
        <v>57750.159999999996</v>
      </c>
      <c r="J268" s="41">
        <f t="shared" si="29"/>
        <v>40759.272985021351</v>
      </c>
      <c r="K268" s="14">
        <f t="shared" si="25"/>
        <v>40759.272985021351</v>
      </c>
      <c r="L268" s="14">
        <f t="shared" si="30"/>
        <v>0</v>
      </c>
      <c r="M268" s="14">
        <f>'D) Ecrêtage'!M267</f>
        <v>29689.674798254688</v>
      </c>
      <c r="N268" s="14">
        <f t="shared" si="26"/>
        <v>38482.837677605348</v>
      </c>
      <c r="O268" s="75">
        <f t="shared" si="27"/>
        <v>79242.110662626699</v>
      </c>
      <c r="P268" s="329"/>
      <c r="Q268" s="330"/>
      <c r="R268" s="326"/>
      <c r="S268" s="326"/>
      <c r="T268" s="331"/>
    </row>
    <row r="269" spans="1:20" s="325" customFormat="1" x14ac:dyDescent="0.25">
      <c r="A269" s="338">
        <f>'A) Base RI'!A270</f>
        <v>5853</v>
      </c>
      <c r="B269" s="338" t="str">
        <f>'A) Base RI'!B270</f>
        <v>Bursins</v>
      </c>
      <c r="C269" s="397">
        <v>0</v>
      </c>
      <c r="D269" s="327">
        <f>'B) D RI'!AR270</f>
        <v>772</v>
      </c>
      <c r="E269" s="328">
        <f>'B) D RI'!S270</f>
        <v>71</v>
      </c>
      <c r="F269" s="14">
        <f>'B) D RI'!R270</f>
        <v>2635430.14</v>
      </c>
      <c r="G269" s="14">
        <f>'B) D RI'!U270</f>
        <v>37118.734366197183</v>
      </c>
      <c r="H269" s="52">
        <f>'B) D RI'!T270</f>
        <v>2441611.8400000003</v>
      </c>
      <c r="I269" s="14">
        <f t="shared" si="28"/>
        <v>68777.798309859165</v>
      </c>
      <c r="J269" s="41">
        <f t="shared" si="29"/>
        <v>65966.789820621561</v>
      </c>
      <c r="K269" s="14">
        <f t="shared" si="25"/>
        <v>65966.789820621561</v>
      </c>
      <c r="L269" s="14">
        <f t="shared" si="30"/>
        <v>0</v>
      </c>
      <c r="M269" s="14">
        <f>'D) Ecrêtage'!M268</f>
        <v>37118.734366197183</v>
      </c>
      <c r="N269" s="14">
        <f t="shared" si="26"/>
        <v>48112.154785086706</v>
      </c>
      <c r="O269" s="75">
        <f t="shared" si="27"/>
        <v>114078.94460570827</v>
      </c>
      <c r="P269" s="329"/>
      <c r="Q269" s="330"/>
      <c r="R269" s="326"/>
      <c r="S269" s="326"/>
      <c r="T269" s="331"/>
    </row>
    <row r="270" spans="1:20" s="325" customFormat="1" x14ac:dyDescent="0.25">
      <c r="A270" s="338">
        <f>'A) Base RI'!A271</f>
        <v>5854</v>
      </c>
      <c r="B270" s="338" t="str">
        <f>'A) Base RI'!B271</f>
        <v>Burtigny</v>
      </c>
      <c r="C270" s="397">
        <v>0</v>
      </c>
      <c r="D270" s="327">
        <f>'B) D RI'!AR271</f>
        <v>352</v>
      </c>
      <c r="E270" s="328">
        <f>'B) D RI'!S271</f>
        <v>80</v>
      </c>
      <c r="F270" s="14">
        <f>'B) D RI'!R271</f>
        <v>819533.12333333353</v>
      </c>
      <c r="G270" s="14">
        <f>'B) D RI'!U271</f>
        <v>10244.164041666669</v>
      </c>
      <c r="H270" s="52">
        <f>'B) D RI'!T271</f>
        <v>757174.89000000013</v>
      </c>
      <c r="I270" s="14">
        <f t="shared" si="28"/>
        <v>18929.372250000004</v>
      </c>
      <c r="J270" s="41">
        <f t="shared" si="29"/>
        <v>30078.121783495837</v>
      </c>
      <c r="K270" s="14">
        <f t="shared" si="25"/>
        <v>18929.372250000004</v>
      </c>
      <c r="L270" s="14">
        <f t="shared" si="30"/>
        <v>11148.749533495833</v>
      </c>
      <c r="M270" s="14">
        <f>'D) Ecrêtage'!M269</f>
        <v>10244.164041666669</v>
      </c>
      <c r="N270" s="14">
        <f t="shared" si="26"/>
        <v>13278.168408277565</v>
      </c>
      <c r="O270" s="75">
        <f t="shared" si="27"/>
        <v>32207.540658277569</v>
      </c>
      <c r="P270" s="329"/>
      <c r="Q270" s="330"/>
      <c r="R270" s="326"/>
      <c r="S270" s="326"/>
      <c r="T270" s="331"/>
    </row>
    <row r="271" spans="1:20" s="325" customFormat="1" x14ac:dyDescent="0.25">
      <c r="A271" s="338">
        <f>'A) Base RI'!A272</f>
        <v>5855</v>
      </c>
      <c r="B271" s="338" t="str">
        <f>'A) Base RI'!B272</f>
        <v>Dully</v>
      </c>
      <c r="C271" s="397">
        <v>0</v>
      </c>
      <c r="D271" s="327">
        <f>'B) D RI'!AR272</f>
        <v>636</v>
      </c>
      <c r="E271" s="328">
        <f>'B) D RI'!S272</f>
        <v>49</v>
      </c>
      <c r="F271" s="14">
        <f>'B) D RI'!R272</f>
        <v>3202305.6399999997</v>
      </c>
      <c r="G271" s="14">
        <f>'B) D RI'!U272</f>
        <v>65353.176326530607</v>
      </c>
      <c r="H271" s="52">
        <f>'B) D RI'!T272</f>
        <v>2900769.2399999998</v>
      </c>
      <c r="I271" s="14">
        <f t="shared" si="28"/>
        <v>118398.74448979591</v>
      </c>
      <c r="J271" s="41">
        <f t="shared" si="29"/>
        <v>54345.697313361801</v>
      </c>
      <c r="K271" s="14">
        <f t="shared" si="25"/>
        <v>54345.697313361801</v>
      </c>
      <c r="L271" s="14">
        <f t="shared" si="30"/>
        <v>0</v>
      </c>
      <c r="M271" s="14">
        <f>'D) Ecrêtage'!M270</f>
        <v>51551.289556577765</v>
      </c>
      <c r="N271" s="14">
        <f t="shared" si="26"/>
        <v>66819.1861836639</v>
      </c>
      <c r="O271" s="75">
        <f t="shared" si="27"/>
        <v>121164.8834970257</v>
      </c>
      <c r="P271" s="329"/>
      <c r="Q271" s="330"/>
      <c r="R271" s="326"/>
      <c r="S271" s="326"/>
      <c r="T271" s="331"/>
    </row>
    <row r="272" spans="1:20" s="325" customFormat="1" x14ac:dyDescent="0.25">
      <c r="A272" s="338">
        <f>'A) Base RI'!A273</f>
        <v>5856</v>
      </c>
      <c r="B272" s="338" t="str">
        <f>'A) Base RI'!B273</f>
        <v>Essertines-sur-Rolle</v>
      </c>
      <c r="C272" s="397">
        <v>0</v>
      </c>
      <c r="D272" s="327">
        <f>'B) D RI'!AR273</f>
        <v>700</v>
      </c>
      <c r="E272" s="328">
        <f>'B) D RI'!S273</f>
        <v>68</v>
      </c>
      <c r="F272" s="14">
        <f>'B) D RI'!R273</f>
        <v>1956105.4353846158</v>
      </c>
      <c r="G272" s="14">
        <f>'B) D RI'!U273</f>
        <v>28766.256402714938</v>
      </c>
      <c r="H272" s="52">
        <f>'B) D RI'!T273</f>
        <v>1786580.8200000003</v>
      </c>
      <c r="I272" s="14">
        <f t="shared" si="28"/>
        <v>52546.49470588236</v>
      </c>
      <c r="J272" s="41">
        <f t="shared" si="29"/>
        <v>59814.446728542862</v>
      </c>
      <c r="K272" s="14">
        <f t="shared" si="25"/>
        <v>52546.49470588236</v>
      </c>
      <c r="L272" s="14">
        <f t="shared" si="30"/>
        <v>7267.9520226605018</v>
      </c>
      <c r="M272" s="14">
        <f>'D) Ecrêtage'!M271</f>
        <v>28766.256402714938</v>
      </c>
      <c r="N272" s="14">
        <f t="shared" si="26"/>
        <v>37285.931330010055</v>
      </c>
      <c r="O272" s="75">
        <f t="shared" si="27"/>
        <v>89832.426035892422</v>
      </c>
      <c r="P272" s="329"/>
      <c r="Q272" s="330"/>
      <c r="R272" s="326"/>
      <c r="S272" s="326"/>
      <c r="T272" s="331"/>
    </row>
    <row r="273" spans="1:20" s="325" customFormat="1" x14ac:dyDescent="0.25">
      <c r="A273" s="338">
        <f>'A) Base RI'!A274</f>
        <v>5857</v>
      </c>
      <c r="B273" s="338" t="str">
        <f>'A) Base RI'!B274</f>
        <v>Gilly</v>
      </c>
      <c r="C273" s="397">
        <v>0</v>
      </c>
      <c r="D273" s="327">
        <f>'B) D RI'!AR274</f>
        <v>1131</v>
      </c>
      <c r="E273" s="328">
        <f>'B) D RI'!S274</f>
        <v>66</v>
      </c>
      <c r="F273" s="14">
        <f>'B) D RI'!R274</f>
        <v>3675864.6399999997</v>
      </c>
      <c r="G273" s="14">
        <f>'B) D RI'!U274</f>
        <v>55694.918787878785</v>
      </c>
      <c r="H273" s="52">
        <f>'B) D RI'!T274</f>
        <v>3357673.8899999997</v>
      </c>
      <c r="I273" s="14">
        <f t="shared" si="28"/>
        <v>101747.69363636362</v>
      </c>
      <c r="J273" s="41">
        <f t="shared" si="29"/>
        <v>96643.056071402825</v>
      </c>
      <c r="K273" s="14">
        <f t="shared" si="25"/>
        <v>96643.056071402825</v>
      </c>
      <c r="L273" s="14">
        <f t="shared" si="30"/>
        <v>0</v>
      </c>
      <c r="M273" s="14">
        <f>'D) Ecrêtage'!M272</f>
        <v>55694.918787878785</v>
      </c>
      <c r="N273" s="14">
        <f t="shared" si="26"/>
        <v>72190.030161844203</v>
      </c>
      <c r="O273" s="75">
        <f t="shared" si="27"/>
        <v>168833.08623324701</v>
      </c>
      <c r="P273" s="329"/>
      <c r="Q273" s="330"/>
      <c r="R273" s="326"/>
      <c r="S273" s="326"/>
      <c r="T273" s="331"/>
    </row>
    <row r="274" spans="1:20" s="325" customFormat="1" x14ac:dyDescent="0.25">
      <c r="A274" s="338">
        <f>'A) Base RI'!A275</f>
        <v>5858</v>
      </c>
      <c r="B274" s="338" t="str">
        <f>'A) Base RI'!B275</f>
        <v>Luins</v>
      </c>
      <c r="C274" s="397">
        <v>0</v>
      </c>
      <c r="D274" s="327">
        <f>'B) D RI'!AR275</f>
        <v>633</v>
      </c>
      <c r="E274" s="328">
        <f>'B) D RI'!S275</f>
        <v>60</v>
      </c>
      <c r="F274" s="14">
        <f>'B) D RI'!R275</f>
        <v>2015674.2966666666</v>
      </c>
      <c r="G274" s="14">
        <f>'B) D RI'!U275</f>
        <v>33594.571611111111</v>
      </c>
      <c r="H274" s="52">
        <f>'B) D RI'!T275</f>
        <v>1875202.03</v>
      </c>
      <c r="I274" s="14">
        <f t="shared" si="28"/>
        <v>62506.734333333334</v>
      </c>
      <c r="J274" s="41">
        <f t="shared" si="29"/>
        <v>54089.349684525187</v>
      </c>
      <c r="K274" s="14">
        <f t="shared" si="25"/>
        <v>54089.349684525187</v>
      </c>
      <c r="L274" s="14">
        <f t="shared" si="30"/>
        <v>0</v>
      </c>
      <c r="M274" s="14">
        <f>'D) Ecrêtage'!M273</f>
        <v>33594.571611111111</v>
      </c>
      <c r="N274" s="14">
        <f t="shared" si="26"/>
        <v>43544.244082965706</v>
      </c>
      <c r="O274" s="75">
        <f t="shared" si="27"/>
        <v>97633.593767490893</v>
      </c>
      <c r="P274" s="329"/>
      <c r="Q274" s="330"/>
      <c r="R274" s="326"/>
      <c r="S274" s="326"/>
      <c r="T274" s="331"/>
    </row>
    <row r="275" spans="1:20" s="325" customFormat="1" x14ac:dyDescent="0.25">
      <c r="A275" s="338">
        <f>'A) Base RI'!A276</f>
        <v>5859</v>
      </c>
      <c r="B275" s="338" t="str">
        <f>'A) Base RI'!B276</f>
        <v>Mont-sur-Rolle</v>
      </c>
      <c r="C275" s="397">
        <v>0</v>
      </c>
      <c r="D275" s="327">
        <f>'B) D RI'!AR276</f>
        <v>2594</v>
      </c>
      <c r="E275" s="328">
        <f>'B) D RI'!S276</f>
        <v>63</v>
      </c>
      <c r="F275" s="14">
        <f>'B) D RI'!R276</f>
        <v>9300538.1699999981</v>
      </c>
      <c r="G275" s="14">
        <f>'B) D RI'!U276</f>
        <v>147627.58999999997</v>
      </c>
      <c r="H275" s="52">
        <f>'B) D RI'!T276</f>
        <v>8694254.9199999981</v>
      </c>
      <c r="I275" s="14">
        <f t="shared" si="28"/>
        <v>276008.09269841266</v>
      </c>
      <c r="J275" s="41">
        <f t="shared" si="29"/>
        <v>221655.2497340574</v>
      </c>
      <c r="K275" s="14">
        <f t="shared" si="25"/>
        <v>221655.2497340574</v>
      </c>
      <c r="L275" s="14">
        <f t="shared" si="30"/>
        <v>0</v>
      </c>
      <c r="M275" s="14">
        <f>'D) Ecrêtage'!M274</f>
        <v>145844.19140296514</v>
      </c>
      <c r="N275" s="14">
        <f t="shared" si="26"/>
        <v>189038.72750778141</v>
      </c>
      <c r="O275" s="75">
        <f t="shared" si="27"/>
        <v>410693.97724183882</v>
      </c>
      <c r="P275" s="329"/>
      <c r="Q275" s="330"/>
      <c r="R275" s="326"/>
      <c r="S275" s="326"/>
      <c r="T275" s="331"/>
    </row>
    <row r="276" spans="1:20" s="325" customFormat="1" x14ac:dyDescent="0.25">
      <c r="A276" s="338">
        <f>'A) Base RI'!A277</f>
        <v>5860</v>
      </c>
      <c r="B276" s="338" t="str">
        <f>'A) Base RI'!B277</f>
        <v>Perroy</v>
      </c>
      <c r="C276" s="397">
        <v>0</v>
      </c>
      <c r="D276" s="327">
        <f>'B) D RI'!AR277</f>
        <v>1464</v>
      </c>
      <c r="E276" s="328">
        <f>'B) D RI'!S277</f>
        <v>60</v>
      </c>
      <c r="F276" s="14">
        <f>'B) D RI'!R277</f>
        <v>5294503.902307692</v>
      </c>
      <c r="G276" s="14">
        <f>'B) D RI'!U277</f>
        <v>88241.731705128201</v>
      </c>
      <c r="H276" s="52">
        <f>'B) D RI'!T277</f>
        <v>4879704.71</v>
      </c>
      <c r="I276" s="14">
        <f t="shared" si="28"/>
        <v>162656.82366666666</v>
      </c>
      <c r="J276" s="41">
        <f t="shared" si="29"/>
        <v>125097.64287226678</v>
      </c>
      <c r="K276" s="14">
        <f t="shared" si="25"/>
        <v>125097.64287226678</v>
      </c>
      <c r="L276" s="14">
        <f t="shared" si="30"/>
        <v>0</v>
      </c>
      <c r="M276" s="14">
        <f>'D) Ecrêtage'!M275</f>
        <v>85462.661062115134</v>
      </c>
      <c r="N276" s="14">
        <f t="shared" si="26"/>
        <v>110774.05648589034</v>
      </c>
      <c r="O276" s="75">
        <f t="shared" si="27"/>
        <v>235871.69935815712</v>
      </c>
      <c r="P276" s="329"/>
      <c r="Q276" s="330"/>
      <c r="R276" s="326"/>
      <c r="S276" s="326"/>
      <c r="T276" s="331"/>
    </row>
    <row r="277" spans="1:20" s="325" customFormat="1" x14ac:dyDescent="0.25">
      <c r="A277" s="338">
        <f>'A) Base RI'!A278</f>
        <v>5861</v>
      </c>
      <c r="B277" s="338" t="str">
        <f>'A) Base RI'!B278</f>
        <v>Rolle</v>
      </c>
      <c r="C277" s="397">
        <v>0</v>
      </c>
      <c r="D277" s="327">
        <f>'B) D RI'!AR278</f>
        <v>6047</v>
      </c>
      <c r="E277" s="328">
        <f>'B) D RI'!S278</f>
        <v>59.5</v>
      </c>
      <c r="F277" s="14">
        <f>'B) D RI'!R278</f>
        <v>38147097.049999997</v>
      </c>
      <c r="G277" s="14">
        <f>'B) D RI'!U278</f>
        <v>641127.68151260505</v>
      </c>
      <c r="H277" s="52">
        <f>'B) D RI'!T278</f>
        <v>36266832.149999999</v>
      </c>
      <c r="I277" s="14">
        <f t="shared" si="28"/>
        <v>1219053.1815126049</v>
      </c>
      <c r="J277" s="41">
        <f t="shared" si="29"/>
        <v>516711.37052499811</v>
      </c>
      <c r="K277" s="14">
        <f t="shared" si="25"/>
        <v>516711.37052499811</v>
      </c>
      <c r="L277" s="14">
        <f t="shared" si="30"/>
        <v>0</v>
      </c>
      <c r="M277" s="14">
        <f>'D) Ecrêtage'!M276</f>
        <v>498836.36659534537</v>
      </c>
      <c r="N277" s="14">
        <f t="shared" si="26"/>
        <v>646576.26106782374</v>
      </c>
      <c r="O277" s="75">
        <f t="shared" si="27"/>
        <v>1163287.6315928218</v>
      </c>
      <c r="P277" s="329"/>
      <c r="Q277" s="330"/>
      <c r="R277" s="326"/>
      <c r="S277" s="326"/>
      <c r="T277" s="331"/>
    </row>
    <row r="278" spans="1:20" s="325" customFormat="1" x14ac:dyDescent="0.25">
      <c r="A278" s="338">
        <f>'A) Base RI'!A279</f>
        <v>5862</v>
      </c>
      <c r="B278" s="338" t="str">
        <f>'A) Base RI'!B279</f>
        <v>Tartegnin</v>
      </c>
      <c r="C278" s="397">
        <v>0</v>
      </c>
      <c r="D278" s="327">
        <f>'B) D RI'!AR279</f>
        <v>230</v>
      </c>
      <c r="E278" s="328">
        <f>'B) D RI'!S279</f>
        <v>84</v>
      </c>
      <c r="F278" s="14">
        <f>'B) D RI'!R279</f>
        <v>839232.77333333332</v>
      </c>
      <c r="G278" s="14">
        <f>'B) D RI'!U279</f>
        <v>9990.8663492063497</v>
      </c>
      <c r="H278" s="52">
        <f>'B) D RI'!T279</f>
        <v>794393.94</v>
      </c>
      <c r="I278" s="14">
        <f t="shared" si="28"/>
        <v>18914.141428571427</v>
      </c>
      <c r="J278" s="41">
        <f t="shared" si="29"/>
        <v>19653.318210806941</v>
      </c>
      <c r="K278" s="14">
        <f t="shared" si="25"/>
        <v>18914.141428571427</v>
      </c>
      <c r="L278" s="14">
        <f t="shared" si="30"/>
        <v>739.17678223551411</v>
      </c>
      <c r="M278" s="14">
        <f>'D) Ecrêtage'!M277</f>
        <v>9990.8663492063497</v>
      </c>
      <c r="N278" s="14">
        <f t="shared" si="26"/>
        <v>12949.851778024831</v>
      </c>
      <c r="O278" s="75">
        <f t="shared" si="27"/>
        <v>31863.993206596257</v>
      </c>
      <c r="P278" s="329"/>
      <c r="Q278" s="330"/>
      <c r="R278" s="326"/>
      <c r="S278" s="326"/>
      <c r="T278" s="331"/>
    </row>
    <row r="279" spans="1:20" s="325" customFormat="1" x14ac:dyDescent="0.25">
      <c r="A279" s="338">
        <f>'A) Base RI'!A280</f>
        <v>5863</v>
      </c>
      <c r="B279" s="338" t="str">
        <f>'A) Base RI'!B280</f>
        <v>Vinzel</v>
      </c>
      <c r="C279" s="397">
        <v>0</v>
      </c>
      <c r="D279" s="327">
        <f>'B) D RI'!AR280</f>
        <v>349</v>
      </c>
      <c r="E279" s="328">
        <f>'B) D RI'!S280</f>
        <v>70</v>
      </c>
      <c r="F279" s="14">
        <f>'B) D RI'!R280</f>
        <v>1796255.5699999996</v>
      </c>
      <c r="G279" s="14">
        <f>'B) D RI'!U280</f>
        <v>25660.793857142853</v>
      </c>
      <c r="H279" s="52">
        <f>'B) D RI'!T280</f>
        <v>1721772.1699999997</v>
      </c>
      <c r="I279" s="14">
        <f t="shared" si="28"/>
        <v>49193.490571428563</v>
      </c>
      <c r="J279" s="41">
        <f t="shared" si="29"/>
        <v>29821.774154659226</v>
      </c>
      <c r="K279" s="14">
        <f t="shared" si="25"/>
        <v>29821.774154659226</v>
      </c>
      <c r="L279" s="14">
        <f t="shared" si="30"/>
        <v>0</v>
      </c>
      <c r="M279" s="14">
        <f>'D) Ecrêtage'!M278</f>
        <v>23166.645443928526</v>
      </c>
      <c r="N279" s="14">
        <f t="shared" si="26"/>
        <v>30027.888894416083</v>
      </c>
      <c r="O279" s="75">
        <f t="shared" si="27"/>
        <v>59849.663049075309</v>
      </c>
      <c r="P279" s="329"/>
      <c r="Q279" s="330"/>
      <c r="R279" s="326"/>
      <c r="S279" s="326"/>
      <c r="T279" s="331"/>
    </row>
    <row r="280" spans="1:20" s="325" customFormat="1" x14ac:dyDescent="0.25">
      <c r="A280" s="338">
        <f>'A) Base RI'!A281</f>
        <v>5871</v>
      </c>
      <c r="B280" s="338" t="str">
        <f>'A) Base RI'!B281</f>
        <v>L'Abbaye</v>
      </c>
      <c r="C280" s="397">
        <v>0</v>
      </c>
      <c r="D280" s="327">
        <f>'B) D RI'!AR281</f>
        <v>1423</v>
      </c>
      <c r="E280" s="328">
        <f>'B) D RI'!S281</f>
        <v>77.11</v>
      </c>
      <c r="F280" s="14">
        <f>'B) D RI'!R281</f>
        <v>3799257.0999999996</v>
      </c>
      <c r="G280" s="14">
        <f>'B) D RI'!U281</f>
        <v>49270.614706263776</v>
      </c>
      <c r="H280" s="52">
        <f>'B) D RI'!T281</f>
        <v>3568948.8999999994</v>
      </c>
      <c r="I280" s="14">
        <f t="shared" si="28"/>
        <v>92567.731811697566</v>
      </c>
      <c r="J280" s="41">
        <f t="shared" si="29"/>
        <v>121594.22527816641</v>
      </c>
      <c r="K280" s="14">
        <f t="shared" si="25"/>
        <v>92567.731811697566</v>
      </c>
      <c r="L280" s="14">
        <f t="shared" si="30"/>
        <v>29026.493466468848</v>
      </c>
      <c r="M280" s="14">
        <f>'D) Ecrêtage'!M279</f>
        <v>49270.614706263776</v>
      </c>
      <c r="N280" s="14">
        <f t="shared" si="26"/>
        <v>63863.046021926944</v>
      </c>
      <c r="O280" s="75">
        <f t="shared" si="27"/>
        <v>156430.77783362451</v>
      </c>
      <c r="P280" s="329"/>
      <c r="Q280" s="330"/>
      <c r="R280" s="326"/>
      <c r="S280" s="326"/>
      <c r="T280" s="331"/>
    </row>
    <row r="281" spans="1:20" s="325" customFormat="1" x14ac:dyDescent="0.25">
      <c r="A281" s="338">
        <f>'A) Base RI'!A282</f>
        <v>5872</v>
      </c>
      <c r="B281" s="338" t="str">
        <f>'A) Base RI'!B282</f>
        <v>Le Chenit</v>
      </c>
      <c r="C281" s="397">
        <v>0</v>
      </c>
      <c r="D281" s="327">
        <f>'B) D RI'!AR282</f>
        <v>4614</v>
      </c>
      <c r="E281" s="328">
        <f>'B) D RI'!S282</f>
        <v>69.739999999999995</v>
      </c>
      <c r="F281" s="14">
        <f>'B) D RI'!R282</f>
        <v>21798316.63285714</v>
      </c>
      <c r="G281" s="14">
        <f>'B) D RI'!U282</f>
        <v>312565.48082674423</v>
      </c>
      <c r="H281" s="52">
        <f>'B) D RI'!T282</f>
        <v>21115887.989999998</v>
      </c>
      <c r="I281" s="14">
        <f t="shared" si="28"/>
        <v>605560.30943504442</v>
      </c>
      <c r="J281" s="41">
        <f t="shared" si="29"/>
        <v>394262.65315070964</v>
      </c>
      <c r="K281" s="14">
        <f t="shared" si="25"/>
        <v>394262.65315070964</v>
      </c>
      <c r="L281" s="14">
        <f t="shared" si="30"/>
        <v>0</v>
      </c>
      <c r="M281" s="14">
        <f>'D) Ecrêtage'!M280</f>
        <v>291401.48019129108</v>
      </c>
      <c r="N281" s="14">
        <f t="shared" si="26"/>
        <v>377705.58072514151</v>
      </c>
      <c r="O281" s="75">
        <f t="shared" si="27"/>
        <v>771968.23387585115</v>
      </c>
      <c r="P281" s="329"/>
      <c r="Q281" s="330"/>
      <c r="R281" s="326"/>
      <c r="S281" s="326"/>
      <c r="T281" s="331"/>
    </row>
    <row r="282" spans="1:20" s="325" customFormat="1" x14ac:dyDescent="0.25">
      <c r="A282" s="338">
        <f>'A) Base RI'!A283</f>
        <v>5873</v>
      </c>
      <c r="B282" s="338" t="str">
        <f>'A) Base RI'!B283</f>
        <v>Le Lieu</v>
      </c>
      <c r="C282" s="397">
        <v>0</v>
      </c>
      <c r="D282" s="327">
        <f>'B) D RI'!AR283</f>
        <v>859</v>
      </c>
      <c r="E282" s="328">
        <f>'B) D RI'!S283</f>
        <v>65</v>
      </c>
      <c r="F282" s="14">
        <f>'B) D RI'!R283</f>
        <v>2333926.2999999998</v>
      </c>
      <c r="G282" s="14">
        <f>'B) D RI'!U283</f>
        <v>35906.558461538458</v>
      </c>
      <c r="H282" s="52">
        <f>'B) D RI'!T283</f>
        <v>2115558.2999999998</v>
      </c>
      <c r="I282" s="14">
        <f t="shared" si="28"/>
        <v>65094.101538461531</v>
      </c>
      <c r="J282" s="41">
        <f t="shared" si="29"/>
        <v>73400.871056883305</v>
      </c>
      <c r="K282" s="14">
        <f t="shared" si="25"/>
        <v>65094.101538461531</v>
      </c>
      <c r="L282" s="14">
        <f t="shared" si="30"/>
        <v>8306.7695184217737</v>
      </c>
      <c r="M282" s="14">
        <f>'D) Ecrêtage'!M281</f>
        <v>35906.558461538458</v>
      </c>
      <c r="N282" s="14">
        <f t="shared" si="26"/>
        <v>46540.969890248169</v>
      </c>
      <c r="O282" s="75">
        <f t="shared" si="27"/>
        <v>111635.07142870969</v>
      </c>
      <c r="P282" s="329"/>
      <c r="Q282" s="330"/>
      <c r="R282" s="326"/>
      <c r="S282" s="326"/>
      <c r="T282" s="331"/>
    </row>
    <row r="283" spans="1:20" s="325" customFormat="1" x14ac:dyDescent="0.25">
      <c r="A283" s="338">
        <f>'A) Base RI'!A284</f>
        <v>5881</v>
      </c>
      <c r="B283" s="338" t="str">
        <f>'A) Base RI'!B284</f>
        <v>Blonay</v>
      </c>
      <c r="C283" s="397">
        <v>1</v>
      </c>
      <c r="D283" s="327">
        <f>'B) D RI'!AR284</f>
        <v>6132</v>
      </c>
      <c r="E283" s="328">
        <f>'B) D RI'!S284</f>
        <v>70</v>
      </c>
      <c r="F283" s="14">
        <f>'B) D RI'!R284</f>
        <v>24521186.38000001</v>
      </c>
      <c r="G283" s="14">
        <f>'B) D RI'!U284</f>
        <v>350302.66257142869</v>
      </c>
      <c r="H283" s="52">
        <f>'B) D RI'!T284</f>
        <v>22943684.530000009</v>
      </c>
      <c r="I283" s="14">
        <f t="shared" si="28"/>
        <v>655533.84371428599</v>
      </c>
      <c r="J283" s="41">
        <f t="shared" si="29"/>
        <v>523974.55334203545</v>
      </c>
      <c r="K283" s="14">
        <f t="shared" si="25"/>
        <v>0</v>
      </c>
      <c r="L283" s="14">
        <f t="shared" si="30"/>
        <v>523974.55334203545</v>
      </c>
      <c r="M283" s="14">
        <f>'D) Ecrêtage'!M282</f>
        <v>345610.45704485953</v>
      </c>
      <c r="N283" s="14">
        <f t="shared" si="26"/>
        <v>447969.5789366535</v>
      </c>
      <c r="O283" s="75">
        <f t="shared" si="27"/>
        <v>447969.5789366535</v>
      </c>
      <c r="P283" s="329"/>
      <c r="Q283" s="330"/>
      <c r="R283" s="326"/>
      <c r="S283" s="326"/>
      <c r="T283" s="331"/>
    </row>
    <row r="284" spans="1:20" s="325" customFormat="1" x14ac:dyDescent="0.25">
      <c r="A284" s="338">
        <f>'A) Base RI'!A285</f>
        <v>5882</v>
      </c>
      <c r="B284" s="338" t="str">
        <f>'A) Base RI'!B285</f>
        <v>Chardonne</v>
      </c>
      <c r="C284" s="397">
        <v>1</v>
      </c>
      <c r="D284" s="327">
        <f>'B) D RI'!AR285</f>
        <v>2889</v>
      </c>
      <c r="E284" s="328">
        <f>'B) D RI'!S285</f>
        <v>66</v>
      </c>
      <c r="F284" s="14">
        <f>'B) D RI'!R285</f>
        <v>10749700.369999999</v>
      </c>
      <c r="G284" s="14">
        <f>'B) D RI'!U285</f>
        <v>162874.24803030302</v>
      </c>
      <c r="H284" s="52">
        <f>'B) D RI'!T285</f>
        <v>9926668.6199999992</v>
      </c>
      <c r="I284" s="14">
        <f t="shared" si="28"/>
        <v>300808.13999999996</v>
      </c>
      <c r="J284" s="41">
        <f t="shared" si="29"/>
        <v>246862.7665696576</v>
      </c>
      <c r="K284" s="14">
        <f t="shared" si="25"/>
        <v>0</v>
      </c>
      <c r="L284" s="14">
        <f t="shared" si="30"/>
        <v>246862.7665696576</v>
      </c>
      <c r="M284" s="14">
        <f>'D) Ecrêtage'!M283</f>
        <v>161443.20422773872</v>
      </c>
      <c r="N284" s="14">
        <f t="shared" si="26"/>
        <v>209257.6851941059</v>
      </c>
      <c r="O284" s="75">
        <f t="shared" si="27"/>
        <v>209257.6851941059</v>
      </c>
      <c r="P284" s="329"/>
      <c r="Q284" s="330"/>
      <c r="R284" s="326"/>
      <c r="S284" s="326"/>
      <c r="T284" s="331"/>
    </row>
    <row r="285" spans="1:20" s="325" customFormat="1" x14ac:dyDescent="0.25">
      <c r="A285" s="338">
        <f>'A) Base RI'!A286</f>
        <v>5883</v>
      </c>
      <c r="B285" s="338" t="str">
        <f>'A) Base RI'!B286</f>
        <v>Corseaux</v>
      </c>
      <c r="C285" s="397">
        <v>1</v>
      </c>
      <c r="D285" s="327">
        <f>'B) D RI'!AR286</f>
        <v>2172</v>
      </c>
      <c r="E285" s="328">
        <f>'B) D RI'!S286</f>
        <v>64</v>
      </c>
      <c r="F285" s="14">
        <f>'B) D RI'!R286</f>
        <v>9242755.4600000009</v>
      </c>
      <c r="G285" s="14">
        <f>'B) D RI'!U286</f>
        <v>144418.05406250001</v>
      </c>
      <c r="H285" s="52">
        <f>'B) D RI'!T286</f>
        <v>8640799.4100000001</v>
      </c>
      <c r="I285" s="14">
        <f t="shared" si="28"/>
        <v>270024.9815625</v>
      </c>
      <c r="J285" s="41">
        <f t="shared" si="29"/>
        <v>185595.68327770729</v>
      </c>
      <c r="K285" s="14">
        <f t="shared" si="25"/>
        <v>0</v>
      </c>
      <c r="L285" s="14">
        <f t="shared" si="30"/>
        <v>185595.68327770729</v>
      </c>
      <c r="M285" s="14">
        <f>'D) Ecrêtage'!M284</f>
        <v>135434.27141574418</v>
      </c>
      <c r="N285" s="14">
        <f t="shared" si="26"/>
        <v>175545.71137246714</v>
      </c>
      <c r="O285" s="75">
        <f t="shared" si="27"/>
        <v>175545.71137246714</v>
      </c>
      <c r="P285" s="329"/>
      <c r="Q285" s="330"/>
      <c r="R285" s="326"/>
      <c r="S285" s="326"/>
      <c r="T285" s="331"/>
    </row>
    <row r="286" spans="1:20" s="325" customFormat="1" x14ac:dyDescent="0.25">
      <c r="A286" s="338">
        <f>'A) Base RI'!A287</f>
        <v>5884</v>
      </c>
      <c r="B286" s="338" t="str">
        <f>'A) Base RI'!B287</f>
        <v>Corsier-sur-Vevey</v>
      </c>
      <c r="C286" s="397">
        <v>1</v>
      </c>
      <c r="D286" s="327">
        <f>'B) D RI'!AR287</f>
        <v>3427</v>
      </c>
      <c r="E286" s="328">
        <f>'B) D RI'!S287</f>
        <v>66</v>
      </c>
      <c r="F286" s="14">
        <f>'B) D RI'!R287</f>
        <v>8737075.5633333325</v>
      </c>
      <c r="G286" s="14">
        <f>'B) D RI'!U287</f>
        <v>132379.93277777778</v>
      </c>
      <c r="H286" s="52">
        <f>'B) D RI'!T287</f>
        <v>7837918.9799999995</v>
      </c>
      <c r="I286" s="14">
        <f t="shared" si="28"/>
        <v>237512.69636363635</v>
      </c>
      <c r="J286" s="41">
        <f t="shared" si="29"/>
        <v>292834.44134102343</v>
      </c>
      <c r="K286" s="14">
        <f t="shared" si="25"/>
        <v>0</v>
      </c>
      <c r="L286" s="14">
        <f t="shared" si="30"/>
        <v>292834.44134102343</v>
      </c>
      <c r="M286" s="14">
        <f>'D) Ecrêtage'!M285</f>
        <v>132379.93277777778</v>
      </c>
      <c r="N286" s="14">
        <f t="shared" si="26"/>
        <v>171586.77215147545</v>
      </c>
      <c r="O286" s="75">
        <f t="shared" si="27"/>
        <v>171586.77215147545</v>
      </c>
      <c r="P286" s="329"/>
      <c r="Q286" s="330"/>
      <c r="R286" s="326"/>
      <c r="S286" s="326"/>
      <c r="T286" s="331"/>
    </row>
    <row r="287" spans="1:20" s="325" customFormat="1" x14ac:dyDescent="0.25">
      <c r="A287" s="338">
        <f>'A) Base RI'!A288</f>
        <v>5885</v>
      </c>
      <c r="B287" s="338" t="str">
        <f>'A) Base RI'!B288</f>
        <v>Jongny</v>
      </c>
      <c r="C287" s="397">
        <v>1</v>
      </c>
      <c r="D287" s="327">
        <f>'B) D RI'!AR288</f>
        <v>1493</v>
      </c>
      <c r="E287" s="328">
        <f>'B) D RI'!S288</f>
        <v>69</v>
      </c>
      <c r="F287" s="14">
        <f>'B) D RI'!R288</f>
        <v>13625849.508333335</v>
      </c>
      <c r="G287" s="14">
        <f>'B) D RI'!U288</f>
        <v>197476.07983091791</v>
      </c>
      <c r="H287" s="52">
        <f>'B) D RI'!T288</f>
        <v>13302438.800000001</v>
      </c>
      <c r="I287" s="14">
        <f t="shared" si="28"/>
        <v>385577.93623188406</v>
      </c>
      <c r="J287" s="41">
        <f t="shared" si="29"/>
        <v>127575.6699510207</v>
      </c>
      <c r="K287" s="14">
        <f t="shared" si="25"/>
        <v>0</v>
      </c>
      <c r="L287" s="14">
        <f t="shared" si="30"/>
        <v>127575.6699510207</v>
      </c>
      <c r="M287" s="14">
        <f>'D) Ecrêtage'!M286</f>
        <v>140402.47310602231</v>
      </c>
      <c r="N287" s="14">
        <f t="shared" si="26"/>
        <v>181985.34065422058</v>
      </c>
      <c r="O287" s="75">
        <f t="shared" si="27"/>
        <v>181985.34065422058</v>
      </c>
      <c r="P287" s="329"/>
      <c r="Q287" s="330"/>
      <c r="R287" s="326"/>
      <c r="S287" s="326"/>
      <c r="T287" s="331"/>
    </row>
    <row r="288" spans="1:20" s="325" customFormat="1" x14ac:dyDescent="0.25">
      <c r="A288" s="338">
        <f>'A) Base RI'!A289</f>
        <v>5886</v>
      </c>
      <c r="B288" s="338" t="str">
        <f>'A) Base RI'!B289</f>
        <v>Montreux</v>
      </c>
      <c r="C288" s="397">
        <v>1</v>
      </c>
      <c r="D288" s="327">
        <f>'B) D RI'!AR289</f>
        <v>26283</v>
      </c>
      <c r="E288" s="328">
        <f>'B) D RI'!S289</f>
        <v>65</v>
      </c>
      <c r="F288" s="14">
        <f>'B) D RI'!R289</f>
        <v>72354447.100000024</v>
      </c>
      <c r="G288" s="14">
        <f>'B) D RI'!U289</f>
        <v>1113145.3400000003</v>
      </c>
      <c r="H288" s="52">
        <f>'B) D RI'!T289</f>
        <v>65608762.610000014</v>
      </c>
      <c r="I288" s="14">
        <f t="shared" si="28"/>
        <v>2018731.1572307697</v>
      </c>
      <c r="J288" s="41">
        <f t="shared" si="29"/>
        <v>2245861.5762375598</v>
      </c>
      <c r="K288" s="14">
        <f t="shared" si="25"/>
        <v>0</v>
      </c>
      <c r="L288" s="14">
        <f t="shared" si="30"/>
        <v>2245861.5762375598</v>
      </c>
      <c r="M288" s="14">
        <f>'D) Ecrêtage'!M287</f>
        <v>1113145.3400000003</v>
      </c>
      <c r="N288" s="14">
        <f t="shared" si="26"/>
        <v>1442824.5415918468</v>
      </c>
      <c r="O288" s="75">
        <f t="shared" si="27"/>
        <v>1442824.5415918468</v>
      </c>
      <c r="P288" s="329"/>
      <c r="Q288" s="330"/>
      <c r="R288" s="326"/>
      <c r="S288" s="326"/>
      <c r="T288" s="331"/>
    </row>
    <row r="289" spans="1:20" s="325" customFormat="1" x14ac:dyDescent="0.25">
      <c r="A289" s="338">
        <f>'A) Base RI'!A290</f>
        <v>5888</v>
      </c>
      <c r="B289" s="338" t="str">
        <f>'A) Base RI'!B290</f>
        <v>Saint-Légier-La Chiésaz</v>
      </c>
      <c r="C289" s="397">
        <v>1</v>
      </c>
      <c r="D289" s="327">
        <f>'B) D RI'!AR290</f>
        <v>5071</v>
      </c>
      <c r="E289" s="328">
        <f>'B) D RI'!S290</f>
        <v>66</v>
      </c>
      <c r="F289" s="14">
        <f>'B) D RI'!R290</f>
        <v>20681023.989999998</v>
      </c>
      <c r="G289" s="14">
        <f>'B) D RI'!U290</f>
        <v>313348.84833333333</v>
      </c>
      <c r="H289" s="52">
        <f>'B) D RI'!T290</f>
        <v>19312373.989999998</v>
      </c>
      <c r="I289" s="14">
        <f t="shared" si="28"/>
        <v>585223.45424242422</v>
      </c>
      <c r="J289" s="41">
        <f t="shared" si="29"/>
        <v>433312.94194348692</v>
      </c>
      <c r="K289" s="14">
        <f t="shared" si="25"/>
        <v>0</v>
      </c>
      <c r="L289" s="14">
        <f t="shared" si="30"/>
        <v>433312.94194348692</v>
      </c>
      <c r="M289" s="14">
        <f>'D) Ecrêtage'!M288</f>
        <v>300951.67037929955</v>
      </c>
      <c r="N289" s="14">
        <f t="shared" si="26"/>
        <v>390084.24170047132</v>
      </c>
      <c r="O289" s="75">
        <f t="shared" si="27"/>
        <v>390084.24170047132</v>
      </c>
      <c r="P289" s="329"/>
      <c r="Q289" s="330"/>
      <c r="R289" s="326"/>
      <c r="S289" s="326"/>
      <c r="T289" s="331"/>
    </row>
    <row r="290" spans="1:20" s="325" customFormat="1" x14ac:dyDescent="0.25">
      <c r="A290" s="338">
        <f>'A) Base RI'!A291</f>
        <v>5889</v>
      </c>
      <c r="B290" s="338" t="str">
        <f>'A) Base RI'!B291</f>
        <v>La Tour-de-Peilz</v>
      </c>
      <c r="C290" s="397">
        <v>1</v>
      </c>
      <c r="D290" s="327">
        <f>'B) D RI'!AR291</f>
        <v>11421</v>
      </c>
      <c r="E290" s="328">
        <f>'B) D RI'!S291</f>
        <v>64</v>
      </c>
      <c r="F290" s="14">
        <f>'B) D RI'!R291</f>
        <v>37769053.348333336</v>
      </c>
      <c r="G290" s="14">
        <f>'B) D RI'!U291</f>
        <v>590141.45856770838</v>
      </c>
      <c r="H290" s="52">
        <f>'B) D RI'!T291</f>
        <v>35642544.640000001</v>
      </c>
      <c r="I290" s="14">
        <f t="shared" si="28"/>
        <v>1113829.52</v>
      </c>
      <c r="J290" s="41">
        <f t="shared" si="29"/>
        <v>975915.42298098293</v>
      </c>
      <c r="K290" s="14">
        <f t="shared" si="25"/>
        <v>0</v>
      </c>
      <c r="L290" s="14">
        <f t="shared" si="30"/>
        <v>975915.42298098293</v>
      </c>
      <c r="M290" s="14">
        <f>'D) Ecrêtage'!M289</f>
        <v>590141.45856770838</v>
      </c>
      <c r="N290" s="14">
        <f t="shared" si="26"/>
        <v>764923.09569592902</v>
      </c>
      <c r="O290" s="75">
        <f t="shared" si="27"/>
        <v>764923.09569592902</v>
      </c>
      <c r="P290" s="329"/>
      <c r="Q290" s="330"/>
      <c r="R290" s="326"/>
      <c r="S290" s="326"/>
      <c r="T290" s="331"/>
    </row>
    <row r="291" spans="1:20" s="325" customFormat="1" x14ac:dyDescent="0.25">
      <c r="A291" s="338">
        <f>'A) Base RI'!A292</f>
        <v>5890</v>
      </c>
      <c r="B291" s="338" t="str">
        <f>'A) Base RI'!B292</f>
        <v>Vevey</v>
      </c>
      <c r="C291" s="397">
        <v>1</v>
      </c>
      <c r="D291" s="327">
        <f>'B) D RI'!AR292</f>
        <v>19217</v>
      </c>
      <c r="E291" s="328">
        <f>'B) D RI'!S292</f>
        <v>73</v>
      </c>
      <c r="F291" s="14">
        <f>'B) D RI'!R292</f>
        <v>67317365.61500001</v>
      </c>
      <c r="G291" s="14">
        <f>'B) D RI'!U292</f>
        <v>922155.6933561645</v>
      </c>
      <c r="H291" s="52">
        <f>'B) D RI'!T292</f>
        <v>63656651.99000001</v>
      </c>
      <c r="I291" s="14">
        <f t="shared" si="28"/>
        <v>1744017.8627397262</v>
      </c>
      <c r="J291" s="41">
        <f t="shared" si="29"/>
        <v>1642077.4611177258</v>
      </c>
      <c r="K291" s="14">
        <f t="shared" si="25"/>
        <v>0</v>
      </c>
      <c r="L291" s="14">
        <f t="shared" si="30"/>
        <v>1642077.4611177258</v>
      </c>
      <c r="M291" s="14">
        <f>'D) Ecrêtage'!M290</f>
        <v>922155.6933561645</v>
      </c>
      <c r="N291" s="14">
        <f t="shared" si="26"/>
        <v>1195269.6721013263</v>
      </c>
      <c r="O291" s="75">
        <f t="shared" si="27"/>
        <v>1195269.6721013263</v>
      </c>
      <c r="P291" s="329"/>
      <c r="Q291" s="330"/>
      <c r="R291" s="326"/>
      <c r="S291" s="326"/>
      <c r="T291" s="331"/>
    </row>
    <row r="292" spans="1:20" s="325" customFormat="1" x14ac:dyDescent="0.25">
      <c r="A292" s="338">
        <f>'A) Base RI'!A293</f>
        <v>5891</v>
      </c>
      <c r="B292" s="338" t="str">
        <f>'A) Base RI'!B293</f>
        <v>Veytaux</v>
      </c>
      <c r="C292" s="397">
        <v>1</v>
      </c>
      <c r="D292" s="327">
        <f>'B) D RI'!AR293</f>
        <v>854</v>
      </c>
      <c r="E292" s="328">
        <f>'B) D RI'!S293</f>
        <v>69</v>
      </c>
      <c r="F292" s="14">
        <f>'B) D RI'!R293</f>
        <v>2570901.6966666668</v>
      </c>
      <c r="G292" s="14">
        <f>'B) D RI'!U293</f>
        <v>37259.444879227056</v>
      </c>
      <c r="H292" s="52">
        <f>'B) D RI'!T293</f>
        <v>2333902.0300000003</v>
      </c>
      <c r="I292" s="14">
        <f t="shared" si="28"/>
        <v>67649.334202898564</v>
      </c>
      <c r="J292" s="41">
        <f t="shared" si="29"/>
        <v>72973.625008822288</v>
      </c>
      <c r="K292" s="14">
        <f t="shared" si="25"/>
        <v>0</v>
      </c>
      <c r="L292" s="14">
        <f t="shared" si="30"/>
        <v>72973.625008822288</v>
      </c>
      <c r="M292" s="14">
        <f>'D) Ecrêtage'!M291</f>
        <v>37259.444879227056</v>
      </c>
      <c r="N292" s="14">
        <f t="shared" si="26"/>
        <v>48294.539397557419</v>
      </c>
      <c r="O292" s="75">
        <f t="shared" si="27"/>
        <v>48294.539397557419</v>
      </c>
      <c r="P292" s="329"/>
      <c r="Q292" s="330"/>
      <c r="R292" s="326"/>
      <c r="S292" s="326"/>
      <c r="T292" s="331"/>
    </row>
    <row r="293" spans="1:20" s="325" customFormat="1" x14ac:dyDescent="0.25">
      <c r="A293" s="338">
        <f>'A) Base RI'!A294</f>
        <v>5902</v>
      </c>
      <c r="B293" s="338" t="str">
        <f>'A) Base RI'!B294</f>
        <v>Belmont-sur-Yverdon</v>
      </c>
      <c r="C293" s="397">
        <v>0</v>
      </c>
      <c r="D293" s="327">
        <f>'B) D RI'!AR294</f>
        <v>369</v>
      </c>
      <c r="E293" s="328">
        <f>'B) D RI'!S294</f>
        <v>76</v>
      </c>
      <c r="F293" s="14">
        <f>'B) D RI'!R294</f>
        <v>656809.08000000007</v>
      </c>
      <c r="G293" s="14">
        <f>'B) D RI'!U294</f>
        <v>8642.2247368421067</v>
      </c>
      <c r="H293" s="52">
        <f>'B) D RI'!T294</f>
        <v>608142.28</v>
      </c>
      <c r="I293" s="14">
        <f t="shared" si="28"/>
        <v>16003.744210526316</v>
      </c>
      <c r="J293" s="41">
        <f t="shared" si="29"/>
        <v>31530.758346903309</v>
      </c>
      <c r="K293" s="14">
        <f t="shared" si="25"/>
        <v>16003.744210526316</v>
      </c>
      <c r="L293" s="14">
        <f t="shared" si="30"/>
        <v>15527.014136376993</v>
      </c>
      <c r="M293" s="14">
        <f>'D) Ecrêtage'!M292</f>
        <v>8642.2247368421067</v>
      </c>
      <c r="N293" s="14">
        <f t="shared" si="26"/>
        <v>11201.784256014518</v>
      </c>
      <c r="O293" s="75">
        <f t="shared" si="27"/>
        <v>27205.528466540833</v>
      </c>
      <c r="P293" s="329"/>
      <c r="Q293" s="330"/>
      <c r="R293" s="326"/>
      <c r="S293" s="326"/>
      <c r="T293" s="331"/>
    </row>
    <row r="294" spans="1:20" s="325" customFormat="1" x14ac:dyDescent="0.25">
      <c r="A294" s="338">
        <f>'A) Base RI'!A295</f>
        <v>5903</v>
      </c>
      <c r="B294" s="338" t="str">
        <f>'A) Base RI'!B295</f>
        <v>Bioley-Magnoux</v>
      </c>
      <c r="C294" s="397">
        <v>0</v>
      </c>
      <c r="D294" s="327">
        <f>'B) D RI'!AR295</f>
        <v>201</v>
      </c>
      <c r="E294" s="328">
        <f>'B) D RI'!S295</f>
        <v>74</v>
      </c>
      <c r="F294" s="14">
        <f>'B) D RI'!R295</f>
        <v>447443.01</v>
      </c>
      <c r="G294" s="14">
        <f>'B) D RI'!U295</f>
        <v>6046.5271621621623</v>
      </c>
      <c r="H294" s="52">
        <f>'B) D RI'!T295</f>
        <v>417599.51</v>
      </c>
      <c r="I294" s="14">
        <f t="shared" si="28"/>
        <v>11286.473243243243</v>
      </c>
      <c r="J294" s="41">
        <f t="shared" si="29"/>
        <v>17175.291132053022</v>
      </c>
      <c r="K294" s="14">
        <f t="shared" si="25"/>
        <v>11286.473243243243</v>
      </c>
      <c r="L294" s="14">
        <f t="shared" si="30"/>
        <v>5888.8178888097791</v>
      </c>
      <c r="M294" s="14">
        <f>'D) Ecrêtage'!M293</f>
        <v>6046.5271621621623</v>
      </c>
      <c r="N294" s="14">
        <f t="shared" si="26"/>
        <v>7837.3213878515362</v>
      </c>
      <c r="O294" s="75">
        <f t="shared" si="27"/>
        <v>19123.794631094781</v>
      </c>
      <c r="P294" s="329"/>
      <c r="Q294" s="330"/>
      <c r="R294" s="326"/>
      <c r="S294" s="326"/>
      <c r="T294" s="331"/>
    </row>
    <row r="295" spans="1:20" s="325" customFormat="1" x14ac:dyDescent="0.25">
      <c r="A295" s="338">
        <f>'A) Base RI'!A296</f>
        <v>5904</v>
      </c>
      <c r="B295" s="338" t="str">
        <f>'A) Base RI'!B296</f>
        <v>Chamblon</v>
      </c>
      <c r="C295" s="397">
        <v>1</v>
      </c>
      <c r="D295" s="327">
        <f>'B) D RI'!AR296</f>
        <v>568</v>
      </c>
      <c r="E295" s="328">
        <f>'B) D RI'!S296</f>
        <v>66</v>
      </c>
      <c r="F295" s="14">
        <f>'B) D RI'!R296</f>
        <v>1331248.68</v>
      </c>
      <c r="G295" s="14">
        <f>'B) D RI'!U296</f>
        <v>20170.434545454544</v>
      </c>
      <c r="H295" s="52">
        <f>'B) D RI'!T296</f>
        <v>1238184.0799999998</v>
      </c>
      <c r="I295" s="14">
        <f t="shared" ref="I295:I323" si="31">+H295/E295*$I$5</f>
        <v>37520.729696969691</v>
      </c>
      <c r="J295" s="41">
        <f t="shared" si="29"/>
        <v>48535.151059731921</v>
      </c>
      <c r="K295" s="14">
        <f t="shared" si="25"/>
        <v>0</v>
      </c>
      <c r="L295" s="14">
        <f t="shared" si="30"/>
        <v>48535.151059731921</v>
      </c>
      <c r="M295" s="14">
        <f>'D) Ecrêtage'!M294</f>
        <v>20170.434545454544</v>
      </c>
      <c r="N295" s="14">
        <f t="shared" si="26"/>
        <v>26144.293050495809</v>
      </c>
      <c r="O295" s="75">
        <f t="shared" si="27"/>
        <v>26144.293050495809</v>
      </c>
      <c r="P295" s="329"/>
      <c r="Q295" s="330"/>
      <c r="R295" s="326"/>
      <c r="S295" s="326"/>
      <c r="T295" s="331"/>
    </row>
    <row r="296" spans="1:20" s="325" customFormat="1" x14ac:dyDescent="0.25">
      <c r="A296" s="338">
        <f>'A) Base RI'!A297</f>
        <v>5905</v>
      </c>
      <c r="B296" s="338" t="str">
        <f>'A) Base RI'!B297</f>
        <v>Champvent</v>
      </c>
      <c r="C296" s="397">
        <v>0</v>
      </c>
      <c r="D296" s="327">
        <f>'B) D RI'!AR297</f>
        <v>617</v>
      </c>
      <c r="E296" s="328">
        <f>'B) D RI'!S297</f>
        <v>71</v>
      </c>
      <c r="F296" s="14">
        <f>'B) D RI'!R297</f>
        <v>1293674.3599999999</v>
      </c>
      <c r="G296" s="14">
        <f>'B) D RI'!U297</f>
        <v>18220.765633802814</v>
      </c>
      <c r="H296" s="52">
        <f>'B) D RI'!T297</f>
        <v>1207795.0599999998</v>
      </c>
      <c r="I296" s="14">
        <f t="shared" si="31"/>
        <v>34022.396056338024</v>
      </c>
      <c r="J296" s="41">
        <f t="shared" si="29"/>
        <v>52722.162330729923</v>
      </c>
      <c r="K296" s="14">
        <f t="shared" si="25"/>
        <v>34022.396056338024</v>
      </c>
      <c r="L296" s="14">
        <f t="shared" si="30"/>
        <v>18699.766274391899</v>
      </c>
      <c r="M296" s="14">
        <f>'D) Ecrêtage'!M295</f>
        <v>18220.765633802814</v>
      </c>
      <c r="N296" s="14">
        <f t="shared" si="26"/>
        <v>23617.192542928864</v>
      </c>
      <c r="O296" s="75">
        <f t="shared" si="27"/>
        <v>57639.588599266892</v>
      </c>
      <c r="P296" s="329"/>
      <c r="Q296" s="330"/>
      <c r="R296" s="326"/>
      <c r="S296" s="326"/>
      <c r="T296" s="331"/>
    </row>
    <row r="297" spans="1:20" s="325" customFormat="1" x14ac:dyDescent="0.25">
      <c r="A297" s="338">
        <f>'A) Base RI'!A298</f>
        <v>5907</v>
      </c>
      <c r="B297" s="338" t="str">
        <f>'A) Base RI'!B298</f>
        <v>Chavannes-le-Chêne</v>
      </c>
      <c r="C297" s="397">
        <v>0</v>
      </c>
      <c r="D297" s="327">
        <f>'B) D RI'!AR298</f>
        <v>278</v>
      </c>
      <c r="E297" s="328">
        <f>'B) D RI'!S298</f>
        <v>78</v>
      </c>
      <c r="F297" s="14">
        <f>'B) D RI'!R298</f>
        <v>542236.32999999996</v>
      </c>
      <c r="G297" s="14">
        <f>'B) D RI'!U298</f>
        <v>6951.74782051282</v>
      </c>
      <c r="H297" s="52">
        <f>'B) D RI'!T298</f>
        <v>504791.73</v>
      </c>
      <c r="I297" s="14">
        <f t="shared" si="31"/>
        <v>12943.377692307691</v>
      </c>
      <c r="J297" s="41">
        <f t="shared" si="29"/>
        <v>23754.880272192735</v>
      </c>
      <c r="K297" s="14">
        <f t="shared" si="25"/>
        <v>12943.377692307691</v>
      </c>
      <c r="L297" s="14">
        <f t="shared" si="30"/>
        <v>10811.502579885044</v>
      </c>
      <c r="M297" s="14">
        <f>'D) Ecrêtage'!M296</f>
        <v>6951.74782051282</v>
      </c>
      <c r="N297" s="14">
        <f t="shared" si="26"/>
        <v>9010.640391661278</v>
      </c>
      <c r="O297" s="75">
        <f t="shared" si="27"/>
        <v>21954.018083968971</v>
      </c>
      <c r="P297" s="329"/>
      <c r="Q297" s="330"/>
      <c r="R297" s="326"/>
      <c r="S297" s="326"/>
      <c r="T297" s="331"/>
    </row>
    <row r="298" spans="1:20" s="325" customFormat="1" x14ac:dyDescent="0.25">
      <c r="A298" s="338">
        <f>'A) Base RI'!A299</f>
        <v>5908</v>
      </c>
      <c r="B298" s="338" t="str">
        <f>'A) Base RI'!B299</f>
        <v>Chêne-Pâquier</v>
      </c>
      <c r="C298" s="397">
        <v>0</v>
      </c>
      <c r="D298" s="327">
        <f>'B) D RI'!AR299</f>
        <v>125</v>
      </c>
      <c r="E298" s="328">
        <f>'B) D RI'!S299</f>
        <v>79</v>
      </c>
      <c r="F298" s="14">
        <f>'B) D RI'!R299</f>
        <v>229021.14</v>
      </c>
      <c r="G298" s="14">
        <f>'B) D RI'!U299</f>
        <v>2899.0017721518989</v>
      </c>
      <c r="H298" s="52">
        <f>'B) D RI'!T299</f>
        <v>213421.64</v>
      </c>
      <c r="I298" s="14">
        <f t="shared" si="31"/>
        <v>5403.0794936708862</v>
      </c>
      <c r="J298" s="41">
        <f t="shared" si="29"/>
        <v>10681.15120152551</v>
      </c>
      <c r="K298" s="14">
        <f t="shared" si="25"/>
        <v>5403.0794936708862</v>
      </c>
      <c r="L298" s="14">
        <f t="shared" si="30"/>
        <v>5278.071707854624</v>
      </c>
      <c r="M298" s="14">
        <f>'D) Ecrêtage'!M297</f>
        <v>2899.0017721518989</v>
      </c>
      <c r="N298" s="14">
        <f t="shared" si="26"/>
        <v>3757.5963826781272</v>
      </c>
      <c r="O298" s="75">
        <f t="shared" si="27"/>
        <v>9160.6758763490143</v>
      </c>
      <c r="P298" s="329"/>
      <c r="Q298" s="330"/>
      <c r="R298" s="326"/>
      <c r="S298" s="326"/>
      <c r="T298" s="331"/>
    </row>
    <row r="299" spans="1:20" s="325" customFormat="1" x14ac:dyDescent="0.25">
      <c r="A299" s="338">
        <f>'A) Base RI'!A300</f>
        <v>5909</v>
      </c>
      <c r="B299" s="338" t="str">
        <f>'A) Base RI'!B300</f>
        <v>Cheseaux-Noréaz</v>
      </c>
      <c r="C299" s="397">
        <v>1</v>
      </c>
      <c r="D299" s="327">
        <f>'B) D RI'!AR300</f>
        <v>664</v>
      </c>
      <c r="E299" s="328">
        <f>'B) D RI'!S300</f>
        <v>70</v>
      </c>
      <c r="F299" s="14">
        <f>'B) D RI'!R300</f>
        <v>1586329.2700000003</v>
      </c>
      <c r="G299" s="14">
        <f>'B) D RI'!U300</f>
        <v>22661.846714285719</v>
      </c>
      <c r="H299" s="52">
        <f>'B) D RI'!T300</f>
        <v>1444831.5700000003</v>
      </c>
      <c r="I299" s="14">
        <f t="shared" si="31"/>
        <v>41280.902000000009</v>
      </c>
      <c r="J299" s="41">
        <f t="shared" si="29"/>
        <v>56738.275182503516</v>
      </c>
      <c r="K299" s="14">
        <f t="shared" si="25"/>
        <v>0</v>
      </c>
      <c r="L299" s="14">
        <f t="shared" si="30"/>
        <v>56738.275182503516</v>
      </c>
      <c r="M299" s="14">
        <f>'D) Ecrêtage'!M298</f>
        <v>22661.846714285719</v>
      </c>
      <c r="N299" s="14">
        <f t="shared" si="26"/>
        <v>29373.584402881283</v>
      </c>
      <c r="O299" s="75">
        <f t="shared" si="27"/>
        <v>29373.584402881283</v>
      </c>
      <c r="P299" s="329"/>
      <c r="Q299" s="330"/>
      <c r="R299" s="326"/>
      <c r="S299" s="326"/>
      <c r="T299" s="331"/>
    </row>
    <row r="300" spans="1:20" s="325" customFormat="1" x14ac:dyDescent="0.25">
      <c r="A300" s="338">
        <f>'A) Base RI'!A301</f>
        <v>5910</v>
      </c>
      <c r="B300" s="338" t="str">
        <f>'A) Base RI'!B301</f>
        <v>Cronay</v>
      </c>
      <c r="C300" s="397">
        <v>0</v>
      </c>
      <c r="D300" s="327">
        <f>'B) D RI'!AR301</f>
        <v>364</v>
      </c>
      <c r="E300" s="328">
        <f>'B) D RI'!S301</f>
        <v>81</v>
      </c>
      <c r="F300" s="14">
        <f>'B) D RI'!R301</f>
        <v>843190.01</v>
      </c>
      <c r="G300" s="14">
        <f>'B) D RI'!U301</f>
        <v>10409.753209876544</v>
      </c>
      <c r="H300" s="52">
        <f>'B) D RI'!T301</f>
        <v>794160.01</v>
      </c>
      <c r="I300" s="14">
        <f t="shared" si="31"/>
        <v>19608.88913580247</v>
      </c>
      <c r="J300" s="41">
        <f t="shared" si="29"/>
        <v>31103.512298842288</v>
      </c>
      <c r="K300" s="14">
        <f t="shared" si="25"/>
        <v>19608.88913580247</v>
      </c>
      <c r="L300" s="14">
        <f t="shared" si="30"/>
        <v>11494.623163039818</v>
      </c>
      <c r="M300" s="14">
        <f>'D) Ecrêtage'!M299</f>
        <v>10409.753209876544</v>
      </c>
      <c r="N300" s="14">
        <f t="shared" si="26"/>
        <v>13492.799963681631</v>
      </c>
      <c r="O300" s="75">
        <f t="shared" si="27"/>
        <v>33101.689099484101</v>
      </c>
      <c r="P300" s="329"/>
      <c r="Q300" s="330"/>
      <c r="R300" s="326"/>
      <c r="S300" s="326"/>
      <c r="T300" s="331"/>
    </row>
    <row r="301" spans="1:20" s="325" customFormat="1" x14ac:dyDescent="0.25">
      <c r="A301" s="338">
        <f>'A) Base RI'!A302</f>
        <v>5911</v>
      </c>
      <c r="B301" s="338" t="str">
        <f>'A) Base RI'!B302</f>
        <v>Cuarny</v>
      </c>
      <c r="C301" s="397">
        <v>0</v>
      </c>
      <c r="D301" s="327">
        <f>'B) D RI'!AR302</f>
        <v>216</v>
      </c>
      <c r="E301" s="328">
        <f>'B) D RI'!S302</f>
        <v>81</v>
      </c>
      <c r="F301" s="14">
        <f>'B) D RI'!R302</f>
        <v>549473.87</v>
      </c>
      <c r="G301" s="14">
        <f>'B) D RI'!U302</f>
        <v>6783.6280246913584</v>
      </c>
      <c r="H301" s="52">
        <f>'B) D RI'!T302</f>
        <v>524115.52</v>
      </c>
      <c r="I301" s="14">
        <f t="shared" si="31"/>
        <v>12941.123950617284</v>
      </c>
      <c r="J301" s="41">
        <f t="shared" si="29"/>
        <v>18457.029276236084</v>
      </c>
      <c r="K301" s="14">
        <f t="shared" si="25"/>
        <v>12941.123950617284</v>
      </c>
      <c r="L301" s="14">
        <f t="shared" si="30"/>
        <v>5515.9053256187999</v>
      </c>
      <c r="M301" s="14">
        <f>'D) Ecrêtage'!M300</f>
        <v>6783.6280246913584</v>
      </c>
      <c r="N301" s="14">
        <f t="shared" si="26"/>
        <v>8792.7287150615139</v>
      </c>
      <c r="O301" s="75">
        <f t="shared" si="27"/>
        <v>21733.852665678798</v>
      </c>
      <c r="P301" s="329"/>
      <c r="Q301" s="330"/>
      <c r="R301" s="326"/>
      <c r="S301" s="326"/>
      <c r="T301" s="331"/>
    </row>
    <row r="302" spans="1:20" s="325" customFormat="1" x14ac:dyDescent="0.25">
      <c r="A302" s="338">
        <f>'A) Base RI'!A303</f>
        <v>5912</v>
      </c>
      <c r="B302" s="338" t="str">
        <f>'A) Base RI'!B303</f>
        <v>Démoret</v>
      </c>
      <c r="C302" s="397">
        <v>0</v>
      </c>
      <c r="D302" s="327">
        <f>'B) D RI'!AR303</f>
        <v>123</v>
      </c>
      <c r="E302" s="328">
        <f>'B) D RI'!S303</f>
        <v>81</v>
      </c>
      <c r="F302" s="14">
        <f>'B) D RI'!R303</f>
        <v>254874.81</v>
      </c>
      <c r="G302" s="14">
        <f>'B) D RI'!U303</f>
        <v>3146.6025925925924</v>
      </c>
      <c r="H302" s="52">
        <f>'B) D RI'!T303</f>
        <v>239356.11</v>
      </c>
      <c r="I302" s="14">
        <f t="shared" si="31"/>
        <v>5910.0274074074068</v>
      </c>
      <c r="J302" s="41">
        <f t="shared" si="29"/>
        <v>10510.252782301102</v>
      </c>
      <c r="K302" s="14">
        <f t="shared" si="25"/>
        <v>5910.0274074074068</v>
      </c>
      <c r="L302" s="14">
        <f t="shared" si="30"/>
        <v>4600.2253748936955</v>
      </c>
      <c r="M302" s="14">
        <f>'D) Ecrêtage'!M301</f>
        <v>3146.6025925925924</v>
      </c>
      <c r="N302" s="14">
        <f t="shared" si="26"/>
        <v>4078.5289037181096</v>
      </c>
      <c r="O302" s="75">
        <f t="shared" si="27"/>
        <v>9988.556311125516</v>
      </c>
      <c r="P302" s="329"/>
      <c r="Q302" s="330"/>
      <c r="R302" s="326"/>
      <c r="S302" s="326"/>
      <c r="T302" s="331"/>
    </row>
    <row r="303" spans="1:20" s="325" customFormat="1" x14ac:dyDescent="0.25">
      <c r="A303" s="338">
        <f>'A) Base RI'!A304</f>
        <v>5913</v>
      </c>
      <c r="B303" s="338" t="str">
        <f>'A) Base RI'!B304</f>
        <v>Donneloye</v>
      </c>
      <c r="C303" s="397">
        <v>0</v>
      </c>
      <c r="D303" s="327">
        <f>'B) D RI'!AR304</f>
        <v>765</v>
      </c>
      <c r="E303" s="328">
        <f>'B) D RI'!S304</f>
        <v>73</v>
      </c>
      <c r="F303" s="14">
        <f>'B) D RI'!R304</f>
        <v>1687485.4299999997</v>
      </c>
      <c r="G303" s="14">
        <f>'B) D RI'!U304</f>
        <v>23116.238767123283</v>
      </c>
      <c r="H303" s="52">
        <f>'B) D RI'!T304</f>
        <v>1593304.7299999997</v>
      </c>
      <c r="I303" s="14">
        <f t="shared" si="31"/>
        <v>43652.184383561638</v>
      </c>
      <c r="J303" s="41">
        <f t="shared" si="29"/>
        <v>65368.645353336127</v>
      </c>
      <c r="K303" s="14">
        <f t="shared" si="25"/>
        <v>43652.184383561638</v>
      </c>
      <c r="L303" s="14">
        <f t="shared" si="30"/>
        <v>21716.460969774489</v>
      </c>
      <c r="M303" s="14">
        <f>'D) Ecrêtage'!M302</f>
        <v>23116.238767123283</v>
      </c>
      <c r="N303" s="14">
        <f t="shared" si="26"/>
        <v>29962.553319858769</v>
      </c>
      <c r="O303" s="75">
        <f t="shared" si="27"/>
        <v>73614.737703420411</v>
      </c>
      <c r="P303" s="329"/>
      <c r="Q303" s="330"/>
      <c r="R303" s="326"/>
      <c r="S303" s="326"/>
      <c r="T303" s="331"/>
    </row>
    <row r="304" spans="1:20" s="325" customFormat="1" x14ac:dyDescent="0.25">
      <c r="A304" s="338">
        <f>'A) Base RI'!A305</f>
        <v>5914</v>
      </c>
      <c r="B304" s="338" t="str">
        <f>'A) Base RI'!B305</f>
        <v>Ependes</v>
      </c>
      <c r="C304" s="397">
        <v>1</v>
      </c>
      <c r="D304" s="327">
        <f>'B) D RI'!AR305</f>
        <v>345</v>
      </c>
      <c r="E304" s="328">
        <f>'B) D RI'!S305</f>
        <v>75</v>
      </c>
      <c r="F304" s="14">
        <f>'B) D RI'!R305</f>
        <v>656271.92999999982</v>
      </c>
      <c r="G304" s="14">
        <f>'B) D RI'!U305</f>
        <v>8750.2923999999985</v>
      </c>
      <c r="H304" s="52">
        <f>'B) D RI'!T305</f>
        <v>606962.2799999998</v>
      </c>
      <c r="I304" s="14">
        <f t="shared" si="31"/>
        <v>16185.660799999994</v>
      </c>
      <c r="J304" s="41">
        <f t="shared" si="29"/>
        <v>29479.97731621041</v>
      </c>
      <c r="K304" s="14">
        <f t="shared" si="25"/>
        <v>0</v>
      </c>
      <c r="L304" s="14">
        <f t="shared" si="30"/>
        <v>29479.97731621041</v>
      </c>
      <c r="M304" s="14">
        <f>'D) Ecrêtage'!M303</f>
        <v>8750.2923999999985</v>
      </c>
      <c r="N304" s="14">
        <f t="shared" si="26"/>
        <v>11341.85821666793</v>
      </c>
      <c r="O304" s="75">
        <f t="shared" si="27"/>
        <v>11341.85821666793</v>
      </c>
      <c r="P304" s="329"/>
      <c r="Q304" s="330"/>
      <c r="R304" s="326"/>
      <c r="S304" s="326"/>
      <c r="T304" s="331"/>
    </row>
    <row r="305" spans="1:20" s="325" customFormat="1" x14ac:dyDescent="0.25">
      <c r="A305" s="338">
        <f>'A) Base RI'!A306</f>
        <v>5915</v>
      </c>
      <c r="B305" s="338" t="str">
        <f>'A) Base RI'!B306</f>
        <v>Essert-Pittet</v>
      </c>
      <c r="C305" s="397">
        <v>1</v>
      </c>
      <c r="D305" s="327">
        <f>'B) D RI'!AR306</f>
        <v>164</v>
      </c>
      <c r="E305" s="328">
        <f>'B) D RI'!S306</f>
        <v>75</v>
      </c>
      <c r="F305" s="14">
        <f>'B) D RI'!R306</f>
        <v>388627.94647058821</v>
      </c>
      <c r="G305" s="14">
        <f>'B) D RI'!U306</f>
        <v>5181.7059529411763</v>
      </c>
      <c r="H305" s="52">
        <f>'B) D RI'!T306</f>
        <v>367582.76999999996</v>
      </c>
      <c r="I305" s="14">
        <f t="shared" si="31"/>
        <v>9802.2071999999989</v>
      </c>
      <c r="J305" s="41">
        <f t="shared" si="29"/>
        <v>14013.670376401471</v>
      </c>
      <c r="K305" s="14">
        <f t="shared" si="25"/>
        <v>0</v>
      </c>
      <c r="L305" s="14">
        <f t="shared" si="30"/>
        <v>14013.670376401471</v>
      </c>
      <c r="M305" s="14">
        <f>'D) Ecrêtage'!M304</f>
        <v>5181.7059529411763</v>
      </c>
      <c r="N305" s="14">
        <f t="shared" si="26"/>
        <v>6716.3668997761733</v>
      </c>
      <c r="O305" s="75">
        <f t="shared" si="27"/>
        <v>6716.3668997761733</v>
      </c>
      <c r="P305" s="329"/>
      <c r="Q305" s="330"/>
      <c r="R305" s="326"/>
      <c r="S305" s="326"/>
      <c r="T305" s="331"/>
    </row>
    <row r="306" spans="1:20" s="325" customFormat="1" x14ac:dyDescent="0.25">
      <c r="A306" s="338">
        <f>'A) Base RI'!A307</f>
        <v>5919</v>
      </c>
      <c r="B306" s="338" t="str">
        <f>'A) Base RI'!B307</f>
        <v>Mathod</v>
      </c>
      <c r="C306" s="397">
        <v>1</v>
      </c>
      <c r="D306" s="327">
        <f>'B) D RI'!AR307</f>
        <v>581</v>
      </c>
      <c r="E306" s="328">
        <f>'B) D RI'!S307</f>
        <v>74</v>
      </c>
      <c r="F306" s="14">
        <f>'B) D RI'!R307</f>
        <v>1203293.5649999999</v>
      </c>
      <c r="G306" s="14">
        <f>'B) D RI'!U307</f>
        <v>16260.723851351351</v>
      </c>
      <c r="H306" s="52">
        <f>'B) D RI'!T307</f>
        <v>1112649.94</v>
      </c>
      <c r="I306" s="14">
        <f t="shared" si="31"/>
        <v>30071.62</v>
      </c>
      <c r="J306" s="41">
        <f t="shared" si="29"/>
        <v>49645.990784690577</v>
      </c>
      <c r="K306" s="14">
        <f t="shared" si="25"/>
        <v>0</v>
      </c>
      <c r="L306" s="14">
        <f t="shared" si="30"/>
        <v>49645.990784690577</v>
      </c>
      <c r="M306" s="14">
        <f>'D) Ecrêtage'!M305</f>
        <v>16260.723851351351</v>
      </c>
      <c r="N306" s="14">
        <f t="shared" si="26"/>
        <v>21076.647041236876</v>
      </c>
      <c r="O306" s="75">
        <f t="shared" si="27"/>
        <v>21076.647041236876</v>
      </c>
      <c r="P306" s="329"/>
      <c r="Q306" s="330"/>
      <c r="R306" s="326"/>
      <c r="S306" s="326"/>
      <c r="T306" s="331"/>
    </row>
    <row r="307" spans="1:20" s="325" customFormat="1" x14ac:dyDescent="0.25">
      <c r="A307" s="338">
        <f>'A) Base RI'!A308</f>
        <v>5921</v>
      </c>
      <c r="B307" s="338" t="str">
        <f>'A) Base RI'!B308</f>
        <v>Molondin</v>
      </c>
      <c r="C307" s="397">
        <v>0</v>
      </c>
      <c r="D307" s="327">
        <f>'B) D RI'!AR308</f>
        <v>224</v>
      </c>
      <c r="E307" s="328">
        <f>'B) D RI'!S308</f>
        <v>81</v>
      </c>
      <c r="F307" s="14">
        <f>'B) D RI'!R308</f>
        <v>399501.24</v>
      </c>
      <c r="G307" s="14">
        <f>'B) D RI'!U308</f>
        <v>4932.1140740740739</v>
      </c>
      <c r="H307" s="52">
        <f>'B) D RI'!T308</f>
        <v>372152.69</v>
      </c>
      <c r="I307" s="14">
        <f t="shared" si="31"/>
        <v>9188.9553086419746</v>
      </c>
      <c r="J307" s="41">
        <f t="shared" si="29"/>
        <v>19140.622953133716</v>
      </c>
      <c r="K307" s="14">
        <f t="shared" si="25"/>
        <v>9188.9553086419746</v>
      </c>
      <c r="L307" s="14">
        <f t="shared" si="30"/>
        <v>9951.6676444917412</v>
      </c>
      <c r="M307" s="14">
        <f>'D) Ecrêtage'!M306</f>
        <v>4932.1140740740739</v>
      </c>
      <c r="N307" s="14">
        <f t="shared" si="26"/>
        <v>6392.8536304204627</v>
      </c>
      <c r="O307" s="75">
        <f t="shared" si="27"/>
        <v>15581.808939062437</v>
      </c>
      <c r="P307" s="329"/>
      <c r="Q307" s="330"/>
      <c r="R307" s="326"/>
      <c r="S307" s="326"/>
      <c r="T307" s="331"/>
    </row>
    <row r="308" spans="1:20" s="325" customFormat="1" x14ac:dyDescent="0.25">
      <c r="A308" s="338">
        <f>'A) Base RI'!A309</f>
        <v>5922</v>
      </c>
      <c r="B308" s="338" t="str">
        <f>'A) Base RI'!B309</f>
        <v>Montagny-près-Yverdon</v>
      </c>
      <c r="C308" s="397">
        <v>0</v>
      </c>
      <c r="D308" s="327">
        <f>'B) D RI'!AR309</f>
        <v>713</v>
      </c>
      <c r="E308" s="328">
        <f>'B) D RI'!S309</f>
        <v>61</v>
      </c>
      <c r="F308" s="14">
        <f>'B) D RI'!R309</f>
        <v>3310725.0075000003</v>
      </c>
      <c r="G308" s="14">
        <f>'B) D RI'!U309</f>
        <v>54274.18045081968</v>
      </c>
      <c r="H308" s="52">
        <f>'B) D RI'!T309</f>
        <v>2988320.3200000003</v>
      </c>
      <c r="I308" s="14">
        <f t="shared" si="31"/>
        <v>97977.715409836077</v>
      </c>
      <c r="J308" s="41">
        <f t="shared" si="29"/>
        <v>60925.286453501511</v>
      </c>
      <c r="K308" s="14">
        <f t="shared" si="25"/>
        <v>60925.286453501511</v>
      </c>
      <c r="L308" s="14">
        <f t="shared" si="30"/>
        <v>0</v>
      </c>
      <c r="M308" s="14">
        <f>'D) Ecrêtage'!M307</f>
        <v>48327.826356462392</v>
      </c>
      <c r="N308" s="14">
        <f t="shared" si="26"/>
        <v>62641.032939052871</v>
      </c>
      <c r="O308" s="75">
        <f t="shared" si="27"/>
        <v>123566.31939255437</v>
      </c>
      <c r="P308" s="329"/>
      <c r="Q308" s="330"/>
      <c r="R308" s="326"/>
      <c r="S308" s="326"/>
      <c r="T308" s="331"/>
    </row>
    <row r="309" spans="1:20" s="325" customFormat="1" x14ac:dyDescent="0.25">
      <c r="A309" s="338">
        <f>'A) Base RI'!A310</f>
        <v>5923</v>
      </c>
      <c r="B309" s="338" t="str">
        <f>'A) Base RI'!B310</f>
        <v>Oppens</v>
      </c>
      <c r="C309" s="397">
        <v>0</v>
      </c>
      <c r="D309" s="327">
        <f>'B) D RI'!AR310</f>
        <v>182</v>
      </c>
      <c r="E309" s="328">
        <f>'B) D RI'!S310</f>
        <v>81</v>
      </c>
      <c r="F309" s="14">
        <f>'B) D RI'!R310</f>
        <v>397072.31999999995</v>
      </c>
      <c r="G309" s="14">
        <f>'B) D RI'!U310</f>
        <v>4902.1274074074072</v>
      </c>
      <c r="H309" s="52">
        <f>'B) D RI'!T310</f>
        <v>375130.31999999995</v>
      </c>
      <c r="I309" s="14">
        <f t="shared" si="31"/>
        <v>9262.4770370370352</v>
      </c>
      <c r="J309" s="41">
        <f t="shared" si="29"/>
        <v>15551.756149421144</v>
      </c>
      <c r="K309" s="14">
        <f t="shared" si="25"/>
        <v>9262.4770370370352</v>
      </c>
      <c r="L309" s="14">
        <f t="shared" si="30"/>
        <v>6289.2791123841089</v>
      </c>
      <c r="M309" s="14">
        <f>'D) Ecrêtage'!M308</f>
        <v>4902.1274074074072</v>
      </c>
      <c r="N309" s="14">
        <f t="shared" si="26"/>
        <v>6353.9858410739234</v>
      </c>
      <c r="O309" s="75">
        <f t="shared" si="27"/>
        <v>15616.462878110959</v>
      </c>
      <c r="P309" s="329"/>
      <c r="Q309" s="330"/>
      <c r="R309" s="326"/>
      <c r="S309" s="326"/>
      <c r="T309" s="331"/>
    </row>
    <row r="310" spans="1:20" s="325" customFormat="1" x14ac:dyDescent="0.25">
      <c r="A310" s="338">
        <f>'A) Base RI'!A311</f>
        <v>5924</v>
      </c>
      <c r="B310" s="338" t="str">
        <f>'A) Base RI'!B311</f>
        <v>Orges</v>
      </c>
      <c r="C310" s="397">
        <v>0</v>
      </c>
      <c r="D310" s="327">
        <f>'B) D RI'!AR311</f>
        <v>275</v>
      </c>
      <c r="E310" s="328">
        <f>'B) D RI'!S311</f>
        <v>74</v>
      </c>
      <c r="F310" s="14">
        <f>'B) D RI'!R311</f>
        <v>666211.31000000006</v>
      </c>
      <c r="G310" s="14">
        <f>'B) D RI'!U311</f>
        <v>9002.8555405405405</v>
      </c>
      <c r="H310" s="52">
        <f>'B) D RI'!T311</f>
        <v>624961.01</v>
      </c>
      <c r="I310" s="14">
        <f t="shared" si="31"/>
        <v>16890.83810810811</v>
      </c>
      <c r="J310" s="41">
        <f t="shared" si="29"/>
        <v>23498.532643356124</v>
      </c>
      <c r="K310" s="14">
        <f t="shared" si="25"/>
        <v>16890.83810810811</v>
      </c>
      <c r="L310" s="14">
        <f t="shared" si="30"/>
        <v>6607.6945352480143</v>
      </c>
      <c r="M310" s="14">
        <f>'D) Ecrêtage'!M309</f>
        <v>9002.8555405405405</v>
      </c>
      <c r="N310" s="14">
        <f t="shared" si="26"/>
        <v>11669.222743454166</v>
      </c>
      <c r="O310" s="75">
        <f t="shared" si="27"/>
        <v>28560.060851562273</v>
      </c>
      <c r="P310" s="329"/>
      <c r="Q310" s="330"/>
      <c r="R310" s="326"/>
      <c r="S310" s="326"/>
      <c r="T310" s="331"/>
    </row>
    <row r="311" spans="1:20" s="325" customFormat="1" x14ac:dyDescent="0.25">
      <c r="A311" s="338">
        <f>'A) Base RI'!A312</f>
        <v>5925</v>
      </c>
      <c r="B311" s="338" t="str">
        <f>'A) Base RI'!B312</f>
        <v>Orzens</v>
      </c>
      <c r="C311" s="397">
        <v>0</v>
      </c>
      <c r="D311" s="327">
        <f>'B) D RI'!AR312</f>
        <v>211</v>
      </c>
      <c r="E311" s="328">
        <f>'B) D RI'!S312</f>
        <v>79</v>
      </c>
      <c r="F311" s="14">
        <f>'B) D RI'!R312</f>
        <v>399246.47</v>
      </c>
      <c r="G311" s="14">
        <f>'B) D RI'!U312</f>
        <v>5053.7527848101263</v>
      </c>
      <c r="H311" s="52">
        <f>'B) D RI'!T312</f>
        <v>371767.76999999996</v>
      </c>
      <c r="I311" s="14">
        <f t="shared" si="31"/>
        <v>9411.8422784810118</v>
      </c>
      <c r="J311" s="41">
        <f t="shared" si="29"/>
        <v>18029.783228175063</v>
      </c>
      <c r="K311" s="14">
        <f t="shared" si="25"/>
        <v>9411.8422784810118</v>
      </c>
      <c r="L311" s="14">
        <f t="shared" si="30"/>
        <v>8617.9409496940516</v>
      </c>
      <c r="M311" s="14">
        <f>'D) Ecrêtage'!M310</f>
        <v>5053.7527848101263</v>
      </c>
      <c r="N311" s="14">
        <f t="shared" si="26"/>
        <v>6550.5179629662625</v>
      </c>
      <c r="O311" s="75">
        <f t="shared" si="27"/>
        <v>15962.360241447273</v>
      </c>
      <c r="P311" s="329"/>
      <c r="Q311" s="330"/>
      <c r="R311" s="326"/>
      <c r="S311" s="326"/>
      <c r="T311" s="331"/>
    </row>
    <row r="312" spans="1:20" s="325" customFormat="1" x14ac:dyDescent="0.25">
      <c r="A312" s="338">
        <f>'A) Base RI'!A313</f>
        <v>5926</v>
      </c>
      <c r="B312" s="338" t="str">
        <f>'A) Base RI'!B313</f>
        <v>Pomy</v>
      </c>
      <c r="C312" s="397">
        <v>1</v>
      </c>
      <c r="D312" s="327">
        <f>'B) D RI'!AR313</f>
        <v>730</v>
      </c>
      <c r="E312" s="328">
        <f>'B) D RI'!S313</f>
        <v>71</v>
      </c>
      <c r="F312" s="14">
        <f>'B) D RI'!R313</f>
        <v>1493067.9600000002</v>
      </c>
      <c r="G312" s="14">
        <f>'B) D RI'!U313</f>
        <v>21029.126197183101</v>
      </c>
      <c r="H312" s="52">
        <f>'B) D RI'!T313</f>
        <v>1385940.1600000001</v>
      </c>
      <c r="I312" s="14">
        <f t="shared" si="31"/>
        <v>39040.567887323945</v>
      </c>
      <c r="J312" s="41">
        <f t="shared" si="29"/>
        <v>62377.923016908986</v>
      </c>
      <c r="K312" s="402">
        <f>I312/2</f>
        <v>19520.283943661972</v>
      </c>
      <c r="L312" s="14">
        <f t="shared" si="30"/>
        <v>42857.639073247017</v>
      </c>
      <c r="M312" s="14">
        <f>'D) Ecrêtage'!M311</f>
        <v>21029.126197183101</v>
      </c>
      <c r="N312" s="14">
        <f t="shared" si="26"/>
        <v>27257.302595838741</v>
      </c>
      <c r="O312" s="75">
        <f t="shared" si="27"/>
        <v>46777.586539500713</v>
      </c>
      <c r="P312" s="329"/>
      <c r="Q312" s="330"/>
      <c r="R312" s="326"/>
      <c r="S312" s="326"/>
      <c r="T312" s="331"/>
    </row>
    <row r="313" spans="1:20" s="325" customFormat="1" x14ac:dyDescent="0.25">
      <c r="A313" s="338">
        <f>'A) Base RI'!A314</f>
        <v>5928</v>
      </c>
      <c r="B313" s="338" t="str">
        <f>'A) Base RI'!B314</f>
        <v>Rovray</v>
      </c>
      <c r="C313" s="397">
        <v>0</v>
      </c>
      <c r="D313" s="327">
        <f>'B) D RI'!AR314</f>
        <v>176</v>
      </c>
      <c r="E313" s="328">
        <f>'B) D RI'!S314</f>
        <v>75</v>
      </c>
      <c r="F313" s="14">
        <f>'B) D RI'!R314</f>
        <v>367285.92999999993</v>
      </c>
      <c r="G313" s="14">
        <f>'B) D RI'!U314</f>
        <v>4897.1457333333328</v>
      </c>
      <c r="H313" s="52">
        <f>'B) D RI'!T314</f>
        <v>347808.12999999995</v>
      </c>
      <c r="I313" s="14">
        <f t="shared" si="31"/>
        <v>9274.8834666666644</v>
      </c>
      <c r="J313" s="41">
        <f t="shared" si="29"/>
        <v>15039.060891747919</v>
      </c>
      <c r="K313" s="14">
        <f t="shared" ref="K313:K323" si="32">IF(C313=1,0,IF(J313&gt;I313,I313,J313))</f>
        <v>9274.8834666666644</v>
      </c>
      <c r="L313" s="14">
        <f t="shared" si="30"/>
        <v>5764.1774250812541</v>
      </c>
      <c r="M313" s="14">
        <f>'D) Ecrêtage'!M312</f>
        <v>4897.1457333333328</v>
      </c>
      <c r="N313" s="14">
        <f t="shared" si="26"/>
        <v>6347.5287493052192</v>
      </c>
      <c r="O313" s="75">
        <f t="shared" si="27"/>
        <v>15622.412215971883</v>
      </c>
      <c r="P313" s="329"/>
      <c r="Q313" s="330"/>
      <c r="R313" s="326"/>
      <c r="S313" s="326"/>
      <c r="T313" s="331"/>
    </row>
    <row r="314" spans="1:20" s="325" customFormat="1" x14ac:dyDescent="0.25">
      <c r="A314" s="338">
        <f>'A) Base RI'!A315</f>
        <v>5929</v>
      </c>
      <c r="B314" s="338" t="str">
        <f>'A) Base RI'!B315</f>
        <v>Suchy</v>
      </c>
      <c r="C314" s="397">
        <v>1</v>
      </c>
      <c r="D314" s="327">
        <f>'B) D RI'!AR315</f>
        <v>542</v>
      </c>
      <c r="E314" s="328">
        <f>'B) D RI'!S315</f>
        <v>68</v>
      </c>
      <c r="F314" s="14">
        <f>'B) D RI'!R315</f>
        <v>1093706.1033333335</v>
      </c>
      <c r="G314" s="14">
        <f>'B) D RI'!U315</f>
        <v>16083.913284313729</v>
      </c>
      <c r="H314" s="52">
        <f>'B) D RI'!T315</f>
        <v>1006917.5200000001</v>
      </c>
      <c r="I314" s="14">
        <f t="shared" si="31"/>
        <v>29615.221176470593</v>
      </c>
      <c r="J314" s="41">
        <f t="shared" si="29"/>
        <v>46313.471609814616</v>
      </c>
      <c r="K314" s="14">
        <f t="shared" si="32"/>
        <v>0</v>
      </c>
      <c r="L314" s="14">
        <f t="shared" si="30"/>
        <v>46313.471609814616</v>
      </c>
      <c r="M314" s="14">
        <f>'D) Ecrêtage'!M313</f>
        <v>16083.913284313729</v>
      </c>
      <c r="N314" s="14">
        <f t="shared" si="26"/>
        <v>20847.470655936955</v>
      </c>
      <c r="O314" s="75">
        <f t="shared" si="27"/>
        <v>20847.470655936955</v>
      </c>
      <c r="P314" s="329"/>
      <c r="Q314" s="330"/>
      <c r="R314" s="326"/>
      <c r="S314" s="326"/>
      <c r="T314" s="331"/>
    </row>
    <row r="315" spans="1:20" s="325" customFormat="1" x14ac:dyDescent="0.25">
      <c r="A315" s="338">
        <f>'A) Base RI'!A316</f>
        <v>5930</v>
      </c>
      <c r="B315" s="338" t="str">
        <f>'A) Base RI'!B316</f>
        <v>Suscévaz</v>
      </c>
      <c r="C315" s="397">
        <v>1</v>
      </c>
      <c r="D315" s="327">
        <f>'B) D RI'!AR316</f>
        <v>199</v>
      </c>
      <c r="E315" s="328">
        <f>'B) D RI'!S316</f>
        <v>66</v>
      </c>
      <c r="F315" s="14">
        <f>'B) D RI'!R316</f>
        <v>343733.52999999997</v>
      </c>
      <c r="G315" s="14">
        <f>'B) D RI'!U316</f>
        <v>5208.083787878787</v>
      </c>
      <c r="H315" s="52">
        <f>'B) D RI'!T316</f>
        <v>317486.93</v>
      </c>
      <c r="I315" s="14">
        <f t="shared" si="31"/>
        <v>9620.816060606061</v>
      </c>
      <c r="J315" s="41">
        <f t="shared" si="29"/>
        <v>17004.392712828612</v>
      </c>
      <c r="K315" s="14">
        <f t="shared" si="32"/>
        <v>0</v>
      </c>
      <c r="L315" s="14">
        <f t="shared" si="30"/>
        <v>17004.392712828612</v>
      </c>
      <c r="M315" s="14">
        <f>'D) Ecrêtage'!M314</f>
        <v>5208.083787878787</v>
      </c>
      <c r="N315" s="14">
        <f t="shared" si="26"/>
        <v>6750.5570331167519</v>
      </c>
      <c r="O315" s="75">
        <f t="shared" si="27"/>
        <v>6750.5570331167519</v>
      </c>
      <c r="P315" s="329"/>
      <c r="Q315" s="330"/>
      <c r="R315" s="326"/>
      <c r="S315" s="326"/>
      <c r="T315" s="331"/>
    </row>
    <row r="316" spans="1:20" s="325" customFormat="1" x14ac:dyDescent="0.25">
      <c r="A316" s="338">
        <f>'A) Base RI'!A317</f>
        <v>5931</v>
      </c>
      <c r="B316" s="338" t="str">
        <f>'A) Base RI'!B317</f>
        <v>Treycovagnes</v>
      </c>
      <c r="C316" s="397">
        <v>1</v>
      </c>
      <c r="D316" s="327">
        <f>'B) D RI'!AR317</f>
        <v>462</v>
      </c>
      <c r="E316" s="328">
        <f>'B) D RI'!S317</f>
        <v>77</v>
      </c>
      <c r="F316" s="14">
        <f>'B) D RI'!R317</f>
        <v>1071999.71</v>
      </c>
      <c r="G316" s="14">
        <f>'B) D RI'!U317</f>
        <v>13922.074155844155</v>
      </c>
      <c r="H316" s="52">
        <f>'B) D RI'!T317</f>
        <v>1002238.51</v>
      </c>
      <c r="I316" s="14">
        <f t="shared" si="31"/>
        <v>26032.16909090909</v>
      </c>
      <c r="J316" s="41">
        <f t="shared" si="29"/>
        <v>39477.534840838285</v>
      </c>
      <c r="K316" s="14">
        <f t="shared" si="32"/>
        <v>0</v>
      </c>
      <c r="L316" s="14">
        <f t="shared" si="30"/>
        <v>39477.534840838285</v>
      </c>
      <c r="M316" s="14">
        <f>'D) Ecrêtage'!M315</f>
        <v>13922.074155844155</v>
      </c>
      <c r="N316" s="14">
        <f t="shared" si="26"/>
        <v>18045.361679287573</v>
      </c>
      <c r="O316" s="75">
        <f t="shared" si="27"/>
        <v>18045.361679287573</v>
      </c>
      <c r="P316" s="329"/>
      <c r="Q316" s="330"/>
      <c r="R316" s="326"/>
      <c r="S316" s="326"/>
      <c r="T316" s="331"/>
    </row>
    <row r="317" spans="1:20" s="325" customFormat="1" x14ac:dyDescent="0.25">
      <c r="A317" s="338">
        <f>'A) Base RI'!A318</f>
        <v>5932</v>
      </c>
      <c r="B317" s="338" t="str">
        <f>'A) Base RI'!B318</f>
        <v>Ursins</v>
      </c>
      <c r="C317" s="397">
        <v>0</v>
      </c>
      <c r="D317" s="327">
        <f>'B) D RI'!AR318</f>
        <v>207</v>
      </c>
      <c r="E317" s="328">
        <f>'B) D RI'!S318</f>
        <v>78</v>
      </c>
      <c r="F317" s="14">
        <f>'B) D RI'!R318</f>
        <v>423485.94</v>
      </c>
      <c r="G317" s="14">
        <f>'B) D RI'!U318</f>
        <v>5429.3069230769233</v>
      </c>
      <c r="H317" s="52">
        <f>'B) D RI'!T318</f>
        <v>394542.24</v>
      </c>
      <c r="I317" s="14">
        <f t="shared" si="31"/>
        <v>10116.467692307691</v>
      </c>
      <c r="J317" s="41">
        <f t="shared" si="29"/>
        <v>17687.986389726248</v>
      </c>
      <c r="K317" s="14">
        <f t="shared" si="32"/>
        <v>10116.467692307691</v>
      </c>
      <c r="L317" s="14">
        <f t="shared" si="30"/>
        <v>7571.5186974185563</v>
      </c>
      <c r="M317" s="14">
        <f>'D) Ecrêtage'!M316</f>
        <v>5429.3069230769233</v>
      </c>
      <c r="N317" s="14">
        <f t="shared" si="26"/>
        <v>7037.2996148462516</v>
      </c>
      <c r="O317" s="75">
        <f t="shared" si="27"/>
        <v>17153.767307153943</v>
      </c>
      <c r="P317" s="329"/>
      <c r="Q317" s="330"/>
      <c r="R317" s="326"/>
      <c r="S317" s="326"/>
      <c r="T317" s="331"/>
    </row>
    <row r="318" spans="1:20" s="325" customFormat="1" x14ac:dyDescent="0.25">
      <c r="A318" s="338">
        <f>'A) Base RI'!A319</f>
        <v>5933</v>
      </c>
      <c r="B318" s="338" t="str">
        <f>'A) Base RI'!B319</f>
        <v>Valeyres-sous-Montagny</v>
      </c>
      <c r="C318" s="397">
        <v>0</v>
      </c>
      <c r="D318" s="327">
        <f>'B) D RI'!AR319</f>
        <v>661</v>
      </c>
      <c r="E318" s="328">
        <f>'B) D RI'!S319</f>
        <v>72</v>
      </c>
      <c r="F318" s="14">
        <f>'B) D RI'!R319</f>
        <v>1235949.9200000002</v>
      </c>
      <c r="G318" s="14">
        <f>'B) D RI'!U319</f>
        <v>17165.971111111114</v>
      </c>
      <c r="H318" s="52">
        <f>'B) D RI'!T319</f>
        <v>1136761.6700000002</v>
      </c>
      <c r="I318" s="14">
        <f t="shared" si="31"/>
        <v>31576.71305555556</v>
      </c>
      <c r="J318" s="41">
        <f t="shared" si="29"/>
        <v>56481.927553666901</v>
      </c>
      <c r="K318" s="14">
        <f t="shared" si="32"/>
        <v>31576.71305555556</v>
      </c>
      <c r="L318" s="14">
        <f t="shared" si="30"/>
        <v>24905.214498111342</v>
      </c>
      <c r="M318" s="14">
        <f>'D) Ecrêtage'!M317</f>
        <v>17165.971111111114</v>
      </c>
      <c r="N318" s="14">
        <f t="shared" si="26"/>
        <v>22250.000524969877</v>
      </c>
      <c r="O318" s="75">
        <f t="shared" si="27"/>
        <v>53826.713580525437</v>
      </c>
      <c r="P318" s="329"/>
      <c r="Q318" s="330"/>
      <c r="R318" s="326"/>
      <c r="S318" s="326"/>
      <c r="T318" s="331"/>
    </row>
    <row r="319" spans="1:20" s="325" customFormat="1" x14ac:dyDescent="0.25">
      <c r="A319" s="338">
        <f>'A) Base RI'!A320</f>
        <v>5934</v>
      </c>
      <c r="B319" s="338" t="str">
        <f>'A) Base RI'!B320</f>
        <v>Valeyres-sous-Ursins</v>
      </c>
      <c r="C319" s="397">
        <v>0</v>
      </c>
      <c r="D319" s="327">
        <f>'B) D RI'!AR320</f>
        <v>245</v>
      </c>
      <c r="E319" s="328">
        <f>'B) D RI'!S320</f>
        <v>79</v>
      </c>
      <c r="F319" s="14">
        <f>'B) D RI'!R320</f>
        <v>521592.01</v>
      </c>
      <c r="G319" s="14">
        <f>'B) D RI'!U320</f>
        <v>6602.430506329114</v>
      </c>
      <c r="H319" s="52">
        <f>'B) D RI'!T320</f>
        <v>495067.91000000003</v>
      </c>
      <c r="I319" s="14">
        <f t="shared" si="31"/>
        <v>12533.364810126583</v>
      </c>
      <c r="J319" s="41">
        <f t="shared" si="29"/>
        <v>20935.05635499</v>
      </c>
      <c r="K319" s="14">
        <f t="shared" si="32"/>
        <v>12533.364810126583</v>
      </c>
      <c r="L319" s="14">
        <f t="shared" si="30"/>
        <v>8401.6915448634172</v>
      </c>
      <c r="M319" s="14">
        <f>'D) Ecrêtage'!M318</f>
        <v>6602.430506329114</v>
      </c>
      <c r="N319" s="14">
        <f t="shared" si="26"/>
        <v>8557.866099216053</v>
      </c>
      <c r="O319" s="75">
        <f t="shared" si="27"/>
        <v>21091.230909342637</v>
      </c>
      <c r="P319" s="329"/>
      <c r="Q319" s="330"/>
      <c r="R319" s="326"/>
      <c r="S319" s="326"/>
      <c r="T319" s="331"/>
    </row>
    <row r="320" spans="1:20" s="325" customFormat="1" x14ac:dyDescent="0.25">
      <c r="A320" s="338">
        <f>'A) Base RI'!A321</f>
        <v>5935</v>
      </c>
      <c r="B320" s="338" t="str">
        <f>'A) Base RI'!B321</f>
        <v>Villars-Epeney</v>
      </c>
      <c r="C320" s="397">
        <v>0</v>
      </c>
      <c r="D320" s="327">
        <f>'B) D RI'!AR321</f>
        <v>90</v>
      </c>
      <c r="E320" s="328">
        <f>'B) D RI'!S321</f>
        <v>60</v>
      </c>
      <c r="F320" s="14">
        <f>'B) D RI'!R321</f>
        <v>450775.85000000003</v>
      </c>
      <c r="G320" s="14">
        <f>'B) D RI'!U321</f>
        <v>7512.9308333333338</v>
      </c>
      <c r="H320" s="52">
        <f>'B) D RI'!T321</f>
        <v>433507.9</v>
      </c>
      <c r="I320" s="14">
        <f t="shared" si="31"/>
        <v>14450.263333333334</v>
      </c>
      <c r="J320" s="41">
        <f t="shared" si="29"/>
        <v>7690.4288650983681</v>
      </c>
      <c r="K320" s="14">
        <f t="shared" si="32"/>
        <v>7690.4288650983681</v>
      </c>
      <c r="L320" s="14">
        <f t="shared" si="30"/>
        <v>0</v>
      </c>
      <c r="M320" s="14">
        <f>'D) Ecrêtage'!M319</f>
        <v>6457.7949952619629</v>
      </c>
      <c r="N320" s="14">
        <f t="shared" si="26"/>
        <v>8370.3940257549493</v>
      </c>
      <c r="O320" s="75">
        <f t="shared" si="27"/>
        <v>16060.822890853316</v>
      </c>
      <c r="P320" s="329"/>
      <c r="Q320" s="330"/>
      <c r="R320" s="326"/>
      <c r="S320" s="326"/>
      <c r="T320" s="331"/>
    </row>
    <row r="321" spans="1:20" s="325" customFormat="1" x14ac:dyDescent="0.25">
      <c r="A321" s="338">
        <f>'A) Base RI'!A322</f>
        <v>5937</v>
      </c>
      <c r="B321" s="338" t="str">
        <f>'A) Base RI'!B322</f>
        <v>Vugelles-La Mothe</v>
      </c>
      <c r="C321" s="397">
        <v>0</v>
      </c>
      <c r="D321" s="327">
        <f>'B) D RI'!AR322</f>
        <v>135</v>
      </c>
      <c r="E321" s="328">
        <f>'B) D RI'!S322</f>
        <v>70</v>
      </c>
      <c r="F321" s="14">
        <f>'B) D RI'!R322</f>
        <v>149028.46428571429</v>
      </c>
      <c r="G321" s="14">
        <f>'B) D RI'!U322</f>
        <v>2128.9780612244899</v>
      </c>
      <c r="H321" s="52">
        <f>'B) D RI'!T322</f>
        <v>134485.75</v>
      </c>
      <c r="I321" s="14">
        <f t="shared" si="31"/>
        <v>3842.45</v>
      </c>
      <c r="J321" s="41">
        <f t="shared" si="29"/>
        <v>11535.643297647552</v>
      </c>
      <c r="K321" s="14">
        <f t="shared" si="32"/>
        <v>3842.45</v>
      </c>
      <c r="L321" s="14">
        <f t="shared" si="30"/>
        <v>7693.1932976475518</v>
      </c>
      <c r="M321" s="14">
        <f>'D) Ecrêtage'!M320</f>
        <v>2128.9780612244899</v>
      </c>
      <c r="N321" s="14">
        <f t="shared" si="26"/>
        <v>2759.5154782261611</v>
      </c>
      <c r="O321" s="75">
        <f t="shared" si="27"/>
        <v>6601.9654782261605</v>
      </c>
      <c r="P321" s="329"/>
      <c r="Q321" s="330"/>
      <c r="R321" s="326"/>
      <c r="S321" s="326"/>
      <c r="T321" s="331"/>
    </row>
    <row r="322" spans="1:20" s="325" customFormat="1" x14ac:dyDescent="0.25">
      <c r="A322" s="338">
        <f>'A) Base RI'!A323</f>
        <v>5938</v>
      </c>
      <c r="B322" s="338" t="str">
        <f>'A) Base RI'!B323</f>
        <v>Yverdon-les-Bains</v>
      </c>
      <c r="C322" s="397">
        <v>1</v>
      </c>
      <c r="D322" s="327">
        <f>'B) D RI'!AR323</f>
        <v>29308</v>
      </c>
      <c r="E322" s="328">
        <f>'B) D RI'!S323</f>
        <v>76.5</v>
      </c>
      <c r="F322" s="14">
        <f>'B) D RI'!R323</f>
        <v>59007512.110000007</v>
      </c>
      <c r="G322" s="14">
        <f>'B) D RI'!U323</f>
        <v>771340.02758169943</v>
      </c>
      <c r="H322" s="52">
        <f>'B) D RI'!T323</f>
        <v>54715573.56000001</v>
      </c>
      <c r="I322" s="14">
        <f t="shared" si="31"/>
        <v>1430472.5113725492</v>
      </c>
      <c r="J322" s="41">
        <f t="shared" si="29"/>
        <v>2504345.4353144774</v>
      </c>
      <c r="K322" s="14">
        <f t="shared" si="32"/>
        <v>0</v>
      </c>
      <c r="L322" s="14">
        <f t="shared" si="30"/>
        <v>2504345.4353144774</v>
      </c>
      <c r="M322" s="14">
        <f>'D) Ecrêtage'!M321</f>
        <v>771340.02758169943</v>
      </c>
      <c r="N322" s="14">
        <f t="shared" si="26"/>
        <v>999787.07336367026</v>
      </c>
      <c r="O322" s="75">
        <f t="shared" si="27"/>
        <v>999787.07336367026</v>
      </c>
      <c r="P322" s="329"/>
      <c r="Q322" s="330"/>
      <c r="R322" s="326"/>
      <c r="S322" s="326"/>
      <c r="T322" s="331"/>
    </row>
    <row r="323" spans="1:20" s="325" customFormat="1" x14ac:dyDescent="0.25">
      <c r="A323" s="339">
        <f>'A) Base RI'!A324</f>
        <v>5939</v>
      </c>
      <c r="B323" s="338" t="str">
        <f>'A) Base RI'!B324</f>
        <v>Yvonand</v>
      </c>
      <c r="C323" s="397">
        <v>0</v>
      </c>
      <c r="D323" s="327">
        <f>'B) D RI'!AR324</f>
        <v>3152</v>
      </c>
      <c r="E323" s="328">
        <f>'B) D RI'!S324</f>
        <v>73</v>
      </c>
      <c r="F323" s="14">
        <f>'B) D RI'!R324</f>
        <v>6440173.2899999991</v>
      </c>
      <c r="G323" s="14">
        <f>'B) D RI'!U324</f>
        <v>88221.551917808203</v>
      </c>
      <c r="H323" s="52">
        <f>'B) D RI'!T324</f>
        <v>5968615.2399999993</v>
      </c>
      <c r="I323" s="25">
        <f t="shared" si="31"/>
        <v>163523.70520547943</v>
      </c>
      <c r="J323" s="162">
        <f t="shared" si="29"/>
        <v>269335.9086976673</v>
      </c>
      <c r="K323" s="14">
        <f t="shared" si="32"/>
        <v>163523.70520547943</v>
      </c>
      <c r="L323" s="25">
        <f t="shared" si="30"/>
        <v>105812.20349218787</v>
      </c>
      <c r="M323" s="25">
        <f>'D) Ecrêtage'!M322</f>
        <v>88221.551917808203</v>
      </c>
      <c r="N323" s="25">
        <f>+$N$5*M323</f>
        <v>114350.04543461764</v>
      </c>
      <c r="O323" s="149">
        <f t="shared" si="27"/>
        <v>277873.75064009707</v>
      </c>
      <c r="P323" s="329"/>
      <c r="Q323" s="330"/>
      <c r="R323" s="326"/>
      <c r="S323" s="326"/>
      <c r="T323" s="331"/>
    </row>
    <row r="324" spans="1:20" s="325" customFormat="1" x14ac:dyDescent="0.25">
      <c r="A324" s="40"/>
      <c r="B324" s="190">
        <f>COUNTA(B6:B323)</f>
        <v>318</v>
      </c>
      <c r="C324" s="349">
        <f>SUM(C6:C323)</f>
        <v>54</v>
      </c>
      <c r="D324" s="341">
        <f>SUM(D6:D323)</f>
        <v>767496</v>
      </c>
      <c r="E324" s="341"/>
      <c r="F324" s="341">
        <f t="shared" ref="F324:M324" si="33">SUM(F6:F323)</f>
        <v>2387417699.5776119</v>
      </c>
      <c r="G324" s="341">
        <f t="shared" si="33"/>
        <v>35177813.511629909</v>
      </c>
      <c r="H324" s="341">
        <f t="shared" si="33"/>
        <v>2225365622.0200014</v>
      </c>
      <c r="I324" s="400">
        <f>SUM(I6:I323)</f>
        <v>65581926.580528185</v>
      </c>
      <c r="J324" s="341">
        <f t="shared" si="33"/>
        <v>65581926.58052817</v>
      </c>
      <c r="K324" s="341">
        <f t="shared" si="33"/>
        <v>20600831.541586392</v>
      </c>
      <c r="L324" s="343">
        <f t="shared" si="33"/>
        <v>44981095.038941793</v>
      </c>
      <c r="M324" s="341">
        <f t="shared" si="33"/>
        <v>33479424.883787204</v>
      </c>
      <c r="N324" s="350">
        <f>Paramètres!B62-K324</f>
        <v>43394994.458413608</v>
      </c>
      <c r="O324" s="344">
        <f>SUM(O6:O323)</f>
        <v>63995825.999999955</v>
      </c>
      <c r="P324" s="326"/>
      <c r="R324" s="326"/>
      <c r="S324" s="326"/>
    </row>
    <row r="325" spans="1:20" s="325" customFormat="1" x14ac:dyDescent="0.25">
      <c r="A325" s="324"/>
      <c r="B325" s="324"/>
      <c r="C325" s="324"/>
      <c r="D325" s="324"/>
      <c r="E325" s="324"/>
      <c r="F325" s="324"/>
      <c r="G325" s="324"/>
      <c r="H325" s="324"/>
      <c r="I325" s="398"/>
      <c r="J325" s="324"/>
      <c r="K325" s="324"/>
      <c r="L325" s="332"/>
      <c r="M325" s="324"/>
      <c r="N325" s="332"/>
      <c r="O325" s="324"/>
      <c r="P325" s="326"/>
      <c r="R325" s="326"/>
      <c r="S325" s="326"/>
    </row>
    <row r="326" spans="1:20" x14ac:dyDescent="0.25">
      <c r="I326" s="398"/>
      <c r="J326" s="398"/>
      <c r="K326" s="398"/>
      <c r="L326" s="398"/>
      <c r="M326" s="398"/>
      <c r="N326" s="398"/>
      <c r="O326" s="398"/>
    </row>
  </sheetData>
  <sheetProtection sheet="1" objects="1" scenarios="1"/>
  <protectedRanges>
    <protectedRange sqref="C6:C323" name="Plage1"/>
  </protectedRanges>
  <mergeCells count="13">
    <mergeCell ref="O4:O5"/>
    <mergeCell ref="B4:B5"/>
    <mergeCell ref="A4:A5"/>
    <mergeCell ref="M4:M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326"/>
  <sheetViews>
    <sheetView workbookViewId="0">
      <selection sqref="A1:E1"/>
    </sheetView>
  </sheetViews>
  <sheetFormatPr baseColWidth="10" defaultColWidth="10.75" defaultRowHeight="15" x14ac:dyDescent="0.25"/>
  <cols>
    <col min="1" max="1" width="6.875" style="18" customWidth="1"/>
    <col min="2" max="2" width="14.625" style="18" customWidth="1"/>
    <col min="3" max="3" width="6.125" style="20" bestFit="1" customWidth="1"/>
    <col min="4" max="5" width="9.875" style="244" customWidth="1"/>
    <col min="6" max="14" width="9.875" style="18" customWidth="1"/>
    <col min="15" max="15" width="1.375" style="18" customWidth="1"/>
    <col min="16" max="16" width="9.875" style="18" bestFit="1" customWidth="1"/>
    <col min="17" max="16384" width="10.75" style="18"/>
  </cols>
  <sheetData>
    <row r="1" spans="1:17" s="54" customFormat="1" ht="20.25" customHeight="1" x14ac:dyDescent="0.2">
      <c r="A1" s="536" t="s">
        <v>536</v>
      </c>
      <c r="B1" s="537"/>
      <c r="C1" s="537"/>
      <c r="D1" s="537"/>
      <c r="E1" s="537"/>
      <c r="F1" s="100"/>
      <c r="G1" s="100"/>
      <c r="H1" s="100"/>
      <c r="I1" s="100"/>
      <c r="J1" s="100"/>
      <c r="K1" s="100"/>
      <c r="L1" s="100"/>
      <c r="M1" s="100"/>
      <c r="N1" s="100"/>
    </row>
    <row r="2" spans="1:17" s="54" customFormat="1" ht="20.25" customHeight="1" x14ac:dyDescent="0.2">
      <c r="A2" s="252" t="str">
        <f>Paramètres!B5</f>
        <v>décompte 2015</v>
      </c>
      <c r="C2" s="423"/>
      <c r="D2" s="251"/>
      <c r="E2" s="251"/>
      <c r="F2" s="100"/>
      <c r="G2" s="100"/>
      <c r="H2" s="100"/>
      <c r="I2" s="100"/>
      <c r="J2" s="100"/>
      <c r="K2" s="100"/>
      <c r="L2" s="100"/>
      <c r="M2" s="100"/>
      <c r="N2" s="100"/>
    </row>
    <row r="3" spans="1:17" x14ac:dyDescent="0.25">
      <c r="D3" s="18"/>
      <c r="E3" s="18"/>
    </row>
    <row r="4" spans="1:17" ht="53.25" customHeight="1" x14ac:dyDescent="0.25">
      <c r="A4" s="497" t="s">
        <v>51</v>
      </c>
      <c r="B4" s="497" t="s">
        <v>121</v>
      </c>
      <c r="C4" s="521" t="s">
        <v>406</v>
      </c>
      <c r="D4" s="530" t="s">
        <v>407</v>
      </c>
      <c r="E4" s="530" t="s">
        <v>483</v>
      </c>
      <c r="F4" s="530" t="s">
        <v>118</v>
      </c>
      <c r="G4" s="530" t="s">
        <v>179</v>
      </c>
      <c r="H4" s="530" t="s">
        <v>173</v>
      </c>
      <c r="I4" s="530" t="s">
        <v>457</v>
      </c>
      <c r="J4" s="530" t="s">
        <v>247</v>
      </c>
      <c r="K4" s="530" t="s">
        <v>160</v>
      </c>
      <c r="L4" s="530" t="s">
        <v>248</v>
      </c>
      <c r="M4" s="530" t="s">
        <v>564</v>
      </c>
      <c r="N4" s="538" t="s">
        <v>172</v>
      </c>
      <c r="O4" s="540" t="s">
        <v>632</v>
      </c>
      <c r="P4" s="530" t="s">
        <v>630</v>
      </c>
      <c r="Q4" s="538" t="s">
        <v>631</v>
      </c>
    </row>
    <row r="5" spans="1:17" ht="14.25" customHeight="1" x14ac:dyDescent="0.25">
      <c r="A5" s="498"/>
      <c r="B5" s="498"/>
      <c r="C5" s="526"/>
      <c r="D5" s="531"/>
      <c r="E5" s="531"/>
      <c r="F5" s="531"/>
      <c r="G5" s="531"/>
      <c r="H5" s="531"/>
      <c r="I5" s="531"/>
      <c r="J5" s="531"/>
      <c r="K5" s="531"/>
      <c r="L5" s="531"/>
      <c r="M5" s="531"/>
      <c r="N5" s="539"/>
      <c r="O5" s="540"/>
      <c r="P5" s="531"/>
      <c r="Q5" s="539"/>
    </row>
    <row r="6" spans="1:17" s="248" customFormat="1" x14ac:dyDescent="0.25">
      <c r="A6" s="245">
        <f>'B) D RI'!A7</f>
        <v>5401</v>
      </c>
      <c r="B6" s="246" t="str">
        <f>'B) D RI'!B7</f>
        <v>Aigle</v>
      </c>
      <c r="C6" s="424">
        <f>'B) D RI'!S7</f>
        <v>67.5</v>
      </c>
      <c r="D6" s="247">
        <f>'B) D RI'!AR7</f>
        <v>9757</v>
      </c>
      <c r="E6" s="253">
        <f>'D) Ecrêtage'!M5</f>
        <v>260845.44622222218</v>
      </c>
      <c r="F6" s="256">
        <f>'E) Fact soc'!G11</f>
        <v>4601337.2338172002</v>
      </c>
      <c r="G6" s="256">
        <f>'H) Péréquation directe'!I16</f>
        <v>-2958263.8375629252</v>
      </c>
      <c r="H6" s="256">
        <f>'I) Dépenses thématiques'!O5</f>
        <v>-2128416.9240806056</v>
      </c>
      <c r="I6" s="256">
        <f>'K) Plafonnement aide'!J5</f>
        <v>0</v>
      </c>
      <c r="J6" s="256">
        <f>'J) Plafonnement effort'!I5</f>
        <v>0</v>
      </c>
      <c r="K6" s="256">
        <f>'L) Plafonnement taux'!Q6</f>
        <v>0</v>
      </c>
      <c r="L6" s="345">
        <f>F6+G6+H6+I6+J6+K6</f>
        <v>-485343.52782633062</v>
      </c>
      <c r="M6" s="346">
        <f>'M) Police'!O6</f>
        <v>338099.79510123841</v>
      </c>
      <c r="N6" s="345">
        <f>L6+M6</f>
        <v>-147243.73272509221</v>
      </c>
      <c r="P6" s="406">
        <v>-3214</v>
      </c>
      <c r="Q6" s="409">
        <f>N6+P6</f>
        <v>-150457.73272509221</v>
      </c>
    </row>
    <row r="7" spans="1:17" s="248" customFormat="1" x14ac:dyDescent="0.25">
      <c r="A7" s="245">
        <f>'B) D RI'!A8</f>
        <v>5402</v>
      </c>
      <c r="B7" s="246" t="str">
        <f>'B) D RI'!B8</f>
        <v>Bex</v>
      </c>
      <c r="C7" s="424">
        <f>'B) D RI'!S8</f>
        <v>71</v>
      </c>
      <c r="D7" s="247">
        <f>'B) D RI'!AR8</f>
        <v>7236</v>
      </c>
      <c r="E7" s="254">
        <f>'D) Ecrêtage'!M6</f>
        <v>175890.90239436619</v>
      </c>
      <c r="F7" s="257">
        <f>'E) Fact soc'!G12</f>
        <v>3446632.9032334271</v>
      </c>
      <c r="G7" s="257">
        <f>'H) Péréquation directe'!I17</f>
        <v>-2660463.4498178465</v>
      </c>
      <c r="H7" s="257">
        <f>'I) Dépenses thématiques'!O6</f>
        <v>-1805734.4850767304</v>
      </c>
      <c r="I7" s="257">
        <f>'K) Plafonnement aide'!J6</f>
        <v>0</v>
      </c>
      <c r="J7" s="257">
        <f>'J) Plafonnement effort'!I6</f>
        <v>0</v>
      </c>
      <c r="K7" s="257">
        <f>'L) Plafonnement taux'!Q7</f>
        <v>0</v>
      </c>
      <c r="L7" s="346">
        <f t="shared" ref="L7:L61" si="0">F7+G7+H7+I7+J7+K7</f>
        <v>-1019565.0316611498</v>
      </c>
      <c r="M7" s="346">
        <f>'M) Police'!O7</f>
        <v>227984.34444986994</v>
      </c>
      <c r="N7" s="346">
        <f t="shared" ref="N7:N70" si="1">L7+M7</f>
        <v>-791580.68721127987</v>
      </c>
      <c r="P7" s="407">
        <v>-2994</v>
      </c>
      <c r="Q7" s="410">
        <f t="shared" ref="Q7:Q70" si="2">N7+P7</f>
        <v>-794574.68721127987</v>
      </c>
    </row>
    <row r="8" spans="1:17" s="248" customFormat="1" x14ac:dyDescent="0.25">
      <c r="A8" s="245">
        <f>'B) D RI'!A9</f>
        <v>5403</v>
      </c>
      <c r="B8" s="246" t="str">
        <f>'B) D RI'!B9</f>
        <v>Chessel</v>
      </c>
      <c r="C8" s="424">
        <f>'B) D RI'!S9</f>
        <v>76</v>
      </c>
      <c r="D8" s="247">
        <f>'B) D RI'!AR9</f>
        <v>396</v>
      </c>
      <c r="E8" s="254">
        <f>'D) Ecrêtage'!M7</f>
        <v>8284.5784210526326</v>
      </c>
      <c r="F8" s="257">
        <f>'E) Fact soc'!G13</f>
        <v>134280.05393738271</v>
      </c>
      <c r="G8" s="257">
        <f>'H) Péréquation directe'!I18</f>
        <v>-92587.47249808436</v>
      </c>
      <c r="H8" s="257">
        <f>'I) Dépenses thématiques'!O7</f>
        <v>-43097.26249239473</v>
      </c>
      <c r="I8" s="257">
        <f>'K) Plafonnement aide'!J7</f>
        <v>0</v>
      </c>
      <c r="J8" s="257">
        <f>'J) Plafonnement effort'!I7</f>
        <v>0</v>
      </c>
      <c r="K8" s="257">
        <f>'L) Plafonnement taux'!Q8</f>
        <v>0</v>
      </c>
      <c r="L8" s="346">
        <f t="shared" si="0"/>
        <v>-1404.6810530963849</v>
      </c>
      <c r="M8" s="346">
        <f>'M) Police'!O8</f>
        <v>25889.922327337306</v>
      </c>
      <c r="N8" s="346">
        <f t="shared" si="1"/>
        <v>24485.241274240921</v>
      </c>
      <c r="P8" s="407">
        <v>-54</v>
      </c>
      <c r="Q8" s="410">
        <f t="shared" si="2"/>
        <v>24431.241274240921</v>
      </c>
    </row>
    <row r="9" spans="1:17" s="248" customFormat="1" x14ac:dyDescent="0.25">
      <c r="A9" s="245">
        <f>'B) D RI'!A10</f>
        <v>5404</v>
      </c>
      <c r="B9" s="246" t="str">
        <f>'B) D RI'!B10</f>
        <v>Corbeyrier</v>
      </c>
      <c r="C9" s="424">
        <f>'B) D RI'!S10</f>
        <v>70</v>
      </c>
      <c r="D9" s="247">
        <f>'B) D RI'!AR10</f>
        <v>433</v>
      </c>
      <c r="E9" s="254">
        <f>'D) Ecrêtage'!M8</f>
        <v>9966.1885714285709</v>
      </c>
      <c r="F9" s="257">
        <f>'E) Fact soc'!G14</f>
        <v>190797.22630826378</v>
      </c>
      <c r="G9" s="257">
        <f>'H) Péréquation directe'!I19</f>
        <v>-32509.352227689116</v>
      </c>
      <c r="H9" s="257">
        <f>'I) Dépenses thématiques'!O8</f>
        <v>-208169.72092716646</v>
      </c>
      <c r="I9" s="257">
        <f>'K) Plafonnement aide'!J8</f>
        <v>0</v>
      </c>
      <c r="J9" s="257">
        <f>'J) Plafonnement effort'!I8</f>
        <v>0</v>
      </c>
      <c r="K9" s="257">
        <f>'L) Plafonnement taux'!Q9</f>
        <v>0</v>
      </c>
      <c r="L9" s="346">
        <f t="shared" si="0"/>
        <v>-49881.846846591798</v>
      </c>
      <c r="M9" s="346">
        <f>'M) Police'!O9</f>
        <v>30813.502349020899</v>
      </c>
      <c r="N9" s="346">
        <f t="shared" si="1"/>
        <v>-19068.344497570899</v>
      </c>
      <c r="P9" s="407">
        <v>-293</v>
      </c>
      <c r="Q9" s="410">
        <f t="shared" si="2"/>
        <v>-19361.344497570899</v>
      </c>
    </row>
    <row r="10" spans="1:17" s="248" customFormat="1" x14ac:dyDescent="0.25">
      <c r="A10" s="245">
        <f>'B) D RI'!A11</f>
        <v>5405</v>
      </c>
      <c r="B10" s="246" t="str">
        <f>'B) D RI'!B11</f>
        <v>Gryon</v>
      </c>
      <c r="C10" s="424">
        <f>'B) D RI'!S11</f>
        <v>75</v>
      </c>
      <c r="D10" s="247">
        <f>'B) D RI'!AR11</f>
        <v>1265</v>
      </c>
      <c r="E10" s="254">
        <f>'D) Ecrêtage'!M9</f>
        <v>71248.700388808633</v>
      </c>
      <c r="F10" s="257">
        <f>'E) Fact soc'!G15</f>
        <v>1436741.9030778927</v>
      </c>
      <c r="G10" s="257">
        <f>'H) Péréquation directe'!I20</f>
        <v>1126612.9137867158</v>
      </c>
      <c r="H10" s="257">
        <f>'I) Dépenses thématiques'!O9</f>
        <v>-509870.03493827023</v>
      </c>
      <c r="I10" s="257">
        <f>'K) Plafonnement aide'!J9</f>
        <v>0</v>
      </c>
      <c r="J10" s="257">
        <f>'J) Plafonnement effort'!I9</f>
        <v>0</v>
      </c>
      <c r="K10" s="257">
        <f>'L) Plafonnement taux'!Q10</f>
        <v>0</v>
      </c>
      <c r="L10" s="346">
        <f t="shared" si="0"/>
        <v>2053484.7819263386</v>
      </c>
      <c r="M10" s="346">
        <f>'M) Police'!O10</f>
        <v>200443.61069501535</v>
      </c>
      <c r="N10" s="346">
        <f t="shared" si="1"/>
        <v>2253928.3926213537</v>
      </c>
      <c r="P10" s="407">
        <v>-938</v>
      </c>
      <c r="Q10" s="410">
        <f t="shared" si="2"/>
        <v>2252990.3926213537</v>
      </c>
    </row>
    <row r="11" spans="1:17" s="248" customFormat="1" x14ac:dyDescent="0.25">
      <c r="A11" s="245">
        <f>'B) D RI'!A12</f>
        <v>5406</v>
      </c>
      <c r="B11" s="246" t="str">
        <f>'B) D RI'!B12</f>
        <v>Lavey-Morcles</v>
      </c>
      <c r="C11" s="424">
        <f>'B) D RI'!S12</f>
        <v>71</v>
      </c>
      <c r="D11" s="247">
        <f>'B) D RI'!AR12</f>
        <v>907</v>
      </c>
      <c r="E11" s="254">
        <f>'D) Ecrêtage'!M10</f>
        <v>19831.448851570964</v>
      </c>
      <c r="F11" s="257">
        <f>'E) Fact soc'!G16</f>
        <v>327052.79129488033</v>
      </c>
      <c r="G11" s="257">
        <f>'H) Péréquation directe'!I21</f>
        <v>-118845.2807687975</v>
      </c>
      <c r="H11" s="257">
        <f>'I) Dépenses thématiques'!O10</f>
        <v>-81883.10122863212</v>
      </c>
      <c r="I11" s="257">
        <f>'K) Plafonnement aide'!J10</f>
        <v>0</v>
      </c>
      <c r="J11" s="257">
        <f>'J) Plafonnement effort'!I10</f>
        <v>0</v>
      </c>
      <c r="K11" s="257">
        <f>'L) Plafonnement taux'!Q11</f>
        <v>0</v>
      </c>
      <c r="L11" s="346">
        <f t="shared" si="0"/>
        <v>126324.40929745071</v>
      </c>
      <c r="M11" s="346">
        <f>'M) Police'!O11</f>
        <v>61533.905495822197</v>
      </c>
      <c r="N11" s="346">
        <f t="shared" si="1"/>
        <v>187858.3147932729</v>
      </c>
      <c r="P11" s="407">
        <v>-122</v>
      </c>
      <c r="Q11" s="410">
        <f t="shared" si="2"/>
        <v>187736.3147932729</v>
      </c>
    </row>
    <row r="12" spans="1:17" s="248" customFormat="1" x14ac:dyDescent="0.25">
      <c r="A12" s="245">
        <f>'B) D RI'!A13</f>
        <v>5407</v>
      </c>
      <c r="B12" s="246" t="str">
        <f>'B) D RI'!B13</f>
        <v>Leysin</v>
      </c>
      <c r="C12" s="424">
        <f>'B) D RI'!S13</f>
        <v>78</v>
      </c>
      <c r="D12" s="247">
        <f>'B) D RI'!AR13</f>
        <v>4148</v>
      </c>
      <c r="E12" s="254">
        <f>'D) Ecrêtage'!M11</f>
        <v>102799.09089743589</v>
      </c>
      <c r="F12" s="257">
        <f>'E) Fact soc'!G17</f>
        <v>1869970.8730172066</v>
      </c>
      <c r="G12" s="257">
        <f>'H) Péréquation directe'!I22</f>
        <v>-1350781.5543491538</v>
      </c>
      <c r="H12" s="257">
        <f>'I) Dépenses thématiques'!O11</f>
        <v>-1327235.9087639602</v>
      </c>
      <c r="I12" s="257">
        <f>'K) Plafonnement aide'!J11</f>
        <v>0</v>
      </c>
      <c r="J12" s="257">
        <f>'J) Plafonnement effort'!I11</f>
        <v>0</v>
      </c>
      <c r="K12" s="257">
        <f>'L) Plafonnement taux'!Q12</f>
        <v>0</v>
      </c>
      <c r="L12" s="346">
        <f t="shared" si="0"/>
        <v>-808046.59009590745</v>
      </c>
      <c r="M12" s="346">
        <f>'M) Police'!O12</f>
        <v>318792.77956482396</v>
      </c>
      <c r="N12" s="346">
        <f t="shared" si="1"/>
        <v>-489253.81053108349</v>
      </c>
      <c r="P12" s="407">
        <v>-3102</v>
      </c>
      <c r="Q12" s="410">
        <f t="shared" si="2"/>
        <v>-492355.81053108349</v>
      </c>
    </row>
    <row r="13" spans="1:17" s="248" customFormat="1" x14ac:dyDescent="0.25">
      <c r="A13" s="245">
        <f>'B) D RI'!A14</f>
        <v>5408</v>
      </c>
      <c r="B13" s="246" t="str">
        <f>'B) D RI'!B14</f>
        <v>Noville</v>
      </c>
      <c r="C13" s="424">
        <f>'B) D RI'!S14</f>
        <v>78.5</v>
      </c>
      <c r="D13" s="247">
        <f>'B) D RI'!AR14</f>
        <v>1029</v>
      </c>
      <c r="E13" s="254">
        <f>'D) Ecrêtage'!M12</f>
        <v>34745.229256900217</v>
      </c>
      <c r="F13" s="257">
        <f>'E) Fact soc'!G18</f>
        <v>642186.40962365025</v>
      </c>
      <c r="G13" s="257">
        <f>'H) Péréquation directe'!I23</f>
        <v>284790.95511022687</v>
      </c>
      <c r="H13" s="257">
        <f>'I) Dépenses thématiques'!O12</f>
        <v>-90329.938208639011</v>
      </c>
      <c r="I13" s="257">
        <f>'K) Plafonnement aide'!J12</f>
        <v>0</v>
      </c>
      <c r="J13" s="257">
        <f>'J) Plafonnement effort'!I12</f>
        <v>0</v>
      </c>
      <c r="K13" s="257">
        <f>'L) Plafonnement taux'!Q13</f>
        <v>0</v>
      </c>
      <c r="L13" s="346">
        <f t="shared" si="0"/>
        <v>836647.42652523809</v>
      </c>
      <c r="M13" s="346">
        <f>'M) Police'!O13</f>
        <v>110788.95537304002</v>
      </c>
      <c r="N13" s="346">
        <f t="shared" si="1"/>
        <v>947436.38189827814</v>
      </c>
      <c r="P13" s="407">
        <v>-292</v>
      </c>
      <c r="Q13" s="410">
        <f t="shared" si="2"/>
        <v>947144.38189827814</v>
      </c>
    </row>
    <row r="14" spans="1:17" s="248" customFormat="1" x14ac:dyDescent="0.25">
      <c r="A14" s="245">
        <f>'B) D RI'!A15</f>
        <v>5409</v>
      </c>
      <c r="B14" s="246" t="str">
        <f>'B) D RI'!B15</f>
        <v>Ollon</v>
      </c>
      <c r="C14" s="424">
        <f>'B) D RI'!S15</f>
        <v>68</v>
      </c>
      <c r="D14" s="247">
        <f>'B) D RI'!AR15</f>
        <v>7419</v>
      </c>
      <c r="E14" s="254">
        <f>'D) Ecrêtage'!M13</f>
        <v>517844.500022105</v>
      </c>
      <c r="F14" s="257">
        <f>'E) Fact soc'!G19</f>
        <v>22057341.198460735</v>
      </c>
      <c r="G14" s="257">
        <f>'H) Péréquation directe'!I24</f>
        <v>6356511.6956882495</v>
      </c>
      <c r="H14" s="257">
        <f>'I) Dépenses thématiques'!O13</f>
        <v>-824208.22028407035</v>
      </c>
      <c r="I14" s="257">
        <f>'K) Plafonnement aide'!J13</f>
        <v>0</v>
      </c>
      <c r="J14" s="257">
        <f>'J) Plafonnement effort'!I13</f>
        <v>0</v>
      </c>
      <c r="K14" s="257">
        <f>'L) Plafonnement taux'!Q14</f>
        <v>0</v>
      </c>
      <c r="L14" s="346">
        <f t="shared" si="0"/>
        <v>27589644.673864912</v>
      </c>
      <c r="M14" s="346">
        <f>'M) Police'!O14</f>
        <v>671214.01537758997</v>
      </c>
      <c r="N14" s="346">
        <f t="shared" si="1"/>
        <v>28260858.689242501</v>
      </c>
      <c r="P14" s="407">
        <v>-2691</v>
      </c>
      <c r="Q14" s="410">
        <f t="shared" si="2"/>
        <v>28258167.689242501</v>
      </c>
    </row>
    <row r="15" spans="1:17" s="248" customFormat="1" x14ac:dyDescent="0.25">
      <c r="A15" s="245">
        <f>'B) D RI'!A16</f>
        <v>5410</v>
      </c>
      <c r="B15" s="246" t="str">
        <f>'B) D RI'!B16</f>
        <v>Ormont-Dessous</v>
      </c>
      <c r="C15" s="424">
        <f>'B) D RI'!S16</f>
        <v>78.5</v>
      </c>
      <c r="D15" s="247">
        <f>'B) D RI'!AR16</f>
        <v>1119</v>
      </c>
      <c r="E15" s="254">
        <f>'D) Ecrêtage'!M14</f>
        <v>35234.198174097655</v>
      </c>
      <c r="F15" s="257">
        <f>'E) Fact soc'!G20</f>
        <v>670076.1842380797</v>
      </c>
      <c r="G15" s="257">
        <f>'H) Péréquation directe'!I25</f>
        <v>178389.3754497004</v>
      </c>
      <c r="H15" s="257">
        <f>'I) Dépenses thématiques'!O14</f>
        <v>-781356.41582297359</v>
      </c>
      <c r="I15" s="257">
        <f>'K) Plafonnement aide'!J14</f>
        <v>0</v>
      </c>
      <c r="J15" s="257">
        <f>'J) Plafonnement effort'!I14</f>
        <v>0</v>
      </c>
      <c r="K15" s="257">
        <f>'L) Plafonnement taux'!Q15</f>
        <v>0</v>
      </c>
      <c r="L15" s="346">
        <f t="shared" si="0"/>
        <v>67109.143864806509</v>
      </c>
      <c r="M15" s="346">
        <f>'M) Police'!O15</f>
        <v>107453.95601907867</v>
      </c>
      <c r="N15" s="346">
        <f t="shared" si="1"/>
        <v>174563.09988388518</v>
      </c>
      <c r="P15" s="407">
        <v>-1219</v>
      </c>
      <c r="Q15" s="410">
        <f t="shared" si="2"/>
        <v>173344.09988388518</v>
      </c>
    </row>
    <row r="16" spans="1:17" s="248" customFormat="1" x14ac:dyDescent="0.25">
      <c r="A16" s="245">
        <f>'B) D RI'!A17</f>
        <v>5411</v>
      </c>
      <c r="B16" s="246" t="str">
        <f>'B) D RI'!B17</f>
        <v>Ormont-Dessus</v>
      </c>
      <c r="C16" s="424">
        <f>'B) D RI'!S17</f>
        <v>76</v>
      </c>
      <c r="D16" s="247">
        <f>'B) D RI'!AR17</f>
        <v>1481</v>
      </c>
      <c r="E16" s="254">
        <f>'D) Ecrêtage'!M15</f>
        <v>71790.213859649128</v>
      </c>
      <c r="F16" s="257">
        <f>'E) Fact soc'!G21</f>
        <v>1289345.7708225506</v>
      </c>
      <c r="G16" s="257">
        <f>'H) Péréquation directe'!I26</f>
        <v>1061786.3296012036</v>
      </c>
      <c r="H16" s="257">
        <f>'I) Dépenses thématiques'!O15</f>
        <v>-805590.82715109398</v>
      </c>
      <c r="I16" s="257">
        <f>'K) Plafonnement aide'!J15</f>
        <v>0</v>
      </c>
      <c r="J16" s="257">
        <f>'J) Plafonnement effort'!I15</f>
        <v>0</v>
      </c>
      <c r="K16" s="257">
        <f>'L) Plafonnement taux'!Q16</f>
        <v>0</v>
      </c>
      <c r="L16" s="346">
        <f t="shared" si="0"/>
        <v>1545541.2732726601</v>
      </c>
      <c r="M16" s="346">
        <f>'M) Police'!O16</f>
        <v>216497.18827529636</v>
      </c>
      <c r="N16" s="346">
        <f t="shared" si="1"/>
        <v>1762038.4615479563</v>
      </c>
      <c r="P16" s="407">
        <v>-1433</v>
      </c>
      <c r="Q16" s="410">
        <f t="shared" si="2"/>
        <v>1760605.4615479563</v>
      </c>
    </row>
    <row r="17" spans="1:17" s="248" customFormat="1" x14ac:dyDescent="0.25">
      <c r="A17" s="245">
        <f>'B) D RI'!A18</f>
        <v>5412</v>
      </c>
      <c r="B17" s="246" t="str">
        <f>'B) D RI'!B18</f>
        <v>Rennaz</v>
      </c>
      <c r="C17" s="424">
        <f>'B) D RI'!S18</f>
        <v>67.5</v>
      </c>
      <c r="D17" s="247">
        <f>'B) D RI'!AR18</f>
        <v>843</v>
      </c>
      <c r="E17" s="254">
        <f>'D) Ecrêtage'!M16</f>
        <v>26501.739703703701</v>
      </c>
      <c r="F17" s="257">
        <f>'E) Fact soc'!G22</f>
        <v>472868.43454697414</v>
      </c>
      <c r="G17" s="257">
        <f>'H) Péréquation directe'!I27</f>
        <v>220396.75292545464</v>
      </c>
      <c r="H17" s="257">
        <f>'I) Dépenses thématiques'!O16</f>
        <v>0</v>
      </c>
      <c r="I17" s="257">
        <f>'K) Plafonnement aide'!J16</f>
        <v>0</v>
      </c>
      <c r="J17" s="257">
        <f>'J) Plafonnement effort'!I16</f>
        <v>0</v>
      </c>
      <c r="K17" s="257">
        <f>'L) Plafonnement taux'!Q17</f>
        <v>0</v>
      </c>
      <c r="L17" s="346">
        <f t="shared" si="0"/>
        <v>693265.18747242878</v>
      </c>
      <c r="M17" s="346">
        <f>'M) Police'!O17</f>
        <v>81600.768345432589</v>
      </c>
      <c r="N17" s="346">
        <f t="shared" si="1"/>
        <v>774865.95581786137</v>
      </c>
      <c r="P17" s="407">
        <v>-70</v>
      </c>
      <c r="Q17" s="410">
        <f t="shared" si="2"/>
        <v>774795.95581786137</v>
      </c>
    </row>
    <row r="18" spans="1:17" s="248" customFormat="1" x14ac:dyDescent="0.25">
      <c r="A18" s="245">
        <f>'B) D RI'!A19</f>
        <v>5413</v>
      </c>
      <c r="B18" s="246" t="str">
        <f>'B) D RI'!B19</f>
        <v>Roche</v>
      </c>
      <c r="C18" s="424">
        <f>'B) D RI'!S19</f>
        <v>68</v>
      </c>
      <c r="D18" s="247">
        <f>'B) D RI'!AR19</f>
        <v>1507</v>
      </c>
      <c r="E18" s="254">
        <f>'D) Ecrêtage'!M17</f>
        <v>34861.221617647054</v>
      </c>
      <c r="F18" s="257">
        <f>'E) Fact soc'!G23</f>
        <v>671633.21912733163</v>
      </c>
      <c r="G18" s="257">
        <f>'H) Péréquation directe'!I28</f>
        <v>-198061.09598933102</v>
      </c>
      <c r="H18" s="257">
        <f>'I) Dépenses thématiques'!O17</f>
        <v>-20526.036841195335</v>
      </c>
      <c r="I18" s="257">
        <f>'K) Plafonnement aide'!J17</f>
        <v>0</v>
      </c>
      <c r="J18" s="257">
        <f>'J) Plafonnement effort'!I17</f>
        <v>0</v>
      </c>
      <c r="K18" s="257">
        <f>'L) Plafonnement taux'!Q18</f>
        <v>0</v>
      </c>
      <c r="L18" s="346">
        <f t="shared" si="0"/>
        <v>453046.0862968053</v>
      </c>
      <c r="M18" s="346">
        <f>'M) Police'!O18</f>
        <v>108201.47838757256</v>
      </c>
      <c r="N18" s="346">
        <f t="shared" si="1"/>
        <v>561247.56468437787</v>
      </c>
      <c r="P18" s="407">
        <v>0</v>
      </c>
      <c r="Q18" s="410">
        <f t="shared" si="2"/>
        <v>561247.56468437787</v>
      </c>
    </row>
    <row r="19" spans="1:17" s="248" customFormat="1" x14ac:dyDescent="0.25">
      <c r="A19" s="245">
        <f>'B) D RI'!A20</f>
        <v>5414</v>
      </c>
      <c r="B19" s="246" t="str">
        <f>'B) D RI'!B20</f>
        <v>Villeneuve</v>
      </c>
      <c r="C19" s="424">
        <f>'B) D RI'!S20</f>
        <v>69</v>
      </c>
      <c r="D19" s="247">
        <f>'B) D RI'!AR20</f>
        <v>5428</v>
      </c>
      <c r="E19" s="254">
        <f>'D) Ecrêtage'!M18</f>
        <v>168009.32057971013</v>
      </c>
      <c r="F19" s="257">
        <f>'E) Fact soc'!G24</f>
        <v>3338226.7375143189</v>
      </c>
      <c r="G19" s="257">
        <f>'H) Péréquation directe'!I29</f>
        <v>-232081.94118006853</v>
      </c>
      <c r="H19" s="257">
        <f>'I) Dépenses thématiques'!O18</f>
        <v>-1032902.6618466605</v>
      </c>
      <c r="I19" s="257">
        <f>'K) Plafonnement aide'!J18</f>
        <v>0</v>
      </c>
      <c r="J19" s="257">
        <f>'J) Plafonnement effort'!I18</f>
        <v>0</v>
      </c>
      <c r="K19" s="257">
        <f>'L) Plafonnement taux'!Q19</f>
        <v>0</v>
      </c>
      <c r="L19" s="346">
        <f t="shared" si="0"/>
        <v>2073242.1344875898</v>
      </c>
      <c r="M19" s="346">
        <f>'M) Police'!O19</f>
        <v>523660.03621314332</v>
      </c>
      <c r="N19" s="346">
        <f t="shared" si="1"/>
        <v>2596902.1707007331</v>
      </c>
      <c r="P19" s="407">
        <v>-1960</v>
      </c>
      <c r="Q19" s="410">
        <f t="shared" si="2"/>
        <v>2594942.1707007331</v>
      </c>
    </row>
    <row r="20" spans="1:17" s="248" customFormat="1" x14ac:dyDescent="0.25">
      <c r="A20" s="245">
        <f>'B) D RI'!A21</f>
        <v>5415</v>
      </c>
      <c r="B20" s="246" t="str">
        <f>'B) D RI'!B21</f>
        <v>Yvorne</v>
      </c>
      <c r="C20" s="424">
        <f>'B) D RI'!S21</f>
        <v>68.5</v>
      </c>
      <c r="D20" s="247">
        <f>'B) D RI'!AR21</f>
        <v>1032</v>
      </c>
      <c r="E20" s="254">
        <f>'D) Ecrêtage'!M19</f>
        <v>43055.973722627736</v>
      </c>
      <c r="F20" s="257">
        <f>'E) Fact soc'!G25</f>
        <v>694775.73897221801</v>
      </c>
      <c r="G20" s="257">
        <f>'H) Péréquation directe'!I30</f>
        <v>649427.90890327969</v>
      </c>
      <c r="H20" s="257">
        <f>'I) Dépenses thématiques'!O19</f>
        <v>-178958.95702350716</v>
      </c>
      <c r="I20" s="257">
        <f>'K) Plafonnement aide'!J19</f>
        <v>0</v>
      </c>
      <c r="J20" s="257">
        <f>'J) Plafonnement effort'!I19</f>
        <v>0</v>
      </c>
      <c r="K20" s="257">
        <f>'L) Plafonnement taux'!Q20</f>
        <v>0</v>
      </c>
      <c r="L20" s="346">
        <f t="shared" si="0"/>
        <v>1165244.6908519904</v>
      </c>
      <c r="M20" s="346">
        <f>'M) Police'!O20</f>
        <v>135633.00902240799</v>
      </c>
      <c r="N20" s="346">
        <f t="shared" si="1"/>
        <v>1300877.6998743983</v>
      </c>
      <c r="P20" s="407">
        <v>-561</v>
      </c>
      <c r="Q20" s="410">
        <f t="shared" si="2"/>
        <v>1300316.6998743983</v>
      </c>
    </row>
    <row r="21" spans="1:17" s="248" customFormat="1" x14ac:dyDescent="0.25">
      <c r="A21" s="245">
        <f>'B) D RI'!A22</f>
        <v>5421</v>
      </c>
      <c r="B21" s="246" t="str">
        <f>'B) D RI'!B22</f>
        <v>Apples</v>
      </c>
      <c r="C21" s="424">
        <f>'B) D RI'!S22</f>
        <v>71</v>
      </c>
      <c r="D21" s="247">
        <f>'B) D RI'!AR22</f>
        <v>1363</v>
      </c>
      <c r="E21" s="254">
        <f>'D) Ecrêtage'!M20</f>
        <v>57391.691408450701</v>
      </c>
      <c r="F21" s="257">
        <f>'E) Fact soc'!G26</f>
        <v>1127581.529938593</v>
      </c>
      <c r="G21" s="257">
        <f>'H) Péréquation directe'!I31</f>
        <v>795029.89078360284</v>
      </c>
      <c r="H21" s="257">
        <f>'I) Dépenses thématiques'!O20</f>
        <v>-181584.31465167471</v>
      </c>
      <c r="I21" s="257">
        <f>'K) Plafonnement aide'!J20</f>
        <v>0</v>
      </c>
      <c r="J21" s="257">
        <f>'J) Plafonnement effort'!I20</f>
        <v>0</v>
      </c>
      <c r="K21" s="257">
        <f>'L) Plafonnement taux'!Q21</f>
        <v>0</v>
      </c>
      <c r="L21" s="346">
        <f t="shared" si="0"/>
        <v>1741027.1060705213</v>
      </c>
      <c r="M21" s="346">
        <f>'M) Police'!O21</f>
        <v>181692.58897109312</v>
      </c>
      <c r="N21" s="346">
        <f t="shared" si="1"/>
        <v>1922719.6950416144</v>
      </c>
      <c r="P21" s="407">
        <v>-201</v>
      </c>
      <c r="Q21" s="410">
        <f t="shared" si="2"/>
        <v>1922518.6950416144</v>
      </c>
    </row>
    <row r="22" spans="1:17" s="248" customFormat="1" x14ac:dyDescent="0.25">
      <c r="A22" s="245">
        <f>'B) D RI'!A23</f>
        <v>5422</v>
      </c>
      <c r="B22" s="246" t="str">
        <f>'B) D RI'!B23</f>
        <v>Aubonne</v>
      </c>
      <c r="C22" s="424">
        <f>'B) D RI'!S23</f>
        <v>68</v>
      </c>
      <c r="D22" s="247">
        <f>'B) D RI'!AR23</f>
        <v>3227</v>
      </c>
      <c r="E22" s="254">
        <f>'D) Ecrêtage'!M21</f>
        <v>211119.94817106269</v>
      </c>
      <c r="F22" s="257">
        <f>'E) Fact soc'!G27</f>
        <v>5141906.2910321783</v>
      </c>
      <c r="G22" s="257">
        <f>'H) Péréquation directe'!I32</f>
        <v>2999402.6074491604</v>
      </c>
      <c r="H22" s="257">
        <f>'I) Dépenses thématiques'!O21</f>
        <v>-49246.693078988188</v>
      </c>
      <c r="I22" s="257">
        <f>'K) Plafonnement aide'!J21</f>
        <v>0</v>
      </c>
      <c r="J22" s="257">
        <f>'J) Plafonnement effort'!I21</f>
        <v>0</v>
      </c>
      <c r="K22" s="257">
        <f>'L) Plafonnement taux'!Q22</f>
        <v>0</v>
      </c>
      <c r="L22" s="346">
        <f t="shared" si="0"/>
        <v>8092062.205402351</v>
      </c>
      <c r="M22" s="346">
        <f>'M) Police'!O22</f>
        <v>549391.7427833546</v>
      </c>
      <c r="N22" s="346">
        <f t="shared" si="1"/>
        <v>8641453.9481857046</v>
      </c>
      <c r="P22" s="407">
        <v>-2</v>
      </c>
      <c r="Q22" s="410">
        <f t="shared" si="2"/>
        <v>8641451.9481857046</v>
      </c>
    </row>
    <row r="23" spans="1:17" s="248" customFormat="1" x14ac:dyDescent="0.25">
      <c r="A23" s="245">
        <f>'B) D RI'!A24</f>
        <v>5423</v>
      </c>
      <c r="B23" s="246" t="str">
        <f>'B) D RI'!B24</f>
        <v>Ballens</v>
      </c>
      <c r="C23" s="424">
        <f>'B) D RI'!S24</f>
        <v>69</v>
      </c>
      <c r="D23" s="247">
        <f>'B) D RI'!AR24</f>
        <v>509</v>
      </c>
      <c r="E23" s="254">
        <f>'D) Ecrêtage'!M22</f>
        <v>19761.871884057968</v>
      </c>
      <c r="F23" s="257">
        <f>'E) Fact soc'!G28</f>
        <v>339450.75870693545</v>
      </c>
      <c r="G23" s="257">
        <f>'H) Péréquation directe'!I33</f>
        <v>268773.78651640064</v>
      </c>
      <c r="H23" s="257">
        <f>'I) Dépenses thématiques'!O22</f>
        <v>-55927.42681943225</v>
      </c>
      <c r="I23" s="257">
        <f>'K) Plafonnement aide'!J22</f>
        <v>0</v>
      </c>
      <c r="J23" s="257">
        <f>'J) Plafonnement effort'!I22</f>
        <v>0</v>
      </c>
      <c r="K23" s="257">
        <f>'L) Plafonnement taux'!Q23</f>
        <v>0</v>
      </c>
      <c r="L23" s="346">
        <f t="shared" si="0"/>
        <v>552297.11840390379</v>
      </c>
      <c r="M23" s="346">
        <f>'M) Police'!O23</f>
        <v>62943.580685481596</v>
      </c>
      <c r="N23" s="346">
        <f t="shared" si="1"/>
        <v>615240.69908938534</v>
      </c>
      <c r="P23" s="407">
        <v>-80</v>
      </c>
      <c r="Q23" s="410">
        <f t="shared" si="2"/>
        <v>615160.69908938534</v>
      </c>
    </row>
    <row r="24" spans="1:17" s="248" customFormat="1" x14ac:dyDescent="0.25">
      <c r="A24" s="245">
        <f>'B) D RI'!A25</f>
        <v>5424</v>
      </c>
      <c r="B24" s="246" t="str">
        <f>'B) D RI'!B25</f>
        <v>Berolle</v>
      </c>
      <c r="C24" s="424">
        <f>'B) D RI'!S25</f>
        <v>77</v>
      </c>
      <c r="D24" s="247">
        <f>'B) D RI'!AR25</f>
        <v>292</v>
      </c>
      <c r="E24" s="254">
        <f>'D) Ecrêtage'!M23</f>
        <v>9360.1262337662338</v>
      </c>
      <c r="F24" s="257">
        <f>'E) Fact soc'!G29</f>
        <v>160498.11977899089</v>
      </c>
      <c r="G24" s="257">
        <f>'H) Péréquation directe'!I34</f>
        <v>64502.28492594065</v>
      </c>
      <c r="H24" s="257">
        <f>'I) Dépenses thématiques'!O23</f>
        <v>-42880.862748470216</v>
      </c>
      <c r="I24" s="257">
        <f>'K) Plafonnement aide'!J23</f>
        <v>0</v>
      </c>
      <c r="J24" s="257">
        <f>'J) Plafonnement effort'!I23</f>
        <v>0</v>
      </c>
      <c r="K24" s="257">
        <f>'L) Plafonnement taux'!Q24</f>
        <v>0</v>
      </c>
      <c r="L24" s="346">
        <f t="shared" si="0"/>
        <v>182119.54195646133</v>
      </c>
      <c r="M24" s="346">
        <f>'M) Police'!O24</f>
        <v>29617.88829734554</v>
      </c>
      <c r="N24" s="346">
        <f t="shared" si="1"/>
        <v>211737.43025380687</v>
      </c>
      <c r="P24" s="407">
        <v>-51</v>
      </c>
      <c r="Q24" s="410">
        <f t="shared" si="2"/>
        <v>211686.43025380687</v>
      </c>
    </row>
    <row r="25" spans="1:17" s="248" customFormat="1" x14ac:dyDescent="0.25">
      <c r="A25" s="245">
        <f>'B) D RI'!A26</f>
        <v>5425</v>
      </c>
      <c r="B25" s="246" t="str">
        <f>'B) D RI'!B26</f>
        <v>Bière</v>
      </c>
      <c r="C25" s="424">
        <f>'B) D RI'!S26</f>
        <v>68</v>
      </c>
      <c r="D25" s="247">
        <f>'B) D RI'!AR26</f>
        <v>1550</v>
      </c>
      <c r="E25" s="254">
        <f>'D) Ecrêtage'!M24</f>
        <v>40787.403970588231</v>
      </c>
      <c r="F25" s="257">
        <f>'E) Fact soc'!G30</f>
        <v>700681.52956354083</v>
      </c>
      <c r="G25" s="257">
        <f>'H) Péréquation directe'!I35</f>
        <v>-28869.753938257345</v>
      </c>
      <c r="H25" s="257">
        <f>'I) Dépenses thématiques'!O24</f>
        <v>-400329.11589869129</v>
      </c>
      <c r="I25" s="257">
        <f>'K) Plafonnement aide'!J24</f>
        <v>0</v>
      </c>
      <c r="J25" s="257">
        <f>'J) Plafonnement effort'!I24</f>
        <v>0</v>
      </c>
      <c r="K25" s="257">
        <f>'L) Plafonnement taux'!Q25</f>
        <v>0</v>
      </c>
      <c r="L25" s="346">
        <f t="shared" si="0"/>
        <v>271482.65972659219</v>
      </c>
      <c r="M25" s="346">
        <f>'M) Police'!O25</f>
        <v>128628.68167562726</v>
      </c>
      <c r="N25" s="346">
        <f t="shared" si="1"/>
        <v>400111.34140221943</v>
      </c>
      <c r="P25" s="407">
        <v>-695</v>
      </c>
      <c r="Q25" s="410">
        <f t="shared" si="2"/>
        <v>399416.34140221943</v>
      </c>
    </row>
    <row r="26" spans="1:17" s="248" customFormat="1" x14ac:dyDescent="0.25">
      <c r="A26" s="245">
        <f>'B) D RI'!A27</f>
        <v>5426</v>
      </c>
      <c r="B26" s="246" t="str">
        <f>'B) D RI'!B27</f>
        <v>Bougy-Villars</v>
      </c>
      <c r="C26" s="424">
        <f>'B) D RI'!S27</f>
        <v>62</v>
      </c>
      <c r="D26" s="247">
        <f>'B) D RI'!AR27</f>
        <v>481</v>
      </c>
      <c r="E26" s="254">
        <f>'D) Ecrêtage'!M25</f>
        <v>35572.27242014376</v>
      </c>
      <c r="F26" s="257">
        <f>'E) Fact soc'!G31</f>
        <v>1040632.2072980901</v>
      </c>
      <c r="G26" s="257">
        <f>'H) Péréquation directe'!I36</f>
        <v>610132.84905514284</v>
      </c>
      <c r="H26" s="257">
        <f>'I) Dépenses thématiques'!O25</f>
        <v>0</v>
      </c>
      <c r="I26" s="257">
        <f>'K) Plafonnement aide'!J25</f>
        <v>0</v>
      </c>
      <c r="J26" s="257">
        <f>'J) Plafonnement effort'!I25</f>
        <v>0</v>
      </c>
      <c r="K26" s="257">
        <f>'L) Plafonnement taux'!Q26</f>
        <v>0</v>
      </c>
      <c r="L26" s="346">
        <f t="shared" si="0"/>
        <v>1650765.0563532328</v>
      </c>
      <c r="M26" s="346">
        <f>'M) Police'!O26</f>
        <v>87208.748491894716</v>
      </c>
      <c r="N26" s="346">
        <f t="shared" si="1"/>
        <v>1737973.8048451275</v>
      </c>
      <c r="P26" s="407">
        <v>0</v>
      </c>
      <c r="Q26" s="410">
        <f t="shared" si="2"/>
        <v>1737973.8048451275</v>
      </c>
    </row>
    <row r="27" spans="1:17" s="248" customFormat="1" x14ac:dyDescent="0.25">
      <c r="A27" s="245">
        <f>'B) D RI'!A28</f>
        <v>5427</v>
      </c>
      <c r="B27" s="246" t="str">
        <f>'B) D RI'!B28</f>
        <v>Féchy</v>
      </c>
      <c r="C27" s="424">
        <f>'B) D RI'!S28</f>
        <v>64</v>
      </c>
      <c r="D27" s="247">
        <f>'B) D RI'!AR28</f>
        <v>860</v>
      </c>
      <c r="E27" s="254">
        <f>'D) Ecrêtage'!M26</f>
        <v>57693.918333518144</v>
      </c>
      <c r="F27" s="257">
        <f>'E) Fact soc'!G32</f>
        <v>1377956.7404338131</v>
      </c>
      <c r="G27" s="257">
        <f>'H) Péréquation directe'!I37</f>
        <v>981654.33256569807</v>
      </c>
      <c r="H27" s="257">
        <f>'I) Dépenses thématiques'!O26</f>
        <v>0</v>
      </c>
      <c r="I27" s="257">
        <f>'K) Plafonnement aide'!J26</f>
        <v>0</v>
      </c>
      <c r="J27" s="257">
        <f>'J) Plafonnement effort'!I26</f>
        <v>0</v>
      </c>
      <c r="K27" s="257">
        <f>'L) Plafonnement taux'!Q27</f>
        <v>0</v>
      </c>
      <c r="L27" s="346">
        <f t="shared" si="0"/>
        <v>2359611.0729995109</v>
      </c>
      <c r="M27" s="346">
        <f>'M) Police'!O27</f>
        <v>148267.39177706372</v>
      </c>
      <c r="N27" s="346">
        <f t="shared" si="1"/>
        <v>2507878.4647765746</v>
      </c>
      <c r="P27" s="407">
        <v>0</v>
      </c>
      <c r="Q27" s="410">
        <f t="shared" si="2"/>
        <v>2507878.4647765746</v>
      </c>
    </row>
    <row r="28" spans="1:17" s="248" customFormat="1" x14ac:dyDescent="0.25">
      <c r="A28" s="245">
        <f>'B) D RI'!A29</f>
        <v>5428</v>
      </c>
      <c r="B28" s="246" t="str">
        <f>'B) D RI'!B29</f>
        <v>Gimel</v>
      </c>
      <c r="C28" s="424">
        <f>'B) D RI'!S29</f>
        <v>71.5</v>
      </c>
      <c r="D28" s="247">
        <f>'B) D RI'!AR29</f>
        <v>1907</v>
      </c>
      <c r="E28" s="254">
        <f>'D) Ecrêtage'!M27</f>
        <v>57546.053752913758</v>
      </c>
      <c r="F28" s="257">
        <f>'E) Fact soc'!G33</f>
        <v>1097124.5524859698</v>
      </c>
      <c r="G28" s="257">
        <f>'H) Péréquation directe'!I38</f>
        <v>129320.83599872119</v>
      </c>
      <c r="H28" s="257">
        <f>'I) Dépenses thématiques'!O27</f>
        <v>-316926.35491847392</v>
      </c>
      <c r="I28" s="257">
        <f>'K) Plafonnement aide'!J27</f>
        <v>0</v>
      </c>
      <c r="J28" s="257">
        <f>'J) Plafonnement effort'!I27</f>
        <v>0</v>
      </c>
      <c r="K28" s="257">
        <f>'L) Plafonnement taux'!Q28</f>
        <v>0</v>
      </c>
      <c r="L28" s="346">
        <f t="shared" si="0"/>
        <v>909519.03356621717</v>
      </c>
      <c r="M28" s="346">
        <f>'M) Police'!O28</f>
        <v>180941.78492619272</v>
      </c>
      <c r="N28" s="346">
        <f t="shared" si="1"/>
        <v>1090460.8184924098</v>
      </c>
      <c r="P28" s="407">
        <v>-404</v>
      </c>
      <c r="Q28" s="410">
        <f t="shared" si="2"/>
        <v>1090056.8184924098</v>
      </c>
    </row>
    <row r="29" spans="1:17" s="248" customFormat="1" x14ac:dyDescent="0.25">
      <c r="A29" s="245">
        <f>'B) D RI'!A30</f>
        <v>5429</v>
      </c>
      <c r="B29" s="246" t="str">
        <f>'B) D RI'!B30</f>
        <v>Longirod</v>
      </c>
      <c r="C29" s="424">
        <f>'B) D RI'!S30</f>
        <v>81</v>
      </c>
      <c r="D29" s="247">
        <f>'B) D RI'!AR30</f>
        <v>463</v>
      </c>
      <c r="E29" s="254">
        <f>'D) Ecrêtage'!M28</f>
        <v>13645.142716049384</v>
      </c>
      <c r="F29" s="257">
        <f>'E) Fact soc'!G34</f>
        <v>230601.74386633883</v>
      </c>
      <c r="G29" s="257">
        <f>'H) Péréquation directe'!I39</f>
        <v>35459.35289291825</v>
      </c>
      <c r="H29" s="257">
        <f>'I) Dépenses thématiques'!O28</f>
        <v>-140235.43158528901</v>
      </c>
      <c r="I29" s="257">
        <f>'K) Plafonnement aide'!J28</f>
        <v>0</v>
      </c>
      <c r="J29" s="257">
        <f>'J) Plafonnement effort'!I28</f>
        <v>0</v>
      </c>
      <c r="K29" s="257">
        <f>'L) Plafonnement taux'!Q29</f>
        <v>0</v>
      </c>
      <c r="L29" s="346">
        <f t="shared" si="0"/>
        <v>125825.66517396807</v>
      </c>
      <c r="M29" s="346">
        <f>'M) Police'!O29</f>
        <v>42896.586038112815</v>
      </c>
      <c r="N29" s="346">
        <f t="shared" si="1"/>
        <v>168722.25121208088</v>
      </c>
      <c r="P29" s="407">
        <v>-111</v>
      </c>
      <c r="Q29" s="410">
        <f t="shared" si="2"/>
        <v>168611.25121208088</v>
      </c>
    </row>
    <row r="30" spans="1:17" s="248" customFormat="1" x14ac:dyDescent="0.25">
      <c r="A30" s="245">
        <f>'B) D RI'!A31</f>
        <v>5430</v>
      </c>
      <c r="B30" s="246" t="str">
        <f>'B) D RI'!B31</f>
        <v>Marchissy</v>
      </c>
      <c r="C30" s="424">
        <f>'B) D RI'!S31</f>
        <v>81</v>
      </c>
      <c r="D30" s="247">
        <f>'B) D RI'!AR31</f>
        <v>448</v>
      </c>
      <c r="E30" s="254">
        <f>'D) Ecrêtage'!M29</f>
        <v>12901.686543209877</v>
      </c>
      <c r="F30" s="257">
        <f>'E) Fact soc'!G35</f>
        <v>283373.77508855995</v>
      </c>
      <c r="G30" s="257">
        <f>'H) Péréquation directe'!I40</f>
        <v>20870.869796561281</v>
      </c>
      <c r="H30" s="257">
        <f>'I) Dépenses thématiques'!O29</f>
        <v>-223794.02969452465</v>
      </c>
      <c r="I30" s="257">
        <f>'K) Plafonnement aide'!J29</f>
        <v>0</v>
      </c>
      <c r="J30" s="257">
        <f>'J) Plafonnement effort'!I29</f>
        <v>0</v>
      </c>
      <c r="K30" s="257">
        <f>'L) Plafonnement taux'!Q30</f>
        <v>0</v>
      </c>
      <c r="L30" s="346">
        <f t="shared" si="0"/>
        <v>80450.615190596611</v>
      </c>
      <c r="M30" s="346">
        <f>'M) Police'!O30</f>
        <v>40644.75843830478</v>
      </c>
      <c r="N30" s="346">
        <f t="shared" si="1"/>
        <v>121095.37362890139</v>
      </c>
      <c r="P30" s="407">
        <v>-416</v>
      </c>
      <c r="Q30" s="410">
        <f t="shared" si="2"/>
        <v>120679.37362890139</v>
      </c>
    </row>
    <row r="31" spans="1:17" s="248" customFormat="1" x14ac:dyDescent="0.25">
      <c r="A31" s="245">
        <f>'B) D RI'!A32</f>
        <v>5431</v>
      </c>
      <c r="B31" s="246" t="str">
        <f>'B) D RI'!B32</f>
        <v>Mollens</v>
      </c>
      <c r="C31" s="424">
        <f>'B) D RI'!S32</f>
        <v>74</v>
      </c>
      <c r="D31" s="247">
        <f>'B) D RI'!AR32</f>
        <v>294</v>
      </c>
      <c r="E31" s="254">
        <f>'D) Ecrêtage'!M30</f>
        <v>8965.3154054054066</v>
      </c>
      <c r="F31" s="257">
        <f>'E) Fact soc'!G36</f>
        <v>147538.87255169451</v>
      </c>
      <c r="G31" s="257">
        <f>'H) Péréquation directe'!I41</f>
        <v>52588.979759634691</v>
      </c>
      <c r="H31" s="257">
        <f>'I) Dépenses thématiques'!O30</f>
        <v>-44212.305459776355</v>
      </c>
      <c r="I31" s="257">
        <f>'K) Plafonnement aide'!J30</f>
        <v>0</v>
      </c>
      <c r="J31" s="257">
        <f>'J) Plafonnement effort'!I30</f>
        <v>0</v>
      </c>
      <c r="K31" s="257">
        <f>'L) Plafonnement taux'!Q31</f>
        <v>0</v>
      </c>
      <c r="L31" s="346">
        <f t="shared" si="0"/>
        <v>155915.54685155285</v>
      </c>
      <c r="M31" s="346">
        <f>'M) Police'!O31</f>
        <v>28291.449246898192</v>
      </c>
      <c r="N31" s="346">
        <f t="shared" si="1"/>
        <v>184206.99609845103</v>
      </c>
      <c r="P31" s="407">
        <v>-18</v>
      </c>
      <c r="Q31" s="410">
        <f t="shared" si="2"/>
        <v>184188.99609845103</v>
      </c>
    </row>
    <row r="32" spans="1:17" s="248" customFormat="1" x14ac:dyDescent="0.25">
      <c r="A32" s="245">
        <f>'B) D RI'!A33</f>
        <v>5432</v>
      </c>
      <c r="B32" s="246" t="str">
        <f>'B) D RI'!B33</f>
        <v>Montherod</v>
      </c>
      <c r="C32" s="424">
        <f>'B) D RI'!S33</f>
        <v>74</v>
      </c>
      <c r="D32" s="247">
        <f>'B) D RI'!AR33</f>
        <v>518</v>
      </c>
      <c r="E32" s="254">
        <f>'D) Ecrêtage'!M31</f>
        <v>18938.674054054052</v>
      </c>
      <c r="F32" s="257">
        <f>'E) Fact soc'!G37</f>
        <v>357704.81906139001</v>
      </c>
      <c r="G32" s="257">
        <f>'H) Péréquation directe'!I42</f>
        <v>219229.83165391802</v>
      </c>
      <c r="H32" s="257">
        <f>'I) Dépenses thématiques'!O31</f>
        <v>0</v>
      </c>
      <c r="I32" s="257">
        <f>'K) Plafonnement aide'!J31</f>
        <v>0</v>
      </c>
      <c r="J32" s="257">
        <f>'J) Plafonnement effort'!I31</f>
        <v>0</v>
      </c>
      <c r="K32" s="257">
        <f>'L) Plafonnement taux'!Q32</f>
        <v>0</v>
      </c>
      <c r="L32" s="346">
        <f t="shared" si="0"/>
        <v>576934.65071530803</v>
      </c>
      <c r="M32" s="346">
        <f>'M) Police'!O32</f>
        <v>60032.979436616108</v>
      </c>
      <c r="N32" s="346">
        <f t="shared" si="1"/>
        <v>636967.6301519241</v>
      </c>
      <c r="P32" s="407">
        <v>0</v>
      </c>
      <c r="Q32" s="410">
        <f t="shared" si="2"/>
        <v>636967.6301519241</v>
      </c>
    </row>
    <row r="33" spans="1:17" s="248" customFormat="1" x14ac:dyDescent="0.25">
      <c r="A33" s="245">
        <f>'B) D RI'!A34</f>
        <v>5434</v>
      </c>
      <c r="B33" s="246" t="str">
        <f>'B) D RI'!B34</f>
        <v>Saint-George</v>
      </c>
      <c r="C33" s="424">
        <f>'B) D RI'!S34</f>
        <v>68.5</v>
      </c>
      <c r="D33" s="247">
        <f>'B) D RI'!AR34</f>
        <v>949</v>
      </c>
      <c r="E33" s="254">
        <f>'D) Ecrêtage'!M32</f>
        <v>33015.772116788328</v>
      </c>
      <c r="F33" s="257">
        <f>'E) Fact soc'!G38</f>
        <v>610100.31305734348</v>
      </c>
      <c r="G33" s="257">
        <f>'H) Péréquation directe'!I43</f>
        <v>360077.84366828867</v>
      </c>
      <c r="H33" s="257">
        <f>'I) Dépenses thématiques'!O32</f>
        <v>-136347.36702534562</v>
      </c>
      <c r="I33" s="257">
        <f>'K) Plafonnement aide'!J32</f>
        <v>0</v>
      </c>
      <c r="J33" s="257">
        <f>'J) Plafonnement effort'!I32</f>
        <v>0</v>
      </c>
      <c r="K33" s="257">
        <f>'L) Plafonnement taux'!Q33</f>
        <v>0</v>
      </c>
      <c r="L33" s="346">
        <f t="shared" si="0"/>
        <v>833830.78970028646</v>
      </c>
      <c r="M33" s="346">
        <f>'M) Police'!O33</f>
        <v>103132.77800273706</v>
      </c>
      <c r="N33" s="346">
        <f t="shared" si="1"/>
        <v>936963.56770302355</v>
      </c>
      <c r="P33" s="407">
        <v>-86</v>
      </c>
      <c r="Q33" s="410">
        <f t="shared" si="2"/>
        <v>936877.56770302355</v>
      </c>
    </row>
    <row r="34" spans="1:17" s="248" customFormat="1" x14ac:dyDescent="0.25">
      <c r="A34" s="245">
        <f>'B) D RI'!A35</f>
        <v>5435</v>
      </c>
      <c r="B34" s="246" t="str">
        <f>'B) D RI'!B35</f>
        <v>Saint-Livres</v>
      </c>
      <c r="C34" s="424">
        <f>'B) D RI'!S35</f>
        <v>69</v>
      </c>
      <c r="D34" s="247">
        <f>'B) D RI'!AR35</f>
        <v>713</v>
      </c>
      <c r="E34" s="254">
        <f>'D) Ecrêtage'!M33</f>
        <v>24335.25550724638</v>
      </c>
      <c r="F34" s="257">
        <f>'E) Fact soc'!G39</f>
        <v>364568.69154023315</v>
      </c>
      <c r="G34" s="257">
        <f>'H) Péréquation directe'!I44</f>
        <v>251215.30625644082</v>
      </c>
      <c r="H34" s="257">
        <f>'I) Dépenses thématiques'!O33</f>
        <v>-25770.843766016438</v>
      </c>
      <c r="I34" s="257">
        <f>'K) Plafonnement aide'!J33</f>
        <v>0</v>
      </c>
      <c r="J34" s="257">
        <f>'J) Plafonnement effort'!I33</f>
        <v>0</v>
      </c>
      <c r="K34" s="257">
        <f>'L) Plafonnement taux'!Q34</f>
        <v>0</v>
      </c>
      <c r="L34" s="346">
        <f t="shared" si="0"/>
        <v>590013.15403065761</v>
      </c>
      <c r="M34" s="346">
        <f>'M) Police'!O34</f>
        <v>76993.805963490537</v>
      </c>
      <c r="N34" s="346">
        <f t="shared" si="1"/>
        <v>667006.95999414811</v>
      </c>
      <c r="P34" s="407">
        <v>-136</v>
      </c>
      <c r="Q34" s="410">
        <f t="shared" si="2"/>
        <v>666870.95999414811</v>
      </c>
    </row>
    <row r="35" spans="1:17" s="248" customFormat="1" x14ac:dyDescent="0.25">
      <c r="A35" s="245">
        <f>'B) D RI'!A36</f>
        <v>5436</v>
      </c>
      <c r="B35" s="246" t="str">
        <f>'B) D RI'!B36</f>
        <v>Saint-Oyens</v>
      </c>
      <c r="C35" s="424">
        <f>'B) D RI'!S36</f>
        <v>81</v>
      </c>
      <c r="D35" s="247">
        <f>'B) D RI'!AR36</f>
        <v>345</v>
      </c>
      <c r="E35" s="254">
        <f>'D) Ecrêtage'!M34</f>
        <v>9937.7678395061721</v>
      </c>
      <c r="F35" s="257">
        <f>'E) Fact soc'!G40</f>
        <v>181381.35066656754</v>
      </c>
      <c r="G35" s="257">
        <f>'H) Péréquation directe'!I45</f>
        <v>16175.765902879648</v>
      </c>
      <c r="H35" s="257">
        <f>'I) Dépenses thématiques'!O34</f>
        <v>-63273.916760543972</v>
      </c>
      <c r="I35" s="257">
        <f>'K) Plafonnement aide'!J34</f>
        <v>0</v>
      </c>
      <c r="J35" s="257">
        <f>'J) Plafonnement effort'!I34</f>
        <v>0</v>
      </c>
      <c r="K35" s="257">
        <f>'L) Plafonnement taux'!Q35</f>
        <v>0</v>
      </c>
      <c r="L35" s="346">
        <f t="shared" si="0"/>
        <v>134283.19980890321</v>
      </c>
      <c r="M35" s="346">
        <f>'M) Police'!O35</f>
        <v>31301.510342848851</v>
      </c>
      <c r="N35" s="346">
        <f t="shared" si="1"/>
        <v>165584.71015175205</v>
      </c>
      <c r="P35" s="407">
        <v>-345</v>
      </c>
      <c r="Q35" s="410">
        <f t="shared" si="2"/>
        <v>165239.71015175205</v>
      </c>
    </row>
    <row r="36" spans="1:17" s="248" customFormat="1" x14ac:dyDescent="0.25">
      <c r="A36" s="245">
        <f>'B) D RI'!A37</f>
        <v>5437</v>
      </c>
      <c r="B36" s="246" t="str">
        <f>'B) D RI'!B37</f>
        <v>Saubraz</v>
      </c>
      <c r="C36" s="424">
        <f>'B) D RI'!S37</f>
        <v>83</v>
      </c>
      <c r="D36" s="247">
        <f>'B) D RI'!AR37</f>
        <v>391</v>
      </c>
      <c r="E36" s="254">
        <f>'D) Ecrêtage'!M35</f>
        <v>9144.65614457831</v>
      </c>
      <c r="F36" s="257">
        <f>'E) Fact soc'!G41</f>
        <v>255617.30378285248</v>
      </c>
      <c r="G36" s="257">
        <f>'H) Péréquation directe'!I46</f>
        <v>-86444.606955462514</v>
      </c>
      <c r="H36" s="257">
        <f>'I) Dépenses thématiques'!O35</f>
        <v>-51689.652952288867</v>
      </c>
      <c r="I36" s="257">
        <f>'K) Plafonnement aide'!J35</f>
        <v>0</v>
      </c>
      <c r="J36" s="257">
        <f>'J) Plafonnement effort'!I35</f>
        <v>0</v>
      </c>
      <c r="K36" s="257">
        <f>'L) Plafonnement taux'!Q36</f>
        <v>-2108.4857739544614</v>
      </c>
      <c r="L36" s="346">
        <f t="shared" si="0"/>
        <v>115374.55810114664</v>
      </c>
      <c r="M36" s="346">
        <f>'M) Police'!O36</f>
        <v>28778.047045142601</v>
      </c>
      <c r="N36" s="346">
        <f t="shared" si="1"/>
        <v>144152.60514628925</v>
      </c>
      <c r="P36" s="407">
        <v>-96</v>
      </c>
      <c r="Q36" s="410">
        <f t="shared" si="2"/>
        <v>144056.60514628925</v>
      </c>
    </row>
    <row r="37" spans="1:17" s="248" customFormat="1" x14ac:dyDescent="0.25">
      <c r="A37" s="245">
        <f>'B) D RI'!A38</f>
        <v>5451</v>
      </c>
      <c r="B37" s="246" t="str">
        <f>'B) D RI'!B38</f>
        <v>Avenches</v>
      </c>
      <c r="C37" s="424">
        <f>'B) D RI'!S38</f>
        <v>68</v>
      </c>
      <c r="D37" s="247">
        <f>'B) D RI'!AR38</f>
        <v>4090</v>
      </c>
      <c r="E37" s="254">
        <f>'D) Ecrêtage'!M36</f>
        <v>102028.81651960785</v>
      </c>
      <c r="F37" s="257">
        <f>'E) Fact soc'!G42</f>
        <v>1907980.262176136</v>
      </c>
      <c r="G37" s="257">
        <f>'H) Péréquation directe'!I47</f>
        <v>-850054.43978458527</v>
      </c>
      <c r="H37" s="257">
        <f>'I) Dépenses thématiques'!O36</f>
        <v>-1564999.8480455149</v>
      </c>
      <c r="I37" s="257">
        <f>'K) Plafonnement aide'!J36</f>
        <v>0</v>
      </c>
      <c r="J37" s="257">
        <f>'J) Plafonnement effort'!I36</f>
        <v>0</v>
      </c>
      <c r="K37" s="257">
        <f>'L) Plafonnement taux'!Q37</f>
        <v>0</v>
      </c>
      <c r="L37" s="346">
        <f t="shared" si="0"/>
        <v>-507074.02565396414</v>
      </c>
      <c r="M37" s="346">
        <f>'M) Police'!O37</f>
        <v>314717.28246409993</v>
      </c>
      <c r="N37" s="346">
        <f t="shared" si="1"/>
        <v>-192356.74318986421</v>
      </c>
      <c r="P37" s="407">
        <v>-2300</v>
      </c>
      <c r="Q37" s="410">
        <f t="shared" si="2"/>
        <v>-194656.74318986421</v>
      </c>
    </row>
    <row r="38" spans="1:17" s="248" customFormat="1" x14ac:dyDescent="0.25">
      <c r="A38" s="245">
        <f>'B) D RI'!A39</f>
        <v>5456</v>
      </c>
      <c r="B38" s="246" t="str">
        <f>'B) D RI'!B39</f>
        <v>Cudrefin</v>
      </c>
      <c r="C38" s="424">
        <f>'B) D RI'!S39</f>
        <v>59</v>
      </c>
      <c r="D38" s="247">
        <f>'B) D RI'!AR39</f>
        <v>1516</v>
      </c>
      <c r="E38" s="254">
        <f>'D) Ecrêtage'!M37</f>
        <v>45272.368813559326</v>
      </c>
      <c r="F38" s="257">
        <f>'E) Fact soc'!G43</f>
        <v>1034685.7398285278</v>
      </c>
      <c r="G38" s="257">
        <f>'H) Péréquation directe'!I48</f>
        <v>270475.54838413955</v>
      </c>
      <c r="H38" s="257">
        <f>'I) Dépenses thématiques'!O37</f>
        <v>-263841.50699870929</v>
      </c>
      <c r="I38" s="257">
        <f>'K) Plafonnement aide'!J37</f>
        <v>0</v>
      </c>
      <c r="J38" s="257">
        <f>'J) Plafonnement effort'!I37</f>
        <v>0</v>
      </c>
      <c r="K38" s="257">
        <f>'L) Plafonnement taux'!Q38</f>
        <v>0</v>
      </c>
      <c r="L38" s="346">
        <f t="shared" si="0"/>
        <v>1041319.7812139579</v>
      </c>
      <c r="M38" s="346">
        <f>'M) Police'!O38</f>
        <v>140096.34715692219</v>
      </c>
      <c r="N38" s="346">
        <f t="shared" si="1"/>
        <v>1181416.1283708801</v>
      </c>
      <c r="P38" s="407">
        <v>-454</v>
      </c>
      <c r="Q38" s="410">
        <f t="shared" si="2"/>
        <v>1180962.1283708801</v>
      </c>
    </row>
    <row r="39" spans="1:17" s="248" customFormat="1" x14ac:dyDescent="0.25">
      <c r="A39" s="245">
        <f>'B) D RI'!A40</f>
        <v>5458</v>
      </c>
      <c r="B39" s="246" t="str">
        <f>'B) D RI'!B40</f>
        <v>Faoug</v>
      </c>
      <c r="C39" s="424">
        <f>'B) D RI'!S40</f>
        <v>61</v>
      </c>
      <c r="D39" s="247">
        <f>'B) D RI'!AR40</f>
        <v>853</v>
      </c>
      <c r="E39" s="254">
        <f>'D) Ecrêtage'!M38</f>
        <v>28143.986721311474</v>
      </c>
      <c r="F39" s="257">
        <f>'E) Fact soc'!G44</f>
        <v>494639.21715720673</v>
      </c>
      <c r="G39" s="257">
        <f>'H) Péréquation directe'!I49</f>
        <v>301756.97434763552</v>
      </c>
      <c r="H39" s="257">
        <f>'I) Dépenses thématiques'!O38</f>
        <v>-113384.00251758016</v>
      </c>
      <c r="I39" s="257">
        <f>'K) Plafonnement aide'!J38</f>
        <v>0</v>
      </c>
      <c r="J39" s="257">
        <f>'J) Plafonnement effort'!I38</f>
        <v>0</v>
      </c>
      <c r="K39" s="257">
        <f>'L) Plafonnement taux'!Q39</f>
        <v>0</v>
      </c>
      <c r="L39" s="346">
        <f t="shared" si="0"/>
        <v>683012.18898726208</v>
      </c>
      <c r="M39" s="346">
        <f>'M) Police'!O39</f>
        <v>87339.324954004056</v>
      </c>
      <c r="N39" s="346">
        <f t="shared" si="1"/>
        <v>770351.51394126611</v>
      </c>
      <c r="P39" s="407">
        <v>-179</v>
      </c>
      <c r="Q39" s="410">
        <f t="shared" si="2"/>
        <v>770172.51394126611</v>
      </c>
    </row>
    <row r="40" spans="1:17" s="248" customFormat="1" x14ac:dyDescent="0.25">
      <c r="A40" s="245">
        <f>'B) D RI'!A41</f>
        <v>5464</v>
      </c>
      <c r="B40" s="246" t="str">
        <f>'B) D RI'!B41</f>
        <v>Vully-les-Lacs</v>
      </c>
      <c r="C40" s="424">
        <f>'B) D RI'!S41</f>
        <v>67</v>
      </c>
      <c r="D40" s="247">
        <f>'B) D RI'!AR41</f>
        <v>2825</v>
      </c>
      <c r="E40" s="254">
        <f>'D) Ecrêtage'!M39</f>
        <v>96865.968557213928</v>
      </c>
      <c r="F40" s="257">
        <f>'E) Fact soc'!G45</f>
        <v>1764360.9188102377</v>
      </c>
      <c r="G40" s="257">
        <f>'H) Péréquation directe'!I50</f>
        <v>588930.61209346098</v>
      </c>
      <c r="H40" s="257">
        <f>'I) Dépenses thématiques'!O39</f>
        <v>-441997.59764451109</v>
      </c>
      <c r="I40" s="257">
        <f>'K) Plafonnement aide'!J39</f>
        <v>0</v>
      </c>
      <c r="J40" s="257">
        <f>'J) Plafonnement effort'!I39</f>
        <v>0</v>
      </c>
      <c r="K40" s="257">
        <f>'L) Plafonnement taux'!Q40</f>
        <v>0</v>
      </c>
      <c r="L40" s="346">
        <f t="shared" si="0"/>
        <v>1911293.9332591877</v>
      </c>
      <c r="M40" s="346">
        <f>'M) Police'!O40</f>
        <v>302663.96808033588</v>
      </c>
      <c r="N40" s="346">
        <f t="shared" si="1"/>
        <v>2213957.9013395235</v>
      </c>
      <c r="P40" s="407">
        <v>-1052</v>
      </c>
      <c r="Q40" s="410">
        <f t="shared" si="2"/>
        <v>2212905.9013395235</v>
      </c>
    </row>
    <row r="41" spans="1:17" s="248" customFormat="1" x14ac:dyDescent="0.25">
      <c r="A41" s="245">
        <f>'B) D RI'!A42</f>
        <v>5471</v>
      </c>
      <c r="B41" s="246" t="str">
        <f>'B) D RI'!B42</f>
        <v>Bettens</v>
      </c>
      <c r="C41" s="424">
        <f>'B) D RI'!S42</f>
        <v>70</v>
      </c>
      <c r="D41" s="247">
        <f>'B) D RI'!AR42</f>
        <v>557</v>
      </c>
      <c r="E41" s="254">
        <f>'D) Ecrêtage'!M40</f>
        <v>18168.257063492067</v>
      </c>
      <c r="F41" s="257">
        <f>'E) Fact soc'!G46</f>
        <v>324712.11885162839</v>
      </c>
      <c r="G41" s="257">
        <f>'H) Péréquation directe'!I51</f>
        <v>161322.10311535982</v>
      </c>
      <c r="H41" s="257">
        <f>'I) Dépenses thématiques'!O40</f>
        <v>0</v>
      </c>
      <c r="I41" s="257">
        <f>'K) Plafonnement aide'!J40</f>
        <v>0</v>
      </c>
      <c r="J41" s="257">
        <f>'J) Plafonnement effort'!I40</f>
        <v>0</v>
      </c>
      <c r="K41" s="257">
        <f>'L) Plafonnement taux'!Q41</f>
        <v>0</v>
      </c>
      <c r="L41" s="346">
        <f t="shared" si="0"/>
        <v>486034.22196698817</v>
      </c>
      <c r="M41" s="346">
        <f>'M) Police'!O41</f>
        <v>57412.905416199137</v>
      </c>
      <c r="N41" s="346">
        <f t="shared" si="1"/>
        <v>543447.1273831873</v>
      </c>
      <c r="P41" s="407">
        <v>0</v>
      </c>
      <c r="Q41" s="410">
        <f t="shared" si="2"/>
        <v>543447.1273831873</v>
      </c>
    </row>
    <row r="42" spans="1:17" s="248" customFormat="1" x14ac:dyDescent="0.25">
      <c r="A42" s="245">
        <f>'B) D RI'!A43</f>
        <v>5472</v>
      </c>
      <c r="B42" s="246" t="str">
        <f>'B) D RI'!B43</f>
        <v>Bournens</v>
      </c>
      <c r="C42" s="424">
        <f>'B) D RI'!S43</f>
        <v>80</v>
      </c>
      <c r="D42" s="247">
        <f>'B) D RI'!AR43</f>
        <v>373</v>
      </c>
      <c r="E42" s="254">
        <f>'D) Ecrêtage'!M41</f>
        <v>13213.617875</v>
      </c>
      <c r="F42" s="257">
        <f>'E) Fact soc'!G47</f>
        <v>240832.68517426326</v>
      </c>
      <c r="G42" s="257">
        <f>'H) Péréquation directe'!I52</f>
        <v>129559.40769353352</v>
      </c>
      <c r="H42" s="257">
        <f>'I) Dépenses thématiques'!O41</f>
        <v>-26568.368759689503</v>
      </c>
      <c r="I42" s="257">
        <f>'K) Plafonnement aide'!J41</f>
        <v>0</v>
      </c>
      <c r="J42" s="257">
        <f>'J) Plafonnement effort'!I41</f>
        <v>0</v>
      </c>
      <c r="K42" s="257">
        <f>'L) Plafonnement taux'!Q42</f>
        <v>0</v>
      </c>
      <c r="L42" s="346">
        <f t="shared" si="0"/>
        <v>343823.72410810727</v>
      </c>
      <c r="M42" s="346">
        <f>'M) Police'!O42</f>
        <v>41890.427072403982</v>
      </c>
      <c r="N42" s="346">
        <f t="shared" si="1"/>
        <v>385714.15118051122</v>
      </c>
      <c r="P42" s="407">
        <v>-46</v>
      </c>
      <c r="Q42" s="410">
        <f t="shared" si="2"/>
        <v>385668.15118051122</v>
      </c>
    </row>
    <row r="43" spans="1:17" s="248" customFormat="1" x14ac:dyDescent="0.25">
      <c r="A43" s="245">
        <f>'B) D RI'!A44</f>
        <v>5473</v>
      </c>
      <c r="B43" s="246" t="str">
        <f>'B) D RI'!B44</f>
        <v>Boussens</v>
      </c>
      <c r="C43" s="424">
        <f>'B) D RI'!S44</f>
        <v>69</v>
      </c>
      <c r="D43" s="247">
        <f>'B) D RI'!AR44</f>
        <v>958</v>
      </c>
      <c r="E43" s="254">
        <f>'D) Ecrêtage'!M42</f>
        <v>33007.750579710155</v>
      </c>
      <c r="F43" s="257">
        <f>'E) Fact soc'!G48</f>
        <v>494109.53723622492</v>
      </c>
      <c r="G43" s="257">
        <f>'H) Péréquation directe'!I53</f>
        <v>349158.16521414893</v>
      </c>
      <c r="H43" s="257">
        <f>'I) Dépenses thématiques'!O42</f>
        <v>0</v>
      </c>
      <c r="I43" s="257">
        <f>'K) Plafonnement aide'!J42</f>
        <v>0</v>
      </c>
      <c r="J43" s="257">
        <f>'J) Plafonnement effort'!I42</f>
        <v>0</v>
      </c>
      <c r="K43" s="257">
        <f>'L) Plafonnement taux'!Q43</f>
        <v>0</v>
      </c>
      <c r="L43" s="346">
        <f t="shared" si="0"/>
        <v>843267.70245037391</v>
      </c>
      <c r="M43" s="346">
        <f>'M) Police'!O43</f>
        <v>103833.96366278696</v>
      </c>
      <c r="N43" s="346">
        <f t="shared" si="1"/>
        <v>947101.6661131609</v>
      </c>
      <c r="P43" s="407">
        <v>-2</v>
      </c>
      <c r="Q43" s="410">
        <f t="shared" si="2"/>
        <v>947099.6661131609</v>
      </c>
    </row>
    <row r="44" spans="1:17" s="248" customFormat="1" x14ac:dyDescent="0.25">
      <c r="A44" s="245">
        <f>'B) D RI'!A45</f>
        <v>5474</v>
      </c>
      <c r="B44" s="246" t="str">
        <f>'B) D RI'!B45</f>
        <v>La Chaux (Cossonay)</v>
      </c>
      <c r="C44" s="424">
        <f>'B) D RI'!S45</f>
        <v>77</v>
      </c>
      <c r="D44" s="247">
        <f>'B) D RI'!AR45</f>
        <v>421</v>
      </c>
      <c r="E44" s="254">
        <f>'D) Ecrêtage'!M43</f>
        <v>12690.44829004329</v>
      </c>
      <c r="F44" s="257">
        <f>'E) Fact soc'!G49</f>
        <v>174982.50127944569</v>
      </c>
      <c r="G44" s="257">
        <f>'H) Péréquation directe'!I54</f>
        <v>59133.530548700277</v>
      </c>
      <c r="H44" s="257">
        <f>'I) Dépenses thématiques'!O43</f>
        <v>-109872.61853267738</v>
      </c>
      <c r="I44" s="257">
        <f>'K) Plafonnement aide'!J43</f>
        <v>0</v>
      </c>
      <c r="J44" s="257">
        <f>'J) Plafonnement effort'!I43</f>
        <v>0</v>
      </c>
      <c r="K44" s="257">
        <f>'L) Plafonnement taux'!Q44</f>
        <v>0</v>
      </c>
      <c r="L44" s="346">
        <f t="shared" si="0"/>
        <v>124243.41329546858</v>
      </c>
      <c r="M44" s="346">
        <f>'M) Police'!O44</f>
        <v>40116.987385688713</v>
      </c>
      <c r="N44" s="346">
        <f t="shared" si="1"/>
        <v>164360.40068115731</v>
      </c>
      <c r="P44" s="407">
        <v>-213</v>
      </c>
      <c r="Q44" s="410">
        <f t="shared" si="2"/>
        <v>164147.40068115731</v>
      </c>
    </row>
    <row r="45" spans="1:17" s="248" customFormat="1" x14ac:dyDescent="0.25">
      <c r="A45" s="245">
        <f>'B) D RI'!A46</f>
        <v>5475</v>
      </c>
      <c r="B45" s="246" t="str">
        <f>'B) D RI'!B46</f>
        <v>Chavannes-le-Veyron</v>
      </c>
      <c r="C45" s="424">
        <f>'B) D RI'!S46</f>
        <v>77</v>
      </c>
      <c r="D45" s="247">
        <f>'B) D RI'!AR46</f>
        <v>120</v>
      </c>
      <c r="E45" s="254">
        <f>'D) Ecrêtage'!M44</f>
        <v>2750.1545454545449</v>
      </c>
      <c r="F45" s="257">
        <f>'E) Fact soc'!G50</f>
        <v>41344.80293699653</v>
      </c>
      <c r="G45" s="257">
        <f>'H) Péréquation directe'!I55</f>
        <v>-19629.806376522589</v>
      </c>
      <c r="H45" s="257">
        <f>'I) Dépenses thématiques'!O44</f>
        <v>-64807.818678947173</v>
      </c>
      <c r="I45" s="257">
        <f>'K) Plafonnement aide'!J44</f>
        <v>0</v>
      </c>
      <c r="J45" s="257">
        <f>'J) Plafonnement effort'!I44</f>
        <v>0</v>
      </c>
      <c r="K45" s="257">
        <f>'L) Plafonnement taux'!Q45</f>
        <v>0</v>
      </c>
      <c r="L45" s="346">
        <f t="shared" si="0"/>
        <v>-43092.822118473232</v>
      </c>
      <c r="M45" s="346">
        <f>'M) Police'!O45</f>
        <v>8552.6678111582296</v>
      </c>
      <c r="N45" s="346">
        <f t="shared" si="1"/>
        <v>-34540.154307315002</v>
      </c>
      <c r="P45" s="407">
        <v>-45</v>
      </c>
      <c r="Q45" s="410">
        <f t="shared" si="2"/>
        <v>-34585.154307315002</v>
      </c>
    </row>
    <row r="46" spans="1:17" s="248" customFormat="1" x14ac:dyDescent="0.25">
      <c r="A46" s="245">
        <f>'B) D RI'!A47</f>
        <v>5476</v>
      </c>
      <c r="B46" s="246" t="str">
        <f>'B) D RI'!B47</f>
        <v>Chevilly</v>
      </c>
      <c r="C46" s="424">
        <f>'B) D RI'!S47</f>
        <v>74</v>
      </c>
      <c r="D46" s="247">
        <f>'B) D RI'!AR47</f>
        <v>286</v>
      </c>
      <c r="E46" s="254">
        <f>'D) Ecrêtage'!M45</f>
        <v>7887.6179729729729</v>
      </c>
      <c r="F46" s="257">
        <f>'E) Fact soc'!G51</f>
        <v>151892.32131742622</v>
      </c>
      <c r="G46" s="257">
        <f>'H) Péréquation directe'!I56</f>
        <v>17578.142414186208</v>
      </c>
      <c r="H46" s="257">
        <f>'I) Dépenses thématiques'!O45</f>
        <v>-36306.889829805885</v>
      </c>
      <c r="I46" s="257">
        <f>'K) Plafonnement aide'!J45</f>
        <v>0</v>
      </c>
      <c r="J46" s="257">
        <f>'J) Plafonnement effort'!I45</f>
        <v>0</v>
      </c>
      <c r="K46" s="257">
        <f>'L) Plafonnement taux'!Q46</f>
        <v>0</v>
      </c>
      <c r="L46" s="346">
        <f t="shared" si="0"/>
        <v>133163.57390180655</v>
      </c>
      <c r="M46" s="346">
        <f>'M) Police'!O46</f>
        <v>24689.754699615045</v>
      </c>
      <c r="N46" s="346">
        <f t="shared" si="1"/>
        <v>157853.32860142158</v>
      </c>
      <c r="P46" s="407">
        <v>-57</v>
      </c>
      <c r="Q46" s="410">
        <f t="shared" si="2"/>
        <v>157796.32860142158</v>
      </c>
    </row>
    <row r="47" spans="1:17" s="248" customFormat="1" x14ac:dyDescent="0.25">
      <c r="A47" s="245">
        <f>'B) D RI'!A48</f>
        <v>5477</v>
      </c>
      <c r="B47" s="246" t="str">
        <f>'B) D RI'!B48</f>
        <v>Cossonay</v>
      </c>
      <c r="C47" s="424">
        <f>'B) D RI'!S48</f>
        <v>69.3</v>
      </c>
      <c r="D47" s="247">
        <f>'B) D RI'!AR48</f>
        <v>3642</v>
      </c>
      <c r="E47" s="254">
        <f>'D) Ecrêtage'!M46</f>
        <v>120589.74256854257</v>
      </c>
      <c r="F47" s="257">
        <f>'E) Fact soc'!G52</f>
        <v>2120187.2196163191</v>
      </c>
      <c r="G47" s="257">
        <f>'H) Péréquation directe'!I57</f>
        <v>388658.26436176384</v>
      </c>
      <c r="H47" s="257">
        <f>'I) Dépenses thématiques'!O46</f>
        <v>-648668.09426364163</v>
      </c>
      <c r="I47" s="257">
        <f>'K) Plafonnement aide'!J46</f>
        <v>0</v>
      </c>
      <c r="J47" s="257">
        <f>'J) Plafonnement effort'!I46</f>
        <v>0</v>
      </c>
      <c r="K47" s="257">
        <f>'L) Plafonnement taux'!Q47</f>
        <v>0</v>
      </c>
      <c r="L47" s="346">
        <f t="shared" si="0"/>
        <v>1860177.3897144413</v>
      </c>
      <c r="M47" s="346">
        <f>'M) Police'!O47</f>
        <v>382413.08814011764</v>
      </c>
      <c r="N47" s="346">
        <f t="shared" si="1"/>
        <v>2242590.4778545587</v>
      </c>
      <c r="P47" s="407">
        <v>-852</v>
      </c>
      <c r="Q47" s="410">
        <f t="shared" si="2"/>
        <v>2241738.4778545587</v>
      </c>
    </row>
    <row r="48" spans="1:17" s="248" customFormat="1" x14ac:dyDescent="0.25">
      <c r="A48" s="245">
        <f>'B) D RI'!A49</f>
        <v>5478</v>
      </c>
      <c r="B48" s="246" t="str">
        <f>'B) D RI'!B49</f>
        <v>Cottens</v>
      </c>
      <c r="C48" s="424">
        <f>'B) D RI'!S49</f>
        <v>72</v>
      </c>
      <c r="D48" s="247">
        <f>'B) D RI'!AR49</f>
        <v>473</v>
      </c>
      <c r="E48" s="254">
        <f>'D) Ecrêtage'!M47</f>
        <v>15464.23347222222</v>
      </c>
      <c r="F48" s="257">
        <f>'E) Fact soc'!G53</f>
        <v>235960.03039395405</v>
      </c>
      <c r="G48" s="257">
        <f>'H) Péréquation directe'!I58</f>
        <v>132516.84733185056</v>
      </c>
      <c r="H48" s="257">
        <f>'I) Dépenses thématiques'!O47</f>
        <v>-9485.6542227977698</v>
      </c>
      <c r="I48" s="257">
        <f>'K) Plafonnement aide'!J47</f>
        <v>0</v>
      </c>
      <c r="J48" s="257">
        <f>'J) Plafonnement effort'!I47</f>
        <v>0</v>
      </c>
      <c r="K48" s="257">
        <f>'L) Plafonnement taux'!Q48</f>
        <v>0</v>
      </c>
      <c r="L48" s="346">
        <f t="shared" si="0"/>
        <v>358991.2235030068</v>
      </c>
      <c r="M48" s="346">
        <f>'M) Police'!O48</f>
        <v>48963.636138294256</v>
      </c>
      <c r="N48" s="346">
        <f t="shared" si="1"/>
        <v>407954.85964130104</v>
      </c>
      <c r="P48" s="407">
        <v>0</v>
      </c>
      <c r="Q48" s="410">
        <f t="shared" si="2"/>
        <v>407954.85964130104</v>
      </c>
    </row>
    <row r="49" spans="1:17" s="248" customFormat="1" x14ac:dyDescent="0.25">
      <c r="A49" s="245">
        <f>'B) D RI'!A50</f>
        <v>5479</v>
      </c>
      <c r="B49" s="246" t="str">
        <f>'B) D RI'!B50</f>
        <v>Cuarnens</v>
      </c>
      <c r="C49" s="424">
        <f>'B) D RI'!S50</f>
        <v>77</v>
      </c>
      <c r="D49" s="247">
        <f>'B) D RI'!AR50</f>
        <v>439</v>
      </c>
      <c r="E49" s="254">
        <f>'D) Ecrêtage'!M48</f>
        <v>11805.525064935064</v>
      </c>
      <c r="F49" s="257">
        <f>'E) Fact soc'!G54</f>
        <v>177681.57244652265</v>
      </c>
      <c r="G49" s="257">
        <f>'H) Péréquation directe'!I59</f>
        <v>1594.8522804544191</v>
      </c>
      <c r="H49" s="257">
        <f>'I) Dépenses thématiques'!O48</f>
        <v>-183612.63811973928</v>
      </c>
      <c r="I49" s="257">
        <f>'K) Plafonnement aide'!J48</f>
        <v>0</v>
      </c>
      <c r="J49" s="257">
        <f>'J) Plafonnement effort'!I48</f>
        <v>0</v>
      </c>
      <c r="K49" s="257">
        <f>'L) Plafonnement taux'!Q49</f>
        <v>0</v>
      </c>
      <c r="L49" s="346">
        <f t="shared" si="0"/>
        <v>-4336.2133927622053</v>
      </c>
      <c r="M49" s="346">
        <f>'M) Police'!O49</f>
        <v>37044.933650346669</v>
      </c>
      <c r="N49" s="346">
        <f t="shared" si="1"/>
        <v>32708.720257584464</v>
      </c>
      <c r="P49" s="407">
        <v>-343</v>
      </c>
      <c r="Q49" s="410">
        <f t="shared" si="2"/>
        <v>32365.720257584464</v>
      </c>
    </row>
    <row r="50" spans="1:17" s="248" customFormat="1" x14ac:dyDescent="0.25">
      <c r="A50" s="245">
        <f>'B) D RI'!A51</f>
        <v>5480</v>
      </c>
      <c r="B50" s="246" t="str">
        <f>'B) D RI'!B51</f>
        <v>Daillens</v>
      </c>
      <c r="C50" s="424">
        <f>'B) D RI'!S51</f>
        <v>71</v>
      </c>
      <c r="D50" s="247">
        <f>'B) D RI'!AR51</f>
        <v>940</v>
      </c>
      <c r="E50" s="254">
        <f>'D) Ecrêtage'!M49</f>
        <v>42113.849718309852</v>
      </c>
      <c r="F50" s="257">
        <f>'E) Fact soc'!G55</f>
        <v>780760.71043438581</v>
      </c>
      <c r="G50" s="257">
        <f>'H) Péréquation directe'!I60</f>
        <v>685651.62573789619</v>
      </c>
      <c r="H50" s="257">
        <f>'I) Dépenses thématiques'!O49</f>
        <v>-179130.81880102813</v>
      </c>
      <c r="I50" s="257">
        <f>'K) Plafonnement aide'!J49</f>
        <v>0</v>
      </c>
      <c r="J50" s="257">
        <f>'J) Plafonnement effort'!I49</f>
        <v>0</v>
      </c>
      <c r="K50" s="257">
        <f>'L) Plafonnement taux'!Q50</f>
        <v>0</v>
      </c>
      <c r="L50" s="346">
        <f t="shared" si="0"/>
        <v>1287281.5173712538</v>
      </c>
      <c r="M50" s="346">
        <f>'M) Police'!O50</f>
        <v>130823.52872242246</v>
      </c>
      <c r="N50" s="346">
        <f t="shared" si="1"/>
        <v>1418105.0460936762</v>
      </c>
      <c r="P50" s="407">
        <v>-232</v>
      </c>
      <c r="Q50" s="410">
        <f t="shared" si="2"/>
        <v>1417873.0460936762</v>
      </c>
    </row>
    <row r="51" spans="1:17" s="248" customFormat="1" x14ac:dyDescent="0.25">
      <c r="A51" s="245">
        <f>'B) D RI'!A52</f>
        <v>5481</v>
      </c>
      <c r="B51" s="246" t="str">
        <f>'B) D RI'!B52</f>
        <v>Dizy</v>
      </c>
      <c r="C51" s="424">
        <f>'B) D RI'!S52</f>
        <v>74</v>
      </c>
      <c r="D51" s="247">
        <f>'B) D RI'!AR52</f>
        <v>221</v>
      </c>
      <c r="E51" s="254">
        <f>'D) Ecrêtage'!M50</f>
        <v>8240.9954054054051</v>
      </c>
      <c r="F51" s="257">
        <f>'E) Fact soc'!G56</f>
        <v>130281.17375835136</v>
      </c>
      <c r="G51" s="257">
        <f>'H) Péréquation directe'!I61</f>
        <v>100016.12798231075</v>
      </c>
      <c r="H51" s="257">
        <f>'I) Dépenses thématiques'!O50</f>
        <v>-12142.392509791989</v>
      </c>
      <c r="I51" s="257">
        <f>'K) Plafonnement aide'!J50</f>
        <v>0</v>
      </c>
      <c r="J51" s="257">
        <f>'J) Plafonnement effort'!I50</f>
        <v>0</v>
      </c>
      <c r="K51" s="257">
        <f>'L) Plafonnement taux'!Q51</f>
        <v>0</v>
      </c>
      <c r="L51" s="346">
        <f t="shared" si="0"/>
        <v>218154.90923087011</v>
      </c>
      <c r="M51" s="346">
        <f>'M) Police'!O51</f>
        <v>26236.427537633164</v>
      </c>
      <c r="N51" s="346">
        <f t="shared" si="1"/>
        <v>244391.33676850327</v>
      </c>
      <c r="P51" s="407">
        <v>-23</v>
      </c>
      <c r="Q51" s="410">
        <f t="shared" si="2"/>
        <v>244368.33676850327</v>
      </c>
    </row>
    <row r="52" spans="1:17" s="248" customFormat="1" x14ac:dyDescent="0.25">
      <c r="A52" s="245">
        <f>'B) D RI'!A53</f>
        <v>5482</v>
      </c>
      <c r="B52" s="246" t="str">
        <f>'B) D RI'!B53</f>
        <v>Eclépens</v>
      </c>
      <c r="C52" s="424">
        <f>'B) D RI'!S53</f>
        <v>46</v>
      </c>
      <c r="D52" s="247">
        <f>'B) D RI'!AR53</f>
        <v>1039</v>
      </c>
      <c r="E52" s="254">
        <f>'D) Ecrêtage'!M51</f>
        <v>61885.968188874984</v>
      </c>
      <c r="F52" s="257">
        <f>'E) Fact soc'!G57</f>
        <v>1143689.8626043235</v>
      </c>
      <c r="G52" s="257">
        <f>'H) Péréquation directe'!I62</f>
        <v>1031795.5808636158</v>
      </c>
      <c r="H52" s="257">
        <f>'I) Dépenses thématiques'!O51</f>
        <v>-10388.161530166884</v>
      </c>
      <c r="I52" s="257">
        <f>'K) Plafonnement aide'!J51</f>
        <v>0</v>
      </c>
      <c r="J52" s="257">
        <f>'J) Plafonnement effort'!I51</f>
        <v>0</v>
      </c>
      <c r="K52" s="257">
        <f>'L) Plafonnement taux'!Q52</f>
        <v>0</v>
      </c>
      <c r="L52" s="346">
        <f t="shared" si="0"/>
        <v>2165097.2819377724</v>
      </c>
      <c r="M52" s="346">
        <f>'M) Police'!O52</f>
        <v>168996.40559027373</v>
      </c>
      <c r="N52" s="346">
        <f t="shared" si="1"/>
        <v>2334093.6875280463</v>
      </c>
      <c r="P52" s="407">
        <v>-242</v>
      </c>
      <c r="Q52" s="410">
        <f t="shared" si="2"/>
        <v>2333851.6875280463</v>
      </c>
    </row>
    <row r="53" spans="1:17" s="248" customFormat="1" x14ac:dyDescent="0.25">
      <c r="A53" s="245">
        <f>'B) D RI'!A54</f>
        <v>5483</v>
      </c>
      <c r="B53" s="246" t="str">
        <f>'B) D RI'!B54</f>
        <v>Ferreyres</v>
      </c>
      <c r="C53" s="424">
        <f>'B) D RI'!S54</f>
        <v>76</v>
      </c>
      <c r="D53" s="247">
        <f>'B) D RI'!AR54</f>
        <v>313</v>
      </c>
      <c r="E53" s="254">
        <f>'D) Ecrêtage'!M52</f>
        <v>9097.5578947368413</v>
      </c>
      <c r="F53" s="257">
        <f>'E) Fact soc'!G58</f>
        <v>144058.90410416285</v>
      </c>
      <c r="G53" s="257">
        <f>'H) Péréquation directe'!I63</f>
        <v>32540.590421594708</v>
      </c>
      <c r="H53" s="257">
        <f>'I) Dépenses thématiques'!O52</f>
        <v>-17072.266937564051</v>
      </c>
      <c r="I53" s="257">
        <f>'K) Plafonnement aide'!J52</f>
        <v>0</v>
      </c>
      <c r="J53" s="257">
        <f>'J) Plafonnement effort'!I52</f>
        <v>0</v>
      </c>
      <c r="K53" s="257">
        <f>'L) Plafonnement taux'!Q53</f>
        <v>0</v>
      </c>
      <c r="L53" s="346">
        <f t="shared" si="0"/>
        <v>159527.22758819352</v>
      </c>
      <c r="M53" s="346">
        <f>'M) Police'!O53</f>
        <v>28722.509846348323</v>
      </c>
      <c r="N53" s="346">
        <f t="shared" si="1"/>
        <v>188249.73743454184</v>
      </c>
      <c r="P53" s="407">
        <v>-8</v>
      </c>
      <c r="Q53" s="410">
        <f t="shared" si="2"/>
        <v>188241.73743454184</v>
      </c>
    </row>
    <row r="54" spans="1:17" s="248" customFormat="1" x14ac:dyDescent="0.25">
      <c r="A54" s="245">
        <f>'B) D RI'!A55</f>
        <v>5484</v>
      </c>
      <c r="B54" s="246" t="str">
        <f>'B) D RI'!B55</f>
        <v>Gollion</v>
      </c>
      <c r="C54" s="424">
        <f>'B) D RI'!S55</f>
        <v>74</v>
      </c>
      <c r="D54" s="247">
        <f>'B) D RI'!AR55</f>
        <v>857</v>
      </c>
      <c r="E54" s="254">
        <f>'D) Ecrêtage'!M53</f>
        <v>23163.007162162161</v>
      </c>
      <c r="F54" s="257">
        <f>'E) Fact soc'!G59</f>
        <v>455652.95297531417</v>
      </c>
      <c r="G54" s="257">
        <f>'H) Péréquation directe'!I64</f>
        <v>33651.91202226904</v>
      </c>
      <c r="H54" s="257">
        <f>'I) Dépenses thématiques'!O53</f>
        <v>-150728.41398924374</v>
      </c>
      <c r="I54" s="257">
        <f>'K) Plafonnement aide'!J53</f>
        <v>0</v>
      </c>
      <c r="J54" s="257">
        <f>'J) Plafonnement effort'!I53</f>
        <v>0</v>
      </c>
      <c r="K54" s="257">
        <f>'L) Plafonnement taux'!Q54</f>
        <v>0</v>
      </c>
      <c r="L54" s="346">
        <f t="shared" si="0"/>
        <v>338576.45100833947</v>
      </c>
      <c r="M54" s="346">
        <f>'M) Police'!O54</f>
        <v>72739.195498615576</v>
      </c>
      <c r="N54" s="346">
        <f t="shared" si="1"/>
        <v>411315.64650695503</v>
      </c>
      <c r="P54" s="407">
        <v>-253</v>
      </c>
      <c r="Q54" s="410">
        <f t="shared" si="2"/>
        <v>411062.64650695503</v>
      </c>
    </row>
    <row r="55" spans="1:17" s="248" customFormat="1" x14ac:dyDescent="0.25">
      <c r="A55" s="245">
        <f>'B) D RI'!A56</f>
        <v>5485</v>
      </c>
      <c r="B55" s="246" t="str">
        <f>'B) D RI'!B56</f>
        <v>Grancy</v>
      </c>
      <c r="C55" s="424">
        <f>'B) D RI'!S56</f>
        <v>70</v>
      </c>
      <c r="D55" s="247">
        <f>'B) D RI'!AR56</f>
        <v>396</v>
      </c>
      <c r="E55" s="254">
        <f>'D) Ecrêtage'!M54</f>
        <v>17298.355857142858</v>
      </c>
      <c r="F55" s="257">
        <f>'E) Fact soc'!G60</f>
        <v>280628.79392516759</v>
      </c>
      <c r="G55" s="257">
        <f>'H) Péréquation directe'!I65</f>
        <v>280653.56270391354</v>
      </c>
      <c r="H55" s="257">
        <f>'I) Dépenses thématiques'!O54</f>
        <v>-51269.168475869294</v>
      </c>
      <c r="I55" s="257">
        <f>'K) Plafonnement aide'!J54</f>
        <v>0</v>
      </c>
      <c r="J55" s="257">
        <f>'J) Plafonnement effort'!I54</f>
        <v>0</v>
      </c>
      <c r="K55" s="257">
        <f>'L) Plafonnement taux'!Q55</f>
        <v>0</v>
      </c>
      <c r="L55" s="346">
        <f t="shared" si="0"/>
        <v>510013.18815321178</v>
      </c>
      <c r="M55" s="346">
        <f>'M) Police'!O55</f>
        <v>55099.103821626479</v>
      </c>
      <c r="N55" s="346">
        <f t="shared" si="1"/>
        <v>565112.29197483824</v>
      </c>
      <c r="P55" s="407">
        <v>-187</v>
      </c>
      <c r="Q55" s="410">
        <f t="shared" si="2"/>
        <v>564925.29197483824</v>
      </c>
    </row>
    <row r="56" spans="1:17" s="248" customFormat="1" x14ac:dyDescent="0.25">
      <c r="A56" s="245">
        <f>'B) D RI'!A57</f>
        <v>5486</v>
      </c>
      <c r="B56" s="246" t="str">
        <f>'B) D RI'!B57</f>
        <v>L'Isle</v>
      </c>
      <c r="C56" s="424">
        <f>'B) D RI'!S57</f>
        <v>76</v>
      </c>
      <c r="D56" s="247">
        <f>'B) D RI'!AR57</f>
        <v>1032</v>
      </c>
      <c r="E56" s="254">
        <f>'D) Ecrêtage'!M55</f>
        <v>27212.445657894736</v>
      </c>
      <c r="F56" s="257">
        <f>'E) Fact soc'!G61</f>
        <v>658694.12223917455</v>
      </c>
      <c r="G56" s="257">
        <f>'H) Péréquation directe'!I66</f>
        <v>-16052.725330891262</v>
      </c>
      <c r="H56" s="257">
        <f>'I) Dépenses thématiques'!O55</f>
        <v>-343370.92330168013</v>
      </c>
      <c r="I56" s="257">
        <f>'K) Plafonnement aide'!J55</f>
        <v>0</v>
      </c>
      <c r="J56" s="257">
        <f>'J) Plafonnement effort'!I55</f>
        <v>0</v>
      </c>
      <c r="K56" s="257">
        <f>'L) Plafonnement taux'!Q56</f>
        <v>0</v>
      </c>
      <c r="L56" s="346">
        <f t="shared" si="0"/>
        <v>299270.4736066031</v>
      </c>
      <c r="M56" s="346">
        <f>'M) Police'!O56</f>
        <v>85055.146243596566</v>
      </c>
      <c r="N56" s="346">
        <f t="shared" si="1"/>
        <v>384325.61985019967</v>
      </c>
      <c r="P56" s="407">
        <v>-417</v>
      </c>
      <c r="Q56" s="410">
        <f t="shared" si="2"/>
        <v>383908.61985019967</v>
      </c>
    </row>
    <row r="57" spans="1:17" s="248" customFormat="1" x14ac:dyDescent="0.25">
      <c r="A57" s="245">
        <f>'B) D RI'!A58</f>
        <v>5487</v>
      </c>
      <c r="B57" s="246" t="str">
        <f>'B) D RI'!B58</f>
        <v>Lussery-Villars</v>
      </c>
      <c r="C57" s="424">
        <f>'B) D RI'!S58</f>
        <v>68</v>
      </c>
      <c r="D57" s="247">
        <f>'B) D RI'!AR58</f>
        <v>423</v>
      </c>
      <c r="E57" s="254">
        <f>'D) Ecrêtage'!M56</f>
        <v>11872.69955882353</v>
      </c>
      <c r="F57" s="257">
        <f>'E) Fact soc'!G62</f>
        <v>194122.51608915426</v>
      </c>
      <c r="G57" s="257">
        <f>'H) Péréquation directe'!I67</f>
        <v>56626.171097556769</v>
      </c>
      <c r="H57" s="257">
        <f>'I) Dépenses thématiques'!O56</f>
        <v>-45797.647645694662</v>
      </c>
      <c r="I57" s="257">
        <f>'K) Plafonnement aide'!J56</f>
        <v>0</v>
      </c>
      <c r="J57" s="257">
        <f>'J) Plafonnement effort'!I56</f>
        <v>0</v>
      </c>
      <c r="K57" s="257">
        <f>'L) Plafonnement taux'!Q57</f>
        <v>0</v>
      </c>
      <c r="L57" s="346">
        <f t="shared" si="0"/>
        <v>204951.03954101636</v>
      </c>
      <c r="M57" s="346">
        <f>'M) Police'!O57</f>
        <v>37251.363100843315</v>
      </c>
      <c r="N57" s="346">
        <f t="shared" si="1"/>
        <v>242202.40264185966</v>
      </c>
      <c r="P57" s="407">
        <v>-27</v>
      </c>
      <c r="Q57" s="410">
        <f t="shared" si="2"/>
        <v>242175.40264185966</v>
      </c>
    </row>
    <row r="58" spans="1:17" s="248" customFormat="1" x14ac:dyDescent="0.25">
      <c r="A58" s="245">
        <f>'B) D RI'!A59</f>
        <v>5488</v>
      </c>
      <c r="B58" s="246" t="str">
        <f>'B) D RI'!B59</f>
        <v>Mauraz</v>
      </c>
      <c r="C58" s="424">
        <f>'B) D RI'!S59</f>
        <v>74</v>
      </c>
      <c r="D58" s="247">
        <f>'B) D RI'!AR59</f>
        <v>49</v>
      </c>
      <c r="E58" s="254">
        <f>'D) Ecrêtage'!M57</f>
        <v>1417.5255405405405</v>
      </c>
      <c r="F58" s="257">
        <f>'E) Fact soc'!G63</f>
        <v>20370.077632542732</v>
      </c>
      <c r="G58" s="257">
        <f>'H) Péréquation directe'!I68</f>
        <v>5675.9146896027487</v>
      </c>
      <c r="H58" s="257">
        <f>'I) Dépenses thématiques'!O57</f>
        <v>-4669.7787904915731</v>
      </c>
      <c r="I58" s="257">
        <f>'K) Plafonnement aide'!J57</f>
        <v>0</v>
      </c>
      <c r="J58" s="257">
        <f>'J) Plafonnement effort'!I57</f>
        <v>0</v>
      </c>
      <c r="K58" s="257">
        <f>'L) Plafonnement taux'!Q58</f>
        <v>0</v>
      </c>
      <c r="L58" s="346">
        <f t="shared" si="0"/>
        <v>21376.213531653906</v>
      </c>
      <c r="M58" s="346">
        <f>'M) Police'!O58</f>
        <v>4443.3767920398586</v>
      </c>
      <c r="N58" s="346">
        <f t="shared" si="1"/>
        <v>25819.590323693767</v>
      </c>
      <c r="P58" s="407">
        <v>-4</v>
      </c>
      <c r="Q58" s="410">
        <f t="shared" si="2"/>
        <v>25815.590323693767</v>
      </c>
    </row>
    <row r="59" spans="1:17" s="248" customFormat="1" x14ac:dyDescent="0.25">
      <c r="A59" s="245">
        <f>'B) D RI'!A60</f>
        <v>5489</v>
      </c>
      <c r="B59" s="246" t="str">
        <f>'B) D RI'!B60</f>
        <v>Mex</v>
      </c>
      <c r="C59" s="424">
        <f>'B) D RI'!S60</f>
        <v>61</v>
      </c>
      <c r="D59" s="247">
        <f>'B) D RI'!AR60</f>
        <v>678</v>
      </c>
      <c r="E59" s="254">
        <f>'D) Ecrêtage'!M58</f>
        <v>37121.285573770496</v>
      </c>
      <c r="F59" s="257">
        <f>'E) Fact soc'!G64</f>
        <v>603304.70383489854</v>
      </c>
      <c r="G59" s="257">
        <f>'H) Péréquation directe'!I69</f>
        <v>619273.05904648779</v>
      </c>
      <c r="H59" s="257">
        <f>'I) Dépenses thématiques'!O58</f>
        <v>-6595.1281451884051</v>
      </c>
      <c r="I59" s="257">
        <f>'K) Plafonnement aide'!J58</f>
        <v>0</v>
      </c>
      <c r="J59" s="257">
        <f>'J) Plafonnement effort'!I58</f>
        <v>0</v>
      </c>
      <c r="K59" s="257">
        <f>'L) Plafonnement taux'!Q59</f>
        <v>0</v>
      </c>
      <c r="L59" s="346">
        <f t="shared" si="0"/>
        <v>1215982.634736198</v>
      </c>
      <c r="M59" s="346">
        <f>'M) Police'!O59</f>
        <v>106050.02569846628</v>
      </c>
      <c r="N59" s="346">
        <f t="shared" si="1"/>
        <v>1322032.6604346642</v>
      </c>
      <c r="P59" s="407">
        <v>-20</v>
      </c>
      <c r="Q59" s="410">
        <f t="shared" si="2"/>
        <v>1322012.6604346642</v>
      </c>
    </row>
    <row r="60" spans="1:17" s="248" customFormat="1" x14ac:dyDescent="0.25">
      <c r="A60" s="245">
        <f>'B) D RI'!A61</f>
        <v>5490</v>
      </c>
      <c r="B60" s="246" t="str">
        <f>'B) D RI'!B61</f>
        <v>Moiry</v>
      </c>
      <c r="C60" s="424">
        <f>'B) D RI'!S61</f>
        <v>81</v>
      </c>
      <c r="D60" s="247">
        <f>'B) D RI'!AR61</f>
        <v>290</v>
      </c>
      <c r="E60" s="254">
        <f>'D) Ecrêtage'!M59</f>
        <v>7321.727037037037</v>
      </c>
      <c r="F60" s="257">
        <f>'E) Fact soc'!G65</f>
        <v>130997.98450807868</v>
      </c>
      <c r="G60" s="257">
        <f>'H) Péréquation directe'!I70</f>
        <v>-32411.714696755254</v>
      </c>
      <c r="H60" s="257">
        <f>'I) Dépenses thématiques'!O59</f>
        <v>-17649.214574531557</v>
      </c>
      <c r="I60" s="257">
        <f>'K) Plafonnement aide'!J59</f>
        <v>0</v>
      </c>
      <c r="J60" s="257">
        <f>'J) Plafonnement effort'!I59</f>
        <v>0</v>
      </c>
      <c r="K60" s="257">
        <f>'L) Plafonnement taux'!Q60</f>
        <v>0</v>
      </c>
      <c r="L60" s="346">
        <f t="shared" si="0"/>
        <v>80937.055236791872</v>
      </c>
      <c r="M60" s="346">
        <f>'M) Police'!O60</f>
        <v>23195.990817318489</v>
      </c>
      <c r="N60" s="346">
        <f t="shared" si="1"/>
        <v>104133.04605411037</v>
      </c>
      <c r="P60" s="407">
        <v>0</v>
      </c>
      <c r="Q60" s="410">
        <f t="shared" si="2"/>
        <v>104133.04605411037</v>
      </c>
    </row>
    <row r="61" spans="1:17" s="248" customFormat="1" x14ac:dyDescent="0.25">
      <c r="A61" s="245">
        <f>'B) D RI'!A62</f>
        <v>5491</v>
      </c>
      <c r="B61" s="246" t="str">
        <f>'B) D RI'!B62</f>
        <v>Mont-la-Ville</v>
      </c>
      <c r="C61" s="424">
        <f>'B) D RI'!S62</f>
        <v>76</v>
      </c>
      <c r="D61" s="247">
        <f>'B) D RI'!AR62</f>
        <v>382</v>
      </c>
      <c r="E61" s="254">
        <f>'D) Ecrêtage'!M60</f>
        <v>8599.6809210526335</v>
      </c>
      <c r="F61" s="257">
        <f>'E) Fact soc'!G66</f>
        <v>162196.31923735983</v>
      </c>
      <c r="G61" s="257">
        <f>'H) Péréquation directe'!I71</f>
        <v>-64101.063302020193</v>
      </c>
      <c r="H61" s="257">
        <f>'I) Dépenses thématiques'!O60</f>
        <v>-110325.25613494744</v>
      </c>
      <c r="I61" s="257">
        <f>'K) Plafonnement aide'!J60</f>
        <v>0</v>
      </c>
      <c r="J61" s="257">
        <f>'J) Plafonnement effort'!I60</f>
        <v>0</v>
      </c>
      <c r="K61" s="257">
        <f>'L) Plafonnement taux'!Q61</f>
        <v>0</v>
      </c>
      <c r="L61" s="346">
        <f t="shared" si="0"/>
        <v>-12230.000199607806</v>
      </c>
      <c r="M61" s="346">
        <f>'M) Police'!O61</f>
        <v>26726.440278576665</v>
      </c>
      <c r="N61" s="346">
        <f t="shared" si="1"/>
        <v>14496.440078968859</v>
      </c>
      <c r="P61" s="407">
        <v>-140</v>
      </c>
      <c r="Q61" s="410">
        <f t="shared" si="2"/>
        <v>14356.440078968859</v>
      </c>
    </row>
    <row r="62" spans="1:17" s="248" customFormat="1" x14ac:dyDescent="0.25">
      <c r="A62" s="245">
        <f>'B) D RI'!A63</f>
        <v>5492</v>
      </c>
      <c r="B62" s="246" t="str">
        <f>'B) D RI'!B63</f>
        <v>Montricher</v>
      </c>
      <c r="C62" s="424">
        <f>'B) D RI'!S63</f>
        <v>64</v>
      </c>
      <c r="D62" s="247">
        <f>'B) D RI'!AR63</f>
        <v>961</v>
      </c>
      <c r="E62" s="254">
        <f>'D) Ecrêtage'!M61</f>
        <v>111247.59927159132</v>
      </c>
      <c r="F62" s="257">
        <f>'E) Fact soc'!G67</f>
        <v>6511354.9892465593</v>
      </c>
      <c r="G62" s="257">
        <f>'H) Péréquation directe'!I72</f>
        <v>1961890.0424191514</v>
      </c>
      <c r="H62" s="257">
        <f>'I) Dépenses thématiques'!O61</f>
        <v>-251020.33313691156</v>
      </c>
      <c r="I62" s="257">
        <f>'K) Plafonnement aide'!J61</f>
        <v>0</v>
      </c>
      <c r="J62" s="257">
        <f>'J) Plafonnement effort'!I61</f>
        <v>0</v>
      </c>
      <c r="K62" s="257">
        <f>'L) Plafonnement taux'!Q62</f>
        <v>0</v>
      </c>
      <c r="L62" s="346">
        <f t="shared" ref="L62:L116" si="3">F62+G62+H62+I62+J62+K62</f>
        <v>8222224.6985287992</v>
      </c>
      <c r="M62" s="346">
        <f>'M) Police'!O62</f>
        <v>226312.38587295485</v>
      </c>
      <c r="N62" s="346">
        <f t="shared" si="1"/>
        <v>8448537.0844017547</v>
      </c>
      <c r="P62" s="407">
        <v>-466</v>
      </c>
      <c r="Q62" s="410">
        <f t="shared" si="2"/>
        <v>8448071.0844017547</v>
      </c>
    </row>
    <row r="63" spans="1:17" s="248" customFormat="1" x14ac:dyDescent="0.25">
      <c r="A63" s="245">
        <f>'B) D RI'!A64</f>
        <v>5493</v>
      </c>
      <c r="B63" s="246" t="str">
        <f>'B) D RI'!B64</f>
        <v>Orny</v>
      </c>
      <c r="C63" s="424">
        <f>'B) D RI'!S64</f>
        <v>73</v>
      </c>
      <c r="D63" s="247">
        <f>'B) D RI'!AR64</f>
        <v>375</v>
      </c>
      <c r="E63" s="254">
        <f>'D) Ecrêtage'!M62</f>
        <v>10614.324773445733</v>
      </c>
      <c r="F63" s="257">
        <f>'E) Fact soc'!G68</f>
        <v>179443.65126165157</v>
      </c>
      <c r="G63" s="257">
        <f>'H) Péréquation directe'!I73</f>
        <v>37369.191394617024</v>
      </c>
      <c r="H63" s="257">
        <f>'I) Dépenses thématiques'!O62</f>
        <v>-52523.12824269056</v>
      </c>
      <c r="I63" s="257">
        <f>'K) Plafonnement aide'!J62</f>
        <v>0</v>
      </c>
      <c r="J63" s="257">
        <f>'J) Plafonnement effort'!I62</f>
        <v>0</v>
      </c>
      <c r="K63" s="257">
        <f>'L) Plafonnement taux'!Q63</f>
        <v>0</v>
      </c>
      <c r="L63" s="346">
        <f t="shared" si="3"/>
        <v>164289.71441357804</v>
      </c>
      <c r="M63" s="346">
        <f>'M) Police'!O63</f>
        <v>33562.63518398696</v>
      </c>
      <c r="N63" s="346">
        <f t="shared" si="1"/>
        <v>197852.34959756501</v>
      </c>
      <c r="P63" s="407">
        <v>-80</v>
      </c>
      <c r="Q63" s="410">
        <f t="shared" si="2"/>
        <v>197772.34959756501</v>
      </c>
    </row>
    <row r="64" spans="1:17" s="248" customFormat="1" x14ac:dyDescent="0.25">
      <c r="A64" s="245">
        <f>'B) D RI'!A65</f>
        <v>5494</v>
      </c>
      <c r="B64" s="246" t="str">
        <f>'B) D RI'!B65</f>
        <v>Pampigny</v>
      </c>
      <c r="C64" s="424">
        <f>'B) D RI'!S65</f>
        <v>75</v>
      </c>
      <c r="D64" s="247">
        <f>'B) D RI'!AR65</f>
        <v>1124</v>
      </c>
      <c r="E64" s="254">
        <f>'D) Ecrêtage'!M63</f>
        <v>33982.091568253971</v>
      </c>
      <c r="F64" s="257">
        <f>'E) Fact soc'!G69</f>
        <v>573356.54419235198</v>
      </c>
      <c r="G64" s="257">
        <f>'H) Péréquation directe'!I74</f>
        <v>149626.16364169214</v>
      </c>
      <c r="H64" s="257">
        <f>'I) Dépenses thématiques'!O63</f>
        <v>-308516.39449476672</v>
      </c>
      <c r="I64" s="257">
        <f>'K) Plafonnement aide'!J63</f>
        <v>0</v>
      </c>
      <c r="J64" s="257">
        <f>'J) Plafonnement effort'!I63</f>
        <v>0</v>
      </c>
      <c r="K64" s="257">
        <f>'L) Plafonnement taux'!Q64</f>
        <v>0</v>
      </c>
      <c r="L64" s="346">
        <f t="shared" si="3"/>
        <v>414466.3133392774</v>
      </c>
      <c r="M64" s="346">
        <f>'M) Police'!O64</f>
        <v>106839.33065897088</v>
      </c>
      <c r="N64" s="346">
        <f t="shared" si="1"/>
        <v>521305.64399824827</v>
      </c>
      <c r="P64" s="407">
        <v>-297</v>
      </c>
      <c r="Q64" s="410">
        <f t="shared" si="2"/>
        <v>521008.64399824827</v>
      </c>
    </row>
    <row r="65" spans="1:17" s="248" customFormat="1" x14ac:dyDescent="0.25">
      <c r="A65" s="245">
        <f>'B) D RI'!A66</f>
        <v>5495</v>
      </c>
      <c r="B65" s="246" t="str">
        <f>'B) D RI'!B66</f>
        <v>Penthalaz</v>
      </c>
      <c r="C65" s="424">
        <f>'B) D RI'!S66</f>
        <v>74</v>
      </c>
      <c r="D65" s="247">
        <f>'B) D RI'!AR66</f>
        <v>3241</v>
      </c>
      <c r="E65" s="254">
        <f>'D) Ecrêtage'!M64</f>
        <v>96162.321351351362</v>
      </c>
      <c r="F65" s="257">
        <f>'E) Fact soc'!G70</f>
        <v>1609087.2565047923</v>
      </c>
      <c r="G65" s="257">
        <f>'H) Péréquation directe'!I75</f>
        <v>-118190.23803192144</v>
      </c>
      <c r="H65" s="257">
        <f>'I) Dépenses thématiques'!O64</f>
        <v>-396190.93823866697</v>
      </c>
      <c r="I65" s="257">
        <f>'K) Plafonnement aide'!J64</f>
        <v>0</v>
      </c>
      <c r="J65" s="257">
        <f>'J) Plafonnement effort'!I64</f>
        <v>0</v>
      </c>
      <c r="K65" s="257">
        <f>'L) Plafonnement taux'!Q65</f>
        <v>0</v>
      </c>
      <c r="L65" s="346">
        <f t="shared" si="3"/>
        <v>1094706.080234204</v>
      </c>
      <c r="M65" s="346">
        <f>'M) Police'!O65</f>
        <v>302639.90287202375</v>
      </c>
      <c r="N65" s="346">
        <f t="shared" si="1"/>
        <v>1397345.9831062276</v>
      </c>
      <c r="P65" s="407">
        <v>-688</v>
      </c>
      <c r="Q65" s="410">
        <f t="shared" si="2"/>
        <v>1396657.9831062276</v>
      </c>
    </row>
    <row r="66" spans="1:17" s="248" customFormat="1" x14ac:dyDescent="0.25">
      <c r="A66" s="245">
        <f>'B) D RI'!A67</f>
        <v>5496</v>
      </c>
      <c r="B66" s="246" t="str">
        <f>'B) D RI'!B67</f>
        <v>Penthaz</v>
      </c>
      <c r="C66" s="424">
        <f>'B) D RI'!S67</f>
        <v>71</v>
      </c>
      <c r="D66" s="247">
        <f>'B) D RI'!AR67</f>
        <v>1653</v>
      </c>
      <c r="E66" s="254">
        <f>'D) Ecrêtage'!M65</f>
        <v>56906.521408450702</v>
      </c>
      <c r="F66" s="257">
        <f>'E) Fact soc'!G71</f>
        <v>924252.54139573057</v>
      </c>
      <c r="G66" s="257">
        <f>'H) Péréquation directe'!I76</f>
        <v>422149.76768662652</v>
      </c>
      <c r="H66" s="257">
        <f>'I) Dépenses thématiques'!O65</f>
        <v>-176016.09346177932</v>
      </c>
      <c r="I66" s="257">
        <f>'K) Plafonnement aide'!J65</f>
        <v>0</v>
      </c>
      <c r="J66" s="257">
        <f>'J) Plafonnement effort'!I65</f>
        <v>0</v>
      </c>
      <c r="K66" s="257">
        <f>'L) Plafonnement taux'!Q66</f>
        <v>0</v>
      </c>
      <c r="L66" s="346">
        <f t="shared" si="3"/>
        <v>1170386.2156205778</v>
      </c>
      <c r="M66" s="346">
        <f>'M) Police'!O66</f>
        <v>179105.28240612586</v>
      </c>
      <c r="N66" s="346">
        <f t="shared" si="1"/>
        <v>1349491.4980267037</v>
      </c>
      <c r="P66" s="407">
        <v>-346</v>
      </c>
      <c r="Q66" s="410">
        <f t="shared" si="2"/>
        <v>1349145.4980267037</v>
      </c>
    </row>
    <row r="67" spans="1:17" s="248" customFormat="1" x14ac:dyDescent="0.25">
      <c r="A67" s="245">
        <f>'B) D RI'!A68</f>
        <v>5497</v>
      </c>
      <c r="B67" s="246" t="str">
        <f>'B) D RI'!B68</f>
        <v>Pompaples</v>
      </c>
      <c r="C67" s="424">
        <f>'B) D RI'!S68</f>
        <v>66</v>
      </c>
      <c r="D67" s="247">
        <f>'B) D RI'!AR68</f>
        <v>834</v>
      </c>
      <c r="E67" s="254">
        <f>'D) Ecrêtage'!M66</f>
        <v>22227.212272727276</v>
      </c>
      <c r="F67" s="257">
        <f>'E) Fact soc'!G72</f>
        <v>434051.99987034872</v>
      </c>
      <c r="G67" s="257">
        <f>'H) Péréquation directe'!I77</f>
        <v>83159.476838207105</v>
      </c>
      <c r="H67" s="257">
        <f>'I) Dépenses thématiques'!O66</f>
        <v>-169774.06619457004</v>
      </c>
      <c r="I67" s="257">
        <f>'K) Plafonnement aide'!J66</f>
        <v>0</v>
      </c>
      <c r="J67" s="257">
        <f>'J) Plafonnement effort'!I66</f>
        <v>0</v>
      </c>
      <c r="K67" s="257">
        <f>'L) Plafonnement taux'!Q67</f>
        <v>0</v>
      </c>
      <c r="L67" s="346">
        <f t="shared" si="3"/>
        <v>347437.41051398579</v>
      </c>
      <c r="M67" s="346">
        <f>'M) Police'!O67</f>
        <v>69728.915902333189</v>
      </c>
      <c r="N67" s="346">
        <f t="shared" si="1"/>
        <v>417166.326416319</v>
      </c>
      <c r="P67" s="407">
        <v>-237</v>
      </c>
      <c r="Q67" s="410">
        <f t="shared" si="2"/>
        <v>416929.326416319</v>
      </c>
    </row>
    <row r="68" spans="1:17" s="248" customFormat="1" x14ac:dyDescent="0.25">
      <c r="A68" s="245">
        <f>'B) D RI'!A69</f>
        <v>5498</v>
      </c>
      <c r="B68" s="246" t="str">
        <f>'B) D RI'!B69</f>
        <v>La Sarraz</v>
      </c>
      <c r="C68" s="424">
        <f>'B) D RI'!S69</f>
        <v>64</v>
      </c>
      <c r="D68" s="247">
        <f>'B) D RI'!AR69</f>
        <v>2559</v>
      </c>
      <c r="E68" s="254">
        <f>'D) Ecrêtage'!M67</f>
        <v>72104.13</v>
      </c>
      <c r="F68" s="257">
        <f>'E) Fact soc'!G73</f>
        <v>1177018.4379371782</v>
      </c>
      <c r="G68" s="257">
        <f>'H) Péréquation directe'!I78</f>
        <v>50034.748314561322</v>
      </c>
      <c r="H68" s="257">
        <f>'I) Dépenses thématiques'!O67</f>
        <v>-523047.65250827913</v>
      </c>
      <c r="I68" s="257">
        <f>'K) Plafonnement aide'!J67</f>
        <v>0</v>
      </c>
      <c r="J68" s="257">
        <f>'J) Plafonnement effort'!I67</f>
        <v>0</v>
      </c>
      <c r="K68" s="257">
        <f>'L) Plafonnement taux'!Q68</f>
        <v>0</v>
      </c>
      <c r="L68" s="346">
        <f t="shared" si="3"/>
        <v>704005.53374346043</v>
      </c>
      <c r="M68" s="346">
        <f>'M) Police'!O68</f>
        <v>225903.17848742503</v>
      </c>
      <c r="N68" s="346">
        <f t="shared" si="1"/>
        <v>929908.7122308854</v>
      </c>
      <c r="P68" s="407">
        <v>-666</v>
      </c>
      <c r="Q68" s="410">
        <f t="shared" si="2"/>
        <v>929242.7122308854</v>
      </c>
    </row>
    <row r="69" spans="1:17" s="248" customFormat="1" x14ac:dyDescent="0.25">
      <c r="A69" s="245">
        <f>'B) D RI'!A70</f>
        <v>5499</v>
      </c>
      <c r="B69" s="246" t="str">
        <f>'B) D RI'!B70</f>
        <v>Senarclens</v>
      </c>
      <c r="C69" s="424">
        <f>'B) D RI'!S70</f>
        <v>68.5</v>
      </c>
      <c r="D69" s="247">
        <f>'B) D RI'!AR70</f>
        <v>451</v>
      </c>
      <c r="E69" s="254">
        <f>'D) Ecrêtage'!M68</f>
        <v>21697.695620437953</v>
      </c>
      <c r="F69" s="257">
        <f>'E) Fact soc'!G74</f>
        <v>371806.25756297936</v>
      </c>
      <c r="G69" s="257">
        <f>'H) Péréquation directe'!I79</f>
        <v>356554.86710434122</v>
      </c>
      <c r="H69" s="257">
        <f>'I) Dépenses thématiques'!O68</f>
        <v>0</v>
      </c>
      <c r="I69" s="257">
        <f>'K) Plafonnement aide'!J68</f>
        <v>0</v>
      </c>
      <c r="J69" s="257">
        <f>'J) Plafonnement effort'!I68</f>
        <v>0</v>
      </c>
      <c r="K69" s="257">
        <f>'L) Plafonnement taux'!Q69</f>
        <v>0</v>
      </c>
      <c r="L69" s="346">
        <f t="shared" si="3"/>
        <v>728361.12466732063</v>
      </c>
      <c r="M69" s="346">
        <f>'M) Police'!O69</f>
        <v>66661.47512738363</v>
      </c>
      <c r="N69" s="346">
        <f t="shared" si="1"/>
        <v>795022.59979470423</v>
      </c>
      <c r="P69" s="407">
        <v>-23</v>
      </c>
      <c r="Q69" s="410">
        <f t="shared" si="2"/>
        <v>794999.59979470423</v>
      </c>
    </row>
    <row r="70" spans="1:17" s="248" customFormat="1" x14ac:dyDescent="0.25">
      <c r="A70" s="245">
        <f>'B) D RI'!A71</f>
        <v>5500</v>
      </c>
      <c r="B70" s="246" t="str">
        <f>'B) D RI'!B71</f>
        <v>Sévery</v>
      </c>
      <c r="C70" s="424">
        <f>'B) D RI'!S71</f>
        <v>76</v>
      </c>
      <c r="D70" s="247">
        <f>'B) D RI'!AR71</f>
        <v>231</v>
      </c>
      <c r="E70" s="254">
        <f>'D) Ecrêtage'!M69</f>
        <v>6767.1525657894736</v>
      </c>
      <c r="F70" s="257">
        <f>'E) Fact soc'!G75</f>
        <v>118238.72717727696</v>
      </c>
      <c r="G70" s="257">
        <f>'H) Péréquation directe'!I80</f>
        <v>26212.65257718839</v>
      </c>
      <c r="H70" s="257">
        <f>'I) Dépenses thématiques'!O69</f>
        <v>-27013.532523711223</v>
      </c>
      <c r="I70" s="257">
        <f>'K) Plafonnement aide'!J69</f>
        <v>0</v>
      </c>
      <c r="J70" s="257">
        <f>'J) Plafonnement effort'!I69</f>
        <v>0</v>
      </c>
      <c r="K70" s="257">
        <f>'L) Plafonnement taux'!Q70</f>
        <v>0</v>
      </c>
      <c r="L70" s="346">
        <f t="shared" si="3"/>
        <v>117437.84723075414</v>
      </c>
      <c r="M70" s="346">
        <f>'M) Police'!O70</f>
        <v>21259.25452456679</v>
      </c>
      <c r="N70" s="346">
        <f t="shared" si="1"/>
        <v>138697.10175532094</v>
      </c>
      <c r="P70" s="407">
        <v>-10</v>
      </c>
      <c r="Q70" s="410">
        <f t="shared" si="2"/>
        <v>138687.10175532094</v>
      </c>
    </row>
    <row r="71" spans="1:17" s="248" customFormat="1" x14ac:dyDescent="0.25">
      <c r="A71" s="245">
        <f>'B) D RI'!A72</f>
        <v>5501</v>
      </c>
      <c r="B71" s="246" t="str">
        <f>'B) D RI'!B72</f>
        <v>Sullens</v>
      </c>
      <c r="C71" s="424">
        <f>'B) D RI'!S72</f>
        <v>70</v>
      </c>
      <c r="D71" s="247">
        <f>'B) D RI'!AR72</f>
        <v>925</v>
      </c>
      <c r="E71" s="254">
        <f>'D) Ecrêtage'!M70</f>
        <v>35887.851857142865</v>
      </c>
      <c r="F71" s="257">
        <f>'E) Fact soc'!G76</f>
        <v>623935.66631093237</v>
      </c>
      <c r="G71" s="257">
        <f>'H) Péréquation directe'!I81</f>
        <v>485029.65833000699</v>
      </c>
      <c r="H71" s="257">
        <f>'I) Dépenses thématiques'!O70</f>
        <v>-11157.264000819643</v>
      </c>
      <c r="I71" s="257">
        <f>'K) Plafonnement aide'!J70</f>
        <v>0</v>
      </c>
      <c r="J71" s="257">
        <f>'J) Plafonnement effort'!I70</f>
        <v>0</v>
      </c>
      <c r="K71" s="257">
        <f>'L) Plafonnement taux'!Q71</f>
        <v>0</v>
      </c>
      <c r="L71" s="346">
        <f t="shared" si="3"/>
        <v>1097808.0606401199</v>
      </c>
      <c r="M71" s="346">
        <f>'M) Police'!O71</f>
        <v>113202.65239710873</v>
      </c>
      <c r="N71" s="346">
        <f t="shared" ref="N71:N134" si="4">L71+M71</f>
        <v>1211010.7130372287</v>
      </c>
      <c r="P71" s="407">
        <v>-8</v>
      </c>
      <c r="Q71" s="410">
        <f t="shared" ref="Q71:Q134" si="5">N71+P71</f>
        <v>1211002.7130372287</v>
      </c>
    </row>
    <row r="72" spans="1:17" s="248" customFormat="1" x14ac:dyDescent="0.25">
      <c r="A72" s="245">
        <f>'B) D RI'!A73</f>
        <v>5503</v>
      </c>
      <c r="B72" s="246" t="str">
        <f>'B) D RI'!B73</f>
        <v>Vufflens-la-Ville</v>
      </c>
      <c r="C72" s="424">
        <f>'B) D RI'!S73</f>
        <v>67</v>
      </c>
      <c r="D72" s="247">
        <f>'B) D RI'!AR73</f>
        <v>1216</v>
      </c>
      <c r="E72" s="254">
        <f>'D) Ecrêtage'!M71</f>
        <v>61379.446318407958</v>
      </c>
      <c r="F72" s="257">
        <f>'E) Fact soc'!G77</f>
        <v>1199352.7408220829</v>
      </c>
      <c r="G72" s="257">
        <f>'H) Péréquation directe'!I82</f>
        <v>961102.97989775694</v>
      </c>
      <c r="H72" s="257">
        <f>'I) Dépenses thématiques'!O71</f>
        <v>0</v>
      </c>
      <c r="I72" s="257">
        <f>'K) Plafonnement aide'!J71</f>
        <v>0</v>
      </c>
      <c r="J72" s="257">
        <f>'J) Plafonnement effort'!I71</f>
        <v>0</v>
      </c>
      <c r="K72" s="257">
        <f>'L) Plafonnement taux'!Q72</f>
        <v>0</v>
      </c>
      <c r="L72" s="346">
        <f t="shared" si="3"/>
        <v>2160455.7207198399</v>
      </c>
      <c r="M72" s="346">
        <f>'M) Police'!O72</f>
        <v>183464.37771828813</v>
      </c>
      <c r="N72" s="346">
        <f t="shared" si="4"/>
        <v>2343920.0984381279</v>
      </c>
      <c r="P72" s="407">
        <v>0</v>
      </c>
      <c r="Q72" s="410">
        <f t="shared" si="5"/>
        <v>2343920.0984381279</v>
      </c>
    </row>
    <row r="73" spans="1:17" s="248" customFormat="1" x14ac:dyDescent="0.25">
      <c r="A73" s="245">
        <f>'B) D RI'!A74</f>
        <v>5511</v>
      </c>
      <c r="B73" s="246" t="str">
        <f>'B) D RI'!B74</f>
        <v>Assens</v>
      </c>
      <c r="C73" s="424">
        <f>'B) D RI'!S74</f>
        <v>70</v>
      </c>
      <c r="D73" s="247">
        <f>'B) D RI'!AR74</f>
        <v>1031</v>
      </c>
      <c r="E73" s="254">
        <f>'D) Ecrêtage'!M72</f>
        <v>41422.612571428566</v>
      </c>
      <c r="F73" s="257">
        <f>'E) Fact soc'!G78</f>
        <v>671778.6277392474</v>
      </c>
      <c r="G73" s="257">
        <f>'H) Péréquation directe'!I83</f>
        <v>586961.17042700865</v>
      </c>
      <c r="H73" s="257">
        <f>'I) Dépenses thématiques'!O72</f>
        <v>-175027.40993104089</v>
      </c>
      <c r="I73" s="257">
        <f>'K) Plafonnement aide'!J72</f>
        <v>0</v>
      </c>
      <c r="J73" s="257">
        <f>'J) Plafonnement effort'!I72</f>
        <v>0</v>
      </c>
      <c r="K73" s="257">
        <f>'L) Plafonnement taux'!Q73</f>
        <v>0</v>
      </c>
      <c r="L73" s="346">
        <f t="shared" si="3"/>
        <v>1083712.3882352151</v>
      </c>
      <c r="M73" s="346">
        <f>'M) Police'!O73</f>
        <v>130577.56938124992</v>
      </c>
      <c r="N73" s="346">
        <f t="shared" si="4"/>
        <v>1214289.9576164649</v>
      </c>
      <c r="P73" s="407">
        <v>-273</v>
      </c>
      <c r="Q73" s="410">
        <f t="shared" si="5"/>
        <v>1214016.9576164649</v>
      </c>
    </row>
    <row r="74" spans="1:17" s="248" customFormat="1" x14ac:dyDescent="0.25">
      <c r="A74" s="245">
        <f>'B) D RI'!A75</f>
        <v>5512</v>
      </c>
      <c r="B74" s="246" t="str">
        <f>'B) D RI'!B75</f>
        <v>Bercher</v>
      </c>
      <c r="C74" s="424">
        <f>'B) D RI'!S75</f>
        <v>79</v>
      </c>
      <c r="D74" s="247">
        <f>'B) D RI'!AR75</f>
        <v>1148</v>
      </c>
      <c r="E74" s="254">
        <f>'D) Ecrêtage'!M73</f>
        <v>32079.191772151898</v>
      </c>
      <c r="F74" s="257">
        <f>'E) Fact soc'!G79</f>
        <v>540506.8078305769</v>
      </c>
      <c r="G74" s="257">
        <f>'H) Péréquation directe'!I84</f>
        <v>-3995.0023635325488</v>
      </c>
      <c r="H74" s="257">
        <f>'I) Dépenses thématiques'!O73</f>
        <v>-154344.76121515612</v>
      </c>
      <c r="I74" s="257">
        <f>'K) Plafonnement aide'!J73</f>
        <v>0</v>
      </c>
      <c r="J74" s="257">
        <f>'J) Plafonnement effort'!I73</f>
        <v>0</v>
      </c>
      <c r="K74" s="257">
        <f>'L) Plafonnement taux'!Q74</f>
        <v>0</v>
      </c>
      <c r="L74" s="346">
        <f t="shared" si="3"/>
        <v>382167.04425188823</v>
      </c>
      <c r="M74" s="346">
        <f>'M) Police'!O74</f>
        <v>100024.91259365738</v>
      </c>
      <c r="N74" s="346">
        <f t="shared" si="4"/>
        <v>482191.95684554562</v>
      </c>
      <c r="P74" s="407">
        <v>-248</v>
      </c>
      <c r="Q74" s="410">
        <f t="shared" si="5"/>
        <v>481943.95684554562</v>
      </c>
    </row>
    <row r="75" spans="1:17" s="248" customFormat="1" x14ac:dyDescent="0.25">
      <c r="A75" s="245">
        <f>'B) D RI'!A76</f>
        <v>5513</v>
      </c>
      <c r="B75" s="246" t="str">
        <f>'B) D RI'!B76</f>
        <v>Bioley-Orjulaz</v>
      </c>
      <c r="C75" s="424">
        <f>'B) D RI'!S76</f>
        <v>66</v>
      </c>
      <c r="D75" s="247">
        <f>'B) D RI'!AR76</f>
        <v>471</v>
      </c>
      <c r="E75" s="254">
        <f>'D) Ecrêtage'!M74</f>
        <v>24024.471515151512</v>
      </c>
      <c r="F75" s="257">
        <f>'E) Fact soc'!G80</f>
        <v>419619.98891665658</v>
      </c>
      <c r="G75" s="257">
        <f>'H) Péréquation directe'!I85</f>
        <v>397598.22720456822</v>
      </c>
      <c r="H75" s="257">
        <f>'I) Dépenses thématiques'!O74</f>
        <v>-25382.701085243705</v>
      </c>
      <c r="I75" s="257">
        <f>'K) Plafonnement aide'!J74</f>
        <v>0</v>
      </c>
      <c r="J75" s="257">
        <f>'J) Plafonnement effort'!I74</f>
        <v>0</v>
      </c>
      <c r="K75" s="257">
        <f>'L) Plafonnement taux'!Q75</f>
        <v>0</v>
      </c>
      <c r="L75" s="346">
        <f t="shared" si="3"/>
        <v>791835.51503598108</v>
      </c>
      <c r="M75" s="346">
        <f>'M) Police'!O75</f>
        <v>71386.354228442622</v>
      </c>
      <c r="N75" s="346">
        <f t="shared" si="4"/>
        <v>863221.86926442373</v>
      </c>
      <c r="P75" s="407">
        <v>0</v>
      </c>
      <c r="Q75" s="410">
        <f t="shared" si="5"/>
        <v>863221.86926442373</v>
      </c>
    </row>
    <row r="76" spans="1:17" s="248" customFormat="1" x14ac:dyDescent="0.25">
      <c r="A76" s="245">
        <f>'B) D RI'!A77</f>
        <v>5514</v>
      </c>
      <c r="B76" s="246" t="str">
        <f>'B) D RI'!B77</f>
        <v>Bottens</v>
      </c>
      <c r="C76" s="424">
        <f>'B) D RI'!S77</f>
        <v>69</v>
      </c>
      <c r="D76" s="247">
        <f>'B) D RI'!AR77</f>
        <v>1220</v>
      </c>
      <c r="E76" s="254">
        <f>'D) Ecrêtage'!M75</f>
        <v>38346.680434782604</v>
      </c>
      <c r="F76" s="257">
        <f>'E) Fact soc'!G81</f>
        <v>701908.07666748564</v>
      </c>
      <c r="G76" s="257">
        <f>'H) Péréquation directe'!I86</f>
        <v>252145.17512638541</v>
      </c>
      <c r="H76" s="257">
        <f>'I) Dépenses thématiques'!O75</f>
        <v>-33657.511404250254</v>
      </c>
      <c r="I76" s="257">
        <f>'K) Plafonnement aide'!J75</f>
        <v>0</v>
      </c>
      <c r="J76" s="257">
        <f>'J) Plafonnement effort'!I75</f>
        <v>0</v>
      </c>
      <c r="K76" s="257">
        <f>'L) Plafonnement taux'!Q76</f>
        <v>0</v>
      </c>
      <c r="L76" s="346">
        <f t="shared" si="3"/>
        <v>920395.74038962077</v>
      </c>
      <c r="M76" s="346">
        <f>'M) Police'!O76</f>
        <v>120424.40221750375</v>
      </c>
      <c r="N76" s="346">
        <f t="shared" si="4"/>
        <v>1040820.1426071245</v>
      </c>
      <c r="P76" s="407">
        <v>-3</v>
      </c>
      <c r="Q76" s="410">
        <f t="shared" si="5"/>
        <v>1040817.1426071245</v>
      </c>
    </row>
    <row r="77" spans="1:17" s="248" customFormat="1" x14ac:dyDescent="0.25">
      <c r="A77" s="245">
        <f>'B) D RI'!A78</f>
        <v>5515</v>
      </c>
      <c r="B77" s="246" t="str">
        <f>'B) D RI'!B78</f>
        <v>Bretigny-sur-Morrens</v>
      </c>
      <c r="C77" s="424">
        <f>'B) D RI'!S78</f>
        <v>73</v>
      </c>
      <c r="D77" s="247">
        <f>'B) D RI'!AR78</f>
        <v>797</v>
      </c>
      <c r="E77" s="254">
        <f>'D) Ecrêtage'!M76</f>
        <v>24345.34643835617</v>
      </c>
      <c r="F77" s="257">
        <f>'E) Fact soc'!G82</f>
        <v>415531.68489755184</v>
      </c>
      <c r="G77" s="257">
        <f>'H) Péréquation directe'!I87</f>
        <v>150325.05246552185</v>
      </c>
      <c r="H77" s="257">
        <f>'I) Dépenses thématiques'!O76</f>
        <v>-79980.202477155603</v>
      </c>
      <c r="I77" s="257">
        <f>'K) Plafonnement aide'!J76</f>
        <v>0</v>
      </c>
      <c r="J77" s="257">
        <f>'J) Plafonnement effort'!I76</f>
        <v>0</v>
      </c>
      <c r="K77" s="257">
        <f>'L) Plafonnement taux'!Q77</f>
        <v>0</v>
      </c>
      <c r="L77" s="346">
        <f t="shared" si="3"/>
        <v>485876.53488591814</v>
      </c>
      <c r="M77" s="346">
        <f>'M) Police'!O77</f>
        <v>76530.902180795907</v>
      </c>
      <c r="N77" s="346">
        <f t="shared" si="4"/>
        <v>562407.43706671405</v>
      </c>
      <c r="P77" s="407">
        <v>-126</v>
      </c>
      <c r="Q77" s="410">
        <f t="shared" si="5"/>
        <v>562281.43706671405</v>
      </c>
    </row>
    <row r="78" spans="1:17" s="248" customFormat="1" x14ac:dyDescent="0.25">
      <c r="A78" s="245">
        <f>'B) D RI'!A79</f>
        <v>5516</v>
      </c>
      <c r="B78" s="246" t="str">
        <f>'B) D RI'!B79</f>
        <v>Cugy</v>
      </c>
      <c r="C78" s="424">
        <f>'B) D RI'!S79</f>
        <v>67</v>
      </c>
      <c r="D78" s="247">
        <f>'B) D RI'!AR79</f>
        <v>2755</v>
      </c>
      <c r="E78" s="254">
        <f>'D) Ecrêtage'!M77</f>
        <v>104935.17701492537</v>
      </c>
      <c r="F78" s="257">
        <f>'E) Fact soc'!G83</f>
        <v>1829960.750576542</v>
      </c>
      <c r="G78" s="257">
        <f>'H) Péréquation directe'!I88</f>
        <v>961026.97067447193</v>
      </c>
      <c r="H78" s="257">
        <f>'I) Dépenses thématiques'!O77</f>
        <v>-223481.92063180075</v>
      </c>
      <c r="I78" s="257">
        <f>'K) Plafonnement aide'!J77</f>
        <v>0</v>
      </c>
      <c r="J78" s="257">
        <f>'J) Plafonnement effort'!I77</f>
        <v>0</v>
      </c>
      <c r="K78" s="257">
        <f>'L) Plafonnement taux'!Q78</f>
        <v>0</v>
      </c>
      <c r="L78" s="346">
        <f t="shared" si="3"/>
        <v>2567505.8006192129</v>
      </c>
      <c r="M78" s="346">
        <f>'M) Police'!O78</f>
        <v>329043.71442797547</v>
      </c>
      <c r="N78" s="346">
        <f t="shared" si="4"/>
        <v>2896549.5150471884</v>
      </c>
      <c r="P78" s="407">
        <v>-142</v>
      </c>
      <c r="Q78" s="410">
        <f t="shared" si="5"/>
        <v>2896407.5150471884</v>
      </c>
    </row>
    <row r="79" spans="1:17" s="248" customFormat="1" x14ac:dyDescent="0.25">
      <c r="A79" s="245">
        <f>'B) D RI'!A80</f>
        <v>5518</v>
      </c>
      <c r="B79" s="246" t="str">
        <f>'B) D RI'!B80</f>
        <v>Echallens</v>
      </c>
      <c r="C79" s="424">
        <f>'B) D RI'!S80</f>
        <v>74</v>
      </c>
      <c r="D79" s="247">
        <f>'B) D RI'!AR80</f>
        <v>5606</v>
      </c>
      <c r="E79" s="254">
        <f>'D) Ecrêtage'!M78</f>
        <v>181423.1631081081</v>
      </c>
      <c r="F79" s="257">
        <f>'E) Fact soc'!G84</f>
        <v>2953956.0692383884</v>
      </c>
      <c r="G79" s="257">
        <f>'H) Péréquation directe'!I89</f>
        <v>-162323.38295907155</v>
      </c>
      <c r="H79" s="257">
        <f>'I) Dépenses thématiques'!O78</f>
        <v>-814899.98886512918</v>
      </c>
      <c r="I79" s="257">
        <f>'K) Plafonnement aide'!J78</f>
        <v>0</v>
      </c>
      <c r="J79" s="257">
        <f>'J) Plafonnement effort'!I78</f>
        <v>0</v>
      </c>
      <c r="K79" s="257">
        <f>'L) Plafonnement taux'!Q79</f>
        <v>0</v>
      </c>
      <c r="L79" s="346">
        <f t="shared" si="3"/>
        <v>1976732.6974141877</v>
      </c>
      <c r="M79" s="346">
        <f>'M) Police'!O79</f>
        <v>572031.71579831769</v>
      </c>
      <c r="N79" s="346">
        <f t="shared" si="4"/>
        <v>2548764.4132125052</v>
      </c>
      <c r="P79" s="407">
        <v>-1098</v>
      </c>
      <c r="Q79" s="410">
        <f t="shared" si="5"/>
        <v>2547666.4132125052</v>
      </c>
    </row>
    <row r="80" spans="1:17" s="248" customFormat="1" x14ac:dyDescent="0.25">
      <c r="A80" s="245">
        <f>'B) D RI'!A81</f>
        <v>5520</v>
      </c>
      <c r="B80" s="246" t="str">
        <f>'B) D RI'!B81</f>
        <v>Essertines-sur-Yverdon</v>
      </c>
      <c r="C80" s="424">
        <f>'B) D RI'!S81</f>
        <v>73</v>
      </c>
      <c r="D80" s="247">
        <f>'B) D RI'!AR81</f>
        <v>945</v>
      </c>
      <c r="E80" s="254">
        <f>'D) Ecrêtage'!M79</f>
        <v>28021.579589041095</v>
      </c>
      <c r="F80" s="257">
        <f>'E) Fact soc'!G85</f>
        <v>447130.00632049632</v>
      </c>
      <c r="G80" s="257">
        <f>'H) Péréquation directe'!I90</f>
        <v>144716.33448310726</v>
      </c>
      <c r="H80" s="257">
        <f>'I) Dépenses thématiques'!O79</f>
        <v>-115230.66467936723</v>
      </c>
      <c r="I80" s="257">
        <f>'K) Plafonnement aide'!J79</f>
        <v>0</v>
      </c>
      <c r="J80" s="257">
        <f>'J) Plafonnement effort'!I79</f>
        <v>0</v>
      </c>
      <c r="K80" s="257">
        <f>'L) Plafonnement taux'!Q80</f>
        <v>0</v>
      </c>
      <c r="L80" s="346">
        <f t="shared" si="3"/>
        <v>476615.67612423643</v>
      </c>
      <c r="M80" s="346">
        <f>'M) Police'!O80</f>
        <v>87827.414152390382</v>
      </c>
      <c r="N80" s="346">
        <f t="shared" si="4"/>
        <v>564443.09027662687</v>
      </c>
      <c r="P80" s="407">
        <v>-145</v>
      </c>
      <c r="Q80" s="410">
        <f t="shared" si="5"/>
        <v>564298.09027662687</v>
      </c>
    </row>
    <row r="81" spans="1:17" s="248" customFormat="1" x14ac:dyDescent="0.25">
      <c r="A81" s="245">
        <f>'B) D RI'!A82</f>
        <v>5521</v>
      </c>
      <c r="B81" s="246" t="str">
        <f>'B) D RI'!B82</f>
        <v>Etagnières</v>
      </c>
      <c r="C81" s="424">
        <f>'B) D RI'!S82</f>
        <v>73</v>
      </c>
      <c r="D81" s="247">
        <f>'B) D RI'!AR82</f>
        <v>1146</v>
      </c>
      <c r="E81" s="254">
        <f>'D) Ecrêtage'!M80</f>
        <v>42327.784109589047</v>
      </c>
      <c r="F81" s="257">
        <f>'E) Fact soc'!G86</f>
        <v>649626.20319631859</v>
      </c>
      <c r="G81" s="257">
        <f>'H) Péréquation directe'!I91</f>
        <v>470629.41778157884</v>
      </c>
      <c r="H81" s="257">
        <f>'I) Dépenses thématiques'!O80</f>
        <v>0</v>
      </c>
      <c r="I81" s="257">
        <f>'K) Plafonnement aide'!J80</f>
        <v>0</v>
      </c>
      <c r="J81" s="257">
        <f>'J) Plafonnement effort'!I80</f>
        <v>0</v>
      </c>
      <c r="K81" s="257">
        <f>'L) Plafonnement taux'!Q81</f>
        <v>0</v>
      </c>
      <c r="L81" s="346">
        <f t="shared" si="3"/>
        <v>1120255.6209778974</v>
      </c>
      <c r="M81" s="346">
        <f>'M) Police'!O81</f>
        <v>133669.8307091615</v>
      </c>
      <c r="N81" s="346">
        <f t="shared" si="4"/>
        <v>1253925.4516870589</v>
      </c>
      <c r="P81" s="407">
        <v>-46</v>
      </c>
      <c r="Q81" s="410">
        <f t="shared" si="5"/>
        <v>1253879.4516870589</v>
      </c>
    </row>
    <row r="82" spans="1:17" s="248" customFormat="1" x14ac:dyDescent="0.25">
      <c r="A82" s="245">
        <f>'B) D RI'!A83</f>
        <v>5522</v>
      </c>
      <c r="B82" s="246" t="str">
        <f>'B) D RI'!B83</f>
        <v>Fey</v>
      </c>
      <c r="C82" s="424">
        <f>'B) D RI'!S83</f>
        <v>75</v>
      </c>
      <c r="D82" s="247">
        <f>'B) D RI'!AR83</f>
        <v>635</v>
      </c>
      <c r="E82" s="254">
        <f>'D) Ecrêtage'!M81</f>
        <v>18218.5124</v>
      </c>
      <c r="F82" s="257">
        <f>'E) Fact soc'!G87</f>
        <v>298457.87639047246</v>
      </c>
      <c r="G82" s="257">
        <f>'H) Péréquation directe'!I92</f>
        <v>61834.721294104937</v>
      </c>
      <c r="H82" s="257">
        <f>'I) Dépenses thématiques'!O81</f>
        <v>-121644.28806472699</v>
      </c>
      <c r="I82" s="257">
        <f>'K) Plafonnement aide'!J81</f>
        <v>0</v>
      </c>
      <c r="J82" s="257">
        <f>'J) Plafonnement effort'!I81</f>
        <v>0</v>
      </c>
      <c r="K82" s="257">
        <f>'L) Plafonnement taux'!Q82</f>
        <v>0</v>
      </c>
      <c r="L82" s="346">
        <f t="shared" si="3"/>
        <v>238648.30961985042</v>
      </c>
      <c r="M82" s="346">
        <f>'M) Police'!O82</f>
        <v>57140.344771003685</v>
      </c>
      <c r="N82" s="346">
        <f t="shared" si="4"/>
        <v>295788.65439085412</v>
      </c>
      <c r="P82" s="407">
        <v>-282</v>
      </c>
      <c r="Q82" s="410">
        <f t="shared" si="5"/>
        <v>295506.65439085412</v>
      </c>
    </row>
    <row r="83" spans="1:17" s="248" customFormat="1" x14ac:dyDescent="0.25">
      <c r="A83" s="245">
        <f>'B) D RI'!A84</f>
        <v>5523</v>
      </c>
      <c r="B83" s="246" t="str">
        <f>'B) D RI'!B84</f>
        <v>Froideville</v>
      </c>
      <c r="C83" s="424">
        <f>'B) D RI'!S84</f>
        <v>76</v>
      </c>
      <c r="D83" s="247">
        <f>'B) D RI'!AR84</f>
        <v>2422</v>
      </c>
      <c r="E83" s="254">
        <f>'D) Ecrêtage'!M82</f>
        <v>77819.657763157898</v>
      </c>
      <c r="F83" s="257">
        <f>'E) Fact soc'!G88</f>
        <v>1380361.1919041052</v>
      </c>
      <c r="G83" s="257">
        <f>'H) Péréquation directe'!I93</f>
        <v>207686.93615446938</v>
      </c>
      <c r="H83" s="257">
        <f>'I) Dépenses thématiques'!O82</f>
        <v>-193505.96013659285</v>
      </c>
      <c r="I83" s="257">
        <f>'K) Plafonnement aide'!J82</f>
        <v>0</v>
      </c>
      <c r="J83" s="257">
        <f>'J) Plafonnement effort'!I82</f>
        <v>0</v>
      </c>
      <c r="K83" s="257">
        <f>'L) Plafonnement taux'!Q83</f>
        <v>0</v>
      </c>
      <c r="L83" s="346">
        <f t="shared" si="3"/>
        <v>1394542.1679219818</v>
      </c>
      <c r="M83" s="346">
        <f>'M) Police'!O83</f>
        <v>244449.7013456352</v>
      </c>
      <c r="N83" s="346">
        <f t="shared" si="4"/>
        <v>1638991.8692676169</v>
      </c>
      <c r="P83" s="407">
        <v>-282</v>
      </c>
      <c r="Q83" s="410">
        <f t="shared" si="5"/>
        <v>1638709.8692676169</v>
      </c>
    </row>
    <row r="84" spans="1:17" s="248" customFormat="1" x14ac:dyDescent="0.25">
      <c r="A84" s="245">
        <f>'B) D RI'!A85</f>
        <v>5527</v>
      </c>
      <c r="B84" s="246" t="str">
        <f>'B) D RI'!B85</f>
        <v>Morrens</v>
      </c>
      <c r="C84" s="424">
        <f>'B) D RI'!S85</f>
        <v>71</v>
      </c>
      <c r="D84" s="247">
        <f>'B) D RI'!AR85</f>
        <v>1055</v>
      </c>
      <c r="E84" s="254">
        <f>'D) Ecrêtage'!M83</f>
        <v>36998.677183098589</v>
      </c>
      <c r="F84" s="257">
        <f>'E) Fact soc'!G89</f>
        <v>659271.54088150593</v>
      </c>
      <c r="G84" s="257">
        <f>'H) Péréquation directe'!I94</f>
        <v>385135.29137243435</v>
      </c>
      <c r="H84" s="257">
        <f>'I) Dépenses thématiques'!O83</f>
        <v>-13229.267844829066</v>
      </c>
      <c r="I84" s="257">
        <f>'K) Plafonnement aide'!J83</f>
        <v>0</v>
      </c>
      <c r="J84" s="257">
        <f>'J) Plafonnement effort'!I83</f>
        <v>0</v>
      </c>
      <c r="K84" s="257">
        <f>'L) Plafonnement taux'!Q84</f>
        <v>0</v>
      </c>
      <c r="L84" s="346">
        <f t="shared" si="3"/>
        <v>1031177.5644091113</v>
      </c>
      <c r="M84" s="346">
        <f>'M) Police'!O84</f>
        <v>116490.19333746807</v>
      </c>
      <c r="N84" s="346">
        <f t="shared" si="4"/>
        <v>1147667.7577465794</v>
      </c>
      <c r="P84" s="407">
        <v>-29</v>
      </c>
      <c r="Q84" s="410">
        <f t="shared" si="5"/>
        <v>1147638.7577465794</v>
      </c>
    </row>
    <row r="85" spans="1:17" s="248" customFormat="1" x14ac:dyDescent="0.25">
      <c r="A85" s="245">
        <f>'B) D RI'!A86</f>
        <v>5529</v>
      </c>
      <c r="B85" s="246" t="str">
        <f>'B) D RI'!B86</f>
        <v>Oulens-sous-Echallens</v>
      </c>
      <c r="C85" s="424">
        <f>'B) D RI'!S86</f>
        <v>71</v>
      </c>
      <c r="D85" s="247">
        <f>'B) D RI'!AR86</f>
        <v>532</v>
      </c>
      <c r="E85" s="254">
        <f>'D) Ecrêtage'!M84</f>
        <v>16830.940140845072</v>
      </c>
      <c r="F85" s="257">
        <f>'E) Fact soc'!G90</f>
        <v>325395.32239014609</v>
      </c>
      <c r="G85" s="257">
        <f>'H) Péréquation directe'!I95</f>
        <v>130682.17246992342</v>
      </c>
      <c r="H85" s="257">
        <f>'I) Dépenses thématiques'!O84</f>
        <v>-121789.74601319907</v>
      </c>
      <c r="I85" s="257">
        <f>'K) Plafonnement aide'!J84</f>
        <v>0</v>
      </c>
      <c r="J85" s="257">
        <f>'J) Plafonnement effort'!I84</f>
        <v>0</v>
      </c>
      <c r="K85" s="257">
        <f>'L) Plafonnement taux'!Q85</f>
        <v>0</v>
      </c>
      <c r="L85" s="346">
        <f t="shared" si="3"/>
        <v>334287.74884687038</v>
      </c>
      <c r="M85" s="346">
        <f>'M) Police'!O85</f>
        <v>52599.443749396291</v>
      </c>
      <c r="N85" s="346">
        <f t="shared" si="4"/>
        <v>386887.19259626669</v>
      </c>
      <c r="P85" s="407">
        <v>-250</v>
      </c>
      <c r="Q85" s="410">
        <f t="shared" si="5"/>
        <v>386637.19259626669</v>
      </c>
    </row>
    <row r="86" spans="1:17" s="248" customFormat="1" x14ac:dyDescent="0.25">
      <c r="A86" s="245">
        <f>'B) D RI'!A87</f>
        <v>5530</v>
      </c>
      <c r="B86" s="246" t="str">
        <f>'B) D RI'!B87</f>
        <v>Pailly</v>
      </c>
      <c r="C86" s="424">
        <f>'B) D RI'!S87</f>
        <v>77.5</v>
      </c>
      <c r="D86" s="247">
        <f>'B) D RI'!AR87</f>
        <v>533</v>
      </c>
      <c r="E86" s="254">
        <f>'D) Ecrêtage'!M85</f>
        <v>15988.116172043008</v>
      </c>
      <c r="F86" s="257">
        <f>'E) Fact soc'!G91</f>
        <v>254748.19686789927</v>
      </c>
      <c r="G86" s="257">
        <f>'H) Péréquation directe'!I96</f>
        <v>69333.638850575808</v>
      </c>
      <c r="H86" s="257">
        <f>'I) Dépenses thématiques'!O85</f>
        <v>-293238.89708040084</v>
      </c>
      <c r="I86" s="257">
        <f>'K) Plafonnement aide'!J85</f>
        <v>0</v>
      </c>
      <c r="J86" s="257">
        <f>'J) Plafonnement effort'!I85</f>
        <v>0</v>
      </c>
      <c r="K86" s="257">
        <f>'L) Plafonnement taux'!Q86</f>
        <v>0</v>
      </c>
      <c r="L86" s="346">
        <f t="shared" si="3"/>
        <v>30842.938638074207</v>
      </c>
      <c r="M86" s="346">
        <f>'M) Police'!O86</f>
        <v>50428.879984256244</v>
      </c>
      <c r="N86" s="346">
        <f t="shared" si="4"/>
        <v>81271.818622330451</v>
      </c>
      <c r="P86" s="407">
        <v>-283</v>
      </c>
      <c r="Q86" s="410">
        <f t="shared" si="5"/>
        <v>80988.818622330451</v>
      </c>
    </row>
    <row r="87" spans="1:17" s="248" customFormat="1" x14ac:dyDescent="0.25">
      <c r="A87" s="245">
        <f>'B) D RI'!A88</f>
        <v>5531</v>
      </c>
      <c r="B87" s="246" t="str">
        <f>'B) D RI'!B88</f>
        <v>Penthéréaz</v>
      </c>
      <c r="C87" s="424">
        <f>'B) D RI'!S88</f>
        <v>78</v>
      </c>
      <c r="D87" s="247">
        <f>'B) D RI'!AR88</f>
        <v>389</v>
      </c>
      <c r="E87" s="254">
        <f>'D) Ecrêtage'!M86</f>
        <v>11628.696923076923</v>
      </c>
      <c r="F87" s="257">
        <f>'E) Fact soc'!G92</f>
        <v>201640.21765641091</v>
      </c>
      <c r="G87" s="257">
        <f>'H) Péréquation directe'!I97</f>
        <v>47257.679356387787</v>
      </c>
      <c r="H87" s="257">
        <f>'I) Dépenses thématiques'!O86</f>
        <v>-44859.931119570552</v>
      </c>
      <c r="I87" s="257">
        <f>'K) Plafonnement aide'!J86</f>
        <v>0</v>
      </c>
      <c r="J87" s="257">
        <f>'J) Plafonnement effort'!I86</f>
        <v>0</v>
      </c>
      <c r="K87" s="257">
        <f>'L) Plafonnement taux'!Q87</f>
        <v>0</v>
      </c>
      <c r="L87" s="346">
        <f t="shared" si="3"/>
        <v>204037.96589322813</v>
      </c>
      <c r="M87" s="346">
        <f>'M) Police'!O87</f>
        <v>36578.488108151905</v>
      </c>
      <c r="N87" s="346">
        <f t="shared" si="4"/>
        <v>240616.45400138004</v>
      </c>
      <c r="P87" s="407">
        <v>-15</v>
      </c>
      <c r="Q87" s="410">
        <f t="shared" si="5"/>
        <v>240601.45400138004</v>
      </c>
    </row>
    <row r="88" spans="1:17" s="248" customFormat="1" x14ac:dyDescent="0.25">
      <c r="A88" s="245">
        <f>'B) D RI'!A89</f>
        <v>5533</v>
      </c>
      <c r="B88" s="246" t="str">
        <f>'B) D RI'!B89</f>
        <v>Poliez-Pittet</v>
      </c>
      <c r="C88" s="424">
        <f>'B) D RI'!S89</f>
        <v>71</v>
      </c>
      <c r="D88" s="247">
        <f>'B) D RI'!AR89</f>
        <v>815</v>
      </c>
      <c r="E88" s="254">
        <f>'D) Ecrêtage'!M87</f>
        <v>21286.915727699528</v>
      </c>
      <c r="F88" s="257">
        <f>'E) Fact soc'!G93</f>
        <v>346562.88722626795</v>
      </c>
      <c r="G88" s="257">
        <f>'H) Péréquation directe'!I98</f>
        <v>26847.929173535376</v>
      </c>
      <c r="H88" s="257">
        <f>'I) Dépenses thématiques'!O87</f>
        <v>-111967.6422350136</v>
      </c>
      <c r="I88" s="257">
        <f>'K) Plafonnement aide'!J87</f>
        <v>0</v>
      </c>
      <c r="J88" s="257">
        <f>'J) Plafonnement effort'!I87</f>
        <v>0</v>
      </c>
      <c r="K88" s="257">
        <f>'L) Plafonnement taux'!Q88</f>
        <v>0</v>
      </c>
      <c r="L88" s="346">
        <f t="shared" si="3"/>
        <v>261443.17416478973</v>
      </c>
      <c r="M88" s="346">
        <f>'M) Police'!O88</f>
        <v>66549.479435741479</v>
      </c>
      <c r="N88" s="346">
        <f t="shared" si="4"/>
        <v>327992.65360053122</v>
      </c>
      <c r="P88" s="407">
        <v>-38</v>
      </c>
      <c r="Q88" s="410">
        <f t="shared" si="5"/>
        <v>327954.65360053122</v>
      </c>
    </row>
    <row r="89" spans="1:17" s="248" customFormat="1" x14ac:dyDescent="0.25">
      <c r="A89" s="245">
        <f>'B) D RI'!A90</f>
        <v>5534</v>
      </c>
      <c r="B89" s="246" t="str">
        <f>'B) D RI'!B90</f>
        <v>Rueyres</v>
      </c>
      <c r="C89" s="424">
        <f>'B) D RI'!S90</f>
        <v>73</v>
      </c>
      <c r="D89" s="247">
        <f>'B) D RI'!AR90</f>
        <v>265</v>
      </c>
      <c r="E89" s="254">
        <f>'D) Ecrêtage'!M88</f>
        <v>8123.1504109589041</v>
      </c>
      <c r="F89" s="257">
        <f>'E) Fact soc'!G94</f>
        <v>168637.90160046896</v>
      </c>
      <c r="G89" s="257">
        <f>'H) Péréquation directe'!I99</f>
        <v>51109.801685988612</v>
      </c>
      <c r="H89" s="257">
        <f>'I) Dépenses thématiques'!O88</f>
        <v>-28059.608664984891</v>
      </c>
      <c r="I89" s="257">
        <f>'K) Plafonnement aide'!J88</f>
        <v>0</v>
      </c>
      <c r="J89" s="257">
        <f>'J) Plafonnement effort'!I88</f>
        <v>0</v>
      </c>
      <c r="K89" s="257">
        <f>'L) Plafonnement taux'!Q89</f>
        <v>0</v>
      </c>
      <c r="L89" s="346">
        <f t="shared" si="3"/>
        <v>191688.09462147267</v>
      </c>
      <c r="M89" s="346">
        <f>'M) Police'!O89</f>
        <v>24908.677000332569</v>
      </c>
      <c r="N89" s="346">
        <f t="shared" si="4"/>
        <v>216596.77162180524</v>
      </c>
      <c r="P89" s="407">
        <v>-73</v>
      </c>
      <c r="Q89" s="410">
        <f t="shared" si="5"/>
        <v>216523.77162180524</v>
      </c>
    </row>
    <row r="90" spans="1:17" s="248" customFormat="1" x14ac:dyDescent="0.25">
      <c r="A90" s="245">
        <f>'B) D RI'!A91</f>
        <v>5535</v>
      </c>
      <c r="B90" s="246" t="str">
        <f>'B) D RI'!B91</f>
        <v>Saint-Barthélemy</v>
      </c>
      <c r="C90" s="424">
        <f>'B) D RI'!S91</f>
        <v>75</v>
      </c>
      <c r="D90" s="247">
        <f>'B) D RI'!AR91</f>
        <v>782</v>
      </c>
      <c r="E90" s="254">
        <f>'D) Ecrêtage'!M89</f>
        <v>21652.779733333333</v>
      </c>
      <c r="F90" s="257">
        <f>'E) Fact soc'!G95</f>
        <v>325748.39879956114</v>
      </c>
      <c r="G90" s="257">
        <f>'H) Péréquation directe'!I100</f>
        <v>44138.887093849247</v>
      </c>
      <c r="H90" s="257">
        <f>'I) Dépenses thématiques'!O89</f>
        <v>-50438.115932147106</v>
      </c>
      <c r="I90" s="257">
        <f>'K) Plafonnement aide'!J89</f>
        <v>0</v>
      </c>
      <c r="J90" s="257">
        <f>'J) Plafonnement effort'!I89</f>
        <v>0</v>
      </c>
      <c r="K90" s="257">
        <f>'L) Plafonnement taux'!Q90</f>
        <v>0</v>
      </c>
      <c r="L90" s="346">
        <f t="shared" si="3"/>
        <v>319449.16996126331</v>
      </c>
      <c r="M90" s="346">
        <f>'M) Police'!O90</f>
        <v>67921.897142744026</v>
      </c>
      <c r="N90" s="346">
        <f t="shared" si="4"/>
        <v>387371.06710400735</v>
      </c>
      <c r="P90" s="407">
        <v>0</v>
      </c>
      <c r="Q90" s="410">
        <f t="shared" si="5"/>
        <v>387371.06710400735</v>
      </c>
    </row>
    <row r="91" spans="1:17" s="248" customFormat="1" x14ac:dyDescent="0.25">
      <c r="A91" s="245">
        <f>'B) D RI'!A92</f>
        <v>5537</v>
      </c>
      <c r="B91" s="246" t="str">
        <f>'B) D RI'!B92</f>
        <v>Villars-le-Terroir</v>
      </c>
      <c r="C91" s="424">
        <f>'B) D RI'!S92</f>
        <v>73</v>
      </c>
      <c r="D91" s="247">
        <f>'B) D RI'!AR92</f>
        <v>1033</v>
      </c>
      <c r="E91" s="254">
        <f>'D) Ecrêtage'!M90</f>
        <v>28181.728767123288</v>
      </c>
      <c r="F91" s="257">
        <f>'E) Fact soc'!G96</f>
        <v>461665.02662884234</v>
      </c>
      <c r="G91" s="257">
        <f>'H) Péréquation directe'!I101</f>
        <v>52811.230867620034</v>
      </c>
      <c r="H91" s="257">
        <f>'I) Dépenses thématiques'!O90</f>
        <v>-10280.226519658461</v>
      </c>
      <c r="I91" s="257">
        <f>'K) Plafonnement aide'!J90</f>
        <v>0</v>
      </c>
      <c r="J91" s="257">
        <f>'J) Plafonnement effort'!I90</f>
        <v>0</v>
      </c>
      <c r="K91" s="257">
        <f>'L) Plafonnement taux'!Q91</f>
        <v>0</v>
      </c>
      <c r="L91" s="346">
        <f t="shared" si="3"/>
        <v>504196.03097680392</v>
      </c>
      <c r="M91" s="346">
        <f>'M) Police'!O91</f>
        <v>87987.584697926693</v>
      </c>
      <c r="N91" s="346">
        <f t="shared" si="4"/>
        <v>592183.61567473062</v>
      </c>
      <c r="P91" s="407">
        <v>-6</v>
      </c>
      <c r="Q91" s="410">
        <f t="shared" si="5"/>
        <v>592177.61567473062</v>
      </c>
    </row>
    <row r="92" spans="1:17" s="248" customFormat="1" x14ac:dyDescent="0.25">
      <c r="A92" s="245">
        <f>'B) D RI'!A93</f>
        <v>5539</v>
      </c>
      <c r="B92" s="246" t="str">
        <f>'B) D RI'!B93</f>
        <v>Vuarrens</v>
      </c>
      <c r="C92" s="424">
        <f>'B) D RI'!S93</f>
        <v>75</v>
      </c>
      <c r="D92" s="247">
        <f>'B) D RI'!AR93</f>
        <v>935</v>
      </c>
      <c r="E92" s="254">
        <f>'D) Ecrêtage'!M91</f>
        <v>22756.172933333331</v>
      </c>
      <c r="F92" s="257">
        <f>'E) Fact soc'!G97</f>
        <v>383433.49248481489</v>
      </c>
      <c r="G92" s="257">
        <f>'H) Péréquation directe'!I102</f>
        <v>-75267.947468856524</v>
      </c>
      <c r="H92" s="257">
        <f>'I) Dépenses thématiques'!O91</f>
        <v>-93520.444329588237</v>
      </c>
      <c r="I92" s="257">
        <f>'K) Plafonnement aide'!J91</f>
        <v>0</v>
      </c>
      <c r="J92" s="257">
        <f>'J) Plafonnement effort'!I91</f>
        <v>0</v>
      </c>
      <c r="K92" s="257">
        <f>'L) Plafonnement taux'!Q92</f>
        <v>0</v>
      </c>
      <c r="L92" s="346">
        <f t="shared" si="3"/>
        <v>214645.10068637013</v>
      </c>
      <c r="M92" s="346">
        <f>'M) Police'!O92</f>
        <v>70761.499662263901</v>
      </c>
      <c r="N92" s="346">
        <f t="shared" si="4"/>
        <v>285406.60034863406</v>
      </c>
      <c r="P92" s="407">
        <v>-75</v>
      </c>
      <c r="Q92" s="410">
        <f t="shared" si="5"/>
        <v>285331.60034863406</v>
      </c>
    </row>
    <row r="93" spans="1:17" s="248" customFormat="1" x14ac:dyDescent="0.25">
      <c r="A93" s="245">
        <f>'B) D RI'!A94</f>
        <v>5540</v>
      </c>
      <c r="B93" s="246" t="str">
        <f>'B) D RI'!B94</f>
        <v>Montilliez</v>
      </c>
      <c r="C93" s="424">
        <f>'B) D RI'!S94</f>
        <v>74</v>
      </c>
      <c r="D93" s="247">
        <f>'B) D RI'!AR94</f>
        <v>1656</v>
      </c>
      <c r="E93" s="254">
        <f>'D) Ecrêtage'!M92</f>
        <v>47199.265101351346</v>
      </c>
      <c r="F93" s="257">
        <f>'E) Fact soc'!G98</f>
        <v>782373.52976448054</v>
      </c>
      <c r="G93" s="257">
        <f>'H) Péréquation directe'!I103</f>
        <v>984.93609985464718</v>
      </c>
      <c r="H93" s="257">
        <f>'I) Dépenses thématiques'!O92</f>
        <v>-1100133.7832522173</v>
      </c>
      <c r="I93" s="257">
        <f>'K) Plafonnement aide'!J92</f>
        <v>0</v>
      </c>
      <c r="J93" s="257">
        <f>'J) Plafonnement effort'!I92</f>
        <v>0</v>
      </c>
      <c r="K93" s="257">
        <f>'L) Plafonnement taux'!Q93</f>
        <v>0</v>
      </c>
      <c r="L93" s="346">
        <f>F93+G93+H93+I93+J93+K93</f>
        <v>-316775.31738788215</v>
      </c>
      <c r="M93" s="346">
        <f>'M) Police'!O93</f>
        <v>147769.4410896893</v>
      </c>
      <c r="N93" s="346">
        <f t="shared" si="4"/>
        <v>-169005.87629819286</v>
      </c>
      <c r="P93" s="407">
        <v>-223</v>
      </c>
      <c r="Q93" s="410">
        <f t="shared" si="5"/>
        <v>-169228.87629819286</v>
      </c>
    </row>
    <row r="94" spans="1:17" s="248" customFormat="1" x14ac:dyDescent="0.25">
      <c r="A94" s="245">
        <f>'B) D RI'!A95</f>
        <v>5541</v>
      </c>
      <c r="B94" s="246" t="str">
        <f>'B) D RI'!B95</f>
        <v>Goumoëns</v>
      </c>
      <c r="C94" s="424">
        <f>'B) D RI'!S95</f>
        <v>77</v>
      </c>
      <c r="D94" s="247">
        <f>'B) D RI'!AR95</f>
        <v>1055</v>
      </c>
      <c r="E94" s="254">
        <f>'D) Ecrêtage'!M93</f>
        <v>35607.690389610398</v>
      </c>
      <c r="F94" s="257">
        <f>'E) Fact soc'!G99</f>
        <v>576228.79445526132</v>
      </c>
      <c r="G94" s="257">
        <f>'H) Péréquation directe'!I104</f>
        <v>294731.79486664355</v>
      </c>
      <c r="H94" s="257">
        <f>'I) Dépenses thématiques'!O93</f>
        <v>-31616.043575464584</v>
      </c>
      <c r="I94" s="257">
        <f>'K) Plafonnement aide'!J93</f>
        <v>0</v>
      </c>
      <c r="J94" s="257">
        <f>'J) Plafonnement effort'!I93</f>
        <v>0</v>
      </c>
      <c r="K94" s="257">
        <f>'L) Plafonnement taux'!Q94</f>
        <v>0</v>
      </c>
      <c r="L94" s="346">
        <f>F94+G94+H94+I94+J94+K94</f>
        <v>839344.54574644018</v>
      </c>
      <c r="M94" s="346">
        <f>'M) Police'!O94</f>
        <v>113070.58140931488</v>
      </c>
      <c r="N94" s="346">
        <f t="shared" si="4"/>
        <v>952415.12715575506</v>
      </c>
      <c r="P94" s="407">
        <v>-100</v>
      </c>
      <c r="Q94" s="410">
        <f t="shared" si="5"/>
        <v>952315.12715575506</v>
      </c>
    </row>
    <row r="95" spans="1:17" s="248" customFormat="1" x14ac:dyDescent="0.25">
      <c r="A95" s="245">
        <f>'B) D RI'!A96</f>
        <v>5551</v>
      </c>
      <c r="B95" s="246" t="str">
        <f>'B) D RI'!B96</f>
        <v>Bonvillars</v>
      </c>
      <c r="C95" s="424">
        <f>'B) D RI'!S96</f>
        <v>55</v>
      </c>
      <c r="D95" s="247">
        <f>'B) D RI'!AR96</f>
        <v>506</v>
      </c>
      <c r="E95" s="254">
        <f>'D) Ecrêtage'!M94</f>
        <v>15988.430935064936</v>
      </c>
      <c r="F95" s="257">
        <f>'E) Fact soc'!G100</f>
        <v>250658.69506484293</v>
      </c>
      <c r="G95" s="257">
        <f>'H) Péréquation directe'!I105</f>
        <v>172323.5536961047</v>
      </c>
      <c r="H95" s="257">
        <f>'I) Dépenses thématiques'!O94</f>
        <v>-142175.97926604803</v>
      </c>
      <c r="I95" s="257">
        <f>'K) Plafonnement aide'!J94</f>
        <v>0</v>
      </c>
      <c r="J95" s="257">
        <f>'J) Plafonnement effort'!I94</f>
        <v>0</v>
      </c>
      <c r="K95" s="257">
        <f>'L) Plafonnement taux'!Q95</f>
        <v>0</v>
      </c>
      <c r="L95" s="346">
        <f t="shared" si="3"/>
        <v>280806.26949489955</v>
      </c>
      <c r="M95" s="346">
        <f>'M) Police'!O95</f>
        <v>49307.154116971971</v>
      </c>
      <c r="N95" s="346">
        <f t="shared" si="4"/>
        <v>330113.42361187155</v>
      </c>
      <c r="P95" s="407">
        <v>-70</v>
      </c>
      <c r="Q95" s="410">
        <f t="shared" si="5"/>
        <v>330043.42361187155</v>
      </c>
    </row>
    <row r="96" spans="1:17" s="248" customFormat="1" x14ac:dyDescent="0.25">
      <c r="A96" s="245">
        <f>'B) D RI'!A97</f>
        <v>5552</v>
      </c>
      <c r="B96" s="246" t="str">
        <f>'B) D RI'!B97</f>
        <v>Bullet</v>
      </c>
      <c r="C96" s="424">
        <f>'B) D RI'!S97</f>
        <v>70</v>
      </c>
      <c r="D96" s="247">
        <f>'B) D RI'!AR97</f>
        <v>606</v>
      </c>
      <c r="E96" s="254">
        <f>'D) Ecrêtage'!M95</f>
        <v>15525.607571428574</v>
      </c>
      <c r="F96" s="257">
        <f>'E) Fact soc'!G101</f>
        <v>337917.47640088713</v>
      </c>
      <c r="G96" s="257">
        <f>'H) Péréquation directe'!I106</f>
        <v>14424.197198071226</v>
      </c>
      <c r="H96" s="257">
        <f>'I) Dépenses thématiques'!O95</f>
        <v>-181209.95298141934</v>
      </c>
      <c r="I96" s="257">
        <f>'K) Plafonnement aide'!J95</f>
        <v>0</v>
      </c>
      <c r="J96" s="257">
        <f>'J) Plafonnement effort'!I95</f>
        <v>0</v>
      </c>
      <c r="K96" s="257">
        <f>'L) Plafonnement taux'!Q96</f>
        <v>0</v>
      </c>
      <c r="L96" s="346">
        <f t="shared" si="3"/>
        <v>171131.72061753902</v>
      </c>
      <c r="M96" s="346">
        <f>'M) Police'!O96</f>
        <v>48125.448640013739</v>
      </c>
      <c r="N96" s="346">
        <f t="shared" si="4"/>
        <v>219257.16925755277</v>
      </c>
      <c r="P96" s="407">
        <v>-250</v>
      </c>
      <c r="Q96" s="410">
        <f t="shared" si="5"/>
        <v>219007.16925755277</v>
      </c>
    </row>
    <row r="97" spans="1:17" s="248" customFormat="1" x14ac:dyDescent="0.25">
      <c r="A97" s="245">
        <f>'B) D RI'!A98</f>
        <v>5553</v>
      </c>
      <c r="B97" s="246" t="str">
        <f>'B) D RI'!B98</f>
        <v>Champagne</v>
      </c>
      <c r="C97" s="424">
        <f>'B) D RI'!S98</f>
        <v>63</v>
      </c>
      <c r="D97" s="247">
        <f>'B) D RI'!AR98</f>
        <v>1048</v>
      </c>
      <c r="E97" s="254">
        <f>'D) Ecrêtage'!M96</f>
        <v>55334.370317460314</v>
      </c>
      <c r="F97" s="257">
        <f>'E) Fact soc'!G102</f>
        <v>946320.05390203209</v>
      </c>
      <c r="G97" s="257">
        <f>'H) Péréquation directe'!I107</f>
        <v>907534.97958017851</v>
      </c>
      <c r="H97" s="257">
        <f>'I) Dépenses thématiques'!O96</f>
        <v>-143877.09600790383</v>
      </c>
      <c r="I97" s="257">
        <f>'K) Plafonnement aide'!J96</f>
        <v>0</v>
      </c>
      <c r="J97" s="257">
        <f>'J) Plafonnement effort'!I96</f>
        <v>0</v>
      </c>
      <c r="K97" s="257">
        <f>'L) Plafonnement taux'!Q97</f>
        <v>0</v>
      </c>
      <c r="L97" s="346">
        <f t="shared" si="3"/>
        <v>1709977.9374743069</v>
      </c>
      <c r="M97" s="346">
        <f>'M) Police'!O97</f>
        <v>161273.47006584401</v>
      </c>
      <c r="N97" s="346">
        <f t="shared" si="4"/>
        <v>1871251.4075401509</v>
      </c>
      <c r="P97" s="407">
        <v>-174</v>
      </c>
      <c r="Q97" s="410">
        <f t="shared" si="5"/>
        <v>1871077.4075401509</v>
      </c>
    </row>
    <row r="98" spans="1:17" s="248" customFormat="1" x14ac:dyDescent="0.25">
      <c r="A98" s="245">
        <f>'B) D RI'!A99</f>
        <v>5554</v>
      </c>
      <c r="B98" s="246" t="str">
        <f>'B) D RI'!B99</f>
        <v>Concise</v>
      </c>
      <c r="C98" s="424">
        <f>'B) D RI'!S99</f>
        <v>75</v>
      </c>
      <c r="D98" s="247">
        <f>'B) D RI'!AR99</f>
        <v>954</v>
      </c>
      <c r="E98" s="254">
        <f>'D) Ecrêtage'!M97</f>
        <v>29691.100933333331</v>
      </c>
      <c r="F98" s="257">
        <f>'E) Fact soc'!G103</f>
        <v>568024.10553860548</v>
      </c>
      <c r="G98" s="257">
        <f>'H) Péréquation directe'!I108</f>
        <v>187725.82664168597</v>
      </c>
      <c r="H98" s="257">
        <f>'I) Dépenses thématiques'!O97</f>
        <v>-105361.30223663538</v>
      </c>
      <c r="I98" s="257">
        <f>'K) Plafonnement aide'!J97</f>
        <v>0</v>
      </c>
      <c r="J98" s="257">
        <f>'J) Plafonnement effort'!I97</f>
        <v>0</v>
      </c>
      <c r="K98" s="257">
        <f>'L) Plafonnement taux'!Q98</f>
        <v>0</v>
      </c>
      <c r="L98" s="346">
        <f t="shared" si="3"/>
        <v>650388.62994365615</v>
      </c>
      <c r="M98" s="346">
        <f>'M) Police'!O98</f>
        <v>93574.629389760172</v>
      </c>
      <c r="N98" s="346">
        <f t="shared" si="4"/>
        <v>743963.25933341635</v>
      </c>
      <c r="P98" s="407">
        <v>-119</v>
      </c>
      <c r="Q98" s="410">
        <f t="shared" si="5"/>
        <v>743844.25933341635</v>
      </c>
    </row>
    <row r="99" spans="1:17" s="248" customFormat="1" x14ac:dyDescent="0.25">
      <c r="A99" s="245">
        <f>'B) D RI'!A100</f>
        <v>5555</v>
      </c>
      <c r="B99" s="246" t="str">
        <f>'B) D RI'!B100</f>
        <v>Corcelles-près-Concise</v>
      </c>
      <c r="C99" s="424">
        <f>'B) D RI'!S100</f>
        <v>71</v>
      </c>
      <c r="D99" s="247">
        <f>'B) D RI'!AR100</f>
        <v>337</v>
      </c>
      <c r="E99" s="254">
        <f>'D) Ecrêtage'!M98</f>
        <v>9762.6867605633779</v>
      </c>
      <c r="F99" s="257">
        <f>'E) Fact soc'!G104</f>
        <v>176876.33646093856</v>
      </c>
      <c r="G99" s="257">
        <f>'H) Péréquation directe'!I109</f>
        <v>48128.738945318881</v>
      </c>
      <c r="H99" s="257">
        <f>'I) Dépenses thématiques'!O98</f>
        <v>-108097.06711854719</v>
      </c>
      <c r="I99" s="257">
        <f>'K) Plafonnement aide'!J98</f>
        <v>0</v>
      </c>
      <c r="J99" s="257">
        <f>'J) Plafonnement effort'!I98</f>
        <v>0</v>
      </c>
      <c r="K99" s="257">
        <f>'L) Plafonnement taux'!Q99</f>
        <v>0</v>
      </c>
      <c r="L99" s="346">
        <f t="shared" si="3"/>
        <v>116908.00828771025</v>
      </c>
      <c r="M99" s="346">
        <f>'M) Police'!O99</f>
        <v>30356.156118590872</v>
      </c>
      <c r="N99" s="346">
        <f t="shared" si="4"/>
        <v>147264.16440630113</v>
      </c>
      <c r="P99" s="407">
        <v>-190</v>
      </c>
      <c r="Q99" s="410">
        <f t="shared" si="5"/>
        <v>147074.16440630113</v>
      </c>
    </row>
    <row r="100" spans="1:17" s="248" customFormat="1" x14ac:dyDescent="0.25">
      <c r="A100" s="245">
        <f>'B) D RI'!A101</f>
        <v>5556</v>
      </c>
      <c r="B100" s="246" t="str">
        <f>'B) D RI'!B101</f>
        <v>Fiez</v>
      </c>
      <c r="C100" s="424">
        <f>'B) D RI'!S101</f>
        <v>69</v>
      </c>
      <c r="D100" s="247">
        <f>'B) D RI'!AR101</f>
        <v>421</v>
      </c>
      <c r="E100" s="254">
        <f>'D) Ecrêtage'!M99</f>
        <v>10799.932053140095</v>
      </c>
      <c r="F100" s="257">
        <f>'E) Fact soc'!G105</f>
        <v>179099.02372170018</v>
      </c>
      <c r="G100" s="257">
        <f>'H) Péréquation directe'!I110</f>
        <v>14735.4399144708</v>
      </c>
      <c r="H100" s="257">
        <f>'I) Dépenses thématiques'!O99</f>
        <v>-58312.227268924231</v>
      </c>
      <c r="I100" s="257">
        <f>'K) Plafonnement aide'!J99</f>
        <v>0</v>
      </c>
      <c r="J100" s="257">
        <f>'J) Plafonnement effort'!I99</f>
        <v>0</v>
      </c>
      <c r="K100" s="257">
        <f>'L) Plafonnement taux'!Q100</f>
        <v>0</v>
      </c>
      <c r="L100" s="346">
        <f t="shared" si="3"/>
        <v>135522.23636724675</v>
      </c>
      <c r="M100" s="346">
        <f>'M) Police'!O100</f>
        <v>33808.72669110007</v>
      </c>
      <c r="N100" s="346">
        <f t="shared" si="4"/>
        <v>169330.96305834682</v>
      </c>
      <c r="P100" s="407">
        <v>-74</v>
      </c>
      <c r="Q100" s="410">
        <f t="shared" si="5"/>
        <v>169256.96305834682</v>
      </c>
    </row>
    <row r="101" spans="1:17" s="248" customFormat="1" x14ac:dyDescent="0.25">
      <c r="A101" s="245">
        <f>'B) D RI'!A102</f>
        <v>5557</v>
      </c>
      <c r="B101" s="246" t="str">
        <f>'B) D RI'!B102</f>
        <v>Fontaines-sur-Grandson</v>
      </c>
      <c r="C101" s="424">
        <f>'B) D RI'!S102</f>
        <v>69</v>
      </c>
      <c r="D101" s="247">
        <f>'B) D RI'!AR102</f>
        <v>191</v>
      </c>
      <c r="E101" s="254">
        <f>'D) Ecrêtage'!M100</f>
        <v>4200.6523188405799</v>
      </c>
      <c r="F101" s="257">
        <f>'E) Fact soc'!G106</f>
        <v>69055.977036031196</v>
      </c>
      <c r="G101" s="257">
        <f>'H) Péréquation directe'!I111</f>
        <v>-19482.369063680715</v>
      </c>
      <c r="H101" s="257">
        <f>'I) Dépenses thématiques'!O100</f>
        <v>-25367.069540217846</v>
      </c>
      <c r="I101" s="257">
        <f>'K) Plafonnement aide'!J100</f>
        <v>0</v>
      </c>
      <c r="J101" s="257">
        <f>'J) Plafonnement effort'!I100</f>
        <v>0</v>
      </c>
      <c r="K101" s="257">
        <f>'L) Plafonnement taux'!Q101</f>
        <v>0</v>
      </c>
      <c r="L101" s="346">
        <f t="shared" si="3"/>
        <v>24206.538432132635</v>
      </c>
      <c r="M101" s="346">
        <f>'M) Police'!O101</f>
        <v>13070.700756967013</v>
      </c>
      <c r="N101" s="346">
        <f t="shared" si="4"/>
        <v>37277.239189099651</v>
      </c>
      <c r="P101" s="407">
        <v>-6</v>
      </c>
      <c r="Q101" s="410">
        <f t="shared" si="5"/>
        <v>37271.239189099651</v>
      </c>
    </row>
    <row r="102" spans="1:17" s="248" customFormat="1" x14ac:dyDescent="0.25">
      <c r="A102" s="245">
        <f>'B) D RI'!A103</f>
        <v>5559</v>
      </c>
      <c r="B102" s="246" t="str">
        <f>'B) D RI'!B103</f>
        <v>Giez</v>
      </c>
      <c r="C102" s="424">
        <f>'B) D RI'!S103</f>
        <v>66</v>
      </c>
      <c r="D102" s="247">
        <f>'B) D RI'!AR103</f>
        <v>389</v>
      </c>
      <c r="E102" s="254">
        <f>'D) Ecrêtage'!M101</f>
        <v>17998.483636363639</v>
      </c>
      <c r="F102" s="257">
        <f>'E) Fact soc'!G107</f>
        <v>268058.06648478686</v>
      </c>
      <c r="G102" s="257">
        <f>'H) Péréquation directe'!I112</f>
        <v>294292.23005119932</v>
      </c>
      <c r="H102" s="257">
        <f>'I) Dépenses thématiques'!O101</f>
        <v>0</v>
      </c>
      <c r="I102" s="257">
        <f>'K) Plafonnement aide'!J101</f>
        <v>0</v>
      </c>
      <c r="J102" s="257">
        <f>'J) Plafonnement effort'!I101</f>
        <v>0</v>
      </c>
      <c r="K102" s="257">
        <f>'L) Plafonnement taux'!Q102</f>
        <v>0</v>
      </c>
      <c r="L102" s="346">
        <f t="shared" si="3"/>
        <v>562350.29653598624</v>
      </c>
      <c r="M102" s="346">
        <f>'M) Police'!O102</f>
        <v>56568.820035878154</v>
      </c>
      <c r="N102" s="346">
        <f t="shared" si="4"/>
        <v>618919.11657186435</v>
      </c>
      <c r="P102" s="407">
        <v>-27</v>
      </c>
      <c r="Q102" s="410">
        <f t="shared" si="5"/>
        <v>618892.11657186435</v>
      </c>
    </row>
    <row r="103" spans="1:17" s="248" customFormat="1" x14ac:dyDescent="0.25">
      <c r="A103" s="245">
        <f>'B) D RI'!A104</f>
        <v>5560</v>
      </c>
      <c r="B103" s="246" t="str">
        <f>'B) D RI'!B104</f>
        <v>Grandevent</v>
      </c>
      <c r="C103" s="424">
        <f>'B) D RI'!S104</f>
        <v>68</v>
      </c>
      <c r="D103" s="247">
        <f>'B) D RI'!AR104</f>
        <v>232</v>
      </c>
      <c r="E103" s="254">
        <f>'D) Ecrêtage'!M102</f>
        <v>6396.1444117647052</v>
      </c>
      <c r="F103" s="257">
        <f>'E) Fact soc'!G108</f>
        <v>107523.7833365675</v>
      </c>
      <c r="G103" s="257">
        <f>'H) Péréquation directe'!I113</f>
        <v>26793.446276912218</v>
      </c>
      <c r="H103" s="257">
        <f>'I) Dépenses thématiques'!O102</f>
        <v>-12788.672221860892</v>
      </c>
      <c r="I103" s="257">
        <f>'K) Plafonnement aide'!J102</f>
        <v>0</v>
      </c>
      <c r="J103" s="257">
        <f>'J) Plafonnement effort'!I102</f>
        <v>0</v>
      </c>
      <c r="K103" s="257">
        <f>'L) Plafonnement taux'!Q103</f>
        <v>0</v>
      </c>
      <c r="L103" s="346">
        <f t="shared" si="3"/>
        <v>121528.55739161883</v>
      </c>
      <c r="M103" s="346">
        <f>'M) Police'!O103</f>
        <v>19975.63356495172</v>
      </c>
      <c r="N103" s="346">
        <f t="shared" si="4"/>
        <v>141504.19095657056</v>
      </c>
      <c r="P103" s="407">
        <v>0</v>
      </c>
      <c r="Q103" s="410">
        <f t="shared" si="5"/>
        <v>141504.19095657056</v>
      </c>
    </row>
    <row r="104" spans="1:17" s="248" customFormat="1" x14ac:dyDescent="0.25">
      <c r="A104" s="245">
        <f>'B) D RI'!A105</f>
        <v>5561</v>
      </c>
      <c r="B104" s="246" t="str">
        <f>'B) D RI'!B105</f>
        <v>Grandson</v>
      </c>
      <c r="C104" s="424">
        <f>'B) D RI'!S105</f>
        <v>69</v>
      </c>
      <c r="D104" s="247">
        <f>'B) D RI'!AR105</f>
        <v>3303</v>
      </c>
      <c r="E104" s="254">
        <f>'D) Ecrêtage'!M103</f>
        <v>106507.86840579711</v>
      </c>
      <c r="F104" s="257">
        <f>'E) Fact soc'!G109</f>
        <v>1979819.6222693417</v>
      </c>
      <c r="G104" s="257">
        <f>'H) Péréquation directe'!I114</f>
        <v>315760.45357458247</v>
      </c>
      <c r="H104" s="257">
        <f>'I) Dépenses thématiques'!O103</f>
        <v>-724329.05255536735</v>
      </c>
      <c r="I104" s="257">
        <f>'K) Plafonnement aide'!J103</f>
        <v>0</v>
      </c>
      <c r="J104" s="257">
        <f>'J) Plafonnement effort'!I103</f>
        <v>0</v>
      </c>
      <c r="K104" s="257">
        <f>'L) Plafonnement taux'!Q104</f>
        <v>0</v>
      </c>
      <c r="L104" s="346">
        <f t="shared" si="3"/>
        <v>1571251.0232885568</v>
      </c>
      <c r="M104" s="346">
        <f>'M) Police'!O104</f>
        <v>334999.72818355472</v>
      </c>
      <c r="N104" s="346">
        <f t="shared" si="4"/>
        <v>1906250.7514721116</v>
      </c>
      <c r="P104" s="407">
        <v>-877</v>
      </c>
      <c r="Q104" s="410">
        <f t="shared" si="5"/>
        <v>1905373.7514721116</v>
      </c>
    </row>
    <row r="105" spans="1:17" s="248" customFormat="1" x14ac:dyDescent="0.25">
      <c r="A105" s="245">
        <f>'B) D RI'!A106</f>
        <v>5562</v>
      </c>
      <c r="B105" s="246" t="str">
        <f>'B) D RI'!B106</f>
        <v>Mauborget</v>
      </c>
      <c r="C105" s="424">
        <f>'B) D RI'!S106</f>
        <v>70</v>
      </c>
      <c r="D105" s="247">
        <f>'B) D RI'!AR106</f>
        <v>119</v>
      </c>
      <c r="E105" s="254">
        <f>'D) Ecrêtage'!M104</f>
        <v>3916.9319285714282</v>
      </c>
      <c r="F105" s="257">
        <f>'E) Fact soc'!G110</f>
        <v>61088.71286908519</v>
      </c>
      <c r="G105" s="257">
        <f>'H) Péréquation directe'!I115</f>
        <v>35809.599381011547</v>
      </c>
      <c r="H105" s="257">
        <f>'I) Dépenses thématiques'!O104</f>
        <v>-14489.030968677484</v>
      </c>
      <c r="I105" s="257">
        <f>'K) Plafonnement aide'!J104</f>
        <v>0</v>
      </c>
      <c r="J105" s="257">
        <f>'J) Plafonnement effort'!I104</f>
        <v>0</v>
      </c>
      <c r="K105" s="257">
        <f>'L) Plafonnement taux'!Q105</f>
        <v>0</v>
      </c>
      <c r="L105" s="346">
        <f t="shared" si="3"/>
        <v>82409.281281419244</v>
      </c>
      <c r="M105" s="346">
        <f>'M) Police'!O105</f>
        <v>12128.880521332238</v>
      </c>
      <c r="N105" s="346">
        <f t="shared" si="4"/>
        <v>94538.161802751478</v>
      </c>
      <c r="P105" s="407">
        <v>-23</v>
      </c>
      <c r="Q105" s="410">
        <f t="shared" si="5"/>
        <v>94515.161802751478</v>
      </c>
    </row>
    <row r="106" spans="1:17" s="248" customFormat="1" x14ac:dyDescent="0.25">
      <c r="A106" s="245">
        <f>'B) D RI'!A107</f>
        <v>5563</v>
      </c>
      <c r="B106" s="246" t="str">
        <f>'B) D RI'!B107</f>
        <v>Mutrux</v>
      </c>
      <c r="C106" s="424">
        <f>'B) D RI'!S107</f>
        <v>78.5</v>
      </c>
      <c r="D106" s="247">
        <f>'B) D RI'!AR107</f>
        <v>153</v>
      </c>
      <c r="E106" s="254">
        <f>'D) Ecrêtage'!M105</f>
        <v>4102.2142675159239</v>
      </c>
      <c r="F106" s="257">
        <f>'E) Fact soc'!G111</f>
        <v>65235.350876548015</v>
      </c>
      <c r="G106" s="257">
        <f>'H) Péréquation directe'!I116</f>
        <v>-2345.7885364520334</v>
      </c>
      <c r="H106" s="257">
        <f>'I) Dépenses thématiques'!O105</f>
        <v>-19526.593179619482</v>
      </c>
      <c r="I106" s="257">
        <f>'K) Plafonnement aide'!J105</f>
        <v>0</v>
      </c>
      <c r="J106" s="257">
        <f>'J) Plafonnement effort'!I105</f>
        <v>0</v>
      </c>
      <c r="K106" s="257">
        <f>'L) Plafonnement taux'!Q106</f>
        <v>0</v>
      </c>
      <c r="L106" s="346">
        <f t="shared" si="3"/>
        <v>43362.969160476496</v>
      </c>
      <c r="M106" s="346">
        <f>'M) Police'!O106</f>
        <v>13002.911464031116</v>
      </c>
      <c r="N106" s="346">
        <f t="shared" si="4"/>
        <v>56365.880624507612</v>
      </c>
      <c r="P106" s="407">
        <v>-62</v>
      </c>
      <c r="Q106" s="410">
        <f t="shared" si="5"/>
        <v>56303.880624507612</v>
      </c>
    </row>
    <row r="107" spans="1:17" s="248" customFormat="1" x14ac:dyDescent="0.25">
      <c r="A107" s="245">
        <f>'B) D RI'!A108</f>
        <v>5564</v>
      </c>
      <c r="B107" s="246" t="str">
        <f>'B) D RI'!B108</f>
        <v>Novalles</v>
      </c>
      <c r="C107" s="424">
        <f>'B) D RI'!S108</f>
        <v>76</v>
      </c>
      <c r="D107" s="247">
        <f>'B) D RI'!AR108</f>
        <v>102</v>
      </c>
      <c r="E107" s="254">
        <f>'D) Ecrêtage'!M106</f>
        <v>2120.1975328947365</v>
      </c>
      <c r="F107" s="257">
        <f>'E) Fact soc'!G112</f>
        <v>30467.590957777302</v>
      </c>
      <c r="G107" s="257">
        <f>'H) Péréquation directe'!I117</f>
        <v>-24416.795119984665</v>
      </c>
      <c r="H107" s="257">
        <f>'I) Dépenses thématiques'!O106</f>
        <v>-6638.6349631395478</v>
      </c>
      <c r="I107" s="257">
        <f>'K) Plafonnement aide'!J106</f>
        <v>0</v>
      </c>
      <c r="J107" s="257">
        <f>'J) Plafonnement effort'!I106</f>
        <v>0</v>
      </c>
      <c r="K107" s="257">
        <f>'L) Plafonnement taux'!Q107</f>
        <v>0</v>
      </c>
      <c r="L107" s="346">
        <f t="shared" si="3"/>
        <v>-587.83912534691081</v>
      </c>
      <c r="M107" s="346">
        <f>'M) Police'!O107</f>
        <v>6669.3699554488367</v>
      </c>
      <c r="N107" s="346">
        <f t="shared" si="4"/>
        <v>6081.5308301019259</v>
      </c>
      <c r="P107" s="407">
        <v>-13</v>
      </c>
      <c r="Q107" s="410">
        <f t="shared" si="5"/>
        <v>6068.5308301019259</v>
      </c>
    </row>
    <row r="108" spans="1:17" s="248" customFormat="1" x14ac:dyDescent="0.25">
      <c r="A108" s="245">
        <f>'B) D RI'!A109</f>
        <v>5565</v>
      </c>
      <c r="B108" s="246" t="str">
        <f>'B) D RI'!B109</f>
        <v>Onnens</v>
      </c>
      <c r="C108" s="424">
        <f>'B) D RI'!S109</f>
        <v>65</v>
      </c>
      <c r="D108" s="247">
        <f>'B) D RI'!AR109</f>
        <v>493</v>
      </c>
      <c r="E108" s="254">
        <f>'D) Ecrêtage'!M107</f>
        <v>22453.434769230771</v>
      </c>
      <c r="F108" s="257">
        <f>'E) Fact soc'!G113</f>
        <v>364883.75474683056</v>
      </c>
      <c r="G108" s="257">
        <f>'H) Péréquation directe'!I118</f>
        <v>366371.11200904322</v>
      </c>
      <c r="H108" s="257">
        <f>'I) Dépenses thématiques'!O107</f>
        <v>-9630.6289964061998</v>
      </c>
      <c r="I108" s="257">
        <f>'K) Plafonnement aide'!J107</f>
        <v>0</v>
      </c>
      <c r="J108" s="257">
        <f>'J) Plafonnement effort'!I107</f>
        <v>0</v>
      </c>
      <c r="K108" s="257">
        <f>'L) Plafonnement taux'!Q108</f>
        <v>0</v>
      </c>
      <c r="L108" s="346">
        <f t="shared" si="3"/>
        <v>721624.23775946756</v>
      </c>
      <c r="M108" s="346">
        <f>'M) Police'!O108</f>
        <v>70250.636827813534</v>
      </c>
      <c r="N108" s="346">
        <f t="shared" si="4"/>
        <v>791874.87458728114</v>
      </c>
      <c r="P108" s="407">
        <v>-17</v>
      </c>
      <c r="Q108" s="410">
        <f t="shared" si="5"/>
        <v>791857.87458728114</v>
      </c>
    </row>
    <row r="109" spans="1:17" s="248" customFormat="1" x14ac:dyDescent="0.25">
      <c r="A109" s="245">
        <f>'B) D RI'!A110</f>
        <v>5566</v>
      </c>
      <c r="B109" s="246" t="str">
        <f>'B) D RI'!B110</f>
        <v>Provence</v>
      </c>
      <c r="C109" s="424">
        <f>'B) D RI'!S110</f>
        <v>81</v>
      </c>
      <c r="D109" s="247">
        <f>'B) D RI'!AR110</f>
        <v>385</v>
      </c>
      <c r="E109" s="254">
        <f>'D) Ecrêtage'!M108</f>
        <v>7814.1319753086409</v>
      </c>
      <c r="F109" s="257">
        <f>'E) Fact soc'!G114</f>
        <v>132672.8303164645</v>
      </c>
      <c r="G109" s="257">
        <f>'H) Péréquation directe'!I119</f>
        <v>-128026.78924179918</v>
      </c>
      <c r="H109" s="257">
        <f>'I) Dépenses thématiques'!O108</f>
        <v>-196121.88559143242</v>
      </c>
      <c r="I109" s="257">
        <f>'K) Plafonnement aide'!J108</f>
        <v>0</v>
      </c>
      <c r="J109" s="257">
        <f>'J) Plafonnement effort'!I108</f>
        <v>0</v>
      </c>
      <c r="K109" s="257">
        <f>'L) Plafonnement taux'!Q109</f>
        <v>0</v>
      </c>
      <c r="L109" s="346">
        <f t="shared" si="3"/>
        <v>-191475.8445167671</v>
      </c>
      <c r="M109" s="346">
        <f>'M) Police'!O109</f>
        <v>24506.15925508595</v>
      </c>
      <c r="N109" s="346">
        <f t="shared" si="4"/>
        <v>-166969.68526168115</v>
      </c>
      <c r="P109" s="407">
        <v>-170</v>
      </c>
      <c r="Q109" s="410">
        <f t="shared" si="5"/>
        <v>-167139.68526168115</v>
      </c>
    </row>
    <row r="110" spans="1:17" s="248" customFormat="1" x14ac:dyDescent="0.25">
      <c r="A110" s="245">
        <f>'B) D RI'!A111</f>
        <v>5568</v>
      </c>
      <c r="B110" s="246" t="str">
        <f>'B) D RI'!B111</f>
        <v>Sainte-Croix</v>
      </c>
      <c r="C110" s="424">
        <f>'B) D RI'!S111</f>
        <v>70</v>
      </c>
      <c r="D110" s="247">
        <f>'B) D RI'!AR111</f>
        <v>4763</v>
      </c>
      <c r="E110" s="254">
        <f>'D) Ecrêtage'!M109</f>
        <v>93435.029714285716</v>
      </c>
      <c r="F110" s="257">
        <f>'E) Fact soc'!G115</f>
        <v>2264009.0673615178</v>
      </c>
      <c r="G110" s="257">
        <f>'H) Péréquation directe'!I120</f>
        <v>-2165762.2582440339</v>
      </c>
      <c r="H110" s="257">
        <f>'I) Dépenses thématiques'!O109</f>
        <v>-1131887.5065230697</v>
      </c>
      <c r="I110" s="257">
        <f>'K) Plafonnement aide'!J109</f>
        <v>0</v>
      </c>
      <c r="J110" s="257">
        <f>'J) Plafonnement effort'!I109</f>
        <v>0</v>
      </c>
      <c r="K110" s="257">
        <f>'L) Plafonnement taux'!Q110</f>
        <v>0</v>
      </c>
      <c r="L110" s="346">
        <f t="shared" si="3"/>
        <v>-1033640.6974055858</v>
      </c>
      <c r="M110" s="346">
        <f>'M) Police'!O110</f>
        <v>291586.04058618215</v>
      </c>
      <c r="N110" s="346">
        <f t="shared" si="4"/>
        <v>-742054.65681940364</v>
      </c>
      <c r="P110" s="407">
        <v>-1342</v>
      </c>
      <c r="Q110" s="410">
        <f t="shared" si="5"/>
        <v>-743396.65681940364</v>
      </c>
    </row>
    <row r="111" spans="1:17" s="248" customFormat="1" x14ac:dyDescent="0.25">
      <c r="A111" s="245">
        <f>'B) D RI'!A112</f>
        <v>5571</v>
      </c>
      <c r="B111" s="246" t="str">
        <f>'B) D RI'!B112</f>
        <v>Tévenon</v>
      </c>
      <c r="C111" s="424">
        <f>'B) D RI'!S112</f>
        <v>73</v>
      </c>
      <c r="D111" s="247">
        <f>'B) D RI'!AR112</f>
        <v>811</v>
      </c>
      <c r="E111" s="254">
        <f>'D) Ecrêtage'!M110</f>
        <v>20766.182465753427</v>
      </c>
      <c r="F111" s="257">
        <f>'E) Fact soc'!G116</f>
        <v>364556.74869806797</v>
      </c>
      <c r="G111" s="257">
        <f>'H) Péréquation directe'!I121</f>
        <v>-6069.4289515038254</v>
      </c>
      <c r="H111" s="257">
        <f>'I) Dépenses thématiques'!O110</f>
        <v>-60134.30993308757</v>
      </c>
      <c r="I111" s="257">
        <f>'K) Plafonnement aide'!J110</f>
        <v>0</v>
      </c>
      <c r="J111" s="257">
        <f>'J) Plafonnement effort'!I110</f>
        <v>0</v>
      </c>
      <c r="K111" s="257">
        <f>'L) Plafonnement taux'!Q111</f>
        <v>0</v>
      </c>
      <c r="L111" s="346">
        <f t="shared" si="3"/>
        <v>298353.00981347659</v>
      </c>
      <c r="M111" s="346">
        <f>'M) Police'!O111</f>
        <v>64815.649369756356</v>
      </c>
      <c r="N111" s="346">
        <f t="shared" si="4"/>
        <v>363168.65918323293</v>
      </c>
      <c r="P111" s="407">
        <v>-115</v>
      </c>
      <c r="Q111" s="410">
        <f t="shared" si="5"/>
        <v>363053.65918323293</v>
      </c>
    </row>
    <row r="112" spans="1:17" s="248" customFormat="1" x14ac:dyDescent="0.25">
      <c r="A112" s="245">
        <f>'B) D RI'!A113</f>
        <v>5581</v>
      </c>
      <c r="B112" s="246" t="str">
        <f>'B) D RI'!B113</f>
        <v>Belmont-sur-Lausanne</v>
      </c>
      <c r="C112" s="424">
        <f>'B) D RI'!S113</f>
        <v>69.5</v>
      </c>
      <c r="D112" s="247">
        <f>'B) D RI'!AR113</f>
        <v>3602</v>
      </c>
      <c r="E112" s="254">
        <f>'D) Ecrêtage'!M111</f>
        <v>173034.35179856114</v>
      </c>
      <c r="F112" s="257">
        <f>'E) Fact soc'!G117</f>
        <v>2891488.6213682019</v>
      </c>
      <c r="G112" s="257">
        <f>'H) Péréquation directe'!I122</f>
        <v>2109567.3743124576</v>
      </c>
      <c r="H112" s="257">
        <f>'I) Dépenses thématiques'!O111</f>
        <v>-624223.58943023614</v>
      </c>
      <c r="I112" s="257">
        <f>'K) Plafonnement aide'!J111</f>
        <v>0</v>
      </c>
      <c r="J112" s="257">
        <f>'J) Plafonnement effort'!I111</f>
        <v>0</v>
      </c>
      <c r="K112" s="257">
        <f>'L) Plafonnement taux'!Q112</f>
        <v>0</v>
      </c>
      <c r="L112" s="346">
        <f t="shared" si="3"/>
        <v>4376832.4062504238</v>
      </c>
      <c r="M112" s="346">
        <f>'M) Police'!O112</f>
        <v>224281.77196825104</v>
      </c>
      <c r="N112" s="346">
        <f t="shared" si="4"/>
        <v>4601114.1782186748</v>
      </c>
      <c r="P112" s="407">
        <v>-880</v>
      </c>
      <c r="Q112" s="410">
        <f t="shared" si="5"/>
        <v>4600234.1782186748</v>
      </c>
    </row>
    <row r="113" spans="1:17" s="248" customFormat="1" x14ac:dyDescent="0.25">
      <c r="A113" s="245">
        <f>'B) D RI'!A114</f>
        <v>5582</v>
      </c>
      <c r="B113" s="246" t="str">
        <f>'B) D RI'!B114</f>
        <v>Cheseaux-sur-Lausanne</v>
      </c>
      <c r="C113" s="424">
        <f>'B) D RI'!S114</f>
        <v>74.5</v>
      </c>
      <c r="D113" s="247">
        <f>'B) D RI'!AR114</f>
        <v>4297</v>
      </c>
      <c r="E113" s="254">
        <f>'D) Ecrêtage'!M112</f>
        <v>165346.44872483221</v>
      </c>
      <c r="F113" s="257">
        <f>'E) Fact soc'!G118</f>
        <v>2937664.7813486606</v>
      </c>
      <c r="G113" s="257">
        <f>'H) Péréquation directe'!I123</f>
        <v>1135517.6085362667</v>
      </c>
      <c r="H113" s="257">
        <f>'I) Dépenses thématiques'!O112</f>
        <v>-214665.38998653356</v>
      </c>
      <c r="I113" s="257">
        <f>'K) Plafonnement aide'!J112</f>
        <v>0</v>
      </c>
      <c r="J113" s="257">
        <f>'J) Plafonnement effort'!I112</f>
        <v>0</v>
      </c>
      <c r="K113" s="257">
        <f>'L) Plafonnement taux'!Q113</f>
        <v>0</v>
      </c>
      <c r="L113" s="346">
        <f t="shared" si="3"/>
        <v>3858516.9998983936</v>
      </c>
      <c r="M113" s="346">
        <f>'M) Police'!O113</f>
        <v>524301.12253635761</v>
      </c>
      <c r="N113" s="346">
        <f t="shared" si="4"/>
        <v>4382818.1224347511</v>
      </c>
      <c r="P113" s="407">
        <v>-327</v>
      </c>
      <c r="Q113" s="410">
        <f t="shared" si="5"/>
        <v>4382491.1224347511</v>
      </c>
    </row>
    <row r="114" spans="1:17" s="248" customFormat="1" x14ac:dyDescent="0.25">
      <c r="A114" s="245">
        <f>'B) D RI'!A115</f>
        <v>5583</v>
      </c>
      <c r="B114" s="246" t="str">
        <f>'B) D RI'!B115</f>
        <v>Crissier</v>
      </c>
      <c r="C114" s="424">
        <f>'B) D RI'!S115</f>
        <v>65</v>
      </c>
      <c r="D114" s="247">
        <f>'B) D RI'!AR115</f>
        <v>7542</v>
      </c>
      <c r="E114" s="254">
        <f>'D) Ecrêtage'!M113</f>
        <v>323925.7196923077</v>
      </c>
      <c r="F114" s="257">
        <f>'E) Fact soc'!G119</f>
        <v>5806289.2735130358</v>
      </c>
      <c r="G114" s="257">
        <f>'H) Péréquation directe'!I124</f>
        <v>2612603.8974811104</v>
      </c>
      <c r="H114" s="257">
        <f>'I) Dépenses thématiques'!O113</f>
        <v>-1821775.3137670569</v>
      </c>
      <c r="I114" s="257">
        <f>'K) Plafonnement aide'!J113</f>
        <v>0</v>
      </c>
      <c r="J114" s="257">
        <f>'J) Plafonnement effort'!I113</f>
        <v>0</v>
      </c>
      <c r="K114" s="257">
        <f>'L) Plafonnement taux'!Q114</f>
        <v>0</v>
      </c>
      <c r="L114" s="346">
        <f t="shared" si="3"/>
        <v>6597117.8572270889</v>
      </c>
      <c r="M114" s="346">
        <f>'M) Police'!O114</f>
        <v>419862.49345019297</v>
      </c>
      <c r="N114" s="346">
        <f t="shared" si="4"/>
        <v>7016980.3506772816</v>
      </c>
      <c r="P114" s="407">
        <v>-3057</v>
      </c>
      <c r="Q114" s="410">
        <f t="shared" si="5"/>
        <v>7013923.3506772816</v>
      </c>
    </row>
    <row r="115" spans="1:17" s="248" customFormat="1" x14ac:dyDescent="0.25">
      <c r="A115" s="245">
        <f>'B) D RI'!A116</f>
        <v>5584</v>
      </c>
      <c r="B115" s="246" t="str">
        <f>'B) D RI'!B116</f>
        <v>Epalinges</v>
      </c>
      <c r="C115" s="424">
        <f>'B) D RI'!S116</f>
        <v>66</v>
      </c>
      <c r="D115" s="247">
        <f>'B) D RI'!AR116</f>
        <v>9185</v>
      </c>
      <c r="E115" s="254">
        <f>'D) Ecrêtage'!M114</f>
        <v>455923.60696969699</v>
      </c>
      <c r="F115" s="257">
        <f>'E) Fact soc'!G120</f>
        <v>8222136.0238080407</v>
      </c>
      <c r="G115" s="257">
        <f>'H) Péréquation directe'!I125</f>
        <v>4116838.9484601794</v>
      </c>
      <c r="H115" s="257">
        <f>'I) Dépenses thématiques'!O114</f>
        <v>-2614791.4609733787</v>
      </c>
      <c r="I115" s="257">
        <f>'K) Plafonnement aide'!J114</f>
        <v>0</v>
      </c>
      <c r="J115" s="257">
        <f>'J) Plafonnement effort'!I114</f>
        <v>0</v>
      </c>
      <c r="K115" s="257">
        <f>'L) Plafonnement taux'!Q115</f>
        <v>0</v>
      </c>
      <c r="L115" s="346">
        <f t="shared" si="3"/>
        <v>9724183.5112948418</v>
      </c>
      <c r="M115" s="346">
        <f>'M) Police'!O115</f>
        <v>1375805.0603351868</v>
      </c>
      <c r="N115" s="346">
        <f t="shared" si="4"/>
        <v>11099988.571630029</v>
      </c>
      <c r="P115" s="407">
        <v>-3817</v>
      </c>
      <c r="Q115" s="410">
        <f t="shared" si="5"/>
        <v>11096171.571630029</v>
      </c>
    </row>
    <row r="116" spans="1:17" s="248" customFormat="1" x14ac:dyDescent="0.25">
      <c r="A116" s="245">
        <f>'B) D RI'!A117</f>
        <v>5585</v>
      </c>
      <c r="B116" s="246" t="str">
        <f>'B) D RI'!B117</f>
        <v>Jouxtens-Mézery</v>
      </c>
      <c r="C116" s="424">
        <f>'B) D RI'!S117</f>
        <v>53</v>
      </c>
      <c r="D116" s="247">
        <f>'B) D RI'!AR117</f>
        <v>1405</v>
      </c>
      <c r="E116" s="254">
        <f>'D) Ecrêtage'!M115</f>
        <v>120397.11668857002</v>
      </c>
      <c r="F116" s="257">
        <f>'E) Fact soc'!G121</f>
        <v>4059250.9042094583</v>
      </c>
      <c r="G116" s="257">
        <f>'H) Péréquation directe'!I126</f>
        <v>1986884.4454449699</v>
      </c>
      <c r="H116" s="257">
        <f>'I) Dépenses thématiques'!O115</f>
        <v>0</v>
      </c>
      <c r="I116" s="257">
        <f>'K) Plafonnement aide'!J115</f>
        <v>0</v>
      </c>
      <c r="J116" s="257">
        <f>'J) Plafonnement effort'!I115</f>
        <v>0</v>
      </c>
      <c r="K116" s="257">
        <f>'L) Plafonnement taux'!Q116</f>
        <v>0</v>
      </c>
      <c r="L116" s="346">
        <f t="shared" si="3"/>
        <v>6046135.3496544287</v>
      </c>
      <c r="M116" s="346">
        <f>'M) Police'!O116</f>
        <v>276111.15626977343</v>
      </c>
      <c r="N116" s="346">
        <f t="shared" si="4"/>
        <v>6322246.5059242025</v>
      </c>
      <c r="P116" s="407">
        <v>-2</v>
      </c>
      <c r="Q116" s="410">
        <f t="shared" si="5"/>
        <v>6322244.5059242025</v>
      </c>
    </row>
    <row r="117" spans="1:17" s="248" customFormat="1" x14ac:dyDescent="0.25">
      <c r="A117" s="245">
        <f>'B) D RI'!A118</f>
        <v>5586</v>
      </c>
      <c r="B117" s="246" t="str">
        <f>'B) D RI'!B118</f>
        <v>Lausanne</v>
      </c>
      <c r="C117" s="424">
        <f>'B) D RI'!S118</f>
        <v>79</v>
      </c>
      <c r="D117" s="247">
        <f>'B) D RI'!AR118</f>
        <v>134937</v>
      </c>
      <c r="E117" s="254">
        <f>'D) Ecrêtage'!M116</f>
        <v>5897479.10464135</v>
      </c>
      <c r="F117" s="257">
        <f>'E) Fact soc'!G122</f>
        <v>101995126.64721054</v>
      </c>
      <c r="G117" s="257">
        <f>'H) Péréquation directe'!I127</f>
        <v>-25271510.063607156</v>
      </c>
      <c r="H117" s="257">
        <f>'I) Dépenses thématiques'!O116</f>
        <v>-42453891.749057718</v>
      </c>
      <c r="I117" s="257">
        <f>'K) Plafonnement aide'!J116</f>
        <v>0</v>
      </c>
      <c r="J117" s="257">
        <f>'J) Plafonnement effort'!I116</f>
        <v>0</v>
      </c>
      <c r="K117" s="257">
        <f>'L) Plafonnement taux'!Q117</f>
        <v>0</v>
      </c>
      <c r="L117" s="346">
        <f t="shared" ref="L117:L170" si="6">F117+G117+H117+I117+J117+K117</f>
        <v>34269724.834545664</v>
      </c>
      <c r="M117" s="346">
        <f>'M) Police'!O117</f>
        <v>7644129.9082307154</v>
      </c>
      <c r="N117" s="346">
        <f t="shared" si="4"/>
        <v>41913854.742776379</v>
      </c>
      <c r="P117" s="407">
        <v>-70558</v>
      </c>
      <c r="Q117" s="410">
        <f t="shared" si="5"/>
        <v>41843296.742776379</v>
      </c>
    </row>
    <row r="118" spans="1:17" s="248" customFormat="1" x14ac:dyDescent="0.25">
      <c r="A118" s="245">
        <f>'B) D RI'!A119</f>
        <v>5587</v>
      </c>
      <c r="B118" s="246" t="str">
        <f>'B) D RI'!B119</f>
        <v>Le Mont-sur-Lausanne</v>
      </c>
      <c r="C118" s="424">
        <f>'B) D RI'!S119</f>
        <v>75</v>
      </c>
      <c r="D118" s="247">
        <f>'B) D RI'!AR119</f>
        <v>7271</v>
      </c>
      <c r="E118" s="254">
        <f>'D) Ecrêtage'!M117</f>
        <v>380449.00348888891</v>
      </c>
      <c r="F118" s="257">
        <f>'E) Fact soc'!G123</f>
        <v>7095474.9417261006</v>
      </c>
      <c r="G118" s="257">
        <f>'H) Péréquation directe'!I128</f>
        <v>3903907.5154062593</v>
      </c>
      <c r="H118" s="257">
        <f>'I) Dépenses thématiques'!O117</f>
        <v>-2170071.3301394642</v>
      </c>
      <c r="I118" s="257">
        <f>'K) Plafonnement aide'!J117</f>
        <v>0</v>
      </c>
      <c r="J118" s="257">
        <f>'J) Plafonnement effort'!I117</f>
        <v>0</v>
      </c>
      <c r="K118" s="257">
        <f>'L) Plafonnement taux'!Q118</f>
        <v>0</v>
      </c>
      <c r="L118" s="346">
        <f t="shared" si="6"/>
        <v>8829311.1269928962</v>
      </c>
      <c r="M118" s="346">
        <f>'M) Police'!O118</f>
        <v>1114427.4277915335</v>
      </c>
      <c r="N118" s="346">
        <f t="shared" si="4"/>
        <v>9943738.5547844302</v>
      </c>
      <c r="P118" s="407">
        <v>-3102</v>
      </c>
      <c r="Q118" s="410">
        <f t="shared" si="5"/>
        <v>9940636.5547844302</v>
      </c>
    </row>
    <row r="119" spans="1:17" s="248" customFormat="1" x14ac:dyDescent="0.25">
      <c r="A119" s="245">
        <f>'B) D RI'!A120</f>
        <v>5588</v>
      </c>
      <c r="B119" s="246" t="str">
        <f>'B) D RI'!B120</f>
        <v>Paudex</v>
      </c>
      <c r="C119" s="424">
        <f>'B) D RI'!S120</f>
        <v>61.5</v>
      </c>
      <c r="D119" s="247">
        <f>'B) D RI'!AR120</f>
        <v>1485</v>
      </c>
      <c r="E119" s="254">
        <f>'D) Ecrêtage'!M118</f>
        <v>120453.76581784204</v>
      </c>
      <c r="F119" s="257">
        <f>'E) Fact soc'!G124</f>
        <v>3744040.3754528537</v>
      </c>
      <c r="G119" s="257">
        <f>'H) Péréquation directe'!I129</f>
        <v>1960213.6060597191</v>
      </c>
      <c r="H119" s="257">
        <f>'I) Dépenses thématiques'!O118</f>
        <v>0</v>
      </c>
      <c r="I119" s="257">
        <f>'K) Plafonnement aide'!J118</f>
        <v>0</v>
      </c>
      <c r="J119" s="257">
        <f>'J) Plafonnement effort'!I118</f>
        <v>0</v>
      </c>
      <c r="K119" s="257">
        <f>'L) Plafonnement taux'!Q119</f>
        <v>0</v>
      </c>
      <c r="L119" s="346">
        <f t="shared" si="6"/>
        <v>5704253.9815125726</v>
      </c>
      <c r="M119" s="346">
        <f>'M) Police'!O119</f>
        <v>156128.44361288846</v>
      </c>
      <c r="N119" s="346">
        <f t="shared" si="4"/>
        <v>5860382.4251254611</v>
      </c>
      <c r="P119" s="407">
        <v>0</v>
      </c>
      <c r="Q119" s="410">
        <f t="shared" si="5"/>
        <v>5860382.4251254611</v>
      </c>
    </row>
    <row r="120" spans="1:17" s="248" customFormat="1" x14ac:dyDescent="0.25">
      <c r="A120" s="245">
        <f>'B) D RI'!A121</f>
        <v>5589</v>
      </c>
      <c r="B120" s="246" t="str">
        <f>'B) D RI'!B121</f>
        <v>Prilly</v>
      </c>
      <c r="C120" s="424">
        <f>'B) D RI'!S121</f>
        <v>73.5</v>
      </c>
      <c r="D120" s="247">
        <f>'B) D RI'!AR121</f>
        <v>11782</v>
      </c>
      <c r="E120" s="254">
        <f>'D) Ecrêtage'!M119</f>
        <v>462414.97306122456</v>
      </c>
      <c r="F120" s="257">
        <f>'E) Fact soc'!G125</f>
        <v>8387220.6035101367</v>
      </c>
      <c r="G120" s="257">
        <f>'H) Péréquation directe'!I130</f>
        <v>944028.84666566085</v>
      </c>
      <c r="H120" s="257">
        <f>'I) Dépenses thématiques'!O119</f>
        <v>-2615387.8072583228</v>
      </c>
      <c r="I120" s="257">
        <f>'K) Plafonnement aide'!J119</f>
        <v>0</v>
      </c>
      <c r="J120" s="257">
        <f>'J) Plafonnement effort'!I119</f>
        <v>0</v>
      </c>
      <c r="K120" s="257">
        <f>'L) Plafonnement taux'!Q120</f>
        <v>0</v>
      </c>
      <c r="L120" s="346">
        <f t="shared" si="6"/>
        <v>6715861.6429174747</v>
      </c>
      <c r="M120" s="346">
        <f>'M) Police'!O120</f>
        <v>599367.97788891371</v>
      </c>
      <c r="N120" s="346">
        <f t="shared" si="4"/>
        <v>7315229.6208063886</v>
      </c>
      <c r="P120" s="407">
        <v>-4269</v>
      </c>
      <c r="Q120" s="410">
        <f t="shared" si="5"/>
        <v>7310960.6208063886</v>
      </c>
    </row>
    <row r="121" spans="1:17" s="248" customFormat="1" x14ac:dyDescent="0.25">
      <c r="A121" s="245">
        <f>'B) D RI'!A122</f>
        <v>5590</v>
      </c>
      <c r="B121" s="246" t="str">
        <f>'B) D RI'!B122</f>
        <v>Pully</v>
      </c>
      <c r="C121" s="424">
        <f>'B) D RI'!S122</f>
        <v>63</v>
      </c>
      <c r="D121" s="247">
        <f>'B) D RI'!AR122</f>
        <v>17811</v>
      </c>
      <c r="E121" s="254">
        <f>'D) Ecrêtage'!M120</f>
        <v>1213129.8133681584</v>
      </c>
      <c r="F121" s="257">
        <f>'E) Fact soc'!G126</f>
        <v>32757066.553534891</v>
      </c>
      <c r="G121" s="257">
        <f>'H) Péréquation directe'!I131</f>
        <v>9857603.6342754625</v>
      </c>
      <c r="H121" s="257">
        <f>'I) Dépenses thématiques'!O120</f>
        <v>-2213931.6297766282</v>
      </c>
      <c r="I121" s="257">
        <f>'K) Plafonnement aide'!J120</f>
        <v>0</v>
      </c>
      <c r="J121" s="257">
        <f>'J) Plafonnement effort'!I120</f>
        <v>0</v>
      </c>
      <c r="K121" s="257">
        <f>'L) Plafonnement taux'!Q121</f>
        <v>0</v>
      </c>
      <c r="L121" s="346">
        <f t="shared" si="6"/>
        <v>40400738.558033727</v>
      </c>
      <c r="M121" s="346">
        <f>'M) Police'!O121</f>
        <v>1572421.3217874274</v>
      </c>
      <c r="N121" s="346">
        <f t="shared" si="4"/>
        <v>41973159.879821151</v>
      </c>
      <c r="P121" s="407">
        <v>-2748</v>
      </c>
      <c r="Q121" s="410">
        <f t="shared" si="5"/>
        <v>41970411.879821151</v>
      </c>
    </row>
    <row r="122" spans="1:17" s="248" customFormat="1" x14ac:dyDescent="0.25">
      <c r="A122" s="245">
        <f>'B) D RI'!A123</f>
        <v>5591</v>
      </c>
      <c r="B122" s="246" t="str">
        <f>'B) D RI'!B123</f>
        <v>Renens</v>
      </c>
      <c r="C122" s="424">
        <f>'B) D RI'!S123</f>
        <v>78.5</v>
      </c>
      <c r="D122" s="247">
        <f>'B) D RI'!AR123</f>
        <v>20362</v>
      </c>
      <c r="E122" s="254">
        <f>'D) Ecrêtage'!M121</f>
        <v>546895.28569608741</v>
      </c>
      <c r="F122" s="257">
        <f>'E) Fact soc'!G127</f>
        <v>9029347.8430259377</v>
      </c>
      <c r="G122" s="257">
        <f>'H) Péréquation directe'!I132</f>
        <v>-13480892.806205964</v>
      </c>
      <c r="H122" s="257">
        <f>'I) Dépenses thématiques'!O121</f>
        <v>-5002922.8856557831</v>
      </c>
      <c r="I122" s="257">
        <f>'K) Plafonnement aide'!J121</f>
        <v>1443620.8918515451</v>
      </c>
      <c r="J122" s="257">
        <f>'J) Plafonnement effort'!I121</f>
        <v>0</v>
      </c>
      <c r="K122" s="257">
        <f>'L) Plafonnement taux'!Q122</f>
        <v>0</v>
      </c>
      <c r="L122" s="346">
        <f t="shared" si="6"/>
        <v>-8010846.9569842638</v>
      </c>
      <c r="M122" s="346">
        <f>'M) Police'!O122</f>
        <v>708868.7447437899</v>
      </c>
      <c r="N122" s="346">
        <f t="shared" si="4"/>
        <v>-7301978.2122404743</v>
      </c>
      <c r="P122" s="407">
        <v>-7744</v>
      </c>
      <c r="Q122" s="410">
        <f t="shared" si="5"/>
        <v>-7309722.2122404743</v>
      </c>
    </row>
    <row r="123" spans="1:17" s="248" customFormat="1" x14ac:dyDescent="0.25">
      <c r="A123" s="245">
        <f>'B) D RI'!A124</f>
        <v>5592</v>
      </c>
      <c r="B123" s="246" t="str">
        <f>'B) D RI'!B124</f>
        <v>Romanel-sur-Lausanne</v>
      </c>
      <c r="C123" s="424">
        <f>'B) D RI'!S124</f>
        <v>70</v>
      </c>
      <c r="D123" s="247">
        <f>'B) D RI'!AR124</f>
        <v>3351</v>
      </c>
      <c r="E123" s="254">
        <f>'D) Ecrêtage'!M122</f>
        <v>110273.83828571429</v>
      </c>
      <c r="F123" s="257">
        <f>'E) Fact soc'!G128</f>
        <v>2081637.9154070055</v>
      </c>
      <c r="G123" s="257">
        <f>'H) Péréquation directe'!I133</f>
        <v>373454.70424453774</v>
      </c>
      <c r="H123" s="257">
        <f>'I) Dépenses thématiques'!O122</f>
        <v>-188049.14965894737</v>
      </c>
      <c r="I123" s="257">
        <f>'K) Plafonnement aide'!J122</f>
        <v>0</v>
      </c>
      <c r="J123" s="257">
        <f>'J) Plafonnement effort'!I122</f>
        <v>0</v>
      </c>
      <c r="K123" s="257">
        <f>'L) Plafonnement taux'!Q123</f>
        <v>0</v>
      </c>
      <c r="L123" s="346">
        <f t="shared" si="6"/>
        <v>2267043.4699925957</v>
      </c>
      <c r="M123" s="346">
        <f>'M) Police'!O123</f>
        <v>342834.97886608494</v>
      </c>
      <c r="N123" s="346">
        <f t="shared" si="4"/>
        <v>2609878.4488586807</v>
      </c>
      <c r="P123" s="407">
        <v>-194</v>
      </c>
      <c r="Q123" s="410">
        <f t="shared" si="5"/>
        <v>2609684.4488586807</v>
      </c>
    </row>
    <row r="124" spans="1:17" s="248" customFormat="1" x14ac:dyDescent="0.25">
      <c r="A124" s="245">
        <f>'B) D RI'!A125</f>
        <v>5601</v>
      </c>
      <c r="B124" s="246" t="str">
        <f>'B) D RI'!B125</f>
        <v>Chexbres</v>
      </c>
      <c r="C124" s="424">
        <f>'B) D RI'!S125</f>
        <v>64</v>
      </c>
      <c r="D124" s="247">
        <f>'B) D RI'!AR125</f>
        <v>2218</v>
      </c>
      <c r="E124" s="254">
        <f>'D) Ecrêtage'!M123</f>
        <v>104474.96078125002</v>
      </c>
      <c r="F124" s="257">
        <f>'E) Fact soc'!G129</f>
        <v>1827309.851803472</v>
      </c>
      <c r="G124" s="257">
        <f>'H) Péréquation directe'!I134</f>
        <v>1410788.5682164389</v>
      </c>
      <c r="H124" s="257">
        <f>'I) Dépenses thématiques'!O123</f>
        <v>-150125.31214402185</v>
      </c>
      <c r="I124" s="257">
        <f>'K) Plafonnement aide'!J123</f>
        <v>0</v>
      </c>
      <c r="J124" s="257">
        <f>'J) Plafonnement effort'!I123</f>
        <v>0</v>
      </c>
      <c r="K124" s="257">
        <f>'L) Plafonnement taux'!Q124</f>
        <v>0</v>
      </c>
      <c r="L124" s="346">
        <f t="shared" si="6"/>
        <v>3087973.1078758887</v>
      </c>
      <c r="M124" s="346">
        <f>'M) Police'!O124</f>
        <v>135417.21101490053</v>
      </c>
      <c r="N124" s="346">
        <f t="shared" si="4"/>
        <v>3223390.3188907891</v>
      </c>
      <c r="P124" s="407">
        <v>-241</v>
      </c>
      <c r="Q124" s="410">
        <f t="shared" si="5"/>
        <v>3223149.3188907891</v>
      </c>
    </row>
    <row r="125" spans="1:17" s="248" customFormat="1" x14ac:dyDescent="0.25">
      <c r="A125" s="245">
        <f>'B) D RI'!A126</f>
        <v>5604</v>
      </c>
      <c r="B125" s="246" t="str">
        <f>'B) D RI'!B126</f>
        <v>Forel (Lavaux)</v>
      </c>
      <c r="C125" s="424">
        <f>'B) D RI'!S126</f>
        <v>68</v>
      </c>
      <c r="D125" s="247">
        <f>'B) D RI'!AR126</f>
        <v>2085</v>
      </c>
      <c r="E125" s="254">
        <f>'D) Ecrêtage'!M124</f>
        <v>65514.699852941172</v>
      </c>
      <c r="F125" s="257">
        <f>'E) Fact soc'!G130</f>
        <v>1082595.2414573138</v>
      </c>
      <c r="G125" s="257">
        <f>'H) Péréquation directe'!I135</f>
        <v>268549.3035738914</v>
      </c>
      <c r="H125" s="257">
        <f>'I) Dépenses thématiques'!O124</f>
        <v>-290731.33975512988</v>
      </c>
      <c r="I125" s="257">
        <f>'K) Plafonnement aide'!J124</f>
        <v>0</v>
      </c>
      <c r="J125" s="257">
        <f>'J) Plafonnement effort'!I124</f>
        <v>0</v>
      </c>
      <c r="K125" s="257">
        <f>'L) Plafonnement taux'!Q125</f>
        <v>0</v>
      </c>
      <c r="L125" s="346">
        <f t="shared" si="6"/>
        <v>1060413.2052760753</v>
      </c>
      <c r="M125" s="346">
        <f>'M) Police'!O125</f>
        <v>205421.99531260697</v>
      </c>
      <c r="N125" s="346">
        <f t="shared" si="4"/>
        <v>1265835.2005886822</v>
      </c>
      <c r="P125" s="407">
        <v>-315</v>
      </c>
      <c r="Q125" s="410">
        <f t="shared" si="5"/>
        <v>1265520.2005886822</v>
      </c>
    </row>
    <row r="126" spans="1:17" s="248" customFormat="1" x14ac:dyDescent="0.25">
      <c r="A126" s="245">
        <f>'B) D RI'!A127</f>
        <v>5606</v>
      </c>
      <c r="B126" s="246" t="str">
        <f>'B) D RI'!B127</f>
        <v>Lutry</v>
      </c>
      <c r="C126" s="424">
        <f>'B) D RI'!S127</f>
        <v>56</v>
      </c>
      <c r="D126" s="247">
        <f>'B) D RI'!AR127</f>
        <v>9739</v>
      </c>
      <c r="E126" s="254">
        <f>'D) Ecrêtage'!M125</f>
        <v>660728.72689955926</v>
      </c>
      <c r="F126" s="257">
        <f>'E) Fact soc'!G131</f>
        <v>17859495.329076208</v>
      </c>
      <c r="G126" s="257">
        <f>'H) Péréquation directe'!I136</f>
        <v>7437624.5359860919</v>
      </c>
      <c r="H126" s="257">
        <f>'I) Dépenses thématiques'!O125</f>
        <v>-1790107.2228458584</v>
      </c>
      <c r="I126" s="257">
        <f>'K) Plafonnement aide'!J125</f>
        <v>0</v>
      </c>
      <c r="J126" s="257">
        <f>'J) Plafonnement effort'!I125</f>
        <v>0</v>
      </c>
      <c r="K126" s="257">
        <f>'L) Plafonnement taux'!Q126</f>
        <v>0</v>
      </c>
      <c r="L126" s="346">
        <f t="shared" si="6"/>
        <v>23507012.64221644</v>
      </c>
      <c r="M126" s="346">
        <f>'M) Police'!O126</f>
        <v>856416.12846838206</v>
      </c>
      <c r="N126" s="346">
        <f t="shared" si="4"/>
        <v>24363428.770684823</v>
      </c>
      <c r="P126" s="407">
        <v>-2238</v>
      </c>
      <c r="Q126" s="410">
        <f t="shared" si="5"/>
        <v>24361190.770684823</v>
      </c>
    </row>
    <row r="127" spans="1:17" s="248" customFormat="1" x14ac:dyDescent="0.25">
      <c r="A127" s="245">
        <f>'B) D RI'!A128</f>
        <v>5607</v>
      </c>
      <c r="B127" s="246" t="str">
        <f>'B) D RI'!B128</f>
        <v>Puidoux</v>
      </c>
      <c r="C127" s="424">
        <f>'B) D RI'!S128</f>
        <v>68</v>
      </c>
      <c r="D127" s="247">
        <f>'B) D RI'!AR128</f>
        <v>2858</v>
      </c>
      <c r="E127" s="254">
        <f>'D) Ecrêtage'!M126</f>
        <v>100862.46201406649</v>
      </c>
      <c r="F127" s="257">
        <f>'E) Fact soc'!G132</f>
        <v>1707409.0740650967</v>
      </c>
      <c r="G127" s="257">
        <f>'H) Péréquation directe'!I137</f>
        <v>684271.85281808302</v>
      </c>
      <c r="H127" s="257">
        <f>'I) Dépenses thématiques'!O126</f>
        <v>-567739.67024314275</v>
      </c>
      <c r="I127" s="257">
        <f>'K) Plafonnement aide'!J126</f>
        <v>0</v>
      </c>
      <c r="J127" s="257">
        <f>'J) Plafonnement effort'!I126</f>
        <v>0</v>
      </c>
      <c r="K127" s="257">
        <f>'L) Plafonnement taux'!Q127</f>
        <v>0</v>
      </c>
      <c r="L127" s="346">
        <f t="shared" si="6"/>
        <v>1823941.2566400371</v>
      </c>
      <c r="M127" s="346">
        <f>'M) Police'!O127</f>
        <v>130734.8019076022</v>
      </c>
      <c r="N127" s="346">
        <f t="shared" si="4"/>
        <v>1954676.0585476393</v>
      </c>
      <c r="P127" s="407">
        <v>-841</v>
      </c>
      <c r="Q127" s="410">
        <f t="shared" si="5"/>
        <v>1953835.0585476393</v>
      </c>
    </row>
    <row r="128" spans="1:17" s="248" customFormat="1" x14ac:dyDescent="0.25">
      <c r="A128" s="245">
        <f>'B) D RI'!A129</f>
        <v>5609</v>
      </c>
      <c r="B128" s="246" t="str">
        <f>'B) D RI'!B129</f>
        <v>Rivaz</v>
      </c>
      <c r="C128" s="424">
        <f>'B) D RI'!S129</f>
        <v>63.5</v>
      </c>
      <c r="D128" s="247">
        <f>'B) D RI'!AR129</f>
        <v>360</v>
      </c>
      <c r="E128" s="254">
        <f>'D) Ecrêtage'!M127</f>
        <v>16122.244409448818</v>
      </c>
      <c r="F128" s="257">
        <f>'E) Fact soc'!G133</f>
        <v>283018.75693363725</v>
      </c>
      <c r="G128" s="257">
        <f>'H) Péréquation directe'!I138</f>
        <v>262470.46188551653</v>
      </c>
      <c r="H128" s="257">
        <f>'I) Dépenses thématiques'!O127</f>
        <v>-27201.702310152581</v>
      </c>
      <c r="I128" s="257">
        <f>'K) Plafonnement aide'!J127</f>
        <v>0</v>
      </c>
      <c r="J128" s="257">
        <f>'J) Plafonnement effort'!I127</f>
        <v>0</v>
      </c>
      <c r="K128" s="257">
        <f>'L) Plafonnement taux'!Q128</f>
        <v>0</v>
      </c>
      <c r="L128" s="346">
        <f t="shared" si="6"/>
        <v>518287.51650900114</v>
      </c>
      <c r="M128" s="346">
        <f>'M) Police'!O128</f>
        <v>20897.154274117249</v>
      </c>
      <c r="N128" s="346">
        <f t="shared" si="4"/>
        <v>539184.67078311834</v>
      </c>
      <c r="P128" s="407">
        <v>-2</v>
      </c>
      <c r="Q128" s="410">
        <f t="shared" si="5"/>
        <v>539182.67078311834</v>
      </c>
    </row>
    <row r="129" spans="1:17" s="248" customFormat="1" x14ac:dyDescent="0.25">
      <c r="A129" s="245">
        <f>'B) D RI'!A130</f>
        <v>5610</v>
      </c>
      <c r="B129" s="246" t="str">
        <f>'B) D RI'!B130</f>
        <v>St-Saphorin (Lavaux)</v>
      </c>
      <c r="C129" s="424">
        <f>'B) D RI'!S130</f>
        <v>62</v>
      </c>
      <c r="D129" s="247">
        <f>'B) D RI'!AR130</f>
        <v>383</v>
      </c>
      <c r="E129" s="254">
        <f>'D) Ecrêtage'!M128</f>
        <v>20974.487096774192</v>
      </c>
      <c r="F129" s="257">
        <f>'E) Fact soc'!G134</f>
        <v>327368.44086933276</v>
      </c>
      <c r="G129" s="257">
        <f>'H) Péréquation directe'!I139</f>
        <v>349913.97263785952</v>
      </c>
      <c r="H129" s="257">
        <f>'I) Dépenses thématiques'!O128</f>
        <v>-43288.465517820798</v>
      </c>
      <c r="I129" s="257">
        <f>'K) Plafonnement aide'!J128</f>
        <v>0</v>
      </c>
      <c r="J129" s="257">
        <f>'J) Plafonnement effort'!I128</f>
        <v>0</v>
      </c>
      <c r="K129" s="257">
        <f>'L) Plafonnement taux'!Q129</f>
        <v>0</v>
      </c>
      <c r="L129" s="346">
        <f t="shared" si="6"/>
        <v>633993.94798937149</v>
      </c>
      <c r="M129" s="346">
        <f>'M) Police'!O129</f>
        <v>27186.481084785675</v>
      </c>
      <c r="N129" s="346">
        <f t="shared" si="4"/>
        <v>661180.42907415715</v>
      </c>
      <c r="P129" s="407">
        <v>-61</v>
      </c>
      <c r="Q129" s="410">
        <f t="shared" si="5"/>
        <v>661119.42907415715</v>
      </c>
    </row>
    <row r="130" spans="1:17" s="248" customFormat="1" x14ac:dyDescent="0.25">
      <c r="A130" s="245">
        <f>'B) D RI'!A131</f>
        <v>5611</v>
      </c>
      <c r="B130" s="246" t="str">
        <f>'B) D RI'!B131</f>
        <v>Savigny</v>
      </c>
      <c r="C130" s="424">
        <f>'B) D RI'!S131</f>
        <v>67</v>
      </c>
      <c r="D130" s="247">
        <f>'B) D RI'!AR131</f>
        <v>3304</v>
      </c>
      <c r="E130" s="254">
        <f>'D) Ecrêtage'!M129</f>
        <v>130312.40671641791</v>
      </c>
      <c r="F130" s="257">
        <f>'E) Fact soc'!G135</f>
        <v>2309941.9094805443</v>
      </c>
      <c r="G130" s="257">
        <f>'H) Péréquation directe'!I140</f>
        <v>1220425.9047019051</v>
      </c>
      <c r="H130" s="257">
        <f>'I) Dépenses thématiques'!O129</f>
        <v>-539371.01244914113</v>
      </c>
      <c r="I130" s="257">
        <f>'K) Plafonnement aide'!J129</f>
        <v>0</v>
      </c>
      <c r="J130" s="257">
        <f>'J) Plafonnement effort'!I129</f>
        <v>0</v>
      </c>
      <c r="K130" s="257">
        <f>'L) Plafonnement taux'!Q130</f>
        <v>0</v>
      </c>
      <c r="L130" s="346">
        <f t="shared" si="6"/>
        <v>2990996.801733308</v>
      </c>
      <c r="M130" s="346">
        <f>'M) Police'!O130</f>
        <v>168906.90885374046</v>
      </c>
      <c r="N130" s="346">
        <f t="shared" si="4"/>
        <v>3159903.7105870484</v>
      </c>
      <c r="P130" s="407">
        <v>-651</v>
      </c>
      <c r="Q130" s="410">
        <f t="shared" si="5"/>
        <v>3159252.7105870484</v>
      </c>
    </row>
    <row r="131" spans="1:17" s="248" customFormat="1" x14ac:dyDescent="0.25">
      <c r="A131" s="245">
        <f>'B) D RI'!A132</f>
        <v>5613</v>
      </c>
      <c r="B131" s="246" t="str">
        <f>'B) D RI'!B132</f>
        <v>Bourg-en-Lavaux</v>
      </c>
      <c r="C131" s="424">
        <f>'B) D RI'!S132</f>
        <v>61</v>
      </c>
      <c r="D131" s="247">
        <f>'B) D RI'!AR132</f>
        <v>5247</v>
      </c>
      <c r="E131" s="254">
        <f>'D) Ecrêtage'!M130</f>
        <v>293114.98705338885</v>
      </c>
      <c r="F131" s="257">
        <f>'E) Fact soc'!G136</f>
        <v>5690248.8023414351</v>
      </c>
      <c r="G131" s="257">
        <f>'H) Péréquation directe'!I141</f>
        <v>3491240.9674861813</v>
      </c>
      <c r="H131" s="257">
        <f>'I) Dépenses thématiques'!O130</f>
        <v>-241468.77871803049</v>
      </c>
      <c r="I131" s="257">
        <f>'K) Plafonnement aide'!J130</f>
        <v>0</v>
      </c>
      <c r="J131" s="257">
        <f>'J) Plafonnement effort'!I130</f>
        <v>0</v>
      </c>
      <c r="K131" s="257">
        <f>'L) Plafonnement taux'!Q131</f>
        <v>0</v>
      </c>
      <c r="L131" s="346">
        <f t="shared" si="6"/>
        <v>8940020.9911095854</v>
      </c>
      <c r="M131" s="346">
        <f>'M) Police'!O131</f>
        <v>379926.5752925002</v>
      </c>
      <c r="N131" s="346">
        <f t="shared" si="4"/>
        <v>9319947.5664020851</v>
      </c>
      <c r="P131" s="407">
        <v>-260</v>
      </c>
      <c r="Q131" s="410">
        <f t="shared" si="5"/>
        <v>9319687.5664020851</v>
      </c>
    </row>
    <row r="132" spans="1:17" s="248" customFormat="1" x14ac:dyDescent="0.25">
      <c r="A132" s="245">
        <f>'B) D RI'!A133</f>
        <v>5621</v>
      </c>
      <c r="B132" s="246" t="str">
        <f>'B) D RI'!B133</f>
        <v>Aclens</v>
      </c>
      <c r="C132" s="424">
        <f>'B) D RI'!S133</f>
        <v>62</v>
      </c>
      <c r="D132" s="247">
        <f>'B) D RI'!AR133</f>
        <v>528</v>
      </c>
      <c r="E132" s="254">
        <f>'D) Ecrêtage'!M131</f>
        <v>32060.648499917781</v>
      </c>
      <c r="F132" s="257">
        <f>'E) Fact soc'!G137</f>
        <v>690192.18365876004</v>
      </c>
      <c r="G132" s="257">
        <f>'H) Péréquation directe'!I142</f>
        <v>540548.46621344483</v>
      </c>
      <c r="H132" s="257">
        <f>'I) Dépenses thématiques'!O131</f>
        <v>0</v>
      </c>
      <c r="I132" s="257">
        <f>'K) Plafonnement aide'!J131</f>
        <v>0</v>
      </c>
      <c r="J132" s="257">
        <f>'J) Plafonnement effort'!I131</f>
        <v>0</v>
      </c>
      <c r="K132" s="257">
        <f>'L) Plafonnement taux'!Q132</f>
        <v>0</v>
      </c>
      <c r="L132" s="346">
        <f t="shared" si="6"/>
        <v>1230740.6498722048</v>
      </c>
      <c r="M132" s="346">
        <f>'M) Police'!O132</f>
        <v>86673.203091258067</v>
      </c>
      <c r="N132" s="346">
        <f t="shared" si="4"/>
        <v>1317413.8529634629</v>
      </c>
      <c r="P132" s="407">
        <v>0</v>
      </c>
      <c r="Q132" s="410">
        <f t="shared" si="5"/>
        <v>1317413.8529634629</v>
      </c>
    </row>
    <row r="133" spans="1:17" s="248" customFormat="1" x14ac:dyDescent="0.25">
      <c r="A133" s="245">
        <f>'B) D RI'!A134</f>
        <v>5622</v>
      </c>
      <c r="B133" s="246" t="str">
        <f>'B) D RI'!B134</f>
        <v>Bremblens</v>
      </c>
      <c r="C133" s="424">
        <f>'B) D RI'!S134</f>
        <v>66</v>
      </c>
      <c r="D133" s="247">
        <f>'B) D RI'!AR134</f>
        <v>511</v>
      </c>
      <c r="E133" s="254">
        <f>'D) Ecrêtage'!M132</f>
        <v>28118.887477201486</v>
      </c>
      <c r="F133" s="257">
        <f>'E) Fact soc'!G138</f>
        <v>442104.57335215982</v>
      </c>
      <c r="G133" s="257">
        <f>'H) Péréquation directe'!I143</f>
        <v>469346.24886532489</v>
      </c>
      <c r="H133" s="257">
        <f>'I) Dépenses thématiques'!O132</f>
        <v>-11355.165785658273</v>
      </c>
      <c r="I133" s="257">
        <f>'K) Plafonnement aide'!J132</f>
        <v>0</v>
      </c>
      <c r="J133" s="257">
        <f>'J) Plafonnement effort'!I132</f>
        <v>0</v>
      </c>
      <c r="K133" s="257">
        <f>'L) Plafonnement taux'!Q133</f>
        <v>0</v>
      </c>
      <c r="L133" s="346">
        <f t="shared" si="6"/>
        <v>900095.65643182641</v>
      </c>
      <c r="M133" s="346">
        <f>'M) Police'!O133</f>
        <v>80111.37787449357</v>
      </c>
      <c r="N133" s="346">
        <f t="shared" si="4"/>
        <v>980207.03430632001</v>
      </c>
      <c r="P133" s="407">
        <v>-2</v>
      </c>
      <c r="Q133" s="410">
        <f t="shared" si="5"/>
        <v>980205.03430632001</v>
      </c>
    </row>
    <row r="134" spans="1:17" s="248" customFormat="1" x14ac:dyDescent="0.25">
      <c r="A134" s="245">
        <f>'B) D RI'!A135</f>
        <v>5623</v>
      </c>
      <c r="B134" s="246" t="str">
        <f>'B) D RI'!B135</f>
        <v>Buchillon</v>
      </c>
      <c r="C134" s="424">
        <f>'B) D RI'!S135</f>
        <v>53</v>
      </c>
      <c r="D134" s="247">
        <f>'B) D RI'!AR135</f>
        <v>624</v>
      </c>
      <c r="E134" s="254">
        <f>'D) Ecrêtage'!M133</f>
        <v>60201.490489984266</v>
      </c>
      <c r="F134" s="257">
        <f>'E) Fact soc'!G139</f>
        <v>2541677.2188037364</v>
      </c>
      <c r="G134" s="257">
        <f>'H) Péréquation directe'!I144</f>
        <v>1051383.1598714821</v>
      </c>
      <c r="H134" s="257">
        <f>'I) Dépenses thématiques'!O133</f>
        <v>0</v>
      </c>
      <c r="I134" s="257">
        <f>'K) Plafonnement aide'!J133</f>
        <v>0</v>
      </c>
      <c r="J134" s="257">
        <f>'J) Plafonnement effort'!I133</f>
        <v>0</v>
      </c>
      <c r="K134" s="257">
        <f>'L) Plafonnement taux'!Q134</f>
        <v>0</v>
      </c>
      <c r="L134" s="346">
        <f t="shared" si="6"/>
        <v>3593060.3786752187</v>
      </c>
      <c r="M134" s="346">
        <f>'M) Police'!O134</f>
        <v>78031.308938828646</v>
      </c>
      <c r="N134" s="346">
        <f t="shared" si="4"/>
        <v>3671091.6876140474</v>
      </c>
      <c r="P134" s="407">
        <v>-2</v>
      </c>
      <c r="Q134" s="410">
        <f t="shared" si="5"/>
        <v>3671089.6876140474</v>
      </c>
    </row>
    <row r="135" spans="1:17" s="248" customFormat="1" x14ac:dyDescent="0.25">
      <c r="A135" s="245">
        <f>'B) D RI'!A136</f>
        <v>5624</v>
      </c>
      <c r="B135" s="246" t="str">
        <f>'B) D RI'!B136</f>
        <v>Bussigny</v>
      </c>
      <c r="C135" s="424">
        <f>'B) D RI'!S136</f>
        <v>62</v>
      </c>
      <c r="D135" s="247">
        <f>'B) D RI'!AR136</f>
        <v>8215</v>
      </c>
      <c r="E135" s="254">
        <f>'D) Ecrêtage'!M134</f>
        <v>312174.83774193545</v>
      </c>
      <c r="F135" s="257">
        <f>'E) Fact soc'!G140</f>
        <v>7105729.4667053223</v>
      </c>
      <c r="G135" s="257">
        <f>'H) Péréquation directe'!I145</f>
        <v>1374608.5205105059</v>
      </c>
      <c r="H135" s="257">
        <f>'I) Dépenses thématiques'!O134</f>
        <v>-965897.66785225668</v>
      </c>
      <c r="I135" s="257">
        <f>'K) Plafonnement aide'!J134</f>
        <v>0</v>
      </c>
      <c r="J135" s="257">
        <f>'J) Plafonnement effort'!I134</f>
        <v>0</v>
      </c>
      <c r="K135" s="257">
        <f>'L) Plafonnement taux'!Q135</f>
        <v>0</v>
      </c>
      <c r="L135" s="346">
        <f t="shared" si="6"/>
        <v>7514440.3193635717</v>
      </c>
      <c r="M135" s="346">
        <f>'M) Police'!O135</f>
        <v>404631.36391651881</v>
      </c>
      <c r="N135" s="346">
        <f t="shared" ref="N135:N198" si="7">L135+M135</f>
        <v>7919071.6832800908</v>
      </c>
      <c r="P135" s="407">
        <v>-1682</v>
      </c>
      <c r="Q135" s="410">
        <f t="shared" ref="Q135:Q198" si="8">N135+P135</f>
        <v>7917389.6832800908</v>
      </c>
    </row>
    <row r="136" spans="1:17" s="248" customFormat="1" x14ac:dyDescent="0.25">
      <c r="A136" s="245">
        <f>'B) D RI'!A137</f>
        <v>5625</v>
      </c>
      <c r="B136" s="246" t="str">
        <f>'B) D RI'!B137</f>
        <v>Bussy-Chardonney</v>
      </c>
      <c r="C136" s="424">
        <f>'B) D RI'!S137</f>
        <v>78</v>
      </c>
      <c r="D136" s="247">
        <f>'B) D RI'!AR137</f>
        <v>377</v>
      </c>
      <c r="E136" s="254">
        <f>'D) Ecrêtage'!M135</f>
        <v>16172.617200854704</v>
      </c>
      <c r="F136" s="257">
        <f>'E) Fact soc'!G141</f>
        <v>284011.04731888772</v>
      </c>
      <c r="G136" s="257">
        <f>'H) Péréquation directe'!I146</f>
        <v>255117.57309324128</v>
      </c>
      <c r="H136" s="257">
        <f>'I) Dépenses thématiques'!O135</f>
        <v>-7632.3483771729107</v>
      </c>
      <c r="I136" s="257">
        <f>'K) Plafonnement aide'!J135</f>
        <v>0</v>
      </c>
      <c r="J136" s="257">
        <f>'J) Plafonnement effort'!I135</f>
        <v>0</v>
      </c>
      <c r="K136" s="257">
        <f>'L) Plafonnement taux'!Q136</f>
        <v>0</v>
      </c>
      <c r="L136" s="346">
        <f t="shared" si="6"/>
        <v>531496.27203495603</v>
      </c>
      <c r="M136" s="346">
        <f>'M) Police'!O136</f>
        <v>51036.762594135223</v>
      </c>
      <c r="N136" s="346">
        <f t="shared" si="7"/>
        <v>582533.03462909127</v>
      </c>
      <c r="P136" s="407">
        <v>-48</v>
      </c>
      <c r="Q136" s="410">
        <f t="shared" si="8"/>
        <v>582485.03462909127</v>
      </c>
    </row>
    <row r="137" spans="1:17" s="248" customFormat="1" x14ac:dyDescent="0.25">
      <c r="A137" s="245">
        <f>'B) D RI'!A138</f>
        <v>5627</v>
      </c>
      <c r="B137" s="246" t="str">
        <f>'B) D RI'!B138</f>
        <v>Chavannes-près-Renens</v>
      </c>
      <c r="C137" s="424">
        <f>'B) D RI'!S138</f>
        <v>79</v>
      </c>
      <c r="D137" s="247">
        <f>'B) D RI'!AR138</f>
        <v>7374</v>
      </c>
      <c r="E137" s="254">
        <f>'D) Ecrêtage'!M136</f>
        <v>162511.92244725736</v>
      </c>
      <c r="F137" s="257">
        <f>'E) Fact soc'!G142</f>
        <v>2655060.6375971902</v>
      </c>
      <c r="G137" s="257">
        <f>'H) Péréquation directe'!I147</f>
        <v>-4138661.3675534148</v>
      </c>
      <c r="H137" s="257">
        <f>'I) Dépenses thématiques'!O136</f>
        <v>-1194040.1312676747</v>
      </c>
      <c r="I137" s="257">
        <f>'K) Plafonnement aide'!J136</f>
        <v>589785.15649630874</v>
      </c>
      <c r="J137" s="257">
        <f>'J) Plafonnement effort'!I136</f>
        <v>0</v>
      </c>
      <c r="K137" s="257">
        <f>'L) Plafonnement taux'!Q137</f>
        <v>0</v>
      </c>
      <c r="L137" s="346">
        <f t="shared" si="6"/>
        <v>-2087855.7047275905</v>
      </c>
      <c r="M137" s="346">
        <f>'M) Police'!O137</f>
        <v>210642.92467700021</v>
      </c>
      <c r="N137" s="346">
        <f t="shared" si="7"/>
        <v>-1877212.7800505904</v>
      </c>
      <c r="P137" s="407">
        <v>-1670</v>
      </c>
      <c r="Q137" s="410">
        <f t="shared" si="8"/>
        <v>-1878882.7800505904</v>
      </c>
    </row>
    <row r="138" spans="1:17" s="248" customFormat="1" x14ac:dyDescent="0.25">
      <c r="A138" s="245">
        <f>'B) D RI'!A139</f>
        <v>5628</v>
      </c>
      <c r="B138" s="246" t="str">
        <f>'B) D RI'!B139</f>
        <v>Chigny</v>
      </c>
      <c r="C138" s="424">
        <f>'B) D RI'!S139</f>
        <v>62</v>
      </c>
      <c r="D138" s="247">
        <f>'B) D RI'!AR139</f>
        <v>331</v>
      </c>
      <c r="E138" s="254">
        <f>'D) Ecrêtage'!M137</f>
        <v>18755.108338073293</v>
      </c>
      <c r="F138" s="257">
        <f>'E) Fact soc'!G143</f>
        <v>290073.49975070159</v>
      </c>
      <c r="G138" s="257">
        <f>'H) Péréquation directe'!I148</f>
        <v>314024.24564645765</v>
      </c>
      <c r="H138" s="257">
        <f>'I) Dépenses thématiques'!O137</f>
        <v>0</v>
      </c>
      <c r="I138" s="257">
        <f>'K) Plafonnement aide'!J137</f>
        <v>0</v>
      </c>
      <c r="J138" s="257">
        <f>'J) Plafonnement effort'!I137</f>
        <v>0</v>
      </c>
      <c r="K138" s="257">
        <f>'L) Plafonnement taux'!Q138</f>
        <v>0</v>
      </c>
      <c r="L138" s="346">
        <f t="shared" si="6"/>
        <v>604097.74539715925</v>
      </c>
      <c r="M138" s="346">
        <f>'M) Police'!O138</f>
        <v>52593.47940172864</v>
      </c>
      <c r="N138" s="346">
        <f t="shared" si="7"/>
        <v>656691.22479888785</v>
      </c>
      <c r="P138" s="407">
        <v>0</v>
      </c>
      <c r="Q138" s="410">
        <f t="shared" si="8"/>
        <v>656691.22479888785</v>
      </c>
    </row>
    <row r="139" spans="1:17" s="248" customFormat="1" x14ac:dyDescent="0.25">
      <c r="A139" s="245">
        <f>'B) D RI'!A140</f>
        <v>5629</v>
      </c>
      <c r="B139" s="246" t="str">
        <f>'B) D RI'!B140</f>
        <v>Clarmont</v>
      </c>
      <c r="C139" s="424">
        <f>'B) D RI'!S140</f>
        <v>75</v>
      </c>
      <c r="D139" s="247">
        <f>'B) D RI'!AR140</f>
        <v>160</v>
      </c>
      <c r="E139" s="254">
        <f>'D) Ecrêtage'!M138</f>
        <v>7581.8990666666659</v>
      </c>
      <c r="F139" s="257">
        <f>'E) Fact soc'!G144</f>
        <v>119571.14981852791</v>
      </c>
      <c r="G139" s="257">
        <f>'H) Péréquation directe'!I149</f>
        <v>124354.03690664089</v>
      </c>
      <c r="H139" s="257">
        <f>'I) Dépenses thématiques'!O138</f>
        <v>-48984.544178453063</v>
      </c>
      <c r="I139" s="257">
        <f>'K) Plafonnement aide'!J138</f>
        <v>0</v>
      </c>
      <c r="J139" s="257">
        <f>'J) Plafonnement effort'!I138</f>
        <v>0</v>
      </c>
      <c r="K139" s="257">
        <f>'L) Plafonnement taux'!Q139</f>
        <v>0</v>
      </c>
      <c r="L139" s="346">
        <f t="shared" si="6"/>
        <v>194940.64254671571</v>
      </c>
      <c r="M139" s="346">
        <f>'M) Police'!O139</f>
        <v>23499.296473810231</v>
      </c>
      <c r="N139" s="346">
        <f t="shared" si="7"/>
        <v>218439.93902052596</v>
      </c>
      <c r="P139" s="407">
        <v>-113</v>
      </c>
      <c r="Q139" s="410">
        <f t="shared" si="8"/>
        <v>218326.93902052596</v>
      </c>
    </row>
    <row r="140" spans="1:17" s="248" customFormat="1" x14ac:dyDescent="0.25">
      <c r="A140" s="245">
        <f>'B) D RI'!A141</f>
        <v>5631</v>
      </c>
      <c r="B140" s="246" t="str">
        <f>'B) D RI'!B141</f>
        <v>Denens</v>
      </c>
      <c r="C140" s="424">
        <f>'B) D RI'!S141</f>
        <v>68</v>
      </c>
      <c r="D140" s="247">
        <f>'B) D RI'!AR141</f>
        <v>714</v>
      </c>
      <c r="E140" s="254">
        <f>'D) Ecrêtage'!M139</f>
        <v>34218.35955882354</v>
      </c>
      <c r="F140" s="257">
        <f>'E) Fact soc'!G145</f>
        <v>765798.73948828201</v>
      </c>
      <c r="G140" s="257">
        <f>'H) Péréquation directe'!I150</f>
        <v>562032.73572803056</v>
      </c>
      <c r="H140" s="257">
        <f>'I) Dépenses thématiques'!O139</f>
        <v>0</v>
      </c>
      <c r="I140" s="257">
        <f>'K) Plafonnement aide'!J139</f>
        <v>0</v>
      </c>
      <c r="J140" s="257">
        <f>'J) Plafonnement effort'!I139</f>
        <v>0</v>
      </c>
      <c r="K140" s="257">
        <f>'L) Plafonnement taux'!Q140</f>
        <v>0</v>
      </c>
      <c r="L140" s="346">
        <f t="shared" si="6"/>
        <v>1327831.4752163126</v>
      </c>
      <c r="M140" s="346">
        <f>'M) Police'!O140</f>
        <v>105363.51437975871</v>
      </c>
      <c r="N140" s="346">
        <f t="shared" si="7"/>
        <v>1433194.9895960712</v>
      </c>
      <c r="P140" s="407">
        <v>0</v>
      </c>
      <c r="Q140" s="410">
        <f t="shared" si="8"/>
        <v>1433194.9895960712</v>
      </c>
    </row>
    <row r="141" spans="1:17" s="248" customFormat="1" x14ac:dyDescent="0.25">
      <c r="A141" s="245">
        <f>'B) D RI'!A142</f>
        <v>5632</v>
      </c>
      <c r="B141" s="246" t="str">
        <f>'B) D RI'!B142</f>
        <v>Denges</v>
      </c>
      <c r="C141" s="424">
        <f>'B) D RI'!S142</f>
        <v>62</v>
      </c>
      <c r="D141" s="247">
        <f>'B) D RI'!AR142</f>
        <v>1651</v>
      </c>
      <c r="E141" s="254">
        <f>'D) Ecrêtage'!M140</f>
        <v>70599.599193548376</v>
      </c>
      <c r="F141" s="257">
        <f>'E) Fact soc'!G146</f>
        <v>1159419.6351718535</v>
      </c>
      <c r="G141" s="257">
        <f>'H) Péréquation directe'!I151</f>
        <v>959158.52131281223</v>
      </c>
      <c r="H141" s="257">
        <f>'I) Dépenses thématiques'!O140</f>
        <v>-20586.146996912368</v>
      </c>
      <c r="I141" s="257">
        <f>'K) Plafonnement aide'!J140</f>
        <v>0</v>
      </c>
      <c r="J141" s="257">
        <f>'J) Plafonnement effort'!I140</f>
        <v>0</v>
      </c>
      <c r="K141" s="257">
        <f>'L) Plafonnement taux'!Q141</f>
        <v>0</v>
      </c>
      <c r="L141" s="346">
        <f t="shared" si="6"/>
        <v>2097992.0094877533</v>
      </c>
      <c r="M141" s="346">
        <f>'M) Police'!O141</f>
        <v>221619.04468604457</v>
      </c>
      <c r="N141" s="346">
        <f t="shared" si="7"/>
        <v>2319611.0541737978</v>
      </c>
      <c r="P141" s="407">
        <v>-166</v>
      </c>
      <c r="Q141" s="410">
        <f t="shared" si="8"/>
        <v>2319445.0541737978</v>
      </c>
    </row>
    <row r="142" spans="1:17" s="248" customFormat="1" x14ac:dyDescent="0.25">
      <c r="A142" s="245">
        <f>'B) D RI'!A143</f>
        <v>5633</v>
      </c>
      <c r="B142" s="246" t="str">
        <f>'B) D RI'!B143</f>
        <v>Echandens</v>
      </c>
      <c r="C142" s="424">
        <f>'B) D RI'!S143</f>
        <v>62</v>
      </c>
      <c r="D142" s="247">
        <f>'B) D RI'!AR143</f>
        <v>2631</v>
      </c>
      <c r="E142" s="254">
        <f>'D) Ecrêtage'!M141</f>
        <v>123013.45645161292</v>
      </c>
      <c r="F142" s="257">
        <f>'E) Fact soc'!G147</f>
        <v>2104707.8209752971</v>
      </c>
      <c r="G142" s="257">
        <f>'H) Péréquation directe'!I152</f>
        <v>1610478.765654163</v>
      </c>
      <c r="H142" s="257">
        <f>'I) Dépenses thématiques'!O141</f>
        <v>-398848.62155539711</v>
      </c>
      <c r="I142" s="257">
        <f>'K) Plafonnement aide'!J141</f>
        <v>0</v>
      </c>
      <c r="J142" s="257">
        <f>'J) Plafonnement effort'!I141</f>
        <v>0</v>
      </c>
      <c r="K142" s="257">
        <f>'L) Plafonnement taux'!Q142</f>
        <v>0</v>
      </c>
      <c r="L142" s="346">
        <f t="shared" si="6"/>
        <v>3316337.9650740628</v>
      </c>
      <c r="M142" s="346">
        <f>'M) Police'!O142</f>
        <v>384263.10588824819</v>
      </c>
      <c r="N142" s="346">
        <f t="shared" si="7"/>
        <v>3700601.0709623108</v>
      </c>
      <c r="P142" s="407">
        <v>-498</v>
      </c>
      <c r="Q142" s="410">
        <f t="shared" si="8"/>
        <v>3700103.0709623108</v>
      </c>
    </row>
    <row r="143" spans="1:17" s="248" customFormat="1" x14ac:dyDescent="0.25">
      <c r="A143" s="245">
        <f>'B) D RI'!A144</f>
        <v>5634</v>
      </c>
      <c r="B143" s="246" t="str">
        <f>'B) D RI'!B144</f>
        <v>Echichens</v>
      </c>
      <c r="C143" s="424">
        <f>'B) D RI'!S144</f>
        <v>68</v>
      </c>
      <c r="D143" s="247">
        <f>'B) D RI'!AR144</f>
        <v>2585</v>
      </c>
      <c r="E143" s="254">
        <f>'D) Ecrêtage'!M142</f>
        <v>121660.2017647059</v>
      </c>
      <c r="F143" s="257">
        <f>'E) Fact soc'!G148</f>
        <v>2000682.2011922919</v>
      </c>
      <c r="G143" s="257">
        <f>'H) Péréquation directe'!I153</f>
        <v>1601394.4440285051</v>
      </c>
      <c r="H143" s="257">
        <f>'I) Dépenses thématiques'!O142</f>
        <v>0</v>
      </c>
      <c r="I143" s="257">
        <f>'K) Plafonnement aide'!J142</f>
        <v>0</v>
      </c>
      <c r="J143" s="257">
        <f>'J) Plafonnement effort'!I142</f>
        <v>0</v>
      </c>
      <c r="K143" s="257">
        <f>'L) Plafonnement taux'!Q143</f>
        <v>0</v>
      </c>
      <c r="L143" s="346">
        <f t="shared" si="6"/>
        <v>3602076.645220797</v>
      </c>
      <c r="M143" s="346">
        <f>'M) Police'!O143</f>
        <v>378578.39539961331</v>
      </c>
      <c r="N143" s="346">
        <f t="shared" si="7"/>
        <v>3980655.0406204103</v>
      </c>
      <c r="P143" s="407">
        <v>-2</v>
      </c>
      <c r="Q143" s="410">
        <f t="shared" si="8"/>
        <v>3980653.0406204103</v>
      </c>
    </row>
    <row r="144" spans="1:17" s="248" customFormat="1" x14ac:dyDescent="0.25">
      <c r="A144" s="245">
        <f>'B) D RI'!A145</f>
        <v>5635</v>
      </c>
      <c r="B144" s="246" t="str">
        <f>'B) D RI'!B145</f>
        <v>Ecublens</v>
      </c>
      <c r="C144" s="424">
        <f>'B) D RI'!S145</f>
        <v>62</v>
      </c>
      <c r="D144" s="247">
        <f>'B) D RI'!AR145</f>
        <v>12288</v>
      </c>
      <c r="E144" s="254">
        <f>'D) Ecrêtage'!M143</f>
        <v>470087.75038200343</v>
      </c>
      <c r="F144" s="257">
        <f>'E) Fact soc'!G149</f>
        <v>7806109.618945648</v>
      </c>
      <c r="G144" s="257">
        <f>'H) Péréquation directe'!I154</f>
        <v>716631.07666361891</v>
      </c>
      <c r="H144" s="257">
        <f>'I) Dépenses thématiques'!O143</f>
        <v>-2401644.9369521271</v>
      </c>
      <c r="I144" s="257">
        <f>'K) Plafonnement aide'!J143</f>
        <v>0</v>
      </c>
      <c r="J144" s="257">
        <f>'J) Plafonnement effort'!I143</f>
        <v>0</v>
      </c>
      <c r="K144" s="257">
        <f>'L) Plafonnement taux'!Q144</f>
        <v>0</v>
      </c>
      <c r="L144" s="346">
        <f t="shared" si="6"/>
        <v>6121095.7586571407</v>
      </c>
      <c r="M144" s="346">
        <f>'M) Police'!O144</f>
        <v>609313.19440537423</v>
      </c>
      <c r="N144" s="346">
        <f t="shared" si="7"/>
        <v>6730408.9530625148</v>
      </c>
      <c r="P144" s="407">
        <v>-3542</v>
      </c>
      <c r="Q144" s="410">
        <f t="shared" si="8"/>
        <v>6726866.9530625148</v>
      </c>
    </row>
    <row r="145" spans="1:17" s="248" customFormat="1" x14ac:dyDescent="0.25">
      <c r="A145" s="245">
        <f>'B) D RI'!A146</f>
        <v>5636</v>
      </c>
      <c r="B145" s="246" t="str">
        <f>'B) D RI'!B146</f>
        <v>Etoy</v>
      </c>
      <c r="C145" s="424">
        <f>'B) D RI'!S146</f>
        <v>61</v>
      </c>
      <c r="D145" s="247">
        <f>'B) D RI'!AR146</f>
        <v>2932</v>
      </c>
      <c r="E145" s="254">
        <f>'D) Ecrêtage'!M144</f>
        <v>158779.04229508198</v>
      </c>
      <c r="F145" s="257">
        <f>'E) Fact soc'!G150</f>
        <v>2739816.044347208</v>
      </c>
      <c r="G145" s="257">
        <f>'H) Péréquation directe'!I155</f>
        <v>2167512.0314415209</v>
      </c>
      <c r="H145" s="257">
        <f>'I) Dépenses thématiques'!O144</f>
        <v>0</v>
      </c>
      <c r="I145" s="257">
        <f>'K) Plafonnement aide'!J144</f>
        <v>0</v>
      </c>
      <c r="J145" s="257">
        <f>'J) Plafonnement effort'!I144</f>
        <v>0</v>
      </c>
      <c r="K145" s="257">
        <f>'L) Plafonnement taux'!Q145</f>
        <v>0</v>
      </c>
      <c r="L145" s="346">
        <f t="shared" si="6"/>
        <v>4907328.0757887289</v>
      </c>
      <c r="M145" s="346">
        <f>'M) Police'!O145</f>
        <v>456341.56352685811</v>
      </c>
      <c r="N145" s="346">
        <f t="shared" si="7"/>
        <v>5363669.6393155865</v>
      </c>
      <c r="P145" s="407">
        <v>-390</v>
      </c>
      <c r="Q145" s="410">
        <f t="shared" si="8"/>
        <v>5363279.6393155865</v>
      </c>
    </row>
    <row r="146" spans="1:17" s="248" customFormat="1" x14ac:dyDescent="0.25">
      <c r="A146" s="245">
        <f>'B) D RI'!A147</f>
        <v>5637</v>
      </c>
      <c r="B146" s="246" t="str">
        <f>'B) D RI'!B147</f>
        <v>Lavigny</v>
      </c>
      <c r="C146" s="424">
        <f>'B) D RI'!S147</f>
        <v>74.5</v>
      </c>
      <c r="D146" s="247">
        <f>'B) D RI'!AR147</f>
        <v>981</v>
      </c>
      <c r="E146" s="254">
        <f>'D) Ecrêtage'!M145</f>
        <v>31075.388277404931</v>
      </c>
      <c r="F146" s="257">
        <f>'E) Fact soc'!G151</f>
        <v>643979.28976317996</v>
      </c>
      <c r="G146" s="257">
        <f>'H) Péréquation directe'!I156</f>
        <v>218754.8976845619</v>
      </c>
      <c r="H146" s="257">
        <f>'I) Dépenses thématiques'!O145</f>
        <v>-228361.43869697093</v>
      </c>
      <c r="I146" s="257">
        <f>'K) Plafonnement aide'!J145</f>
        <v>0</v>
      </c>
      <c r="J146" s="257">
        <f>'J) Plafonnement effort'!I145</f>
        <v>0</v>
      </c>
      <c r="K146" s="257">
        <f>'L) Plafonnement taux'!Q146</f>
        <v>0</v>
      </c>
      <c r="L146" s="346">
        <f t="shared" si="6"/>
        <v>634372.74875077093</v>
      </c>
      <c r="M146" s="346">
        <f>'M) Police'!O146</f>
        <v>97765.060230254778</v>
      </c>
      <c r="N146" s="346">
        <f t="shared" si="7"/>
        <v>732137.80898102571</v>
      </c>
      <c r="P146" s="407">
        <v>-54</v>
      </c>
      <c r="Q146" s="410">
        <f t="shared" si="8"/>
        <v>732083.80898102571</v>
      </c>
    </row>
    <row r="147" spans="1:17" s="248" customFormat="1" x14ac:dyDescent="0.25">
      <c r="A147" s="245">
        <f>'B) D RI'!A148</f>
        <v>5638</v>
      </c>
      <c r="B147" s="246" t="str">
        <f>'B) D RI'!B148</f>
        <v>Lonay</v>
      </c>
      <c r="C147" s="424">
        <f>'B) D RI'!S148</f>
        <v>55</v>
      </c>
      <c r="D147" s="247">
        <f>'B) D RI'!AR148</f>
        <v>2536</v>
      </c>
      <c r="E147" s="254">
        <f>'D) Ecrêtage'!M146</f>
        <v>147798.4691291679</v>
      </c>
      <c r="F147" s="257">
        <f>'E) Fact soc'!G152</f>
        <v>3312115.0157053261</v>
      </c>
      <c r="G147" s="257">
        <f>'H) Péréquation directe'!I157</f>
        <v>2101681.4257531026</v>
      </c>
      <c r="H147" s="257">
        <f>'I) Dépenses thématiques'!O146</f>
        <v>-202264.72533894109</v>
      </c>
      <c r="I147" s="257">
        <f>'K) Plafonnement aide'!J146</f>
        <v>0</v>
      </c>
      <c r="J147" s="257">
        <f>'J) Plafonnement effort'!I146</f>
        <v>0</v>
      </c>
      <c r="K147" s="257">
        <f>'L) Plafonnement taux'!Q147</f>
        <v>0</v>
      </c>
      <c r="L147" s="346">
        <f t="shared" si="6"/>
        <v>5211531.7161194868</v>
      </c>
      <c r="M147" s="346">
        <f>'M) Police'!O147</f>
        <v>408270.99739469157</v>
      </c>
      <c r="N147" s="346">
        <f t="shared" si="7"/>
        <v>5619802.7135141781</v>
      </c>
      <c r="P147" s="407">
        <v>-606</v>
      </c>
      <c r="Q147" s="410">
        <f t="shared" si="8"/>
        <v>5619196.7135141781</v>
      </c>
    </row>
    <row r="148" spans="1:17" s="248" customFormat="1" x14ac:dyDescent="0.25">
      <c r="A148" s="245">
        <f>'B) D RI'!A149</f>
        <v>5639</v>
      </c>
      <c r="B148" s="246" t="str">
        <f>'B) D RI'!B149</f>
        <v>Lully</v>
      </c>
      <c r="C148" s="424">
        <f>'B) D RI'!S149</f>
        <v>61</v>
      </c>
      <c r="D148" s="247">
        <f>'B) D RI'!AR149</f>
        <v>760</v>
      </c>
      <c r="E148" s="254">
        <f>'D) Ecrêtage'!M147</f>
        <v>42132.184933492586</v>
      </c>
      <c r="F148" s="257">
        <f>'E) Fact soc'!G153</f>
        <v>754236.72458111413</v>
      </c>
      <c r="G148" s="257">
        <f>'H) Péréquation directe'!I158</f>
        <v>703809.56643391075</v>
      </c>
      <c r="H148" s="257">
        <f>'I) Dépenses thématiques'!O147</f>
        <v>-99762.860651806375</v>
      </c>
      <c r="I148" s="257">
        <f>'K) Plafonnement aide'!J147</f>
        <v>0</v>
      </c>
      <c r="J148" s="257">
        <f>'J) Plafonnement effort'!I147</f>
        <v>0</v>
      </c>
      <c r="K148" s="257">
        <f>'L) Plafonnement taux'!Q148</f>
        <v>0</v>
      </c>
      <c r="L148" s="346">
        <f t="shared" si="6"/>
        <v>1358283.4303632183</v>
      </c>
      <c r="M148" s="346">
        <f>'M) Police'!O148</f>
        <v>119551.833566204</v>
      </c>
      <c r="N148" s="346">
        <f t="shared" si="7"/>
        <v>1477835.2639294222</v>
      </c>
      <c r="P148" s="407">
        <v>0</v>
      </c>
      <c r="Q148" s="410">
        <f t="shared" si="8"/>
        <v>1477835.2639294222</v>
      </c>
    </row>
    <row r="149" spans="1:17" s="248" customFormat="1" x14ac:dyDescent="0.25">
      <c r="A149" s="245">
        <f>'B) D RI'!A150</f>
        <v>5640</v>
      </c>
      <c r="B149" s="246" t="str">
        <f>'B) D RI'!B150</f>
        <v>Lussy-sur-Morges</v>
      </c>
      <c r="C149" s="424">
        <f>'B) D RI'!S150</f>
        <v>66</v>
      </c>
      <c r="D149" s="247">
        <f>'B) D RI'!AR150</f>
        <v>646</v>
      </c>
      <c r="E149" s="254">
        <f>'D) Ecrêtage'!M148</f>
        <v>41700.35347316313</v>
      </c>
      <c r="F149" s="257">
        <f>'E) Fact soc'!G154</f>
        <v>976906.91143329989</v>
      </c>
      <c r="G149" s="257">
        <f>'H) Péréquation directe'!I159</f>
        <v>707110.1006005035</v>
      </c>
      <c r="H149" s="257">
        <f>'I) Dépenses thématiques'!O148</f>
        <v>0</v>
      </c>
      <c r="I149" s="257">
        <f>'K) Plafonnement aide'!J148</f>
        <v>0</v>
      </c>
      <c r="J149" s="257">
        <f>'J) Plafonnement effort'!I148</f>
        <v>0</v>
      </c>
      <c r="K149" s="257">
        <f>'L) Plafonnement taux'!Q149</f>
        <v>0</v>
      </c>
      <c r="L149" s="346">
        <f t="shared" si="6"/>
        <v>1684017.0120338034</v>
      </c>
      <c r="M149" s="346">
        <f>'M) Police'!O149</f>
        <v>54050.707685785717</v>
      </c>
      <c r="N149" s="346">
        <f t="shared" si="7"/>
        <v>1738067.7197195892</v>
      </c>
      <c r="P149" s="407">
        <v>0</v>
      </c>
      <c r="Q149" s="410">
        <f t="shared" si="8"/>
        <v>1738067.7197195892</v>
      </c>
    </row>
    <row r="150" spans="1:17" s="248" customFormat="1" x14ac:dyDescent="0.25">
      <c r="A150" s="245">
        <f>'B) D RI'!A151</f>
        <v>5642</v>
      </c>
      <c r="B150" s="246" t="str">
        <f>'B) D RI'!B151</f>
        <v>Morges</v>
      </c>
      <c r="C150" s="424">
        <f>'B) D RI'!S151</f>
        <v>68.5</v>
      </c>
      <c r="D150" s="247">
        <f>'B) D RI'!AR151</f>
        <v>15623</v>
      </c>
      <c r="E150" s="254">
        <f>'D) Ecrêtage'!M149</f>
        <v>715380.13065693423</v>
      </c>
      <c r="F150" s="257">
        <f>'E) Fact soc'!G155</f>
        <v>13742899.4749368</v>
      </c>
      <c r="G150" s="257">
        <f>'H) Péréquation directe'!I160</f>
        <v>2928252.6545869298</v>
      </c>
      <c r="H150" s="257">
        <f>'I) Dépenses thématiques'!O149</f>
        <v>-1216455.575273257</v>
      </c>
      <c r="I150" s="257">
        <f>'K) Plafonnement aide'!J149</f>
        <v>0</v>
      </c>
      <c r="J150" s="257">
        <f>'J) Plafonnement effort'!I149</f>
        <v>0</v>
      </c>
      <c r="K150" s="257">
        <f>'L) Plafonnement taux'!Q150</f>
        <v>0</v>
      </c>
      <c r="L150" s="346">
        <f t="shared" si="6"/>
        <v>15454696.554250473</v>
      </c>
      <c r="M150" s="346">
        <f>'M) Police'!O150</f>
        <v>927253.58674097876</v>
      </c>
      <c r="N150" s="346">
        <f t="shared" si="7"/>
        <v>16381950.140991451</v>
      </c>
      <c r="P150" s="407">
        <v>-2079</v>
      </c>
      <c r="Q150" s="410">
        <f t="shared" si="8"/>
        <v>16379871.140991451</v>
      </c>
    </row>
    <row r="151" spans="1:17" s="248" customFormat="1" x14ac:dyDescent="0.25">
      <c r="A151" s="245">
        <f>'B) D RI'!A152</f>
        <v>5643</v>
      </c>
      <c r="B151" s="246" t="str">
        <f>'B) D RI'!B152</f>
        <v>Préverenges</v>
      </c>
      <c r="C151" s="424">
        <f>'B) D RI'!S152</f>
        <v>64</v>
      </c>
      <c r="D151" s="247">
        <f>'B) D RI'!AR152</f>
        <v>5263</v>
      </c>
      <c r="E151" s="254">
        <f>'D) Ecrêtage'!M150</f>
        <v>249793.53640625</v>
      </c>
      <c r="F151" s="257">
        <f>'E) Fact soc'!G156</f>
        <v>4048947.6127609476</v>
      </c>
      <c r="G151" s="257">
        <f>'H) Péréquation directe'!I161</f>
        <v>2680702.4556433796</v>
      </c>
      <c r="H151" s="257">
        <f>'I) Dépenses thématiques'!O150</f>
        <v>0</v>
      </c>
      <c r="I151" s="257">
        <f>'K) Plafonnement aide'!J150</f>
        <v>0</v>
      </c>
      <c r="J151" s="257">
        <f>'J) Plafonnement effort'!I150</f>
        <v>0</v>
      </c>
      <c r="K151" s="257">
        <f>'L) Plafonnement taux'!Q151</f>
        <v>0</v>
      </c>
      <c r="L151" s="346">
        <f t="shared" si="6"/>
        <v>6729650.0684043271</v>
      </c>
      <c r="M151" s="346">
        <f>'M) Police'!O151</f>
        <v>323774.65161732957</v>
      </c>
      <c r="N151" s="346">
        <f t="shared" si="7"/>
        <v>7053424.7200216567</v>
      </c>
      <c r="P151" s="407">
        <v>-2</v>
      </c>
      <c r="Q151" s="410">
        <f t="shared" si="8"/>
        <v>7053422.7200216567</v>
      </c>
    </row>
    <row r="152" spans="1:17" s="248" customFormat="1" x14ac:dyDescent="0.25">
      <c r="A152" s="245">
        <f>'B) D RI'!A153</f>
        <v>5644</v>
      </c>
      <c r="B152" s="246" t="str">
        <f>'B) D RI'!B153</f>
        <v>Reverolle</v>
      </c>
      <c r="C152" s="424">
        <f>'B) D RI'!S153</f>
        <v>76</v>
      </c>
      <c r="D152" s="247">
        <f>'B) D RI'!AR153</f>
        <v>360</v>
      </c>
      <c r="E152" s="254">
        <f>'D) Ecrêtage'!M151</f>
        <v>15594.857631578949</v>
      </c>
      <c r="F152" s="257">
        <f>'E) Fact soc'!G157</f>
        <v>275091.37627569406</v>
      </c>
      <c r="G152" s="257">
        <f>'H) Péréquation directe'!I162</f>
        <v>250215.75200034486</v>
      </c>
      <c r="H152" s="257">
        <f>'I) Dépenses thématiques'!O151</f>
        <v>-71714.756830762752</v>
      </c>
      <c r="I152" s="257">
        <f>'K) Plafonnement aide'!J151</f>
        <v>0</v>
      </c>
      <c r="J152" s="257">
        <f>'J) Plafonnement effort'!I151</f>
        <v>0</v>
      </c>
      <c r="K152" s="257">
        <f>'L) Plafonnement taux'!Q152</f>
        <v>0</v>
      </c>
      <c r="L152" s="346">
        <f t="shared" si="6"/>
        <v>453592.37144527619</v>
      </c>
      <c r="M152" s="346">
        <f>'M) Police'!O152</f>
        <v>49668.772642968586</v>
      </c>
      <c r="N152" s="346">
        <f t="shared" si="7"/>
        <v>503261.14408824476</v>
      </c>
      <c r="P152" s="407">
        <v>-120</v>
      </c>
      <c r="Q152" s="410">
        <f t="shared" si="8"/>
        <v>503141.14408824476</v>
      </c>
    </row>
    <row r="153" spans="1:17" s="248" customFormat="1" x14ac:dyDescent="0.25">
      <c r="A153" s="245">
        <f>'B) D RI'!A154</f>
        <v>5645</v>
      </c>
      <c r="B153" s="246" t="str">
        <f>'B) D RI'!B154</f>
        <v>Romanel-sur-Morges</v>
      </c>
      <c r="C153" s="424">
        <f>'B) D RI'!S154</f>
        <v>56</v>
      </c>
      <c r="D153" s="247">
        <f>'B) D RI'!AR154</f>
        <v>459</v>
      </c>
      <c r="E153" s="254">
        <f>'D) Ecrêtage'!M152</f>
        <v>25330.743383595498</v>
      </c>
      <c r="F153" s="257">
        <f>'E) Fact soc'!G158</f>
        <v>403335.46330771851</v>
      </c>
      <c r="G153" s="257">
        <f>'H) Péréquation directe'!I163</f>
        <v>422939.7689679293</v>
      </c>
      <c r="H153" s="257">
        <f>'I) Dépenses thématiques'!O152</f>
        <v>0</v>
      </c>
      <c r="I153" s="257">
        <f>'K) Plafonnement aide'!J152</f>
        <v>0</v>
      </c>
      <c r="J153" s="257">
        <f>'J) Plafonnement effort'!I152</f>
        <v>0</v>
      </c>
      <c r="K153" s="257">
        <f>'L) Plafonnement taux'!Q153</f>
        <v>0</v>
      </c>
      <c r="L153" s="346">
        <f t="shared" si="6"/>
        <v>826275.23227564781</v>
      </c>
      <c r="M153" s="346">
        <f>'M) Police'!O153</f>
        <v>72054.112884238566</v>
      </c>
      <c r="N153" s="346">
        <f t="shared" si="7"/>
        <v>898329.3451598864</v>
      </c>
      <c r="P153" s="407">
        <v>0</v>
      </c>
      <c r="Q153" s="410">
        <f t="shared" si="8"/>
        <v>898329.3451598864</v>
      </c>
    </row>
    <row r="154" spans="1:17" s="248" customFormat="1" x14ac:dyDescent="0.25">
      <c r="A154" s="245">
        <f>'B) D RI'!A155</f>
        <v>5646</v>
      </c>
      <c r="B154" s="246" t="str">
        <f>'B) D RI'!B155</f>
        <v>Saint-Prex</v>
      </c>
      <c r="C154" s="424">
        <f>'B) D RI'!S155</f>
        <v>55</v>
      </c>
      <c r="D154" s="247">
        <f>'B) D RI'!AR155</f>
        <v>5604</v>
      </c>
      <c r="E154" s="254">
        <f>'D) Ecrêtage'!M153</f>
        <v>307317.64145454549</v>
      </c>
      <c r="F154" s="257">
        <f>'E) Fact soc'!G159</f>
        <v>6033445.1637133341</v>
      </c>
      <c r="G154" s="257">
        <f>'H) Péréquation directe'!I164</f>
        <v>3541810.0153644951</v>
      </c>
      <c r="H154" s="257">
        <f>'I) Dépenses thématiques'!O153</f>
        <v>0</v>
      </c>
      <c r="I154" s="257">
        <f>'K) Plafonnement aide'!J153</f>
        <v>0</v>
      </c>
      <c r="J154" s="257">
        <f>'J) Plafonnement effort'!I153</f>
        <v>0</v>
      </c>
      <c r="K154" s="257">
        <f>'L) Plafonnement taux'!Q154</f>
        <v>0</v>
      </c>
      <c r="L154" s="346">
        <f t="shared" si="6"/>
        <v>9575255.1790778302</v>
      </c>
      <c r="M154" s="346">
        <f>'M) Police'!O154</f>
        <v>398335.61640274397</v>
      </c>
      <c r="N154" s="346">
        <f t="shared" si="7"/>
        <v>9973590.7954805735</v>
      </c>
      <c r="P154" s="407">
        <v>-2</v>
      </c>
      <c r="Q154" s="410">
        <f t="shared" si="8"/>
        <v>9973588.7954805735</v>
      </c>
    </row>
    <row r="155" spans="1:17" s="248" customFormat="1" x14ac:dyDescent="0.25">
      <c r="A155" s="245">
        <f>'B) D RI'!A156</f>
        <v>5648</v>
      </c>
      <c r="B155" s="246" t="str">
        <f>'B) D RI'!B156</f>
        <v>Saint-Sulpice</v>
      </c>
      <c r="C155" s="424">
        <f>'B) D RI'!S156</f>
        <v>55</v>
      </c>
      <c r="D155" s="247">
        <f>'B) D RI'!AR156</f>
        <v>3898</v>
      </c>
      <c r="E155" s="254">
        <f>'D) Ecrêtage'!M154</f>
        <v>269943.08106620441</v>
      </c>
      <c r="F155" s="257">
        <f>'E) Fact soc'!G160</f>
        <v>7247789.8350535659</v>
      </c>
      <c r="G155" s="257">
        <f>'H) Péréquation directe'!I165</f>
        <v>3754946.7372274264</v>
      </c>
      <c r="H155" s="257">
        <f>'I) Dépenses thématiques'!O154</f>
        <v>-127994.48591886807</v>
      </c>
      <c r="I155" s="257">
        <f>'K) Plafonnement aide'!J154</f>
        <v>0</v>
      </c>
      <c r="J155" s="257">
        <f>'J) Plafonnement effort'!I154</f>
        <v>0</v>
      </c>
      <c r="K155" s="257">
        <f>'L) Plafonnement taux'!Q155</f>
        <v>0</v>
      </c>
      <c r="L155" s="346">
        <f t="shared" si="6"/>
        <v>10874742.086362123</v>
      </c>
      <c r="M155" s="346">
        <f>'M) Police'!O155</f>
        <v>349891.86784471199</v>
      </c>
      <c r="N155" s="346">
        <f t="shared" si="7"/>
        <v>11224633.954206835</v>
      </c>
      <c r="P155" s="407">
        <v>-395</v>
      </c>
      <c r="Q155" s="410">
        <f t="shared" si="8"/>
        <v>11224238.954206835</v>
      </c>
    </row>
    <row r="156" spans="1:17" s="248" customFormat="1" x14ac:dyDescent="0.25">
      <c r="A156" s="245">
        <f>'B) D RI'!A157</f>
        <v>5649</v>
      </c>
      <c r="B156" s="246" t="str">
        <f>'B) D RI'!B157</f>
        <v>Tolochenaz</v>
      </c>
      <c r="C156" s="424">
        <f>'B) D RI'!S157</f>
        <v>65</v>
      </c>
      <c r="D156" s="247">
        <f>'B) D RI'!AR157</f>
        <v>1855</v>
      </c>
      <c r="E156" s="254">
        <f>'D) Ecrêtage'!M155</f>
        <v>106720.43327669609</v>
      </c>
      <c r="F156" s="257">
        <f>'E) Fact soc'!G161</f>
        <v>2030978.4968105298</v>
      </c>
      <c r="G156" s="257">
        <f>'H) Péréquation directe'!I166</f>
        <v>1578080.2984341737</v>
      </c>
      <c r="H156" s="257">
        <f>'I) Dépenses thématiques'!O155</f>
        <v>-72578.710214731735</v>
      </c>
      <c r="I156" s="257">
        <f>'K) Plafonnement aide'!J155</f>
        <v>0</v>
      </c>
      <c r="J156" s="257">
        <f>'J) Plafonnement effort'!I155</f>
        <v>0</v>
      </c>
      <c r="K156" s="257">
        <f>'L) Plafonnement taux'!Q156</f>
        <v>0</v>
      </c>
      <c r="L156" s="346">
        <f t="shared" si="6"/>
        <v>3536480.0850299718</v>
      </c>
      <c r="M156" s="346">
        <f>'M) Police'!O156</f>
        <v>138327.72297365253</v>
      </c>
      <c r="N156" s="346">
        <f t="shared" si="7"/>
        <v>3674807.8080036244</v>
      </c>
      <c r="P156" s="407">
        <v>-401</v>
      </c>
      <c r="Q156" s="410">
        <f t="shared" si="8"/>
        <v>3674406.8080036244</v>
      </c>
    </row>
    <row r="157" spans="1:17" s="248" customFormat="1" x14ac:dyDescent="0.25">
      <c r="A157" s="245">
        <f>'B) D RI'!A158</f>
        <v>5650</v>
      </c>
      <c r="B157" s="246" t="str">
        <f>'B) D RI'!B158</f>
        <v>Vaux-sur-Morges</v>
      </c>
      <c r="C157" s="424">
        <f>'B) D RI'!S158</f>
        <v>39</v>
      </c>
      <c r="D157" s="247">
        <f>'B) D RI'!AR158</f>
        <v>203</v>
      </c>
      <c r="E157" s="254">
        <f>'D) Ecrêtage'!M156</f>
        <v>72988.269043769353</v>
      </c>
      <c r="F157" s="257">
        <f>'E) Fact soc'!G162</f>
        <v>5455285.4852469135</v>
      </c>
      <c r="G157" s="257">
        <f>'H) Péréquation directe'!I167</f>
        <v>1329493.4908399549</v>
      </c>
      <c r="H157" s="257">
        <f>'I) Dépenses thématiques'!O156</f>
        <v>0</v>
      </c>
      <c r="I157" s="257">
        <f>'K) Plafonnement aide'!J156</f>
        <v>0</v>
      </c>
      <c r="J157" s="257">
        <f>'J) Plafonnement effort'!I156</f>
        <v>0</v>
      </c>
      <c r="K157" s="257">
        <f>'L) Plafonnement taux'!Q157</f>
        <v>0</v>
      </c>
      <c r="L157" s="346">
        <f t="shared" si="6"/>
        <v>6784778.976086868</v>
      </c>
      <c r="M157" s="346">
        <f>'M) Police'!O157</f>
        <v>111951.32514359718</v>
      </c>
      <c r="N157" s="346">
        <f t="shared" si="7"/>
        <v>6896730.3012304651</v>
      </c>
      <c r="P157" s="407">
        <v>-2</v>
      </c>
      <c r="Q157" s="410">
        <f t="shared" si="8"/>
        <v>6896728.3012304651</v>
      </c>
    </row>
    <row r="158" spans="1:17" s="248" customFormat="1" x14ac:dyDescent="0.25">
      <c r="A158" s="245">
        <f>'B) D RI'!A159</f>
        <v>5651</v>
      </c>
      <c r="B158" s="246" t="str">
        <f>'B) D RI'!B159</f>
        <v>Villars-Sainte-Croix</v>
      </c>
      <c r="C158" s="424">
        <f>'B) D RI'!S159</f>
        <v>59</v>
      </c>
      <c r="D158" s="247">
        <f>'B) D RI'!AR159</f>
        <v>709</v>
      </c>
      <c r="E158" s="254">
        <f>'D) Ecrêtage'!M157</f>
        <v>37823.297796610175</v>
      </c>
      <c r="F158" s="257">
        <f>'E) Fact soc'!G163</f>
        <v>806864.81616254547</v>
      </c>
      <c r="G158" s="257">
        <f>'H) Péréquation directe'!I168</f>
        <v>629184.80006642034</v>
      </c>
      <c r="H158" s="257">
        <f>'I) Dépenses thématiques'!O157</f>
        <v>0</v>
      </c>
      <c r="I158" s="257">
        <f>'K) Plafonnement aide'!J157</f>
        <v>0</v>
      </c>
      <c r="J158" s="257">
        <f>'J) Plafonnement effort'!I157</f>
        <v>0</v>
      </c>
      <c r="K158" s="257">
        <f>'L) Plafonnement taux'!Q158</f>
        <v>0</v>
      </c>
      <c r="L158" s="346">
        <f t="shared" si="6"/>
        <v>1436049.6162289658</v>
      </c>
      <c r="M158" s="346">
        <f>'M) Police'!O158</f>
        <v>49025.388099712094</v>
      </c>
      <c r="N158" s="346">
        <f t="shared" si="7"/>
        <v>1485075.0043286779</v>
      </c>
      <c r="P158" s="407">
        <v>-2</v>
      </c>
      <c r="Q158" s="410">
        <f t="shared" si="8"/>
        <v>1485073.0043286779</v>
      </c>
    </row>
    <row r="159" spans="1:17" s="248" customFormat="1" x14ac:dyDescent="0.25">
      <c r="A159" s="245">
        <f>'B) D RI'!A160</f>
        <v>5652</v>
      </c>
      <c r="B159" s="246" t="str">
        <f>'B) D RI'!B160</f>
        <v>Villars-sous-Yens</v>
      </c>
      <c r="C159" s="424">
        <f>'B) D RI'!S160</f>
        <v>76</v>
      </c>
      <c r="D159" s="247">
        <f>'B) D RI'!AR160</f>
        <v>564</v>
      </c>
      <c r="E159" s="254">
        <f>'D) Ecrêtage'!M158</f>
        <v>23640.281403508772</v>
      </c>
      <c r="F159" s="257">
        <f>'E) Fact soc'!G164</f>
        <v>368022.65315392875</v>
      </c>
      <c r="G159" s="257">
        <f>'H) Péréquation directe'!I169</f>
        <v>359174.8344901962</v>
      </c>
      <c r="H159" s="257">
        <f>'I) Dépenses thématiques'!O158</f>
        <v>-126867.9587332066</v>
      </c>
      <c r="I159" s="257">
        <f>'K) Plafonnement aide'!J158</f>
        <v>0</v>
      </c>
      <c r="J159" s="257">
        <f>'J) Plafonnement effort'!I158</f>
        <v>0</v>
      </c>
      <c r="K159" s="257">
        <f>'L) Plafonnement taux'!Q159</f>
        <v>0</v>
      </c>
      <c r="L159" s="346">
        <f t="shared" si="6"/>
        <v>600329.52891091839</v>
      </c>
      <c r="M159" s="346">
        <f>'M) Police'!O159</f>
        <v>75379.497746726411</v>
      </c>
      <c r="N159" s="346">
        <f t="shared" si="7"/>
        <v>675709.02665764478</v>
      </c>
      <c r="P159" s="407">
        <v>-147</v>
      </c>
      <c r="Q159" s="410">
        <f t="shared" si="8"/>
        <v>675562.02665764478</v>
      </c>
    </row>
    <row r="160" spans="1:17" s="248" customFormat="1" x14ac:dyDescent="0.25">
      <c r="A160" s="245">
        <f>'B) D RI'!A161</f>
        <v>5653</v>
      </c>
      <c r="B160" s="246" t="str">
        <f>'B) D RI'!B161</f>
        <v>Vufflens-le-Château</v>
      </c>
      <c r="C160" s="424">
        <f>'B) D RI'!S161</f>
        <v>55</v>
      </c>
      <c r="D160" s="247">
        <f>'B) D RI'!AR161</f>
        <v>821</v>
      </c>
      <c r="E160" s="254">
        <f>'D) Ecrêtage'!M159</f>
        <v>54198.120409152303</v>
      </c>
      <c r="F160" s="257">
        <f>'E) Fact soc'!G165</f>
        <v>1170851.3113537156</v>
      </c>
      <c r="G160" s="257">
        <f>'H) Péréquation directe'!I170</f>
        <v>920876.06111567025</v>
      </c>
      <c r="H160" s="257">
        <f>'I) Dépenses thématiques'!O159</f>
        <v>0</v>
      </c>
      <c r="I160" s="257">
        <f>'K) Plafonnement aide'!J159</f>
        <v>0</v>
      </c>
      <c r="J160" s="257">
        <f>'J) Plafonnement effort'!I159</f>
        <v>0</v>
      </c>
      <c r="K160" s="257">
        <f>'L) Plafonnement taux'!Q160</f>
        <v>0</v>
      </c>
      <c r="L160" s="346">
        <f t="shared" si="6"/>
        <v>2091727.3724693859</v>
      </c>
      <c r="M160" s="346">
        <f>'M) Police'!O160</f>
        <v>140403.7275158499</v>
      </c>
      <c r="N160" s="346">
        <f t="shared" si="7"/>
        <v>2232131.0999852358</v>
      </c>
      <c r="P160" s="407">
        <v>0</v>
      </c>
      <c r="Q160" s="410">
        <f t="shared" si="8"/>
        <v>2232131.0999852358</v>
      </c>
    </row>
    <row r="161" spans="1:17" s="248" customFormat="1" x14ac:dyDescent="0.25">
      <c r="A161" s="245">
        <f>'B) D RI'!A162</f>
        <v>5654</v>
      </c>
      <c r="B161" s="246" t="str">
        <f>'B) D RI'!B162</f>
        <v>Vullierens</v>
      </c>
      <c r="C161" s="424">
        <f>'B) D RI'!S162</f>
        <v>76</v>
      </c>
      <c r="D161" s="247">
        <f>'B) D RI'!AR162</f>
        <v>460</v>
      </c>
      <c r="E161" s="254">
        <f>'D) Ecrêtage'!M160</f>
        <v>16948.890394736845</v>
      </c>
      <c r="F161" s="257">
        <f>'E) Fact soc'!G166</f>
        <v>311092.47214375285</v>
      </c>
      <c r="G161" s="257">
        <f>'H) Péréquation directe'!I171</f>
        <v>196229.23183881157</v>
      </c>
      <c r="H161" s="257">
        <f>'I) Dépenses thématiques'!O160</f>
        <v>-116820.14554444794</v>
      </c>
      <c r="I161" s="257">
        <f>'K) Plafonnement aide'!J160</f>
        <v>0</v>
      </c>
      <c r="J161" s="257">
        <f>'J) Plafonnement effort'!I160</f>
        <v>0</v>
      </c>
      <c r="K161" s="257">
        <f>'L) Plafonnement taux'!Q161</f>
        <v>0</v>
      </c>
      <c r="L161" s="346">
        <f t="shared" si="6"/>
        <v>390501.55843811645</v>
      </c>
      <c r="M161" s="346">
        <f>'M) Police'!O161</f>
        <v>53690.483007799587</v>
      </c>
      <c r="N161" s="346">
        <f t="shared" si="7"/>
        <v>444192.04144591605</v>
      </c>
      <c r="P161" s="407">
        <v>-65</v>
      </c>
      <c r="Q161" s="410">
        <f t="shared" si="8"/>
        <v>444127.04144591605</v>
      </c>
    </row>
    <row r="162" spans="1:17" s="248" customFormat="1" x14ac:dyDescent="0.25">
      <c r="A162" s="245">
        <f>'B) D RI'!A163</f>
        <v>5655</v>
      </c>
      <c r="B162" s="246" t="str">
        <f>'B) D RI'!B163</f>
        <v>Yens</v>
      </c>
      <c r="C162" s="424">
        <f>'B) D RI'!S163</f>
        <v>73</v>
      </c>
      <c r="D162" s="247">
        <f>'B) D RI'!AR163</f>
        <v>1405</v>
      </c>
      <c r="E162" s="254">
        <f>'D) Ecrêtage'!M161</f>
        <v>68107.282191780832</v>
      </c>
      <c r="F162" s="257">
        <f>'E) Fact soc'!G167</f>
        <v>1394993.2755942824</v>
      </c>
      <c r="G162" s="257">
        <f>'H) Péréquation directe'!I172</f>
        <v>1020019.4922744336</v>
      </c>
      <c r="H162" s="257">
        <f>'I) Dépenses thématiques'!O161</f>
        <v>0</v>
      </c>
      <c r="I162" s="257">
        <f>'K) Plafonnement aide'!J161</f>
        <v>0</v>
      </c>
      <c r="J162" s="257">
        <f>'J) Plafonnement effort'!I161</f>
        <v>0</v>
      </c>
      <c r="K162" s="257">
        <f>'L) Plafonnement taux'!Q162</f>
        <v>0</v>
      </c>
      <c r="L162" s="346">
        <f t="shared" si="6"/>
        <v>2415012.7678687163</v>
      </c>
      <c r="M162" s="346">
        <f>'M) Police'!O162</f>
        <v>208334.69099009724</v>
      </c>
      <c r="N162" s="346">
        <f t="shared" si="7"/>
        <v>2623347.4588588136</v>
      </c>
      <c r="P162" s="407">
        <v>0</v>
      </c>
      <c r="Q162" s="410">
        <f t="shared" si="8"/>
        <v>2623347.4588588136</v>
      </c>
    </row>
    <row r="163" spans="1:17" s="248" customFormat="1" x14ac:dyDescent="0.25">
      <c r="A163" s="245">
        <f>'B) D RI'!A164</f>
        <v>5661</v>
      </c>
      <c r="B163" s="246" t="str">
        <f>'B) D RI'!B164</f>
        <v>Boulens</v>
      </c>
      <c r="C163" s="424">
        <f>'B) D RI'!S164</f>
        <v>79</v>
      </c>
      <c r="D163" s="247">
        <f>'B) D RI'!AR164</f>
        <v>325</v>
      </c>
      <c r="E163" s="254">
        <f>'D) Ecrêtage'!M162</f>
        <v>7277.4751898734185</v>
      </c>
      <c r="F163" s="257">
        <f>'E) Fact soc'!G168</f>
        <v>123485.89310898649</v>
      </c>
      <c r="G163" s="257">
        <f>'H) Péréquation directe'!I173</f>
        <v>-68917.603440150851</v>
      </c>
      <c r="H163" s="257">
        <f>'I) Dépenses thématiques'!O162</f>
        <v>-44976.640721896911</v>
      </c>
      <c r="I163" s="257">
        <f>'K) Plafonnement aide'!J162</f>
        <v>0</v>
      </c>
      <c r="J163" s="257">
        <f>'J) Plafonnement effort'!I162</f>
        <v>0</v>
      </c>
      <c r="K163" s="257">
        <f>'L) Plafonnement taux'!Q163</f>
        <v>0</v>
      </c>
      <c r="L163" s="346">
        <f t="shared" si="6"/>
        <v>9591.6489469387307</v>
      </c>
      <c r="M163" s="346">
        <f>'M) Police'!O163</f>
        <v>22966.039140314722</v>
      </c>
      <c r="N163" s="346">
        <f t="shared" si="7"/>
        <v>32557.688087253453</v>
      </c>
      <c r="P163" s="407">
        <v>-39</v>
      </c>
      <c r="Q163" s="410">
        <f t="shared" si="8"/>
        <v>32518.688087253453</v>
      </c>
    </row>
    <row r="164" spans="1:17" s="248" customFormat="1" x14ac:dyDescent="0.25">
      <c r="A164" s="245">
        <f>'B) D RI'!A165</f>
        <v>5662</v>
      </c>
      <c r="B164" s="246" t="str">
        <f>'B) D RI'!B165</f>
        <v>Brenles</v>
      </c>
      <c r="C164" s="424">
        <f>'B) D RI'!S165</f>
        <v>78</v>
      </c>
      <c r="D164" s="247">
        <f>'B) D RI'!AR165</f>
        <v>144</v>
      </c>
      <c r="E164" s="254">
        <f>'D) Ecrêtage'!M163</f>
        <v>4680.0413390313388</v>
      </c>
      <c r="F164" s="257">
        <f>'E) Fact soc'!G169</f>
        <v>75841.021938145583</v>
      </c>
      <c r="G164" s="257">
        <f>'H) Péréquation directe'!I174</f>
        <v>33518.540096114833</v>
      </c>
      <c r="H164" s="257">
        <f>'I) Dépenses thématiques'!O163</f>
        <v>-6652.3908537996767</v>
      </c>
      <c r="I164" s="257">
        <f>'K) Plafonnement aide'!J163</f>
        <v>0</v>
      </c>
      <c r="J164" s="257">
        <f>'J) Plafonnement effort'!I163</f>
        <v>0</v>
      </c>
      <c r="K164" s="257">
        <f>'L) Plafonnement taux'!Q164</f>
        <v>0</v>
      </c>
      <c r="L164" s="346">
        <f t="shared" si="6"/>
        <v>102707.17118046075</v>
      </c>
      <c r="M164" s="346">
        <f>'M) Police'!O164</f>
        <v>14966.837059756384</v>
      </c>
      <c r="N164" s="346">
        <f t="shared" si="7"/>
        <v>117674.00824021714</v>
      </c>
      <c r="P164" s="407">
        <v>-18</v>
      </c>
      <c r="Q164" s="410">
        <f t="shared" si="8"/>
        <v>117656.00824021714</v>
      </c>
    </row>
    <row r="165" spans="1:17" s="248" customFormat="1" x14ac:dyDescent="0.25">
      <c r="A165" s="245">
        <f>'B) D RI'!A166</f>
        <v>5663</v>
      </c>
      <c r="B165" s="246" t="str">
        <f>'B) D RI'!B166</f>
        <v>Bussy-sur-Moudon</v>
      </c>
      <c r="C165" s="424">
        <f>'B) D RI'!S166</f>
        <v>80</v>
      </c>
      <c r="D165" s="247">
        <f>'B) D RI'!AR166</f>
        <v>198</v>
      </c>
      <c r="E165" s="254">
        <f>'D) Ecrêtage'!M164</f>
        <v>4999.1039999999994</v>
      </c>
      <c r="F165" s="257">
        <f>'E) Fact soc'!G170</f>
        <v>102601.60540948319</v>
      </c>
      <c r="G165" s="257">
        <f>'H) Péréquation directe'!I175</f>
        <v>-19793.318881918938</v>
      </c>
      <c r="H165" s="257">
        <f>'I) Dépenses thématiques'!O164</f>
        <v>-33811.365273508607</v>
      </c>
      <c r="I165" s="257">
        <f>'K) Plafonnement aide'!J164</f>
        <v>0</v>
      </c>
      <c r="J165" s="257">
        <f>'J) Plafonnement effort'!I164</f>
        <v>0</v>
      </c>
      <c r="K165" s="257">
        <f>'L) Plafonnement taux'!Q165</f>
        <v>0</v>
      </c>
      <c r="L165" s="346">
        <f t="shared" si="6"/>
        <v>48996.921254055647</v>
      </c>
      <c r="M165" s="346">
        <f>'M) Police'!O165</f>
        <v>15941.12189929204</v>
      </c>
      <c r="N165" s="346">
        <f t="shared" si="7"/>
        <v>64938.043153347688</v>
      </c>
      <c r="P165" s="407">
        <v>-50</v>
      </c>
      <c r="Q165" s="410">
        <f t="shared" si="8"/>
        <v>64888.043153347688</v>
      </c>
    </row>
    <row r="166" spans="1:17" s="248" customFormat="1" x14ac:dyDescent="0.25">
      <c r="A166" s="245">
        <f>'B) D RI'!A167</f>
        <v>5665</v>
      </c>
      <c r="B166" s="246" t="str">
        <f>'B) D RI'!B167</f>
        <v>Chavannes-sur-Moudon</v>
      </c>
      <c r="C166" s="424">
        <f>'B) D RI'!S167</f>
        <v>72</v>
      </c>
      <c r="D166" s="247">
        <f>'B) D RI'!AR167</f>
        <v>224</v>
      </c>
      <c r="E166" s="254">
        <f>'D) Ecrêtage'!M165</f>
        <v>4834.5158333333329</v>
      </c>
      <c r="F166" s="257">
        <f>'E) Fact soc'!G171</f>
        <v>69472.796097348735</v>
      </c>
      <c r="G166" s="257">
        <f>'H) Péréquation directe'!I176</f>
        <v>-34596.279368382573</v>
      </c>
      <c r="H166" s="257">
        <f>'I) Dépenses thématiques'!O165</f>
        <v>-18711.069545386694</v>
      </c>
      <c r="I166" s="257">
        <f>'K) Plafonnement aide'!J165</f>
        <v>0</v>
      </c>
      <c r="J166" s="257">
        <f>'J) Plafonnement effort'!I165</f>
        <v>0</v>
      </c>
      <c r="K166" s="257">
        <f>'L) Plafonnement taux'!Q166</f>
        <v>0</v>
      </c>
      <c r="L166" s="346">
        <f t="shared" si="6"/>
        <v>16165.447183579468</v>
      </c>
      <c r="M166" s="346">
        <f>'M) Police'!O166</f>
        <v>15307.873144443973</v>
      </c>
      <c r="N166" s="346">
        <f t="shared" si="7"/>
        <v>31473.320328023441</v>
      </c>
      <c r="P166" s="407">
        <v>-10</v>
      </c>
      <c r="Q166" s="410">
        <f t="shared" si="8"/>
        <v>31463.320328023441</v>
      </c>
    </row>
    <row r="167" spans="1:17" s="248" customFormat="1" x14ac:dyDescent="0.25">
      <c r="A167" s="245">
        <f>'B) D RI'!A168</f>
        <v>5666</v>
      </c>
      <c r="B167" s="246" t="str">
        <f>'B) D RI'!B168</f>
        <v>Chesalles-sur-Moudon</v>
      </c>
      <c r="C167" s="424">
        <f>'B) D RI'!S168</f>
        <v>75</v>
      </c>
      <c r="D167" s="247">
        <f>'B) D RI'!AR168</f>
        <v>169</v>
      </c>
      <c r="E167" s="254">
        <f>'D) Ecrêtage'!M166</f>
        <v>3561.2682666666665</v>
      </c>
      <c r="F167" s="257">
        <f>'E) Fact soc'!G172</f>
        <v>53565.091930635463</v>
      </c>
      <c r="G167" s="257">
        <f>'H) Péréquation directe'!I177</f>
        <v>-36159.223681026546</v>
      </c>
      <c r="H167" s="257">
        <f>'I) Dépenses thématiques'!O166</f>
        <v>0</v>
      </c>
      <c r="I167" s="257">
        <f>'K) Plafonnement aide'!J166</f>
        <v>0</v>
      </c>
      <c r="J167" s="257">
        <f>'J) Plafonnement effort'!I166</f>
        <v>0</v>
      </c>
      <c r="K167" s="257">
        <f>'L) Plafonnement taux'!Q167</f>
        <v>0</v>
      </c>
      <c r="L167" s="346">
        <f t="shared" si="6"/>
        <v>17405.868249608917</v>
      </c>
      <c r="M167" s="346">
        <f>'M) Police'!O167</f>
        <v>11120.297984607258</v>
      </c>
      <c r="N167" s="346">
        <f t="shared" si="7"/>
        <v>28526.166234216173</v>
      </c>
      <c r="P167" s="407">
        <v>0</v>
      </c>
      <c r="Q167" s="410">
        <f t="shared" si="8"/>
        <v>28526.166234216173</v>
      </c>
    </row>
    <row r="168" spans="1:17" s="248" customFormat="1" x14ac:dyDescent="0.25">
      <c r="A168" s="245">
        <f>'B) D RI'!A169</f>
        <v>5668</v>
      </c>
      <c r="B168" s="246" t="str">
        <f>'B) D RI'!B169</f>
        <v>Cremin</v>
      </c>
      <c r="C168" s="424">
        <f>'B) D RI'!S169</f>
        <v>77</v>
      </c>
      <c r="D168" s="247">
        <f>'B) D RI'!AR169</f>
        <v>58</v>
      </c>
      <c r="E168" s="254">
        <f>'D) Ecrêtage'!M167</f>
        <v>902.96818181818162</v>
      </c>
      <c r="F168" s="257">
        <f>'E) Fact soc'!G173</f>
        <v>12975.802860199876</v>
      </c>
      <c r="G168" s="257">
        <f>'H) Péréquation directe'!I178</f>
        <v>-27424.547261772892</v>
      </c>
      <c r="H168" s="257">
        <f>'I) Dépenses thématiques'!O167</f>
        <v>0</v>
      </c>
      <c r="I168" s="257">
        <f>'K) Plafonnement aide'!J167</f>
        <v>9482.4194015730172</v>
      </c>
      <c r="J168" s="257">
        <f>'J) Plafonnement effort'!I167</f>
        <v>0</v>
      </c>
      <c r="K168" s="257">
        <f>'L) Plafonnement taux'!Q168</f>
        <v>0</v>
      </c>
      <c r="L168" s="346">
        <f t="shared" si="6"/>
        <v>-4966.3249999999989</v>
      </c>
      <c r="M168" s="346">
        <f>'M) Police'!O168</f>
        <v>2826.9448679803982</v>
      </c>
      <c r="N168" s="346">
        <f t="shared" si="7"/>
        <v>-2139.3801320196008</v>
      </c>
      <c r="P168" s="407">
        <v>0</v>
      </c>
      <c r="Q168" s="410">
        <f t="shared" si="8"/>
        <v>-2139.3801320196008</v>
      </c>
    </row>
    <row r="169" spans="1:17" s="248" customFormat="1" x14ac:dyDescent="0.25">
      <c r="A169" s="245">
        <f>'B) D RI'!A170</f>
        <v>5669</v>
      </c>
      <c r="B169" s="246" t="str">
        <f>'B) D RI'!B170</f>
        <v>Curtilles</v>
      </c>
      <c r="C169" s="424">
        <f>'B) D RI'!S170</f>
        <v>72</v>
      </c>
      <c r="D169" s="247">
        <f>'B) D RI'!AR170</f>
        <v>311</v>
      </c>
      <c r="E169" s="254">
        <f>'D) Ecrêtage'!M168</f>
        <v>8707.7998611111107</v>
      </c>
      <c r="F169" s="257">
        <f>'E) Fact soc'!G174</f>
        <v>168180.05637706353</v>
      </c>
      <c r="G169" s="257">
        <f>'H) Péréquation directe'!I179</f>
        <v>30023.01957333085</v>
      </c>
      <c r="H169" s="257">
        <f>'I) Dépenses thématiques'!O168</f>
        <v>-9545.4032736875197</v>
      </c>
      <c r="I169" s="257">
        <f>'K) Plafonnement aide'!J168</f>
        <v>0</v>
      </c>
      <c r="J169" s="257">
        <f>'J) Plafonnement effort'!I168</f>
        <v>0</v>
      </c>
      <c r="K169" s="257">
        <f>'L) Plafonnement taux'!Q169</f>
        <v>0</v>
      </c>
      <c r="L169" s="346">
        <f t="shared" si="6"/>
        <v>188657.67267670686</v>
      </c>
      <c r="M169" s="346">
        <f>'M) Police'!O169</f>
        <v>27522.785980539542</v>
      </c>
      <c r="N169" s="346">
        <f t="shared" si="7"/>
        <v>216180.4586572464</v>
      </c>
      <c r="P169" s="407">
        <v>-104</v>
      </c>
      <c r="Q169" s="410">
        <f t="shared" si="8"/>
        <v>216076.4586572464</v>
      </c>
    </row>
    <row r="170" spans="1:17" s="248" customFormat="1" x14ac:dyDescent="0.25">
      <c r="A170" s="245">
        <f>'B) D RI'!A171</f>
        <v>5671</v>
      </c>
      <c r="B170" s="246" t="str">
        <f>'B) D RI'!B171</f>
        <v>Dompierre</v>
      </c>
      <c r="C170" s="424">
        <f>'B) D RI'!S171</f>
        <v>80</v>
      </c>
      <c r="D170" s="247">
        <f>'B) D RI'!AR171</f>
        <v>247</v>
      </c>
      <c r="E170" s="254">
        <f>'D) Ecrêtage'!M169</f>
        <v>6226.6947500000006</v>
      </c>
      <c r="F170" s="257">
        <f>'E) Fact soc'!G175</f>
        <v>120332.78853181752</v>
      </c>
      <c r="G170" s="257">
        <f>'H) Péréquation directe'!I180</f>
        <v>-25111.90159564928</v>
      </c>
      <c r="H170" s="257">
        <f>'I) Dépenses thématiques'!O169</f>
        <v>-66016.561279807807</v>
      </c>
      <c r="I170" s="257">
        <f>'K) Plafonnement aide'!J169</f>
        <v>0</v>
      </c>
      <c r="J170" s="257">
        <f>'J) Plafonnement effort'!I169</f>
        <v>0</v>
      </c>
      <c r="K170" s="257">
        <f>'L) Plafonnement taux'!Q170</f>
        <v>0</v>
      </c>
      <c r="L170" s="346">
        <f t="shared" si="6"/>
        <v>29204.325656360437</v>
      </c>
      <c r="M170" s="346">
        <f>'M) Police'!O170</f>
        <v>19722.726039624158</v>
      </c>
      <c r="N170" s="346">
        <f t="shared" si="7"/>
        <v>48927.051695984599</v>
      </c>
      <c r="P170" s="407">
        <v>-117</v>
      </c>
      <c r="Q170" s="410">
        <f t="shared" si="8"/>
        <v>48810.051695984599</v>
      </c>
    </row>
    <row r="171" spans="1:17" s="248" customFormat="1" x14ac:dyDescent="0.25">
      <c r="A171" s="245">
        <f>'B) D RI'!A172</f>
        <v>5672</v>
      </c>
      <c r="B171" s="246" t="str">
        <f>'B) D RI'!B172</f>
        <v>Forel-sur-Lucens</v>
      </c>
      <c r="C171" s="424">
        <f>'B) D RI'!S172</f>
        <v>75</v>
      </c>
      <c r="D171" s="247">
        <f>'B) D RI'!AR172</f>
        <v>154</v>
      </c>
      <c r="E171" s="254">
        <f>'D) Ecrêtage'!M170</f>
        <v>4324.9200666666666</v>
      </c>
      <c r="F171" s="257">
        <f>'E) Fact soc'!G176</f>
        <v>62149.820227540586</v>
      </c>
      <c r="G171" s="257">
        <f>'H) Péréquation directe'!I181</f>
        <v>11177.856325915942</v>
      </c>
      <c r="H171" s="257">
        <f>'I) Dépenses thématiques'!O170</f>
        <v>0</v>
      </c>
      <c r="I171" s="257">
        <f>'K) Plafonnement aide'!J170</f>
        <v>0</v>
      </c>
      <c r="J171" s="257">
        <f>'J) Plafonnement effort'!I170</f>
        <v>0</v>
      </c>
      <c r="K171" s="257">
        <f>'L) Plafonnement taux'!Q171</f>
        <v>0</v>
      </c>
      <c r="L171" s="346">
        <f t="shared" ref="L171:L226" si="9">F171+G171+H171+I171+J171+K171</f>
        <v>73327.67655345652</v>
      </c>
      <c r="M171" s="346">
        <f>'M) Police'!O171</f>
        <v>13857.424348637727</v>
      </c>
      <c r="N171" s="346">
        <f t="shared" si="7"/>
        <v>87185.100902094244</v>
      </c>
      <c r="P171" s="407">
        <v>0</v>
      </c>
      <c r="Q171" s="410">
        <f t="shared" si="8"/>
        <v>87185.100902094244</v>
      </c>
    </row>
    <row r="172" spans="1:17" s="248" customFormat="1" x14ac:dyDescent="0.25">
      <c r="A172" s="245">
        <f>'B) D RI'!A173</f>
        <v>5673</v>
      </c>
      <c r="B172" s="246" t="str">
        <f>'B) D RI'!B173</f>
        <v>Hermenches</v>
      </c>
      <c r="C172" s="424">
        <f>'B) D RI'!S173</f>
        <v>75</v>
      </c>
      <c r="D172" s="247">
        <f>'B) D RI'!AR173</f>
        <v>382</v>
      </c>
      <c r="E172" s="254">
        <f>'D) Ecrêtage'!M171</f>
        <v>8854.2944888888887</v>
      </c>
      <c r="F172" s="257">
        <f>'E) Fact soc'!G177</f>
        <v>157908.85852793476</v>
      </c>
      <c r="G172" s="257">
        <f>'H) Péréquation directe'!I182</f>
        <v>-48851.142822841706</v>
      </c>
      <c r="H172" s="257">
        <f>'I) Dépenses thématiques'!O171</f>
        <v>-59693.704446840944</v>
      </c>
      <c r="I172" s="257">
        <f>'K) Plafonnement aide'!J171</f>
        <v>0</v>
      </c>
      <c r="J172" s="257">
        <f>'J) Plafonnement effort'!I171</f>
        <v>0</v>
      </c>
      <c r="K172" s="257">
        <f>'L) Plafonnement taux'!Q172</f>
        <v>0</v>
      </c>
      <c r="L172" s="346">
        <f t="shared" si="9"/>
        <v>49364.011258252111</v>
      </c>
      <c r="M172" s="346">
        <f>'M) Police'!O172</f>
        <v>28019.140372436421</v>
      </c>
      <c r="N172" s="346">
        <f t="shared" si="7"/>
        <v>77383.151630688531</v>
      </c>
      <c r="P172" s="407">
        <v>-45</v>
      </c>
      <c r="Q172" s="410">
        <f t="shared" si="8"/>
        <v>77338.151630688531</v>
      </c>
    </row>
    <row r="173" spans="1:17" s="248" customFormat="1" x14ac:dyDescent="0.25">
      <c r="A173" s="245">
        <f>'B) D RI'!A174</f>
        <v>5674</v>
      </c>
      <c r="B173" s="246" t="str">
        <f>'B) D RI'!B174</f>
        <v>Lovatens</v>
      </c>
      <c r="C173" s="424">
        <f>'B) D RI'!S174</f>
        <v>75</v>
      </c>
      <c r="D173" s="247">
        <f>'B) D RI'!AR174</f>
        <v>151</v>
      </c>
      <c r="E173" s="254">
        <f>'D) Ecrêtage'!M172</f>
        <v>3347.4317333333333</v>
      </c>
      <c r="F173" s="257">
        <f>'E) Fact soc'!G178</f>
        <v>49201.650403650136</v>
      </c>
      <c r="G173" s="257">
        <f>'H) Péréquation directe'!I183</f>
        <v>-25545.382986190692</v>
      </c>
      <c r="H173" s="257">
        <f>'I) Dépenses thématiques'!O172</f>
        <v>-12100.311829755281</v>
      </c>
      <c r="I173" s="257">
        <f>'K) Plafonnement aide'!J172</f>
        <v>0</v>
      </c>
      <c r="J173" s="257">
        <f>'J) Plafonnement effort'!I172</f>
        <v>0</v>
      </c>
      <c r="K173" s="257">
        <f>'L) Plafonnement taux'!Q173</f>
        <v>0</v>
      </c>
      <c r="L173" s="346">
        <f t="shared" si="9"/>
        <v>11555.955587704162</v>
      </c>
      <c r="M173" s="346">
        <f>'M) Police'!O173</f>
        <v>10589.647554291019</v>
      </c>
      <c r="N173" s="346">
        <f t="shared" si="7"/>
        <v>22145.603141995183</v>
      </c>
      <c r="P173" s="407">
        <v>0</v>
      </c>
      <c r="Q173" s="410">
        <f t="shared" si="8"/>
        <v>22145.603141995183</v>
      </c>
    </row>
    <row r="174" spans="1:17" s="248" customFormat="1" x14ac:dyDescent="0.25">
      <c r="A174" s="245">
        <f>'B) D RI'!A175</f>
        <v>5675</v>
      </c>
      <c r="B174" s="246" t="str">
        <f>'B) D RI'!B175</f>
        <v>Lucens</v>
      </c>
      <c r="C174" s="424">
        <f>'B) D RI'!S175</f>
        <v>66</v>
      </c>
      <c r="D174" s="247">
        <f>'B) D RI'!AR175</f>
        <v>3285</v>
      </c>
      <c r="E174" s="254">
        <f>'D) Ecrêtage'!M173</f>
        <v>76574.855468319569</v>
      </c>
      <c r="F174" s="257">
        <f>'E) Fact soc'!G179</f>
        <v>1539960.1860216153</v>
      </c>
      <c r="G174" s="257">
        <f>'H) Péréquation directe'!I184</f>
        <v>-673389.378860506</v>
      </c>
      <c r="H174" s="257">
        <f>'I) Dépenses thématiques'!O173</f>
        <v>-309269.00078535941</v>
      </c>
      <c r="I174" s="257">
        <f>'K) Plafonnement aide'!J173</f>
        <v>0</v>
      </c>
      <c r="J174" s="257">
        <f>'J) Plafonnement effort'!I173</f>
        <v>0</v>
      </c>
      <c r="K174" s="257">
        <f>'L) Plafonnement taux'!Q174</f>
        <v>0</v>
      </c>
      <c r="L174" s="346">
        <f t="shared" si="9"/>
        <v>557301.80637574987</v>
      </c>
      <c r="M174" s="346">
        <f>'M) Police'!O174</f>
        <v>237674.0448926939</v>
      </c>
      <c r="N174" s="346">
        <f t="shared" si="7"/>
        <v>794975.85126844374</v>
      </c>
      <c r="P174" s="407">
        <v>-349</v>
      </c>
      <c r="Q174" s="410">
        <f t="shared" si="8"/>
        <v>794626.85126844374</v>
      </c>
    </row>
    <row r="175" spans="1:17" s="248" customFormat="1" x14ac:dyDescent="0.25">
      <c r="A175" s="245">
        <f>'B) D RI'!A176</f>
        <v>5678</v>
      </c>
      <c r="B175" s="246" t="str">
        <f>'B) D RI'!B176</f>
        <v>Moudon</v>
      </c>
      <c r="C175" s="424">
        <f>'B) D RI'!S176</f>
        <v>75</v>
      </c>
      <c r="D175" s="247">
        <f>'B) D RI'!AR176</f>
        <v>5770</v>
      </c>
      <c r="E175" s="254">
        <f>'D) Ecrêtage'!M174</f>
        <v>122060.45639999998</v>
      </c>
      <c r="F175" s="257">
        <f>'E) Fact soc'!G180</f>
        <v>2147363.801830065</v>
      </c>
      <c r="G175" s="257">
        <f>'H) Péréquation directe'!I185</f>
        <v>-2883323.4997485494</v>
      </c>
      <c r="H175" s="257">
        <f>'I) Dépenses thématiques'!O174</f>
        <v>-1165969.854550798</v>
      </c>
      <c r="I175" s="257">
        <f>'K) Plafonnement aide'!J174</f>
        <v>64627.187718484543</v>
      </c>
      <c r="J175" s="257">
        <f>'J) Plafonnement effort'!I174</f>
        <v>0</v>
      </c>
      <c r="K175" s="257">
        <f>'L) Plafonnement taux'!Q175</f>
        <v>0</v>
      </c>
      <c r="L175" s="346">
        <f t="shared" si="9"/>
        <v>-1837302.3647507979</v>
      </c>
      <c r="M175" s="346">
        <f>'M) Police'!O175</f>
        <v>381506.90035712824</v>
      </c>
      <c r="N175" s="346">
        <f t="shared" si="7"/>
        <v>-1455795.4643936697</v>
      </c>
      <c r="P175" s="407">
        <v>-1757.0000000004657</v>
      </c>
      <c r="Q175" s="410">
        <f t="shared" si="8"/>
        <v>-1457552.4643936702</v>
      </c>
    </row>
    <row r="176" spans="1:17" s="248" customFormat="1" x14ac:dyDescent="0.25">
      <c r="A176" s="245">
        <f>'B) D RI'!A177</f>
        <v>5680</v>
      </c>
      <c r="B176" s="246" t="str">
        <f>'B) D RI'!B177</f>
        <v>Ogens</v>
      </c>
      <c r="C176" s="424">
        <f>'B) D RI'!S177</f>
        <v>78</v>
      </c>
      <c r="D176" s="247">
        <f>'B) D RI'!AR177</f>
        <v>283</v>
      </c>
      <c r="E176" s="254">
        <f>'D) Ecrêtage'!M175</f>
        <v>8163.3689316239324</v>
      </c>
      <c r="F176" s="257">
        <f>'E) Fact soc'!G181</f>
        <v>123959.76842737428</v>
      </c>
      <c r="G176" s="257">
        <f>'H) Péréquation directe'!I186</f>
        <v>21717.708341481208</v>
      </c>
      <c r="H176" s="257">
        <f>'I) Dépenses thématiques'!O175</f>
        <v>0</v>
      </c>
      <c r="I176" s="257">
        <f>'K) Plafonnement aide'!J175</f>
        <v>0</v>
      </c>
      <c r="J176" s="257">
        <f>'J) Plafonnement effort'!I175</f>
        <v>0</v>
      </c>
      <c r="K176" s="257">
        <f>'L) Plafonnement taux'!Q176</f>
        <v>0</v>
      </c>
      <c r="L176" s="346">
        <f t="shared" si="9"/>
        <v>145677.47676885547</v>
      </c>
      <c r="M176" s="346">
        <f>'M) Police'!O176</f>
        <v>25976.68335975958</v>
      </c>
      <c r="N176" s="346">
        <f t="shared" si="7"/>
        <v>171654.16012861504</v>
      </c>
      <c r="P176" s="407">
        <v>-98</v>
      </c>
      <c r="Q176" s="410">
        <f t="shared" si="8"/>
        <v>171556.16012861504</v>
      </c>
    </row>
    <row r="177" spans="1:17" s="248" customFormat="1" x14ac:dyDescent="0.25">
      <c r="A177" s="245">
        <f>'B) D RI'!A178</f>
        <v>5683</v>
      </c>
      <c r="B177" s="246" t="str">
        <f>'B) D RI'!B178</f>
        <v>Prévonloup</v>
      </c>
      <c r="C177" s="424">
        <f>'B) D RI'!S178</f>
        <v>74</v>
      </c>
      <c r="D177" s="247">
        <f>'B) D RI'!AR178</f>
        <v>172</v>
      </c>
      <c r="E177" s="254">
        <f>'D) Ecrêtage'!M176</f>
        <v>3618.5018918918922</v>
      </c>
      <c r="F177" s="257">
        <f>'E) Fact soc'!G182</f>
        <v>59657.023638248036</v>
      </c>
      <c r="G177" s="257">
        <f>'H) Péréquation directe'!I187</f>
        <v>-34743.079424868018</v>
      </c>
      <c r="H177" s="257">
        <f>'I) Dépenses thématiques'!O176</f>
        <v>-17078.949994487091</v>
      </c>
      <c r="I177" s="257">
        <f>'K) Plafonnement aide'!J176</f>
        <v>0</v>
      </c>
      <c r="J177" s="257">
        <f>'J) Plafonnement effort'!I176</f>
        <v>0</v>
      </c>
      <c r="K177" s="257">
        <f>'L) Plafonnement taux'!Q177</f>
        <v>0</v>
      </c>
      <c r="L177" s="346">
        <f t="shared" si="9"/>
        <v>7834.9942188929272</v>
      </c>
      <c r="M177" s="346">
        <f>'M) Police'!O177</f>
        <v>11402.998009606557</v>
      </c>
      <c r="N177" s="346">
        <f t="shared" si="7"/>
        <v>19237.992228499483</v>
      </c>
      <c r="P177" s="407">
        <v>-106</v>
      </c>
      <c r="Q177" s="410">
        <f t="shared" si="8"/>
        <v>19131.992228499483</v>
      </c>
    </row>
    <row r="178" spans="1:17" s="248" customFormat="1" x14ac:dyDescent="0.25">
      <c r="A178" s="245">
        <f>'B) D RI'!A179</f>
        <v>5684</v>
      </c>
      <c r="B178" s="246" t="str">
        <f>'B) D RI'!B179</f>
        <v>Rossenges</v>
      </c>
      <c r="C178" s="424">
        <f>'B) D RI'!S179</f>
        <v>60</v>
      </c>
      <c r="D178" s="247">
        <f>'B) D RI'!AR179</f>
        <v>65</v>
      </c>
      <c r="E178" s="254">
        <f>'D) Ecrêtage'!M177</f>
        <v>2611.7396666666664</v>
      </c>
      <c r="F178" s="257">
        <f>'E) Fact soc'!G183</f>
        <v>37531.133122091174</v>
      </c>
      <c r="G178" s="257">
        <f>'H) Péréquation directe'!I188</f>
        <v>38654.384252008298</v>
      </c>
      <c r="H178" s="257">
        <f>'I) Dépenses thématiques'!O177</f>
        <v>0</v>
      </c>
      <c r="I178" s="257">
        <f>'K) Plafonnement aide'!J177</f>
        <v>0</v>
      </c>
      <c r="J178" s="257">
        <f>'J) Plafonnement effort'!I177</f>
        <v>0</v>
      </c>
      <c r="K178" s="257">
        <f>'L) Plafonnement taux'!Q178</f>
        <v>0</v>
      </c>
      <c r="L178" s="346">
        <f t="shared" si="9"/>
        <v>76185.517374099465</v>
      </c>
      <c r="M178" s="346">
        <f>'M) Police'!O178</f>
        <v>8358.7354646805434</v>
      </c>
      <c r="N178" s="346">
        <f t="shared" si="7"/>
        <v>84544.252838780012</v>
      </c>
      <c r="P178" s="407">
        <v>-2</v>
      </c>
      <c r="Q178" s="410">
        <f t="shared" si="8"/>
        <v>84542.252838780012</v>
      </c>
    </row>
    <row r="179" spans="1:17" s="248" customFormat="1" x14ac:dyDescent="0.25">
      <c r="A179" s="245">
        <f>'B) D RI'!A180</f>
        <v>5686</v>
      </c>
      <c r="B179" s="246" t="str">
        <f>'B) D RI'!B180</f>
        <v>Sarzens</v>
      </c>
      <c r="C179" s="424">
        <f>'B) D RI'!S180</f>
        <v>74</v>
      </c>
      <c r="D179" s="247">
        <f>'B) D RI'!AR180</f>
        <v>80</v>
      </c>
      <c r="E179" s="254">
        <f>'D) Ecrêtage'!M178</f>
        <v>1857.3194594594593</v>
      </c>
      <c r="F179" s="257">
        <f>'E) Fact soc'!G184</f>
        <v>35511.81434805398</v>
      </c>
      <c r="G179" s="257">
        <f>'H) Péréquation directe'!I189</f>
        <v>-9139.6532248801013</v>
      </c>
      <c r="H179" s="257">
        <f>'I) Dépenses thématiques'!O178</f>
        <v>0</v>
      </c>
      <c r="I179" s="257">
        <f>'K) Plafonnement aide'!J178</f>
        <v>0</v>
      </c>
      <c r="J179" s="257">
        <f>'J) Plafonnement effort'!I178</f>
        <v>0</v>
      </c>
      <c r="K179" s="257">
        <f>'L) Plafonnement taux'!Q179</f>
        <v>0</v>
      </c>
      <c r="L179" s="346">
        <f t="shared" si="9"/>
        <v>26372.161123173879</v>
      </c>
      <c r="M179" s="346">
        <f>'M) Police'!O179</f>
        <v>5849.8564920277304</v>
      </c>
      <c r="N179" s="346">
        <f t="shared" si="7"/>
        <v>32222.01761520161</v>
      </c>
      <c r="P179" s="407">
        <v>0</v>
      </c>
      <c r="Q179" s="410">
        <f t="shared" si="8"/>
        <v>32222.01761520161</v>
      </c>
    </row>
    <row r="180" spans="1:17" s="248" customFormat="1" x14ac:dyDescent="0.25">
      <c r="A180" s="245">
        <f>'B) D RI'!A181</f>
        <v>5688</v>
      </c>
      <c r="B180" s="246" t="str">
        <f>'B) D RI'!B181</f>
        <v>Syens</v>
      </c>
      <c r="C180" s="424">
        <f>'B) D RI'!S181</f>
        <v>75.599999999999994</v>
      </c>
      <c r="D180" s="247">
        <f>'B) D RI'!AR181</f>
        <v>139</v>
      </c>
      <c r="E180" s="254">
        <f>'D) Ecrêtage'!M179</f>
        <v>5385.636772486775</v>
      </c>
      <c r="F180" s="257">
        <f>'E) Fact soc'!G185</f>
        <v>91529.120597926725</v>
      </c>
      <c r="G180" s="257">
        <f>'H) Péréquation directe'!I190</f>
        <v>70411.967842263461</v>
      </c>
      <c r="H180" s="257">
        <f>'I) Dépenses thématiques'!O179</f>
        <v>-7420.996966692378</v>
      </c>
      <c r="I180" s="257">
        <f>'K) Plafonnement aide'!J179</f>
        <v>0</v>
      </c>
      <c r="J180" s="257">
        <f>'J) Plafonnement effort'!I179</f>
        <v>0</v>
      </c>
      <c r="K180" s="257">
        <f>'L) Plafonnement taux'!Q180</f>
        <v>0</v>
      </c>
      <c r="L180" s="346">
        <f t="shared" si="9"/>
        <v>154520.0914734978</v>
      </c>
      <c r="M180" s="346">
        <f>'M) Police'!O180</f>
        <v>17250.450743551075</v>
      </c>
      <c r="N180" s="346">
        <f t="shared" si="7"/>
        <v>171770.54221704887</v>
      </c>
      <c r="P180" s="407">
        <v>0</v>
      </c>
      <c r="Q180" s="410">
        <f t="shared" si="8"/>
        <v>171770.54221704887</v>
      </c>
    </row>
    <row r="181" spans="1:17" s="248" customFormat="1" x14ac:dyDescent="0.25">
      <c r="A181" s="245">
        <f>'B) D RI'!A182</f>
        <v>5690</v>
      </c>
      <c r="B181" s="246" t="str">
        <f>'B) D RI'!B182</f>
        <v>Villars-le-Comte</v>
      </c>
      <c r="C181" s="424">
        <f>'B) D RI'!S182</f>
        <v>76</v>
      </c>
      <c r="D181" s="247">
        <f>'B) D RI'!AR182</f>
        <v>150</v>
      </c>
      <c r="E181" s="254">
        <f>'D) Ecrêtage'!M180</f>
        <v>3468.3659210526316</v>
      </c>
      <c r="F181" s="257">
        <f>'E) Fact soc'!G186</f>
        <v>56552.619782335001</v>
      </c>
      <c r="G181" s="257">
        <f>'H) Péréquation directe'!I191</f>
        <v>-21374.959041271133</v>
      </c>
      <c r="H181" s="257">
        <f>'I) Dépenses thématiques'!O180</f>
        <v>-1621.0382624039185</v>
      </c>
      <c r="I181" s="257">
        <f>'K) Plafonnement aide'!J180</f>
        <v>0</v>
      </c>
      <c r="J181" s="257">
        <f>'J) Plafonnement effort'!I180</f>
        <v>0</v>
      </c>
      <c r="K181" s="257">
        <f>'L) Plafonnement taux'!Q181</f>
        <v>0</v>
      </c>
      <c r="L181" s="346">
        <f t="shared" si="9"/>
        <v>33556.622478659949</v>
      </c>
      <c r="M181" s="346">
        <f>'M) Police'!O181</f>
        <v>10929.73883572969</v>
      </c>
      <c r="N181" s="346">
        <f t="shared" si="7"/>
        <v>44486.361314389636</v>
      </c>
      <c r="P181" s="407">
        <v>-2</v>
      </c>
      <c r="Q181" s="410">
        <f t="shared" si="8"/>
        <v>44484.361314389636</v>
      </c>
    </row>
    <row r="182" spans="1:17" s="248" customFormat="1" x14ac:dyDescent="0.25">
      <c r="A182" s="245">
        <f>'B) D RI'!A183</f>
        <v>5692</v>
      </c>
      <c r="B182" s="246" t="str">
        <f>'B) D RI'!B183</f>
        <v>Vucherens</v>
      </c>
      <c r="C182" s="424">
        <f>'B) D RI'!S183</f>
        <v>79</v>
      </c>
      <c r="D182" s="247">
        <f>'B) D RI'!AR183</f>
        <v>543</v>
      </c>
      <c r="E182" s="254">
        <f>'D) Ecrêtage'!M181</f>
        <v>15125.888354430383</v>
      </c>
      <c r="F182" s="257">
        <f>'E) Fact soc'!G187</f>
        <v>257937.91481302067</v>
      </c>
      <c r="G182" s="257">
        <f>'H) Péréquation directe'!I192</f>
        <v>13379.347673783428</v>
      </c>
      <c r="H182" s="257">
        <f>'I) Dépenses thématiques'!O181</f>
        <v>-64144.604487025928</v>
      </c>
      <c r="I182" s="257">
        <f>'K) Plafonnement aide'!J181</f>
        <v>0</v>
      </c>
      <c r="J182" s="257">
        <f>'J) Plafonnement effort'!I181</f>
        <v>0</v>
      </c>
      <c r="K182" s="257">
        <f>'L) Plafonnement taux'!Q182</f>
        <v>0</v>
      </c>
      <c r="L182" s="346">
        <f t="shared" si="9"/>
        <v>207172.65799977817</v>
      </c>
      <c r="M182" s="346">
        <f>'M) Police'!O182</f>
        <v>47843.101554038672</v>
      </c>
      <c r="N182" s="346">
        <f t="shared" si="7"/>
        <v>255015.75955381684</v>
      </c>
      <c r="P182" s="407">
        <v>0</v>
      </c>
      <c r="Q182" s="410">
        <f t="shared" si="8"/>
        <v>255015.75955381684</v>
      </c>
    </row>
    <row r="183" spans="1:17" s="248" customFormat="1" x14ac:dyDescent="0.25">
      <c r="A183" s="245">
        <f>'B) D RI'!A184</f>
        <v>5693</v>
      </c>
      <c r="B183" s="246" t="str">
        <f>'B) D RI'!B184</f>
        <v>Montanaire</v>
      </c>
      <c r="C183" s="424">
        <f>'B) D RI'!S184</f>
        <v>72</v>
      </c>
      <c r="D183" s="247">
        <f>'B) D RI'!AR184</f>
        <v>2421</v>
      </c>
      <c r="E183" s="254">
        <f>'D) Ecrêtage'!M182</f>
        <v>62987.795555555575</v>
      </c>
      <c r="F183" s="257">
        <f>'E) Fact soc'!G188</f>
        <v>1097256.9766927601</v>
      </c>
      <c r="G183" s="257">
        <f>'H) Péréquation directe'!I193</f>
        <v>-305655.6713428176</v>
      </c>
      <c r="H183" s="257">
        <f>'I) Dépenses thématiques'!O182</f>
        <v>-434768.19167756697</v>
      </c>
      <c r="I183" s="257">
        <f>'K) Plafonnement aide'!J182</f>
        <v>0</v>
      </c>
      <c r="J183" s="257">
        <f>'J) Plafonnement effort'!I182</f>
        <v>0</v>
      </c>
      <c r="K183" s="257">
        <f>'L) Plafonnement taux'!Q183</f>
        <v>0</v>
      </c>
      <c r="L183" s="346">
        <f>F183+G183+H183+I183+J183+K183</f>
        <v>356833.11367237556</v>
      </c>
      <c r="M183" s="346">
        <f>'M) Police'!O183</f>
        <v>199076.35578246671</v>
      </c>
      <c r="N183" s="346">
        <f t="shared" si="7"/>
        <v>555909.46945484227</v>
      </c>
      <c r="P183" s="407">
        <v>-240</v>
      </c>
      <c r="Q183" s="410">
        <f t="shared" si="8"/>
        <v>555669.46945484227</v>
      </c>
    </row>
    <row r="184" spans="1:17" s="248" customFormat="1" x14ac:dyDescent="0.25">
      <c r="A184" s="245">
        <f>'B) D RI'!A185</f>
        <v>5701</v>
      </c>
      <c r="B184" s="246" t="str">
        <f>'B) D RI'!B185</f>
        <v>Arnex-sur-Nyon</v>
      </c>
      <c r="C184" s="424">
        <f>'B) D RI'!S185</f>
        <v>65</v>
      </c>
      <c r="D184" s="247">
        <f>'B) D RI'!AR185</f>
        <v>208</v>
      </c>
      <c r="E184" s="254">
        <f>'D) Ecrêtage'!M183</f>
        <v>13317.230492981491</v>
      </c>
      <c r="F184" s="257">
        <f>'E) Fact soc'!G189</f>
        <v>284666.89367290231</v>
      </c>
      <c r="G184" s="257">
        <f>'H) Péréquation directe'!I194</f>
        <v>225651.44698148966</v>
      </c>
      <c r="H184" s="257">
        <f>'I) Dépenses thématiques'!O183</f>
        <v>0</v>
      </c>
      <c r="I184" s="257">
        <f>'K) Plafonnement aide'!J183</f>
        <v>0</v>
      </c>
      <c r="J184" s="257">
        <f>'J) Plafonnement effort'!I183</f>
        <v>0</v>
      </c>
      <c r="K184" s="257">
        <f>'L) Plafonnement taux'!Q184</f>
        <v>0</v>
      </c>
      <c r="L184" s="346">
        <f>F184+G184+H184+I184+J184+K184</f>
        <v>510318.34065439197</v>
      </c>
      <c r="M184" s="346">
        <f>'M) Police'!O184</f>
        <v>35034.817640706897</v>
      </c>
      <c r="N184" s="346">
        <f t="shared" si="7"/>
        <v>545353.15829509893</v>
      </c>
      <c r="P184" s="407">
        <v>0</v>
      </c>
      <c r="Q184" s="410">
        <f t="shared" si="8"/>
        <v>545353.15829509893</v>
      </c>
    </row>
    <row r="185" spans="1:17" s="248" customFormat="1" x14ac:dyDescent="0.25">
      <c r="A185" s="245">
        <f>'B) D RI'!A186</f>
        <v>5702</v>
      </c>
      <c r="B185" s="246" t="str">
        <f>'B) D RI'!B186</f>
        <v>Arzier-Le Muids</v>
      </c>
      <c r="C185" s="424">
        <f>'B) D RI'!S186</f>
        <v>64</v>
      </c>
      <c r="D185" s="247">
        <f>'B) D RI'!AR186</f>
        <v>2506</v>
      </c>
      <c r="E185" s="254">
        <f>'D) Ecrêtage'!M184</f>
        <v>137336.67807291666</v>
      </c>
      <c r="F185" s="257">
        <f>'E) Fact soc'!G190</f>
        <v>2413236.951417489</v>
      </c>
      <c r="G185" s="257">
        <f>'H) Péréquation directe'!I195</f>
        <v>1918632.090760078</v>
      </c>
      <c r="H185" s="257">
        <f>'I) Dépenses thématiques'!O184</f>
        <v>-265662.11773868656</v>
      </c>
      <c r="I185" s="257">
        <f>'K) Plafonnement aide'!J184</f>
        <v>0</v>
      </c>
      <c r="J185" s="257">
        <f>'J) Plafonnement effort'!I184</f>
        <v>0</v>
      </c>
      <c r="K185" s="257">
        <f>'L) Plafonnement taux'!Q185</f>
        <v>0</v>
      </c>
      <c r="L185" s="346">
        <f t="shared" si="9"/>
        <v>4066206.9244388808</v>
      </c>
      <c r="M185" s="346">
        <f>'M) Police'!O185</f>
        <v>392147.27129656984</v>
      </c>
      <c r="N185" s="346">
        <f t="shared" si="7"/>
        <v>4458354.1957354508</v>
      </c>
      <c r="P185" s="407">
        <v>-506</v>
      </c>
      <c r="Q185" s="410">
        <f t="shared" si="8"/>
        <v>4457848.1957354508</v>
      </c>
    </row>
    <row r="186" spans="1:17" s="248" customFormat="1" x14ac:dyDescent="0.25">
      <c r="A186" s="245">
        <f>'B) D RI'!A187</f>
        <v>5703</v>
      </c>
      <c r="B186" s="246" t="str">
        <f>'B) D RI'!B187</f>
        <v>Bassins</v>
      </c>
      <c r="C186" s="424">
        <f>'B) D RI'!S187</f>
        <v>71</v>
      </c>
      <c r="D186" s="247">
        <f>'B) D RI'!AR187</f>
        <v>1320</v>
      </c>
      <c r="E186" s="254">
        <f>'D) Ecrêtage'!M185</f>
        <v>51617.647746478862</v>
      </c>
      <c r="F186" s="257">
        <f>'E) Fact soc'!G191</f>
        <v>857890.61777944979</v>
      </c>
      <c r="G186" s="257">
        <f>'H) Péréquation directe'!I196</f>
        <v>624983.19197348482</v>
      </c>
      <c r="H186" s="257">
        <f>'I) Dépenses thématiques'!O185</f>
        <v>-336958.92562125385</v>
      </c>
      <c r="I186" s="257">
        <f>'K) Plafonnement aide'!J185</f>
        <v>0</v>
      </c>
      <c r="J186" s="257">
        <f>'J) Plafonnement effort'!I185</f>
        <v>0</v>
      </c>
      <c r="K186" s="257">
        <f>'L) Plafonnement taux'!Q186</f>
        <v>0</v>
      </c>
      <c r="L186" s="346">
        <f t="shared" si="9"/>
        <v>1145914.8841316807</v>
      </c>
      <c r="M186" s="346">
        <f>'M) Police'!O186</f>
        <v>162095.47198204737</v>
      </c>
      <c r="N186" s="346">
        <f t="shared" si="7"/>
        <v>1308010.3561137281</v>
      </c>
      <c r="P186" s="407">
        <v>-403</v>
      </c>
      <c r="Q186" s="410">
        <f t="shared" si="8"/>
        <v>1307607.3561137281</v>
      </c>
    </row>
    <row r="187" spans="1:17" s="248" customFormat="1" x14ac:dyDescent="0.25">
      <c r="A187" s="245">
        <f>'B) D RI'!A188</f>
        <v>5704</v>
      </c>
      <c r="B187" s="246" t="str">
        <f>'B) D RI'!B188</f>
        <v>Begnins</v>
      </c>
      <c r="C187" s="424">
        <f>'B) D RI'!S188</f>
        <v>67</v>
      </c>
      <c r="D187" s="247">
        <f>'B) D RI'!AR188</f>
        <v>1802</v>
      </c>
      <c r="E187" s="254">
        <f>'D) Ecrêtage'!M186</f>
        <v>105563.75242101138</v>
      </c>
      <c r="F187" s="257">
        <f>'E) Fact soc'!G192</f>
        <v>3725919.5580999944</v>
      </c>
      <c r="G187" s="257">
        <f>'H) Péréquation directe'!I197</f>
        <v>1575056.07647678</v>
      </c>
      <c r="H187" s="257">
        <f>'I) Dépenses thématiques'!O186</f>
        <v>0</v>
      </c>
      <c r="I187" s="257">
        <f>'K) Plafonnement aide'!J186</f>
        <v>0</v>
      </c>
      <c r="J187" s="257">
        <f>'J) Plafonnement effort'!I186</f>
        <v>0</v>
      </c>
      <c r="K187" s="257">
        <f>'L) Plafonnement taux'!Q187</f>
        <v>0</v>
      </c>
      <c r="L187" s="346">
        <f t="shared" si="9"/>
        <v>5300975.6345767742</v>
      </c>
      <c r="M187" s="346">
        <f>'M) Police'!O187</f>
        <v>290807.94476510014</v>
      </c>
      <c r="N187" s="346">
        <f t="shared" si="7"/>
        <v>5591783.5793418745</v>
      </c>
      <c r="P187" s="407">
        <v>-1</v>
      </c>
      <c r="Q187" s="410">
        <f t="shared" si="8"/>
        <v>5591782.5793418745</v>
      </c>
    </row>
    <row r="188" spans="1:17" s="248" customFormat="1" x14ac:dyDescent="0.25">
      <c r="A188" s="245">
        <f>'B) D RI'!A189</f>
        <v>5705</v>
      </c>
      <c r="B188" s="246" t="str">
        <f>'B) D RI'!B189</f>
        <v>Bogis-Bossey</v>
      </c>
      <c r="C188" s="424">
        <f>'B) D RI'!S189</f>
        <v>64</v>
      </c>
      <c r="D188" s="247">
        <f>'B) D RI'!AR189</f>
        <v>830</v>
      </c>
      <c r="E188" s="254">
        <f>'D) Ecrêtage'!M187</f>
        <v>48046.495575813839</v>
      </c>
      <c r="F188" s="257">
        <f>'E) Fact soc'!G193</f>
        <v>957427.40065341198</v>
      </c>
      <c r="G188" s="257">
        <f>'H) Péréquation directe'!I198</f>
        <v>806238.52370640589</v>
      </c>
      <c r="H188" s="257">
        <f>'I) Dépenses thématiques'!O187</f>
        <v>0</v>
      </c>
      <c r="I188" s="257">
        <f>'K) Plafonnement aide'!J187</f>
        <v>0</v>
      </c>
      <c r="J188" s="257">
        <f>'J) Plafonnement effort'!I187</f>
        <v>0</v>
      </c>
      <c r="K188" s="257">
        <f>'L) Plafonnement taux'!Q188</f>
        <v>0</v>
      </c>
      <c r="L188" s="346">
        <f t="shared" si="9"/>
        <v>1763665.924359818</v>
      </c>
      <c r="M188" s="346">
        <f>'M) Police'!O188</f>
        <v>133199.22466555002</v>
      </c>
      <c r="N188" s="346">
        <f t="shared" si="7"/>
        <v>1896865.149025368</v>
      </c>
      <c r="P188" s="407">
        <v>0</v>
      </c>
      <c r="Q188" s="410">
        <f t="shared" si="8"/>
        <v>1896865.149025368</v>
      </c>
    </row>
    <row r="189" spans="1:17" s="248" customFormat="1" x14ac:dyDescent="0.25">
      <c r="A189" s="245">
        <f>'B) D RI'!A190</f>
        <v>5706</v>
      </c>
      <c r="B189" s="246" t="str">
        <f>'B) D RI'!B190</f>
        <v>Borex</v>
      </c>
      <c r="C189" s="424">
        <f>'B) D RI'!S190</f>
        <v>55</v>
      </c>
      <c r="D189" s="247">
        <f>'B) D RI'!AR190</f>
        <v>1049</v>
      </c>
      <c r="E189" s="254">
        <f>'D) Ecrêtage'!M188</f>
        <v>59852.295668986771</v>
      </c>
      <c r="F189" s="257">
        <f>'E) Fact soc'!G194</f>
        <v>1305639.6636925736</v>
      </c>
      <c r="G189" s="257">
        <f>'H) Péréquation directe'!I199</f>
        <v>990727.17940938997</v>
      </c>
      <c r="H189" s="257">
        <f>'I) Dépenses thématiques'!O188</f>
        <v>0</v>
      </c>
      <c r="I189" s="257">
        <f>'K) Plafonnement aide'!J188</f>
        <v>0</v>
      </c>
      <c r="J189" s="257">
        <f>'J) Plafonnement effort'!I188</f>
        <v>0</v>
      </c>
      <c r="K189" s="257">
        <f>'L) Plafonnement taux'!Q189</f>
        <v>0</v>
      </c>
      <c r="L189" s="346">
        <f t="shared" si="9"/>
        <v>2296366.8431019634</v>
      </c>
      <c r="M189" s="346">
        <f>'M) Police'!O189</f>
        <v>167214.9143014627</v>
      </c>
      <c r="N189" s="346">
        <f t="shared" si="7"/>
        <v>2463581.7574034259</v>
      </c>
      <c r="P189" s="407">
        <v>-114</v>
      </c>
      <c r="Q189" s="410">
        <f t="shared" si="8"/>
        <v>2463467.7574034259</v>
      </c>
    </row>
    <row r="190" spans="1:17" s="248" customFormat="1" x14ac:dyDescent="0.25">
      <c r="A190" s="245">
        <f>'B) D RI'!A191</f>
        <v>5707</v>
      </c>
      <c r="B190" s="246" t="str">
        <f>'B) D RI'!B191</f>
        <v>Chavannes-de-Bogis</v>
      </c>
      <c r="C190" s="424">
        <f>'B) D RI'!S191</f>
        <v>59</v>
      </c>
      <c r="D190" s="247">
        <f>'B) D RI'!AR191</f>
        <v>1155</v>
      </c>
      <c r="E190" s="254">
        <f>'D) Ecrêtage'!M189</f>
        <v>79463.976714477656</v>
      </c>
      <c r="F190" s="257">
        <f>'E) Fact soc'!G195</f>
        <v>1956761.6123919846</v>
      </c>
      <c r="G190" s="257">
        <f>'H) Péréquation directe'!I200</f>
        <v>1316630.1203572731</v>
      </c>
      <c r="H190" s="257">
        <f>'I) Dépenses thématiques'!O189</f>
        <v>0</v>
      </c>
      <c r="I190" s="257">
        <f>'K) Plafonnement aide'!J189</f>
        <v>0</v>
      </c>
      <c r="J190" s="257">
        <f>'J) Plafonnement effort'!I189</f>
        <v>0</v>
      </c>
      <c r="K190" s="257">
        <f>'L) Plafonnement taux'!Q190</f>
        <v>0</v>
      </c>
      <c r="L190" s="346">
        <f t="shared" si="9"/>
        <v>3273391.7327492577</v>
      </c>
      <c r="M190" s="346">
        <f>'M) Police'!O190</f>
        <v>201692.58457574673</v>
      </c>
      <c r="N190" s="346">
        <f t="shared" si="7"/>
        <v>3475084.3173250044</v>
      </c>
      <c r="P190" s="407">
        <v>0</v>
      </c>
      <c r="Q190" s="410">
        <f t="shared" si="8"/>
        <v>3475084.3173250044</v>
      </c>
    </row>
    <row r="191" spans="1:17" s="248" customFormat="1" x14ac:dyDescent="0.25">
      <c r="A191" s="245">
        <f>'B) D RI'!A192</f>
        <v>5708</v>
      </c>
      <c r="B191" s="246" t="str">
        <f>'B) D RI'!B192</f>
        <v>Chavannes-des-Bois</v>
      </c>
      <c r="C191" s="424">
        <f>'B) D RI'!S192</f>
        <v>61</v>
      </c>
      <c r="D191" s="247">
        <f>'B) D RI'!AR192</f>
        <v>807</v>
      </c>
      <c r="E191" s="254">
        <f>'D) Ecrêtage'!M190</f>
        <v>54983.749855411763</v>
      </c>
      <c r="F191" s="257">
        <f>'E) Fact soc'!G196</f>
        <v>1432857.5884036571</v>
      </c>
      <c r="G191" s="257">
        <f>'H) Péréquation directe'!I201</f>
        <v>936788.65440512565</v>
      </c>
      <c r="H191" s="257">
        <f>'I) Dépenses thématiques'!O190</f>
        <v>0</v>
      </c>
      <c r="I191" s="257">
        <f>'K) Plafonnement aide'!J190</f>
        <v>0</v>
      </c>
      <c r="J191" s="257">
        <f>'J) Plafonnement effort'!I190</f>
        <v>0</v>
      </c>
      <c r="K191" s="257">
        <f>'L) Plafonnement taux'!Q191</f>
        <v>0</v>
      </c>
      <c r="L191" s="346">
        <f t="shared" si="9"/>
        <v>2369646.2428087825</v>
      </c>
      <c r="M191" s="346">
        <f>'M) Police'!O191</f>
        <v>140225.74715692323</v>
      </c>
      <c r="N191" s="346">
        <f t="shared" si="7"/>
        <v>2509871.9899657057</v>
      </c>
      <c r="P191" s="407">
        <v>-2</v>
      </c>
      <c r="Q191" s="410">
        <f t="shared" si="8"/>
        <v>2509869.9899657057</v>
      </c>
    </row>
    <row r="192" spans="1:17" s="248" customFormat="1" x14ac:dyDescent="0.25">
      <c r="A192" s="245">
        <f>'B) D RI'!A193</f>
        <v>5709</v>
      </c>
      <c r="B192" s="246" t="str">
        <f>'B) D RI'!B193</f>
        <v>Chéserex</v>
      </c>
      <c r="C192" s="424">
        <f>'B) D RI'!S193</f>
        <v>52</v>
      </c>
      <c r="D192" s="247">
        <f>'B) D RI'!AR193</f>
        <v>1174</v>
      </c>
      <c r="E192" s="254">
        <f>'D) Ecrêtage'!M191</f>
        <v>103336.10450421691</v>
      </c>
      <c r="F192" s="257">
        <f>'E) Fact soc'!G197</f>
        <v>3423290.3485874534</v>
      </c>
      <c r="G192" s="257">
        <f>'H) Péréquation directe'!I202</f>
        <v>1751454.4949319393</v>
      </c>
      <c r="H192" s="257">
        <f>'I) Dépenses thématiques'!O191</f>
        <v>0</v>
      </c>
      <c r="I192" s="257">
        <f>'K) Plafonnement aide'!J191</f>
        <v>0</v>
      </c>
      <c r="J192" s="257">
        <f>'J) Plafonnement effort'!I191</f>
        <v>0</v>
      </c>
      <c r="K192" s="257">
        <f>'L) Plafonnement taux'!Q192</f>
        <v>0</v>
      </c>
      <c r="L192" s="346">
        <f t="shared" si="9"/>
        <v>5174744.8435193924</v>
      </c>
      <c r="M192" s="346">
        <f>'M) Police'!O192</f>
        <v>234258.43283712128</v>
      </c>
      <c r="N192" s="346">
        <f t="shared" si="7"/>
        <v>5409003.2763565136</v>
      </c>
      <c r="P192" s="407">
        <v>-1</v>
      </c>
      <c r="Q192" s="410">
        <f t="shared" si="8"/>
        <v>5409002.2763565136</v>
      </c>
    </row>
    <row r="193" spans="1:17" s="248" customFormat="1" x14ac:dyDescent="0.25">
      <c r="A193" s="245">
        <f>'B) D RI'!A194</f>
        <v>5710</v>
      </c>
      <c r="B193" s="246" t="str">
        <f>'B) D RI'!B194</f>
        <v>Coinsins</v>
      </c>
      <c r="C193" s="424">
        <f>'B) D RI'!S194</f>
        <v>41</v>
      </c>
      <c r="D193" s="247">
        <f>'B) D RI'!AR194</f>
        <v>435</v>
      </c>
      <c r="E193" s="254">
        <f>'D) Ecrêtage'!M192</f>
        <v>59904.094956134039</v>
      </c>
      <c r="F193" s="257">
        <f>'E) Fact soc'!G198</f>
        <v>3160041.1183181778</v>
      </c>
      <c r="G193" s="257">
        <f>'H) Péréquation directe'!I203</f>
        <v>1064594.0282249227</v>
      </c>
      <c r="H193" s="257">
        <f>'I) Dépenses thématiques'!O192</f>
        <v>0</v>
      </c>
      <c r="I193" s="257">
        <f>'K) Plafonnement aide'!J192</f>
        <v>0</v>
      </c>
      <c r="J193" s="257">
        <f>'J) Plafonnement effort'!I192</f>
        <v>0</v>
      </c>
      <c r="K193" s="257">
        <f>'L) Plafonnement taux'!Q193</f>
        <v>0</v>
      </c>
      <c r="L193" s="346">
        <f t="shared" si="9"/>
        <v>4224635.1465431005</v>
      </c>
      <c r="M193" s="346">
        <f>'M) Police'!O193</f>
        <v>114816.24023255543</v>
      </c>
      <c r="N193" s="346">
        <f t="shared" si="7"/>
        <v>4339451.3867756557</v>
      </c>
      <c r="P193" s="407">
        <v>0</v>
      </c>
      <c r="Q193" s="410">
        <f t="shared" si="8"/>
        <v>4339451.3867756557</v>
      </c>
    </row>
    <row r="194" spans="1:17" s="248" customFormat="1" x14ac:dyDescent="0.25">
      <c r="A194" s="245">
        <f>'B) D RI'!A195</f>
        <v>5711</v>
      </c>
      <c r="B194" s="246" t="str">
        <f>'B) D RI'!B195</f>
        <v>Commugny</v>
      </c>
      <c r="C194" s="424">
        <f>'B) D RI'!S195</f>
        <v>58</v>
      </c>
      <c r="D194" s="247">
        <f>'B) D RI'!AR195</f>
        <v>2591</v>
      </c>
      <c r="E194" s="254">
        <f>'D) Ecrêtage'!M193</f>
        <v>197049.87247310052</v>
      </c>
      <c r="F194" s="257">
        <f>'E) Fact soc'!G199</f>
        <v>5626537.9113930464</v>
      </c>
      <c r="G194" s="257">
        <f>'H) Péréquation directe'!I204</f>
        <v>2993307.9431208256</v>
      </c>
      <c r="H194" s="257">
        <f>'I) Dépenses thématiques'!O193</f>
        <v>0</v>
      </c>
      <c r="I194" s="257">
        <f>'K) Plafonnement aide'!J193</f>
        <v>0</v>
      </c>
      <c r="J194" s="257">
        <f>'J) Plafonnement effort'!I193</f>
        <v>0</v>
      </c>
      <c r="K194" s="257">
        <f>'L) Plafonnement taux'!Q194</f>
        <v>0</v>
      </c>
      <c r="L194" s="346">
        <f t="shared" si="9"/>
        <v>8619845.8545138724</v>
      </c>
      <c r="M194" s="346">
        <f>'M) Police'!O194</f>
        <v>476808.84877196338</v>
      </c>
      <c r="N194" s="346">
        <f t="shared" si="7"/>
        <v>9096654.7032858357</v>
      </c>
      <c r="P194" s="407">
        <v>-1</v>
      </c>
      <c r="Q194" s="410">
        <f t="shared" si="8"/>
        <v>9096653.7032858357</v>
      </c>
    </row>
    <row r="195" spans="1:17" s="248" customFormat="1" x14ac:dyDescent="0.25">
      <c r="A195" s="245">
        <f>'B) D RI'!A196</f>
        <v>5712</v>
      </c>
      <c r="B195" s="246" t="str">
        <f>'B) D RI'!B196</f>
        <v>Coppet</v>
      </c>
      <c r="C195" s="424">
        <f>'B) D RI'!S196</f>
        <v>53</v>
      </c>
      <c r="D195" s="247">
        <f>'B) D RI'!AR196</f>
        <v>2936</v>
      </c>
      <c r="E195" s="254">
        <f>'D) Ecrêtage'!M194</f>
        <v>241476.5096912689</v>
      </c>
      <c r="F195" s="257">
        <f>'E) Fact soc'!G200</f>
        <v>8282413.399475812</v>
      </c>
      <c r="G195" s="257">
        <f>'H) Péréquation directe'!I205</f>
        <v>3695243.2705696197</v>
      </c>
      <c r="H195" s="257">
        <f>'I) Dépenses thématiques'!O194</f>
        <v>0</v>
      </c>
      <c r="I195" s="257">
        <f>'K) Plafonnement aide'!J194</f>
        <v>0</v>
      </c>
      <c r="J195" s="257">
        <f>'J) Plafonnement effort'!I194</f>
        <v>0</v>
      </c>
      <c r="K195" s="257">
        <f>'L) Plafonnement taux'!Q195</f>
        <v>0</v>
      </c>
      <c r="L195" s="346">
        <f t="shared" si="9"/>
        <v>11977656.670045432</v>
      </c>
      <c r="M195" s="346">
        <f>'M) Police'!O195</f>
        <v>563873.25839489396</v>
      </c>
      <c r="N195" s="346">
        <f t="shared" si="7"/>
        <v>12541529.928440325</v>
      </c>
      <c r="P195" s="407">
        <v>-2</v>
      </c>
      <c r="Q195" s="410">
        <f t="shared" si="8"/>
        <v>12541527.928440325</v>
      </c>
    </row>
    <row r="196" spans="1:17" s="248" customFormat="1" x14ac:dyDescent="0.25">
      <c r="A196" s="245">
        <f>'B) D RI'!A197</f>
        <v>5713</v>
      </c>
      <c r="B196" s="246" t="str">
        <f>'B) D RI'!B197</f>
        <v>Crans-près-Céligny</v>
      </c>
      <c r="C196" s="424">
        <f>'B) D RI'!S197</f>
        <v>53</v>
      </c>
      <c r="D196" s="247">
        <f>'B) D RI'!AR197</f>
        <v>2044</v>
      </c>
      <c r="E196" s="254">
        <f>'D) Ecrêtage'!M195</f>
        <v>187368.18263493144</v>
      </c>
      <c r="F196" s="257">
        <f>'E) Fact soc'!G201</f>
        <v>7154119.0583429513</v>
      </c>
      <c r="G196" s="257">
        <f>'H) Péréquation directe'!I206</f>
        <v>3003812.6437104596</v>
      </c>
      <c r="H196" s="257">
        <f>'I) Dépenses thématiques'!O195</f>
        <v>0</v>
      </c>
      <c r="I196" s="257">
        <f>'K) Plafonnement aide'!J195</f>
        <v>0</v>
      </c>
      <c r="J196" s="257">
        <f>'J) Plafonnement effort'!I195</f>
        <v>0</v>
      </c>
      <c r="K196" s="257">
        <f>'L) Plafonnement taux'!Q196</f>
        <v>0</v>
      </c>
      <c r="L196" s="346">
        <f t="shared" si="9"/>
        <v>10157931.702053411</v>
      </c>
      <c r="M196" s="346">
        <f>'M) Police'!O196</f>
        <v>242860.83991434786</v>
      </c>
      <c r="N196" s="346">
        <f t="shared" si="7"/>
        <v>10400792.541967759</v>
      </c>
      <c r="P196" s="407">
        <v>-2</v>
      </c>
      <c r="Q196" s="410">
        <f t="shared" si="8"/>
        <v>10400790.541967759</v>
      </c>
    </row>
    <row r="197" spans="1:17" s="248" customFormat="1" x14ac:dyDescent="0.25">
      <c r="A197" s="245">
        <f>'B) D RI'!A198</f>
        <v>5714</v>
      </c>
      <c r="B197" s="246" t="str">
        <f>'B) D RI'!B198</f>
        <v>Crassier</v>
      </c>
      <c r="C197" s="424">
        <f>'B) D RI'!S198</f>
        <v>64</v>
      </c>
      <c r="D197" s="247">
        <f>'B) D RI'!AR198</f>
        <v>1141</v>
      </c>
      <c r="E197" s="254">
        <f>'D) Ecrêtage'!M196</f>
        <v>70586.345688197092</v>
      </c>
      <c r="F197" s="257">
        <f>'E) Fact soc'!G202</f>
        <v>1469797.8760524006</v>
      </c>
      <c r="G197" s="257">
        <f>'H) Péréquation directe'!I207</f>
        <v>1157329.0274103258</v>
      </c>
      <c r="H197" s="257">
        <f>'I) Dépenses thématiques'!O196</f>
        <v>0</v>
      </c>
      <c r="I197" s="257">
        <f>'K) Plafonnement aide'!J196</f>
        <v>0</v>
      </c>
      <c r="J197" s="257">
        <f>'J) Plafonnement effort'!I196</f>
        <v>0</v>
      </c>
      <c r="K197" s="257">
        <f>'L) Plafonnement taux'!Q197</f>
        <v>0</v>
      </c>
      <c r="L197" s="346">
        <f t="shared" si="9"/>
        <v>2627126.9034627266</v>
      </c>
      <c r="M197" s="346">
        <f>'M) Police'!O197</f>
        <v>188989.38503782661</v>
      </c>
      <c r="N197" s="346">
        <f t="shared" si="7"/>
        <v>2816116.288500553</v>
      </c>
      <c r="P197" s="407">
        <v>-1</v>
      </c>
      <c r="Q197" s="410">
        <f t="shared" si="8"/>
        <v>2816115.288500553</v>
      </c>
    </row>
    <row r="198" spans="1:17" s="248" customFormat="1" x14ac:dyDescent="0.25">
      <c r="A198" s="245">
        <f>'B) D RI'!A199</f>
        <v>5715</v>
      </c>
      <c r="B198" s="246" t="str">
        <f>'B) D RI'!B199</f>
        <v>Duillier</v>
      </c>
      <c r="C198" s="424">
        <f>'B) D RI'!S199</f>
        <v>66</v>
      </c>
      <c r="D198" s="247">
        <f>'B) D RI'!AR199</f>
        <v>998</v>
      </c>
      <c r="E198" s="254">
        <f>'D) Ecrêtage'!M197</f>
        <v>57081.407026018729</v>
      </c>
      <c r="F198" s="257">
        <f>'E) Fact soc'!G203</f>
        <v>1208935.703071679</v>
      </c>
      <c r="G198" s="257">
        <f>'H) Péréquation directe'!I208</f>
        <v>956667.52794518846</v>
      </c>
      <c r="H198" s="257">
        <f>'I) Dépenses thématiques'!O197</f>
        <v>0</v>
      </c>
      <c r="I198" s="257">
        <f>'K) Plafonnement aide'!J197</f>
        <v>0</v>
      </c>
      <c r="J198" s="257">
        <f>'J) Plafonnement effort'!I197</f>
        <v>0</v>
      </c>
      <c r="K198" s="257">
        <f>'L) Plafonnement taux'!Q198</f>
        <v>0</v>
      </c>
      <c r="L198" s="346">
        <f t="shared" si="9"/>
        <v>2165603.2310168673</v>
      </c>
      <c r="M198" s="346">
        <f>'M) Police'!O198</f>
        <v>159265.46450193849</v>
      </c>
      <c r="N198" s="346">
        <f t="shared" si="7"/>
        <v>2324868.6955188056</v>
      </c>
      <c r="P198" s="407">
        <v>0</v>
      </c>
      <c r="Q198" s="410">
        <f t="shared" si="8"/>
        <v>2324868.6955188056</v>
      </c>
    </row>
    <row r="199" spans="1:17" s="248" customFormat="1" x14ac:dyDescent="0.25">
      <c r="A199" s="245">
        <f>'B) D RI'!A200</f>
        <v>5716</v>
      </c>
      <c r="B199" s="246" t="str">
        <f>'B) D RI'!B200</f>
        <v>Eysins</v>
      </c>
      <c r="C199" s="424">
        <f>'B) D RI'!S200</f>
        <v>61</v>
      </c>
      <c r="D199" s="247">
        <f>'B) D RI'!AR200</f>
        <v>1469</v>
      </c>
      <c r="E199" s="254">
        <f>'D) Ecrêtage'!M198</f>
        <v>106341.27155420385</v>
      </c>
      <c r="F199" s="257">
        <f>'E) Fact soc'!G204</f>
        <v>3005473.8530145027</v>
      </c>
      <c r="G199" s="257">
        <f>'H) Péréquation directe'!I209</f>
        <v>1704810.2553541656</v>
      </c>
      <c r="H199" s="257">
        <f>'I) Dépenses thématiques'!O198</f>
        <v>0</v>
      </c>
      <c r="I199" s="257">
        <f>'K) Plafonnement aide'!J198</f>
        <v>0</v>
      </c>
      <c r="J199" s="257">
        <f>'J) Plafonnement effort'!I198</f>
        <v>0</v>
      </c>
      <c r="K199" s="257">
        <f>'L) Plafonnement taux'!Q199</f>
        <v>0</v>
      </c>
      <c r="L199" s="346">
        <f t="shared" si="9"/>
        <v>4710284.1083686687</v>
      </c>
      <c r="M199" s="346">
        <f>'M) Police'!O199</f>
        <v>263361.15420306998</v>
      </c>
      <c r="N199" s="346">
        <f t="shared" ref="N199:N262" si="10">L199+M199</f>
        <v>4973645.262571739</v>
      </c>
      <c r="P199" s="407">
        <v>-1</v>
      </c>
      <c r="Q199" s="410">
        <f t="shared" ref="Q199:Q262" si="11">N199+P199</f>
        <v>4973644.262571739</v>
      </c>
    </row>
    <row r="200" spans="1:17" s="248" customFormat="1" x14ac:dyDescent="0.25">
      <c r="A200" s="245">
        <f>'B) D RI'!A201</f>
        <v>5717</v>
      </c>
      <c r="B200" s="246" t="str">
        <f>'B) D RI'!B201</f>
        <v>Founex</v>
      </c>
      <c r="C200" s="424">
        <f>'B) D RI'!S201</f>
        <v>57</v>
      </c>
      <c r="D200" s="247">
        <f>'B) D RI'!AR201</f>
        <v>3372</v>
      </c>
      <c r="E200" s="254">
        <f>'D) Ecrêtage'!M199</f>
        <v>272923.34101542807</v>
      </c>
      <c r="F200" s="257">
        <f>'E) Fact soc'!G205</f>
        <v>9256486.2716516964</v>
      </c>
      <c r="G200" s="257">
        <f>'H) Péréquation directe'!I210</f>
        <v>4070407.3453674288</v>
      </c>
      <c r="H200" s="257">
        <f>'I) Dépenses thématiques'!O199</f>
        <v>0</v>
      </c>
      <c r="I200" s="257">
        <f>'K) Plafonnement aide'!J199</f>
        <v>0</v>
      </c>
      <c r="J200" s="257">
        <f>'J) Plafonnement effort'!I199</f>
        <v>0</v>
      </c>
      <c r="K200" s="257">
        <f>'L) Plafonnement taux'!Q200</f>
        <v>0</v>
      </c>
      <c r="L200" s="346">
        <f t="shared" si="9"/>
        <v>13326893.617019124</v>
      </c>
      <c r="M200" s="346">
        <f>'M) Police'!O200</f>
        <v>641889.52337419451</v>
      </c>
      <c r="N200" s="346">
        <f t="shared" si="10"/>
        <v>13968783.140393319</v>
      </c>
      <c r="P200" s="407">
        <v>-2</v>
      </c>
      <c r="Q200" s="410">
        <f t="shared" si="11"/>
        <v>13968781.140393319</v>
      </c>
    </row>
    <row r="201" spans="1:17" s="248" customFormat="1" x14ac:dyDescent="0.25">
      <c r="A201" s="245">
        <f>'B) D RI'!A202</f>
        <v>5718</v>
      </c>
      <c r="B201" s="246" t="str">
        <f>'B) D RI'!B202</f>
        <v>Genolier</v>
      </c>
      <c r="C201" s="424">
        <f>'B) D RI'!S202</f>
        <v>55</v>
      </c>
      <c r="D201" s="247">
        <f>'B) D RI'!AR202</f>
        <v>1890</v>
      </c>
      <c r="E201" s="254">
        <f>'D) Ecrêtage'!M200</f>
        <v>130101.52774504664</v>
      </c>
      <c r="F201" s="257">
        <f>'E) Fact soc'!G206</f>
        <v>3399907.5276329815</v>
      </c>
      <c r="G201" s="257">
        <f>'H) Péréquation directe'!I211</f>
        <v>1998281.5615826636</v>
      </c>
      <c r="H201" s="257">
        <f>'I) Dépenses thématiques'!O200</f>
        <v>-1855.7125508690406</v>
      </c>
      <c r="I201" s="257">
        <f>'K) Plafonnement aide'!J200</f>
        <v>0</v>
      </c>
      <c r="J201" s="257">
        <f>'J) Plafonnement effort'!I200</f>
        <v>0</v>
      </c>
      <c r="K201" s="257">
        <f>'L) Plafonnement taux'!Q201</f>
        <v>0</v>
      </c>
      <c r="L201" s="346">
        <f t="shared" si="9"/>
        <v>5396333.3766647764</v>
      </c>
      <c r="M201" s="346">
        <f>'M) Police'!O201</f>
        <v>330132.58022411191</v>
      </c>
      <c r="N201" s="346">
        <f t="shared" si="10"/>
        <v>5726465.956888888</v>
      </c>
      <c r="P201" s="407">
        <v>-1</v>
      </c>
      <c r="Q201" s="410">
        <f t="shared" si="11"/>
        <v>5726464.956888888</v>
      </c>
    </row>
    <row r="202" spans="1:17" s="248" customFormat="1" x14ac:dyDescent="0.25">
      <c r="A202" s="245">
        <f>'B) D RI'!A203</f>
        <v>5719</v>
      </c>
      <c r="B202" s="246" t="str">
        <f>'B) D RI'!B203</f>
        <v>Gingins</v>
      </c>
      <c r="C202" s="424">
        <f>'B) D RI'!S203</f>
        <v>57</v>
      </c>
      <c r="D202" s="247">
        <f>'B) D RI'!AR203</f>
        <v>1204</v>
      </c>
      <c r="E202" s="254">
        <f>'D) Ecrêtage'!M201</f>
        <v>84235.486156849482</v>
      </c>
      <c r="F202" s="257">
        <f>'E) Fact soc'!G207</f>
        <v>2250771.2913923273</v>
      </c>
      <c r="G202" s="257">
        <f>'H) Péréquation directe'!I212</f>
        <v>1387880.2297796409</v>
      </c>
      <c r="H202" s="257">
        <f>'I) Dépenses thématiques'!O201</f>
        <v>0</v>
      </c>
      <c r="I202" s="257">
        <f>'K) Plafonnement aide'!J201</f>
        <v>0</v>
      </c>
      <c r="J202" s="257">
        <f>'J) Plafonnement effort'!I201</f>
        <v>0</v>
      </c>
      <c r="K202" s="257">
        <f>'L) Plafonnement taux'!Q202</f>
        <v>0</v>
      </c>
      <c r="L202" s="346">
        <f t="shared" si="9"/>
        <v>3638651.5211719684</v>
      </c>
      <c r="M202" s="346">
        <f>'M) Police'!O202</f>
        <v>212064.27872372762</v>
      </c>
      <c r="N202" s="346">
        <f t="shared" si="10"/>
        <v>3850715.7998956959</v>
      </c>
      <c r="P202" s="407">
        <v>-1</v>
      </c>
      <c r="Q202" s="410">
        <f t="shared" si="11"/>
        <v>3850714.7998956959</v>
      </c>
    </row>
    <row r="203" spans="1:17" s="248" customFormat="1" x14ac:dyDescent="0.25">
      <c r="A203" s="245">
        <f>'B) D RI'!A204</f>
        <v>5720</v>
      </c>
      <c r="B203" s="246" t="str">
        <f>'B) D RI'!B204</f>
        <v>Givrins</v>
      </c>
      <c r="C203" s="424">
        <f>'B) D RI'!S204</f>
        <v>61</v>
      </c>
      <c r="D203" s="247">
        <f>'B) D RI'!AR204</f>
        <v>971</v>
      </c>
      <c r="E203" s="254">
        <f>'D) Ecrêtage'!M202</f>
        <v>69662.544967251597</v>
      </c>
      <c r="F203" s="257">
        <f>'E) Fact soc'!G208</f>
        <v>2102975.1582956249</v>
      </c>
      <c r="G203" s="257">
        <f>'H) Péréquation directe'!I213</f>
        <v>1191971.840347667</v>
      </c>
      <c r="H203" s="257">
        <f>'I) Dépenses thématiques'!O202</f>
        <v>-30567.028379765241</v>
      </c>
      <c r="I203" s="257">
        <f>'K) Plafonnement aide'!J202</f>
        <v>0</v>
      </c>
      <c r="J203" s="257">
        <f>'J) Plafonnement effort'!I202</f>
        <v>0</v>
      </c>
      <c r="K203" s="257">
        <f>'L) Plafonnement taux'!Q203</f>
        <v>0</v>
      </c>
      <c r="L203" s="346">
        <f t="shared" si="9"/>
        <v>3264379.9702635268</v>
      </c>
      <c r="M203" s="346">
        <f>'M) Police'!O203</f>
        <v>173265.61749779739</v>
      </c>
      <c r="N203" s="346">
        <f t="shared" si="10"/>
        <v>3437645.5877613244</v>
      </c>
      <c r="P203" s="407">
        <v>-52</v>
      </c>
      <c r="Q203" s="410">
        <f t="shared" si="11"/>
        <v>3437593.5877613244</v>
      </c>
    </row>
    <row r="204" spans="1:17" s="248" customFormat="1" x14ac:dyDescent="0.25">
      <c r="A204" s="245">
        <f>'B) D RI'!A205</f>
        <v>5721</v>
      </c>
      <c r="B204" s="246" t="str">
        <f>'B) D RI'!B205</f>
        <v>Gland</v>
      </c>
      <c r="C204" s="424">
        <f>'B) D RI'!S205</f>
        <v>62.5</v>
      </c>
      <c r="D204" s="247">
        <f>'B) D RI'!AR205</f>
        <v>12663</v>
      </c>
      <c r="E204" s="254">
        <f>'D) Ecrêtage'!M203</f>
        <v>556574.85335272714</v>
      </c>
      <c r="F204" s="257">
        <f>'E) Fact soc'!G209</f>
        <v>12305305.004147794</v>
      </c>
      <c r="G204" s="257">
        <f>'H) Péréquation directe'!I214</f>
        <v>2952922.3256302057</v>
      </c>
      <c r="H204" s="257">
        <f>'I) Dépenses thématiques'!O203</f>
        <v>0</v>
      </c>
      <c r="I204" s="257">
        <f>'K) Plafonnement aide'!J203</f>
        <v>0</v>
      </c>
      <c r="J204" s="257">
        <f>'J) Plafonnement effort'!I203</f>
        <v>0</v>
      </c>
      <c r="K204" s="257">
        <f>'L) Plafonnement taux'!Q204</f>
        <v>0</v>
      </c>
      <c r="L204" s="346">
        <f t="shared" si="9"/>
        <v>15258227.329778001</v>
      </c>
      <c r="M204" s="346">
        <f>'M) Police'!O204</f>
        <v>1757218.6329501607</v>
      </c>
      <c r="N204" s="346">
        <f t="shared" si="10"/>
        <v>17015445.962728161</v>
      </c>
      <c r="P204" s="407">
        <v>-5</v>
      </c>
      <c r="Q204" s="410">
        <f t="shared" si="11"/>
        <v>17015440.962728161</v>
      </c>
    </row>
    <row r="205" spans="1:17" s="248" customFormat="1" x14ac:dyDescent="0.25">
      <c r="A205" s="245">
        <f>'B) D RI'!A206</f>
        <v>5722</v>
      </c>
      <c r="B205" s="246" t="str">
        <f>'B) D RI'!B206</f>
        <v>Grens</v>
      </c>
      <c r="C205" s="424">
        <f>'B) D RI'!S206</f>
        <v>57</v>
      </c>
      <c r="D205" s="247">
        <f>'B) D RI'!AR206</f>
        <v>380</v>
      </c>
      <c r="E205" s="254">
        <f>'D) Ecrêtage'!M204</f>
        <v>23530.992191336456</v>
      </c>
      <c r="F205" s="257">
        <f>'E) Fact soc'!G210</f>
        <v>443165.46910325345</v>
      </c>
      <c r="G205" s="257">
        <f>'H) Péréquation directe'!I215</f>
        <v>397482.00065741746</v>
      </c>
      <c r="H205" s="257">
        <f>'I) Dépenses thématiques'!O204</f>
        <v>0</v>
      </c>
      <c r="I205" s="257">
        <f>'K) Plafonnement aide'!J204</f>
        <v>0</v>
      </c>
      <c r="J205" s="257">
        <f>'J) Plafonnement effort'!I204</f>
        <v>0</v>
      </c>
      <c r="K205" s="257">
        <f>'L) Plafonnement taux'!Q205</f>
        <v>0</v>
      </c>
      <c r="L205" s="346">
        <f t="shared" si="9"/>
        <v>840647.46976067091</v>
      </c>
      <c r="M205" s="346">
        <f>'M) Police'!O205</f>
        <v>62970.84352573353</v>
      </c>
      <c r="N205" s="346">
        <f t="shared" si="10"/>
        <v>903618.31328640447</v>
      </c>
      <c r="P205" s="407">
        <v>0</v>
      </c>
      <c r="Q205" s="410">
        <f t="shared" si="11"/>
        <v>903618.31328640447</v>
      </c>
    </row>
    <row r="206" spans="1:17" s="248" customFormat="1" x14ac:dyDescent="0.25">
      <c r="A206" s="245">
        <f>'B) D RI'!A207</f>
        <v>5723</v>
      </c>
      <c r="B206" s="246" t="str">
        <f>'B) D RI'!B207</f>
        <v>Mies</v>
      </c>
      <c r="C206" s="424">
        <f>'B) D RI'!S207</f>
        <v>49</v>
      </c>
      <c r="D206" s="247">
        <f>'B) D RI'!AR207</f>
        <v>1778</v>
      </c>
      <c r="E206" s="254">
        <f>'D) Ecrêtage'!M205</f>
        <v>178561.43286500283</v>
      </c>
      <c r="F206" s="257">
        <f>'E) Fact soc'!G211</f>
        <v>7385229.3945953809</v>
      </c>
      <c r="G206" s="257">
        <f>'H) Péréquation directe'!I216</f>
        <v>2933134.856376492</v>
      </c>
      <c r="H206" s="257">
        <f>'I) Dépenses thématiques'!O205</f>
        <v>0</v>
      </c>
      <c r="I206" s="257">
        <f>'K) Plafonnement aide'!J205</f>
        <v>0</v>
      </c>
      <c r="J206" s="257">
        <f>'J) Plafonnement effort'!I205</f>
        <v>0</v>
      </c>
      <c r="K206" s="257">
        <f>'L) Plafonnement taux'!Q206</f>
        <v>0</v>
      </c>
      <c r="L206" s="346">
        <f t="shared" si="9"/>
        <v>10318364.250971872</v>
      </c>
      <c r="M206" s="346">
        <f>'M) Police'!O206</f>
        <v>383374.49809244368</v>
      </c>
      <c r="N206" s="346">
        <f t="shared" si="10"/>
        <v>10701738.749064315</v>
      </c>
      <c r="P206" s="407">
        <v>0.300491563975811</v>
      </c>
      <c r="Q206" s="410">
        <f t="shared" si="11"/>
        <v>10701739.049555879</v>
      </c>
    </row>
    <row r="207" spans="1:17" s="248" customFormat="1" x14ac:dyDescent="0.25">
      <c r="A207" s="245">
        <f>'B) D RI'!A208</f>
        <v>5724</v>
      </c>
      <c r="B207" s="246" t="str">
        <f>'B) D RI'!B208</f>
        <v>Nyon</v>
      </c>
      <c r="C207" s="424">
        <f>'B) D RI'!S208</f>
        <v>61</v>
      </c>
      <c r="D207" s="247">
        <f>'B) D RI'!AR208</f>
        <v>19861</v>
      </c>
      <c r="E207" s="254">
        <f>'D) Ecrêtage'!M206</f>
        <v>1271467.4997079377</v>
      </c>
      <c r="F207" s="257">
        <f>'E) Fact soc'!G212</f>
        <v>28694629.343380153</v>
      </c>
      <c r="G207" s="257">
        <f>'H) Péréquation directe'!I217</f>
        <v>8805451.2947402578</v>
      </c>
      <c r="H207" s="257">
        <f>'I) Dépenses thématiques'!O206</f>
        <v>-316763.26294640527</v>
      </c>
      <c r="I207" s="257">
        <f>'K) Plafonnement aide'!J206</f>
        <v>0</v>
      </c>
      <c r="J207" s="257">
        <f>'J) Plafonnement effort'!I206</f>
        <v>0</v>
      </c>
      <c r="K207" s="257">
        <f>'L) Plafonnement taux'!Q207</f>
        <v>0</v>
      </c>
      <c r="L207" s="346">
        <f t="shared" si="9"/>
        <v>37183317.375174008</v>
      </c>
      <c r="M207" s="346">
        <f>'M) Police'!O207</f>
        <v>1648036.8254652501</v>
      </c>
      <c r="N207" s="346">
        <f t="shared" si="10"/>
        <v>38831354.200639255</v>
      </c>
      <c r="P207" s="407">
        <v>-10</v>
      </c>
      <c r="Q207" s="410">
        <f t="shared" si="11"/>
        <v>38831344.200639255</v>
      </c>
    </row>
    <row r="208" spans="1:17" s="248" customFormat="1" x14ac:dyDescent="0.25">
      <c r="A208" s="245">
        <f>'B) D RI'!A209</f>
        <v>5725</v>
      </c>
      <c r="B208" s="246" t="str">
        <f>'B) D RI'!B209</f>
        <v>Prangins</v>
      </c>
      <c r="C208" s="424">
        <f>'B) D RI'!S209</f>
        <v>56</v>
      </c>
      <c r="D208" s="247">
        <f>'B) D RI'!AR209</f>
        <v>3976</v>
      </c>
      <c r="E208" s="254">
        <f>'D) Ecrêtage'!M207</f>
        <v>256761.00669706723</v>
      </c>
      <c r="F208" s="257">
        <f>'E) Fact soc'!G213</f>
        <v>6125698.4024784844</v>
      </c>
      <c r="G208" s="257">
        <f>'H) Péréquation directe'!I218</f>
        <v>3472596.0036132196</v>
      </c>
      <c r="H208" s="257">
        <f>'I) Dépenses thématiques'!O207</f>
        <v>0</v>
      </c>
      <c r="I208" s="257">
        <f>'K) Plafonnement aide'!J207</f>
        <v>0</v>
      </c>
      <c r="J208" s="257">
        <f>'J) Plafonnement effort'!I207</f>
        <v>0</v>
      </c>
      <c r="K208" s="257">
        <f>'L) Plafonnement taux'!Q208</f>
        <v>0</v>
      </c>
      <c r="L208" s="346">
        <f t="shared" si="9"/>
        <v>9598294.406091705</v>
      </c>
      <c r="M208" s="346">
        <f>'M) Police'!O208</f>
        <v>332805.67098844168</v>
      </c>
      <c r="N208" s="346">
        <f t="shared" si="10"/>
        <v>9931100.0770801473</v>
      </c>
      <c r="P208" s="407">
        <v>-2</v>
      </c>
      <c r="Q208" s="410">
        <f t="shared" si="11"/>
        <v>9931098.0770801473</v>
      </c>
    </row>
    <row r="209" spans="1:17" s="248" customFormat="1" x14ac:dyDescent="0.25">
      <c r="A209" s="245">
        <f>'B) D RI'!A210</f>
        <v>5726</v>
      </c>
      <c r="B209" s="246" t="str">
        <f>'B) D RI'!B210</f>
        <v>La Rippe</v>
      </c>
      <c r="C209" s="424">
        <f>'B) D RI'!S210</f>
        <v>65</v>
      </c>
      <c r="D209" s="247">
        <f>'B) D RI'!AR210</f>
        <v>1104</v>
      </c>
      <c r="E209" s="254">
        <f>'D) Ecrêtage'!M208</f>
        <v>60430.074769230778</v>
      </c>
      <c r="F209" s="257">
        <f>'E) Fact soc'!G214</f>
        <v>1067949.5788599667</v>
      </c>
      <c r="G209" s="257">
        <f>'H) Péréquation directe'!I219</f>
        <v>982354.26327529177</v>
      </c>
      <c r="H209" s="257">
        <f>'I) Dépenses thématiques'!O208</f>
        <v>-536.82560326320868</v>
      </c>
      <c r="I209" s="257">
        <f>'K) Plafonnement aide'!J208</f>
        <v>0</v>
      </c>
      <c r="J209" s="257">
        <f>'J) Plafonnement effort'!I208</f>
        <v>0</v>
      </c>
      <c r="K209" s="257">
        <f>'L) Plafonnement taux'!Q209</f>
        <v>0</v>
      </c>
      <c r="L209" s="346">
        <f t="shared" si="9"/>
        <v>2049767.0165319953</v>
      </c>
      <c r="M209" s="346">
        <f>'M) Police'!O209</f>
        <v>172663.52021954424</v>
      </c>
      <c r="N209" s="346">
        <f t="shared" si="10"/>
        <v>2222430.5367515394</v>
      </c>
      <c r="P209" s="407">
        <v>-117</v>
      </c>
      <c r="Q209" s="410">
        <f t="shared" si="11"/>
        <v>2222313.5367515394</v>
      </c>
    </row>
    <row r="210" spans="1:17" s="248" customFormat="1" x14ac:dyDescent="0.25">
      <c r="A210" s="245">
        <f>'B) D RI'!A211</f>
        <v>5727</v>
      </c>
      <c r="B210" s="246" t="str">
        <f>'B) D RI'!B211</f>
        <v>Saint-Cergue</v>
      </c>
      <c r="C210" s="424">
        <f>'B) D RI'!S211</f>
        <v>66</v>
      </c>
      <c r="D210" s="247">
        <f>'B) D RI'!AR211</f>
        <v>2406</v>
      </c>
      <c r="E210" s="254">
        <f>'D) Ecrêtage'!M209</f>
        <v>92384.571565656559</v>
      </c>
      <c r="F210" s="257">
        <f>'E) Fact soc'!G215</f>
        <v>1680502.4691630988</v>
      </c>
      <c r="G210" s="257">
        <f>'H) Péréquation directe'!I220</f>
        <v>904274.61219589284</v>
      </c>
      <c r="H210" s="257">
        <f>'I) Dépenses thématiques'!O209</f>
        <v>-169700.59069946606</v>
      </c>
      <c r="I210" s="257">
        <f>'K) Plafonnement aide'!J209</f>
        <v>0</v>
      </c>
      <c r="J210" s="257">
        <f>'J) Plafonnement effort'!I209</f>
        <v>0</v>
      </c>
      <c r="K210" s="257">
        <f>'L) Plafonnement taux'!Q210</f>
        <v>0</v>
      </c>
      <c r="L210" s="346">
        <f t="shared" si="9"/>
        <v>2415076.4906595256</v>
      </c>
      <c r="M210" s="346">
        <f>'M) Police'!O210</f>
        <v>290770.10721611272</v>
      </c>
      <c r="N210" s="346">
        <f t="shared" si="10"/>
        <v>2705846.5978756384</v>
      </c>
      <c r="P210" s="407">
        <v>-146</v>
      </c>
      <c r="Q210" s="410">
        <f t="shared" si="11"/>
        <v>2705700.5978756384</v>
      </c>
    </row>
    <row r="211" spans="1:17" s="248" customFormat="1" x14ac:dyDescent="0.25">
      <c r="A211" s="245">
        <f>'B) D RI'!A212</f>
        <v>5728</v>
      </c>
      <c r="B211" s="246" t="str">
        <f>'B) D RI'!B212</f>
        <v>Signy-Avenex</v>
      </c>
      <c r="C211" s="424">
        <f>'B) D RI'!S212</f>
        <v>56</v>
      </c>
      <c r="D211" s="247">
        <f>'B) D RI'!AR212</f>
        <v>481</v>
      </c>
      <c r="E211" s="254">
        <f>'D) Ecrêtage'!M210</f>
        <v>29482.647095725504</v>
      </c>
      <c r="F211" s="257">
        <f>'E) Fact soc'!G216</f>
        <v>672328.98188325576</v>
      </c>
      <c r="G211" s="257">
        <f>'H) Péréquation directe'!I221</f>
        <v>497532.65896501543</v>
      </c>
      <c r="H211" s="257">
        <f>'I) Dépenses thématiques'!O210</f>
        <v>0</v>
      </c>
      <c r="I211" s="257">
        <f>'K) Plafonnement aide'!J210</f>
        <v>0</v>
      </c>
      <c r="J211" s="257">
        <f>'J) Plafonnement effort'!I210</f>
        <v>0</v>
      </c>
      <c r="K211" s="257">
        <f>'L) Plafonnement taux'!Q211</f>
        <v>0</v>
      </c>
      <c r="L211" s="346">
        <f t="shared" si="9"/>
        <v>1169861.6408482711</v>
      </c>
      <c r="M211" s="346">
        <f>'M) Police'!O211</f>
        <v>79315.564599870471</v>
      </c>
      <c r="N211" s="346">
        <f t="shared" si="10"/>
        <v>1249177.2054481416</v>
      </c>
      <c r="P211" s="407">
        <v>-1</v>
      </c>
      <c r="Q211" s="410">
        <f t="shared" si="11"/>
        <v>1249176.2054481416</v>
      </c>
    </row>
    <row r="212" spans="1:17" s="248" customFormat="1" x14ac:dyDescent="0.25">
      <c r="A212" s="245">
        <f>'B) D RI'!A213</f>
        <v>5729</v>
      </c>
      <c r="B212" s="246" t="str">
        <f>'B) D RI'!B213</f>
        <v>Tannay</v>
      </c>
      <c r="C212" s="424">
        <f>'B) D RI'!S213</f>
        <v>61</v>
      </c>
      <c r="D212" s="247">
        <f>'B) D RI'!AR213</f>
        <v>1448</v>
      </c>
      <c r="E212" s="254">
        <f>'D) Ecrêtage'!M211</f>
        <v>112812.83266494203</v>
      </c>
      <c r="F212" s="257">
        <f>'E) Fact soc'!G217</f>
        <v>3466694.5307623954</v>
      </c>
      <c r="G212" s="257">
        <f>'H) Péréquation directe'!I222</f>
        <v>1831748.6837476715</v>
      </c>
      <c r="H212" s="257">
        <f>'I) Dépenses thématiques'!O211</f>
        <v>0</v>
      </c>
      <c r="I212" s="257">
        <f>'K) Plafonnement aide'!J211</f>
        <v>0</v>
      </c>
      <c r="J212" s="257">
        <f>'J) Plafonnement effort'!I211</f>
        <v>0</v>
      </c>
      <c r="K212" s="257">
        <f>'L) Plafonnement taux'!Q212</f>
        <v>0</v>
      </c>
      <c r="L212" s="346">
        <f t="shared" si="9"/>
        <v>5298443.2145100664</v>
      </c>
      <c r="M212" s="346">
        <f>'M) Police'!O212</f>
        <v>269954.95803983381</v>
      </c>
      <c r="N212" s="346">
        <f t="shared" si="10"/>
        <v>5568398.1725499006</v>
      </c>
      <c r="P212" s="407">
        <v>-1</v>
      </c>
      <c r="Q212" s="410">
        <f t="shared" si="11"/>
        <v>5568397.1725499006</v>
      </c>
    </row>
    <row r="213" spans="1:17" s="248" customFormat="1" x14ac:dyDescent="0.25">
      <c r="A213" s="245">
        <f>'B) D RI'!A214</f>
        <v>5730</v>
      </c>
      <c r="B213" s="246" t="str">
        <f>'B) D RI'!B214</f>
        <v>Trélex</v>
      </c>
      <c r="C213" s="424">
        <f>'B) D RI'!S214</f>
        <v>53</v>
      </c>
      <c r="D213" s="247">
        <f>'B) D RI'!AR214</f>
        <v>1394</v>
      </c>
      <c r="E213" s="254">
        <f>'D) Ecrêtage'!M212</f>
        <v>115534.33928652294</v>
      </c>
      <c r="F213" s="257">
        <f>'E) Fact soc'!G218</f>
        <v>3604526.4969806736</v>
      </c>
      <c r="G213" s="257">
        <f>'H) Péréquation directe'!I223</f>
        <v>1900780.5490353552</v>
      </c>
      <c r="H213" s="257">
        <f>'I) Dépenses thématiques'!O212</f>
        <v>0</v>
      </c>
      <c r="I213" s="257">
        <f>'K) Plafonnement aide'!J212</f>
        <v>0</v>
      </c>
      <c r="J213" s="257">
        <f>'J) Plafonnement effort'!I212</f>
        <v>0</v>
      </c>
      <c r="K213" s="257">
        <f>'L) Plafonnement taux'!Q213</f>
        <v>0</v>
      </c>
      <c r="L213" s="346">
        <f t="shared" si="9"/>
        <v>5505307.0460160291</v>
      </c>
      <c r="M213" s="346">
        <f>'M) Police'!O213</f>
        <v>268868.23338216258</v>
      </c>
      <c r="N213" s="346">
        <f t="shared" si="10"/>
        <v>5774175.2793981917</v>
      </c>
      <c r="P213" s="407">
        <v>-1</v>
      </c>
      <c r="Q213" s="410">
        <f t="shared" si="11"/>
        <v>5774174.2793981917</v>
      </c>
    </row>
    <row r="214" spans="1:17" s="248" customFormat="1" x14ac:dyDescent="0.25">
      <c r="A214" s="245">
        <f>'B) D RI'!A215</f>
        <v>5731</v>
      </c>
      <c r="B214" s="246" t="str">
        <f>'B) D RI'!B215</f>
        <v>Le Vaud</v>
      </c>
      <c r="C214" s="424">
        <f>'B) D RI'!S215</f>
        <v>75</v>
      </c>
      <c r="D214" s="247">
        <f>'B) D RI'!AR215</f>
        <v>1243</v>
      </c>
      <c r="E214" s="254">
        <f>'D) Ecrêtage'!M213</f>
        <v>46449.882799999999</v>
      </c>
      <c r="F214" s="257">
        <f>'E) Fact soc'!G219</f>
        <v>818707.28653497109</v>
      </c>
      <c r="G214" s="257">
        <f>'H) Péréquation directe'!I224</f>
        <v>501773.48386896885</v>
      </c>
      <c r="H214" s="257">
        <f>'I) Dépenses thématiques'!O213</f>
        <v>-159928.91417572176</v>
      </c>
      <c r="I214" s="257">
        <f>'K) Plafonnement aide'!J213</f>
        <v>0</v>
      </c>
      <c r="J214" s="257">
        <f>'J) Plafonnement effort'!I213</f>
        <v>0</v>
      </c>
      <c r="K214" s="257">
        <f>'L) Plafonnement taux'!Q214</f>
        <v>0</v>
      </c>
      <c r="L214" s="346">
        <f t="shared" si="9"/>
        <v>1160551.8562282182</v>
      </c>
      <c r="M214" s="346">
        <f>'M) Police'!O214</f>
        <v>146957.19955055643</v>
      </c>
      <c r="N214" s="346">
        <f t="shared" si="10"/>
        <v>1307509.0557787747</v>
      </c>
      <c r="P214" s="407">
        <v>-234</v>
      </c>
      <c r="Q214" s="410">
        <f t="shared" si="11"/>
        <v>1307275.0557787747</v>
      </c>
    </row>
    <row r="215" spans="1:17" s="248" customFormat="1" x14ac:dyDescent="0.25">
      <c r="A215" s="245">
        <f>'B) D RI'!A216</f>
        <v>5732</v>
      </c>
      <c r="B215" s="246" t="str">
        <f>'B) D RI'!B216</f>
        <v>Vich</v>
      </c>
      <c r="C215" s="424">
        <f>'B) D RI'!S216</f>
        <v>68</v>
      </c>
      <c r="D215" s="247">
        <f>'B) D RI'!AR216</f>
        <v>882</v>
      </c>
      <c r="E215" s="254">
        <f>'D) Ecrêtage'!M214</f>
        <v>54131.506219458031</v>
      </c>
      <c r="F215" s="257">
        <f>'E) Fact soc'!G220</f>
        <v>1358489.4189557168</v>
      </c>
      <c r="G215" s="257">
        <f>'H) Péréquation directe'!I225</f>
        <v>913605.69994541886</v>
      </c>
      <c r="H215" s="257">
        <f>'I) Dépenses thématiques'!O214</f>
        <v>0</v>
      </c>
      <c r="I215" s="257">
        <f>'K) Plafonnement aide'!J214</f>
        <v>0</v>
      </c>
      <c r="J215" s="257">
        <f>'J) Plafonnement effort'!I214</f>
        <v>0</v>
      </c>
      <c r="K215" s="257">
        <f>'L) Plafonnement taux'!Q215</f>
        <v>0</v>
      </c>
      <c r="L215" s="346">
        <f t="shared" si="9"/>
        <v>2272095.1189011354</v>
      </c>
      <c r="M215" s="346">
        <f>'M) Police'!O215</f>
        <v>145529.78605099846</v>
      </c>
      <c r="N215" s="346">
        <f t="shared" si="10"/>
        <v>2417624.904952134</v>
      </c>
      <c r="P215" s="407">
        <v>0</v>
      </c>
      <c r="Q215" s="410">
        <f t="shared" si="11"/>
        <v>2417624.904952134</v>
      </c>
    </row>
    <row r="216" spans="1:17" s="248" customFormat="1" x14ac:dyDescent="0.25">
      <c r="A216" s="245">
        <f>'B) D RI'!A217</f>
        <v>5741</v>
      </c>
      <c r="B216" s="246" t="str">
        <f>'B) D RI'!B217</f>
        <v>L'Abergement</v>
      </c>
      <c r="C216" s="424">
        <f>'B) D RI'!S217</f>
        <v>81</v>
      </c>
      <c r="D216" s="247">
        <f>'B) D RI'!AR217</f>
        <v>250</v>
      </c>
      <c r="E216" s="254">
        <f>'D) Ecrêtage'!M215</f>
        <v>6994.8889917695487</v>
      </c>
      <c r="F216" s="257">
        <f>'E) Fact soc'!G221</f>
        <v>116690.0374719761</v>
      </c>
      <c r="G216" s="257">
        <f>'H) Péréquation directe'!I226</f>
        <v>2518.0272824590938</v>
      </c>
      <c r="H216" s="257">
        <f>'I) Dépenses thématiques'!O215</f>
        <v>-82218.094935901725</v>
      </c>
      <c r="I216" s="257">
        <f>'K) Plafonnement aide'!J215</f>
        <v>0</v>
      </c>
      <c r="J216" s="257">
        <f>'J) Plafonnement effort'!I215</f>
        <v>0</v>
      </c>
      <c r="K216" s="257">
        <f>'L) Plafonnement taux'!Q216</f>
        <v>0</v>
      </c>
      <c r="L216" s="346">
        <f t="shared" si="9"/>
        <v>36989.969818533471</v>
      </c>
      <c r="M216" s="346">
        <f>'M) Police'!O216</f>
        <v>22185.905556349891</v>
      </c>
      <c r="N216" s="346">
        <f t="shared" si="10"/>
        <v>59175.875374883362</v>
      </c>
      <c r="P216" s="407">
        <v>-129</v>
      </c>
      <c r="Q216" s="410">
        <f t="shared" si="11"/>
        <v>59046.875374883362</v>
      </c>
    </row>
    <row r="217" spans="1:17" s="248" customFormat="1" x14ac:dyDescent="0.25">
      <c r="A217" s="245">
        <f>'B) D RI'!A218</f>
        <v>5742</v>
      </c>
      <c r="B217" s="246" t="str">
        <f>'B) D RI'!B218</f>
        <v>Agiez</v>
      </c>
      <c r="C217" s="424">
        <f>'B) D RI'!S218</f>
        <v>76</v>
      </c>
      <c r="D217" s="247">
        <f>'B) D RI'!AR218</f>
        <v>308</v>
      </c>
      <c r="E217" s="254">
        <f>'D) Ecrêtage'!M216</f>
        <v>9274.0430263157905</v>
      </c>
      <c r="F217" s="257">
        <f>'E) Fact soc'!G222</f>
        <v>137162.98977954895</v>
      </c>
      <c r="G217" s="257">
        <f>'H) Péréquation directe'!I227</f>
        <v>45366.221910589025</v>
      </c>
      <c r="H217" s="257">
        <f>'I) Dépenses thématiques'!O216</f>
        <v>-28346.768956826942</v>
      </c>
      <c r="I217" s="257">
        <f>'K) Plafonnement aide'!J216</f>
        <v>0</v>
      </c>
      <c r="J217" s="257">
        <f>'J) Plafonnement effort'!I216</f>
        <v>0</v>
      </c>
      <c r="K217" s="257">
        <f>'L) Plafonnement taux'!Q217</f>
        <v>0</v>
      </c>
      <c r="L217" s="346">
        <f t="shared" si="9"/>
        <v>154182.44273331104</v>
      </c>
      <c r="M217" s="346">
        <f>'M) Police'!O217</f>
        <v>29328.066254383113</v>
      </c>
      <c r="N217" s="346">
        <f t="shared" si="10"/>
        <v>183510.50898769416</v>
      </c>
      <c r="P217" s="407">
        <v>-49</v>
      </c>
      <c r="Q217" s="410">
        <f t="shared" si="11"/>
        <v>183461.50898769416</v>
      </c>
    </row>
    <row r="218" spans="1:17" s="248" customFormat="1" x14ac:dyDescent="0.25">
      <c r="A218" s="245">
        <f>'B) D RI'!A219</f>
        <v>5743</v>
      </c>
      <c r="B218" s="246" t="str">
        <f>'B) D RI'!B219</f>
        <v>Arnex-sur-Orbe</v>
      </c>
      <c r="C218" s="424">
        <f>'B) D RI'!S219</f>
        <v>73</v>
      </c>
      <c r="D218" s="247">
        <f>'B) D RI'!AR219</f>
        <v>625</v>
      </c>
      <c r="E218" s="254">
        <f>'D) Ecrêtage'!M217</f>
        <v>17348.834349315071</v>
      </c>
      <c r="F218" s="257">
        <f>'E) Fact soc'!G223</f>
        <v>291366.5682479993</v>
      </c>
      <c r="G218" s="257">
        <f>'H) Péréquation directe'!I228</f>
        <v>48719.233408120344</v>
      </c>
      <c r="H218" s="257">
        <f>'I) Dépenses thématiques'!O217</f>
        <v>-52248.62233592337</v>
      </c>
      <c r="I218" s="257">
        <f>'K) Plafonnement aide'!J217</f>
        <v>0</v>
      </c>
      <c r="J218" s="257">
        <f>'J) Plafonnement effort'!I217</f>
        <v>0</v>
      </c>
      <c r="K218" s="257">
        <f>'L) Plafonnement taux'!Q218</f>
        <v>0</v>
      </c>
      <c r="L218" s="346">
        <f t="shared" si="9"/>
        <v>287837.17932019627</v>
      </c>
      <c r="M218" s="346">
        <f>'M) Police'!O218</f>
        <v>55169.822743270932</v>
      </c>
      <c r="N218" s="346">
        <f t="shared" si="10"/>
        <v>343007.00206346723</v>
      </c>
      <c r="P218" s="407">
        <v>-112</v>
      </c>
      <c r="Q218" s="410">
        <f t="shared" si="11"/>
        <v>342895.00206346723</v>
      </c>
    </row>
    <row r="219" spans="1:17" s="248" customFormat="1" x14ac:dyDescent="0.25">
      <c r="A219" s="245">
        <f>'B) D RI'!A220</f>
        <v>5744</v>
      </c>
      <c r="B219" s="246" t="str">
        <f>'B) D RI'!B220</f>
        <v>Ballaigues</v>
      </c>
      <c r="C219" s="424">
        <f>'B) D RI'!S220</f>
        <v>66</v>
      </c>
      <c r="D219" s="247">
        <f>'B) D RI'!AR220</f>
        <v>1069</v>
      </c>
      <c r="E219" s="254">
        <f>'D) Ecrêtage'!M218</f>
        <v>53212.458333333336</v>
      </c>
      <c r="F219" s="257">
        <f>'E) Fact soc'!G224</f>
        <v>1037551.9759950788</v>
      </c>
      <c r="G219" s="257">
        <f>'H) Péréquation directe'!I229</f>
        <v>861023.7190976257</v>
      </c>
      <c r="H219" s="257">
        <f>'I) Dépenses thématiques'!O218</f>
        <v>-406720.3825276175</v>
      </c>
      <c r="I219" s="257">
        <f>'K) Plafonnement aide'!J218</f>
        <v>0</v>
      </c>
      <c r="J219" s="257">
        <f>'J) Plafonnement effort'!I218</f>
        <v>0</v>
      </c>
      <c r="K219" s="257">
        <f>'L) Plafonnement taux'!Q219</f>
        <v>0</v>
      </c>
      <c r="L219" s="346">
        <f t="shared" si="9"/>
        <v>1491855.3125650871</v>
      </c>
      <c r="M219" s="346">
        <f>'M) Police'!O219</f>
        <v>160317.54681993651</v>
      </c>
      <c r="N219" s="346">
        <f t="shared" si="10"/>
        <v>1652172.8593850236</v>
      </c>
      <c r="P219" s="407">
        <v>-136</v>
      </c>
      <c r="Q219" s="410">
        <f t="shared" si="11"/>
        <v>1652036.8593850236</v>
      </c>
    </row>
    <row r="220" spans="1:17" s="248" customFormat="1" x14ac:dyDescent="0.25">
      <c r="A220" s="245">
        <f>'B) D RI'!A221</f>
        <v>5745</v>
      </c>
      <c r="B220" s="246" t="str">
        <f>'B) D RI'!B221</f>
        <v>Baulmes</v>
      </c>
      <c r="C220" s="424">
        <f>'B) D RI'!S221</f>
        <v>78</v>
      </c>
      <c r="D220" s="247">
        <f>'B) D RI'!AR221</f>
        <v>1034</v>
      </c>
      <c r="E220" s="254">
        <f>'D) Ecrêtage'!M219</f>
        <v>27522.151666666668</v>
      </c>
      <c r="F220" s="257">
        <f>'E) Fact soc'!G225</f>
        <v>488219.58406322286</v>
      </c>
      <c r="G220" s="257">
        <f>'H) Péréquation directe'!I230</f>
        <v>-27451.683879749908</v>
      </c>
      <c r="H220" s="257">
        <f>'I) Dépenses thématiques'!O219</f>
        <v>-301638.44988283521</v>
      </c>
      <c r="I220" s="257">
        <f>'K) Plafonnement aide'!J219</f>
        <v>0</v>
      </c>
      <c r="J220" s="257">
        <f>'J) Plafonnement effort'!I219</f>
        <v>0</v>
      </c>
      <c r="K220" s="257">
        <f>'L) Plafonnement taux'!Q220</f>
        <v>0</v>
      </c>
      <c r="L220" s="346">
        <f t="shared" si="9"/>
        <v>159129.45030063775</v>
      </c>
      <c r="M220" s="346">
        <f>'M) Police'!O220</f>
        <v>87646.685118168534</v>
      </c>
      <c r="N220" s="346">
        <f t="shared" si="10"/>
        <v>246776.13541880628</v>
      </c>
      <c r="P220" s="407">
        <v>-307</v>
      </c>
      <c r="Q220" s="410">
        <f t="shared" si="11"/>
        <v>246469.13541880628</v>
      </c>
    </row>
    <row r="221" spans="1:17" s="248" customFormat="1" x14ac:dyDescent="0.25">
      <c r="A221" s="245">
        <f>'B) D RI'!A222</f>
        <v>5746</v>
      </c>
      <c r="B221" s="246" t="str">
        <f>'B) D RI'!B222</f>
        <v>Bavois</v>
      </c>
      <c r="C221" s="424">
        <f>'B) D RI'!S222</f>
        <v>73</v>
      </c>
      <c r="D221" s="247">
        <f>'B) D RI'!AR222</f>
        <v>939</v>
      </c>
      <c r="E221" s="254">
        <f>'D) Ecrêtage'!M220</f>
        <v>23930.083584474884</v>
      </c>
      <c r="F221" s="257">
        <f>'E) Fact soc'!G226</f>
        <v>411778.61366407911</v>
      </c>
      <c r="G221" s="257">
        <f>'H) Péréquation directe'!I231</f>
        <v>-11537.162606304802</v>
      </c>
      <c r="H221" s="257">
        <f>'I) Dépenses thématiques'!O220</f>
        <v>-177530.82574875964</v>
      </c>
      <c r="I221" s="257">
        <f>'K) Plafonnement aide'!J220</f>
        <v>0</v>
      </c>
      <c r="J221" s="257">
        <f>'J) Plafonnement effort'!I220</f>
        <v>0</v>
      </c>
      <c r="K221" s="257">
        <f>'L) Plafonnement taux'!Q221</f>
        <v>0</v>
      </c>
      <c r="L221" s="346">
        <f t="shared" si="9"/>
        <v>222710.62530901466</v>
      </c>
      <c r="M221" s="346">
        <f>'M) Police'!O221</f>
        <v>74591.079265793494</v>
      </c>
      <c r="N221" s="346">
        <f t="shared" si="10"/>
        <v>297301.70457480813</v>
      </c>
      <c r="P221" s="407">
        <v>-271</v>
      </c>
      <c r="Q221" s="410">
        <f t="shared" si="11"/>
        <v>297030.70457480813</v>
      </c>
    </row>
    <row r="222" spans="1:17" s="248" customFormat="1" x14ac:dyDescent="0.25">
      <c r="A222" s="245">
        <f>'B) D RI'!A223</f>
        <v>5747</v>
      </c>
      <c r="B222" s="246" t="str">
        <f>'B) D RI'!B223</f>
        <v>Bofflens</v>
      </c>
      <c r="C222" s="424">
        <f>'B) D RI'!S223</f>
        <v>69</v>
      </c>
      <c r="D222" s="247">
        <f>'B) D RI'!AR223</f>
        <v>187</v>
      </c>
      <c r="E222" s="254">
        <f>'D) Ecrêtage'!M221</f>
        <v>5183.441884057971</v>
      </c>
      <c r="F222" s="257">
        <f>'E) Fact soc'!G227</f>
        <v>81351.471443243441</v>
      </c>
      <c r="G222" s="257">
        <f>'H) Péréquation directe'!I232</f>
        <v>21005.812539557432</v>
      </c>
      <c r="H222" s="257">
        <f>'I) Dépenses thématiques'!O221</f>
        <v>-8047.1400872222075</v>
      </c>
      <c r="I222" s="257">
        <f>'K) Plafonnement aide'!J221</f>
        <v>0</v>
      </c>
      <c r="J222" s="257">
        <f>'J) Plafonnement effort'!I221</f>
        <v>0</v>
      </c>
      <c r="K222" s="257">
        <f>'L) Plafonnement taux'!Q222</f>
        <v>0</v>
      </c>
      <c r="L222" s="346">
        <f t="shared" si="9"/>
        <v>94310.143895578658</v>
      </c>
      <c r="M222" s="346">
        <f>'M) Police'!O222</f>
        <v>16334.200728084457</v>
      </c>
      <c r="N222" s="346">
        <f t="shared" si="10"/>
        <v>110644.34462366311</v>
      </c>
      <c r="P222" s="407">
        <v>0</v>
      </c>
      <c r="Q222" s="410">
        <f t="shared" si="11"/>
        <v>110644.34462366311</v>
      </c>
    </row>
    <row r="223" spans="1:17" s="248" customFormat="1" x14ac:dyDescent="0.25">
      <c r="A223" s="245">
        <f>'B) D RI'!A224</f>
        <v>5748</v>
      </c>
      <c r="B223" s="246" t="str">
        <f>'B) D RI'!B224</f>
        <v>Bretonnières</v>
      </c>
      <c r="C223" s="424">
        <f>'B) D RI'!S224</f>
        <v>72</v>
      </c>
      <c r="D223" s="247">
        <f>'B) D RI'!AR224</f>
        <v>252</v>
      </c>
      <c r="E223" s="254">
        <f>'D) Ecrêtage'!M222</f>
        <v>6140.8540277777784</v>
      </c>
      <c r="F223" s="257">
        <f>'E) Fact soc'!G228</f>
        <v>114296.48808540995</v>
      </c>
      <c r="G223" s="257">
        <f>'H) Péréquation directe'!I233</f>
        <v>-11461.634471442914</v>
      </c>
      <c r="H223" s="257">
        <f>'I) Dépenses thématiques'!O222</f>
        <v>-46090.426953662682</v>
      </c>
      <c r="I223" s="257">
        <f>'K) Plafonnement aide'!J222</f>
        <v>0</v>
      </c>
      <c r="J223" s="257">
        <f>'J) Plafonnement effort'!I222</f>
        <v>0</v>
      </c>
      <c r="K223" s="257">
        <f>'L) Plafonnement taux'!Q223</f>
        <v>0</v>
      </c>
      <c r="L223" s="346">
        <f t="shared" si="9"/>
        <v>56744.426660304351</v>
      </c>
      <c r="M223" s="346">
        <f>'M) Police'!O223</f>
        <v>19353.765229740042</v>
      </c>
      <c r="N223" s="346">
        <f t="shared" si="10"/>
        <v>76098.1918900444</v>
      </c>
      <c r="P223" s="407">
        <v>-77</v>
      </c>
      <c r="Q223" s="410">
        <f t="shared" si="11"/>
        <v>76021.1918900444</v>
      </c>
    </row>
    <row r="224" spans="1:17" s="248" customFormat="1" x14ac:dyDescent="0.25">
      <c r="A224" s="245">
        <f>'B) D RI'!A225</f>
        <v>5749</v>
      </c>
      <c r="B224" s="246" t="str">
        <f>'B) D RI'!B225</f>
        <v>Chavornay</v>
      </c>
      <c r="C224" s="424">
        <f>'B) D RI'!S225</f>
        <v>72</v>
      </c>
      <c r="D224" s="247">
        <f>'B) D RI'!AR225</f>
        <v>4156</v>
      </c>
      <c r="E224" s="254">
        <f>'D) Ecrêtage'!M223</f>
        <v>110381.46250000001</v>
      </c>
      <c r="F224" s="257">
        <f>'E) Fact soc'!G229</f>
        <v>1873706.2232551237</v>
      </c>
      <c r="G224" s="257">
        <f>'H) Péréquation directe'!I234</f>
        <v>-785564.69501338061</v>
      </c>
      <c r="H224" s="257">
        <f>'I) Dépenses thématiques'!O223</f>
        <v>-411496.70893916726</v>
      </c>
      <c r="I224" s="257">
        <f>'K) Plafonnement aide'!J223</f>
        <v>0</v>
      </c>
      <c r="J224" s="257">
        <f>'J) Plafonnement effort'!I223</f>
        <v>0</v>
      </c>
      <c r="K224" s="257">
        <f>'L) Plafonnement taux'!Q224</f>
        <v>0</v>
      </c>
      <c r="L224" s="346">
        <f t="shared" si="9"/>
        <v>676644.8193025759</v>
      </c>
      <c r="M224" s="346">
        <f>'M) Police'!O224</f>
        <v>346255.27464520815</v>
      </c>
      <c r="N224" s="346">
        <f t="shared" si="10"/>
        <v>1022900.093947784</v>
      </c>
      <c r="P224" s="407">
        <v>-298</v>
      </c>
      <c r="Q224" s="410">
        <f t="shared" si="11"/>
        <v>1022602.093947784</v>
      </c>
    </row>
    <row r="225" spans="1:17" s="248" customFormat="1" x14ac:dyDescent="0.25">
      <c r="A225" s="245">
        <f>'B) D RI'!A226</f>
        <v>5750</v>
      </c>
      <c r="B225" s="246" t="str">
        <f>'B) D RI'!B226</f>
        <v>Les Clées</v>
      </c>
      <c r="C225" s="424">
        <f>'B) D RI'!S226</f>
        <v>80</v>
      </c>
      <c r="D225" s="247">
        <f>'B) D RI'!AR226</f>
        <v>186</v>
      </c>
      <c r="E225" s="254">
        <f>'D) Ecrêtage'!M224</f>
        <v>4366.1146666666664</v>
      </c>
      <c r="F225" s="257">
        <f>'E) Fact soc'!G230</f>
        <v>68544.883476729141</v>
      </c>
      <c r="G225" s="257">
        <f>'H) Péréquation directe'!I235</f>
        <v>-33098.471955845351</v>
      </c>
      <c r="H225" s="257">
        <f>'I) Dépenses thématiques'!O224</f>
        <v>-29509.903289707239</v>
      </c>
      <c r="I225" s="257">
        <f>'K) Plafonnement aide'!J224</f>
        <v>0</v>
      </c>
      <c r="J225" s="257">
        <f>'J) Plafonnement effort'!I224</f>
        <v>0</v>
      </c>
      <c r="K225" s="257">
        <f>'L) Plafonnement taux'!Q225</f>
        <v>0</v>
      </c>
      <c r="L225" s="346">
        <f t="shared" si="9"/>
        <v>5936.5082311765509</v>
      </c>
      <c r="M225" s="346">
        <f>'M) Police'!O225</f>
        <v>13871.024964322976</v>
      </c>
      <c r="N225" s="346">
        <f t="shared" si="10"/>
        <v>19807.533195499527</v>
      </c>
      <c r="P225" s="407">
        <v>-37</v>
      </c>
      <c r="Q225" s="410">
        <f t="shared" si="11"/>
        <v>19770.533195499527</v>
      </c>
    </row>
    <row r="226" spans="1:17" s="248" customFormat="1" x14ac:dyDescent="0.25">
      <c r="A226" s="245">
        <f>'B) D RI'!A227</f>
        <v>5751</v>
      </c>
      <c r="B226" s="246" t="str">
        <f>'B) D RI'!B227</f>
        <v>Corcelles-sur-Chavornay</v>
      </c>
      <c r="C226" s="424">
        <f>'B) D RI'!S227</f>
        <v>76</v>
      </c>
      <c r="D226" s="247">
        <f>'B) D RI'!AR227</f>
        <v>352</v>
      </c>
      <c r="E226" s="254">
        <f>'D) Ecrêtage'!M225</f>
        <v>8804.0960526315775</v>
      </c>
      <c r="F226" s="257">
        <f>'E) Fact soc'!G231</f>
        <v>164021.74865514983</v>
      </c>
      <c r="G226" s="257">
        <f>'H) Péréquation directe'!I236</f>
        <v>-22582.789868279942</v>
      </c>
      <c r="H226" s="257">
        <f>'I) Dépenses thématiques'!O225</f>
        <v>-63866.001131496101</v>
      </c>
      <c r="I226" s="257">
        <f>'K) Plafonnement aide'!J225</f>
        <v>0</v>
      </c>
      <c r="J226" s="257">
        <f>'J) Plafonnement effort'!I225</f>
        <v>0</v>
      </c>
      <c r="K226" s="257">
        <f>'L) Plafonnement taux'!Q226</f>
        <v>0</v>
      </c>
      <c r="L226" s="346">
        <f t="shared" si="9"/>
        <v>77572.957655373786</v>
      </c>
      <c r="M226" s="346">
        <f>'M) Police'!O226</f>
        <v>11411.596846166323</v>
      </c>
      <c r="N226" s="346">
        <f t="shared" si="10"/>
        <v>88984.554501540115</v>
      </c>
      <c r="P226" s="407">
        <v>-74</v>
      </c>
      <c r="Q226" s="410">
        <f t="shared" si="11"/>
        <v>88910.554501540115</v>
      </c>
    </row>
    <row r="227" spans="1:17" s="248" customFormat="1" x14ac:dyDescent="0.25">
      <c r="A227" s="245">
        <f>'B) D RI'!A228</f>
        <v>5752</v>
      </c>
      <c r="B227" s="246" t="str">
        <f>'B) D RI'!B228</f>
        <v>Croy</v>
      </c>
      <c r="C227" s="424">
        <f>'B) D RI'!S228</f>
        <v>74</v>
      </c>
      <c r="D227" s="247">
        <f>'B) D RI'!AR228</f>
        <v>335</v>
      </c>
      <c r="E227" s="254">
        <f>'D) Ecrêtage'!M226</f>
        <v>14303.968204633204</v>
      </c>
      <c r="F227" s="257">
        <f>'E) Fact soc'!G232</f>
        <v>248718.14064441656</v>
      </c>
      <c r="G227" s="257">
        <f>'H) Péréquation directe'!I237</f>
        <v>224586.72447802575</v>
      </c>
      <c r="H227" s="257">
        <f>'I) Dépenses thématiques'!O226</f>
        <v>-287193.39056012844</v>
      </c>
      <c r="I227" s="257">
        <f>'K) Plafonnement aide'!J226</f>
        <v>0</v>
      </c>
      <c r="J227" s="257">
        <f>'J) Plafonnement effort'!I226</f>
        <v>0</v>
      </c>
      <c r="K227" s="257">
        <f>'L) Plafonnement taux'!Q227</f>
        <v>0</v>
      </c>
      <c r="L227" s="346">
        <f t="shared" ref="L227:L273" si="12">F227+G227+H227+I227+J227+K227</f>
        <v>186111.47456231387</v>
      </c>
      <c r="M227" s="346">
        <f>'M) Police'!O227</f>
        <v>45972.274170230769</v>
      </c>
      <c r="N227" s="346">
        <f t="shared" si="10"/>
        <v>232083.74873254466</v>
      </c>
      <c r="P227" s="407">
        <v>-68</v>
      </c>
      <c r="Q227" s="410">
        <f t="shared" si="11"/>
        <v>232015.74873254466</v>
      </c>
    </row>
    <row r="228" spans="1:17" s="248" customFormat="1" x14ac:dyDescent="0.25">
      <c r="A228" s="245">
        <f>'B) D RI'!A229</f>
        <v>5754</v>
      </c>
      <c r="B228" s="246" t="str">
        <f>'B) D RI'!B229</f>
        <v>Juriens</v>
      </c>
      <c r="C228" s="424">
        <f>'B) D RI'!S229</f>
        <v>79</v>
      </c>
      <c r="D228" s="247">
        <f>'B) D RI'!AR229</f>
        <v>302</v>
      </c>
      <c r="E228" s="254">
        <f>'D) Ecrêtage'!M227</f>
        <v>6475.8115189873415</v>
      </c>
      <c r="F228" s="257">
        <f>'E) Fact soc'!G233</f>
        <v>111919.04790927938</v>
      </c>
      <c r="G228" s="257">
        <f>'H) Péréquation directe'!I238</f>
        <v>-76457.545749730649</v>
      </c>
      <c r="H228" s="257">
        <f>'I) Dépenses thématiques'!O227</f>
        <v>-32924.662591631401</v>
      </c>
      <c r="I228" s="257">
        <f>'K) Plafonnement aide'!J227</f>
        <v>0</v>
      </c>
      <c r="J228" s="257">
        <f>'J) Plafonnement effort'!I227</f>
        <v>0</v>
      </c>
      <c r="K228" s="257">
        <f>'L) Plafonnement taux'!Q228</f>
        <v>0</v>
      </c>
      <c r="L228" s="346">
        <f t="shared" si="12"/>
        <v>2536.8395679173336</v>
      </c>
      <c r="M228" s="346">
        <f>'M) Police'!O228</f>
        <v>20402.875853345387</v>
      </c>
      <c r="N228" s="346">
        <f t="shared" si="10"/>
        <v>22939.715421262721</v>
      </c>
      <c r="P228" s="407">
        <v>-80</v>
      </c>
      <c r="Q228" s="410">
        <f t="shared" si="11"/>
        <v>22859.715421262721</v>
      </c>
    </row>
    <row r="229" spans="1:17" s="248" customFormat="1" x14ac:dyDescent="0.25">
      <c r="A229" s="245">
        <f>'B) D RI'!A230</f>
        <v>5755</v>
      </c>
      <c r="B229" s="246" t="str">
        <f>'B) D RI'!B230</f>
        <v>Lignerolle</v>
      </c>
      <c r="C229" s="424">
        <f>'B) D RI'!S230</f>
        <v>81</v>
      </c>
      <c r="D229" s="247">
        <f>'B) D RI'!AR230</f>
        <v>394</v>
      </c>
      <c r="E229" s="254">
        <f>'D) Ecrêtage'!M228</f>
        <v>8871.4906525573169</v>
      </c>
      <c r="F229" s="257">
        <f>'E) Fact soc'!G234</f>
        <v>169248.81525812214</v>
      </c>
      <c r="G229" s="257">
        <f>'H) Péréquation directe'!I239</f>
        <v>-92014.960391894128</v>
      </c>
      <c r="H229" s="257">
        <f>'I) Dépenses thématiques'!O228</f>
        <v>-286687.86871819495</v>
      </c>
      <c r="I229" s="257">
        <f>'K) Plafonnement aide'!J228</f>
        <v>0</v>
      </c>
      <c r="J229" s="257">
        <f>'J) Plafonnement effort'!I228</f>
        <v>0</v>
      </c>
      <c r="K229" s="257">
        <f>'L) Plafonnement taux'!Q229</f>
        <v>0</v>
      </c>
      <c r="L229" s="346">
        <f t="shared" si="12"/>
        <v>-209454.01385196694</v>
      </c>
      <c r="M229" s="346">
        <f>'M) Police'!O229</f>
        <v>28037.201023669208</v>
      </c>
      <c r="N229" s="346">
        <f t="shared" si="10"/>
        <v>-181416.81282829773</v>
      </c>
      <c r="P229" s="407">
        <v>-143</v>
      </c>
      <c r="Q229" s="410">
        <f t="shared" si="11"/>
        <v>-181559.81282829773</v>
      </c>
    </row>
    <row r="230" spans="1:17" s="248" customFormat="1" x14ac:dyDescent="0.25">
      <c r="A230" s="245">
        <f>'B) D RI'!A231</f>
        <v>5756</v>
      </c>
      <c r="B230" s="246" t="str">
        <f>'B) D RI'!B231</f>
        <v>Montcherand</v>
      </c>
      <c r="C230" s="424">
        <f>'B) D RI'!S231</f>
        <v>69</v>
      </c>
      <c r="D230" s="247">
        <f>'B) D RI'!AR231</f>
        <v>474</v>
      </c>
      <c r="E230" s="254">
        <f>'D) Ecrêtage'!M229</f>
        <v>14808.245169082125</v>
      </c>
      <c r="F230" s="257">
        <f>'E) Fact soc'!G235</f>
        <v>246451.63444228738</v>
      </c>
      <c r="G230" s="257">
        <f>'H) Péréquation directe'!I240</f>
        <v>115735.30119586393</v>
      </c>
      <c r="H230" s="257">
        <f>'I) Dépenses thématiques'!O229</f>
        <v>-58321.724943411973</v>
      </c>
      <c r="I230" s="257">
        <f>'K) Plafonnement aide'!J229</f>
        <v>0</v>
      </c>
      <c r="J230" s="257">
        <f>'J) Plafonnement effort'!I229</f>
        <v>0</v>
      </c>
      <c r="K230" s="257">
        <f>'L) Plafonnement taux'!Q230</f>
        <v>0</v>
      </c>
      <c r="L230" s="346">
        <f t="shared" si="12"/>
        <v>303865.21069473936</v>
      </c>
      <c r="M230" s="346">
        <f>'M) Police'!O230</f>
        <v>19193.989122624895</v>
      </c>
      <c r="N230" s="346">
        <f t="shared" si="10"/>
        <v>323059.19981736428</v>
      </c>
      <c r="P230" s="407">
        <v>-56</v>
      </c>
      <c r="Q230" s="410">
        <f t="shared" si="11"/>
        <v>323003.19981736428</v>
      </c>
    </row>
    <row r="231" spans="1:17" s="248" customFormat="1" x14ac:dyDescent="0.25">
      <c r="A231" s="245">
        <f>'B) D RI'!A232</f>
        <v>5757</v>
      </c>
      <c r="B231" s="246" t="str">
        <f>'B) D RI'!B232</f>
        <v>Orbe</v>
      </c>
      <c r="C231" s="424">
        <f>'B) D RI'!S232</f>
        <v>72</v>
      </c>
      <c r="D231" s="247">
        <f>'B) D RI'!AR232</f>
        <v>6767</v>
      </c>
      <c r="E231" s="254">
        <f>'D) Ecrêtage'!M230</f>
        <v>210430.38166666671</v>
      </c>
      <c r="F231" s="257">
        <f>'E) Fact soc'!G236</f>
        <v>4257401.3613795061</v>
      </c>
      <c r="G231" s="257">
        <f>'H) Péréquation directe'!I241</f>
        <v>-688480.33483777801</v>
      </c>
      <c r="H231" s="257">
        <f>'I) Dépenses thématiques'!O230</f>
        <v>-1696195.052066443</v>
      </c>
      <c r="I231" s="257">
        <f>'K) Plafonnement aide'!J230</f>
        <v>0</v>
      </c>
      <c r="J231" s="257">
        <f>'J) Plafonnement effort'!I230</f>
        <v>0</v>
      </c>
      <c r="K231" s="257">
        <f>'L) Plafonnement taux'!Q231</f>
        <v>0</v>
      </c>
      <c r="L231" s="346">
        <f t="shared" si="12"/>
        <v>1872725.974475285</v>
      </c>
      <c r="M231" s="346">
        <f>'M) Police'!O231</f>
        <v>272753.34860154532</v>
      </c>
      <c r="N231" s="346">
        <f t="shared" si="10"/>
        <v>2145479.3230768302</v>
      </c>
      <c r="P231" s="407">
        <v>-1888</v>
      </c>
      <c r="Q231" s="410">
        <f t="shared" si="11"/>
        <v>2143591.3230768302</v>
      </c>
    </row>
    <row r="232" spans="1:17" s="248" customFormat="1" x14ac:dyDescent="0.25">
      <c r="A232" s="245">
        <f>'B) D RI'!A233</f>
        <v>5758</v>
      </c>
      <c r="B232" s="246" t="str">
        <f>'B) D RI'!B233</f>
        <v>La Praz</v>
      </c>
      <c r="C232" s="424">
        <f>'B) D RI'!S233</f>
        <v>83</v>
      </c>
      <c r="D232" s="247">
        <f>'B) D RI'!AR233</f>
        <v>160</v>
      </c>
      <c r="E232" s="254">
        <f>'D) Ecrêtage'!M231</f>
        <v>3864.2083668005353</v>
      </c>
      <c r="F232" s="257">
        <f>'E) Fact soc'!G237</f>
        <v>61854.99152295466</v>
      </c>
      <c r="G232" s="257">
        <f>'H) Péréquation directe'!I242</f>
        <v>-29767.400722912746</v>
      </c>
      <c r="H232" s="257">
        <f>'I) Dépenses thématiques'!O231</f>
        <v>-33119.060151749232</v>
      </c>
      <c r="I232" s="257">
        <f>'K) Plafonnement aide'!J231</f>
        <v>0</v>
      </c>
      <c r="J232" s="257">
        <f>'J) Plafonnement effort'!I231</f>
        <v>0</v>
      </c>
      <c r="K232" s="257">
        <f>'L) Plafonnement taux'!Q232</f>
        <v>0</v>
      </c>
      <c r="L232" s="346">
        <f t="shared" si="12"/>
        <v>-1031.4693517073174</v>
      </c>
      <c r="M232" s="346">
        <f>'M) Police'!O232</f>
        <v>12209.374529669363</v>
      </c>
      <c r="N232" s="346">
        <f t="shared" si="10"/>
        <v>11177.905177962046</v>
      </c>
      <c r="P232" s="407">
        <v>0</v>
      </c>
      <c r="Q232" s="410">
        <f t="shared" si="11"/>
        <v>11177.905177962046</v>
      </c>
    </row>
    <row r="233" spans="1:17" s="248" customFormat="1" x14ac:dyDescent="0.25">
      <c r="A233" s="245">
        <f>'B) D RI'!A234</f>
        <v>5759</v>
      </c>
      <c r="B233" s="246" t="str">
        <f>'B) D RI'!B234</f>
        <v>Premier</v>
      </c>
      <c r="C233" s="424">
        <f>'B) D RI'!S234</f>
        <v>81</v>
      </c>
      <c r="D233" s="247">
        <f>'B) D RI'!AR234</f>
        <v>185</v>
      </c>
      <c r="E233" s="254">
        <f>'D) Ecrêtage'!M232</f>
        <v>4558.7250617283944</v>
      </c>
      <c r="F233" s="257">
        <f>'E) Fact soc'!G238</f>
        <v>75950.39186863444</v>
      </c>
      <c r="G233" s="257">
        <f>'H) Péréquation directe'!I243</f>
        <v>-25672.221095839719</v>
      </c>
      <c r="H233" s="257">
        <f>'I) Dépenses thématiques'!O232</f>
        <v>-43027.008676628437</v>
      </c>
      <c r="I233" s="257">
        <f>'K) Plafonnement aide'!J232</f>
        <v>0</v>
      </c>
      <c r="J233" s="257">
        <f>'J) Plafonnement effort'!I232</f>
        <v>0</v>
      </c>
      <c r="K233" s="257">
        <f>'L) Plafonnement taux'!Q233</f>
        <v>0</v>
      </c>
      <c r="L233" s="346">
        <f t="shared" si="12"/>
        <v>7251.1620961662848</v>
      </c>
      <c r="M233" s="346">
        <f>'M) Police'!O233</f>
        <v>14396.222298373319</v>
      </c>
      <c r="N233" s="346">
        <f t="shared" si="10"/>
        <v>21647.384394539604</v>
      </c>
      <c r="P233" s="407">
        <v>-51</v>
      </c>
      <c r="Q233" s="410">
        <f t="shared" si="11"/>
        <v>21596.384394539604</v>
      </c>
    </row>
    <row r="234" spans="1:17" s="248" customFormat="1" x14ac:dyDescent="0.25">
      <c r="A234" s="245">
        <f>'B) D RI'!A235</f>
        <v>5760</v>
      </c>
      <c r="B234" s="246" t="str">
        <f>'B) D RI'!B235</f>
        <v>Rances</v>
      </c>
      <c r="C234" s="424">
        <f>'B) D RI'!S235</f>
        <v>78</v>
      </c>
      <c r="D234" s="247">
        <f>'B) D RI'!AR235</f>
        <v>460</v>
      </c>
      <c r="E234" s="254">
        <f>'D) Ecrêtage'!M233</f>
        <v>11470.274871794873</v>
      </c>
      <c r="F234" s="257">
        <f>'E) Fact soc'!G239</f>
        <v>190051.65144725845</v>
      </c>
      <c r="G234" s="257">
        <f>'H) Péréquation directe'!I244</f>
        <v>-41498.846636989911</v>
      </c>
      <c r="H234" s="257">
        <f>'I) Dépenses thématiques'!O233</f>
        <v>-158654.68616603152</v>
      </c>
      <c r="I234" s="257">
        <f>'K) Plafonnement aide'!J233</f>
        <v>0</v>
      </c>
      <c r="J234" s="257">
        <f>'J) Plafonnement effort'!I233</f>
        <v>0</v>
      </c>
      <c r="K234" s="257">
        <f>'L) Plafonnement taux'!Q234</f>
        <v>0</v>
      </c>
      <c r="L234" s="346">
        <f t="shared" si="12"/>
        <v>-10101.881355762976</v>
      </c>
      <c r="M234" s="346">
        <f>'M) Police'!O234</f>
        <v>36281.60352739862</v>
      </c>
      <c r="N234" s="346">
        <f t="shared" si="10"/>
        <v>26179.722171635643</v>
      </c>
      <c r="P234" s="407">
        <v>-129</v>
      </c>
      <c r="Q234" s="410">
        <f t="shared" si="11"/>
        <v>26050.722171635643</v>
      </c>
    </row>
    <row r="235" spans="1:17" s="248" customFormat="1" x14ac:dyDescent="0.25">
      <c r="A235" s="245">
        <f>'B) D RI'!A236</f>
        <v>5761</v>
      </c>
      <c r="B235" s="246" t="str">
        <f>'B) D RI'!B236</f>
        <v>Romainmôtier-Envy</v>
      </c>
      <c r="C235" s="424">
        <f>'B) D RI'!S236</f>
        <v>76</v>
      </c>
      <c r="D235" s="247">
        <f>'B) D RI'!AR236</f>
        <v>525</v>
      </c>
      <c r="E235" s="254">
        <f>'D) Ecrêtage'!M234</f>
        <v>11347.35572368421</v>
      </c>
      <c r="F235" s="257">
        <f>'E) Fact soc'!G240</f>
        <v>205795.93285781814</v>
      </c>
      <c r="G235" s="257">
        <f>'H) Péréquation directe'!I245</f>
        <v>-107653.09767484106</v>
      </c>
      <c r="H235" s="257">
        <f>'I) Dépenses thématiques'!O234</f>
        <v>-70924.657910763359</v>
      </c>
      <c r="I235" s="257">
        <f>'K) Plafonnement aide'!J234</f>
        <v>0</v>
      </c>
      <c r="J235" s="257">
        <f>'J) Plafonnement effort'!I234</f>
        <v>0</v>
      </c>
      <c r="K235" s="257">
        <f>'L) Plafonnement taux'!Q235</f>
        <v>0</v>
      </c>
      <c r="L235" s="346">
        <f t="shared" si="12"/>
        <v>27218.177272213725</v>
      </c>
      <c r="M235" s="346">
        <f>'M) Police'!O235</f>
        <v>35441.417905372255</v>
      </c>
      <c r="N235" s="346">
        <f t="shared" si="10"/>
        <v>62659.595177585979</v>
      </c>
      <c r="P235" s="407">
        <v>-77</v>
      </c>
      <c r="Q235" s="410">
        <f t="shared" si="11"/>
        <v>62582.595177585979</v>
      </c>
    </row>
    <row r="236" spans="1:17" s="248" customFormat="1" x14ac:dyDescent="0.25">
      <c r="A236" s="245">
        <f>'B) D RI'!A237</f>
        <v>5762</v>
      </c>
      <c r="B236" s="246" t="str">
        <f>'B) D RI'!B237</f>
        <v>Sergey</v>
      </c>
      <c r="C236" s="424">
        <f>'B) D RI'!S237</f>
        <v>81</v>
      </c>
      <c r="D236" s="247">
        <f>'B) D RI'!AR237</f>
        <v>144</v>
      </c>
      <c r="E236" s="254">
        <f>'D) Ecrêtage'!M235</f>
        <v>3104.8092592592593</v>
      </c>
      <c r="F236" s="257">
        <f>'E) Fact soc'!G241</f>
        <v>45861.685123545576</v>
      </c>
      <c r="G236" s="257">
        <f>'H) Péréquation directe'!I246</f>
        <v>-39764.112593581907</v>
      </c>
      <c r="H236" s="257">
        <f>'I) Dépenses thématiques'!O235</f>
        <v>-7187.1808091573548</v>
      </c>
      <c r="I236" s="257">
        <f>'K) Plafonnement aide'!J235</f>
        <v>0</v>
      </c>
      <c r="J236" s="257">
        <f>'J) Plafonnement effort'!I235</f>
        <v>0</v>
      </c>
      <c r="K236" s="257">
        <f>'L) Plafonnement taux'!Q236</f>
        <v>0</v>
      </c>
      <c r="L236" s="346">
        <f t="shared" si="12"/>
        <v>-1089.608279193686</v>
      </c>
      <c r="M236" s="346">
        <f>'M) Police'!O236</f>
        <v>9786.2206413779495</v>
      </c>
      <c r="N236" s="346">
        <f t="shared" si="10"/>
        <v>8696.6123621842635</v>
      </c>
      <c r="P236" s="407">
        <v>0</v>
      </c>
      <c r="Q236" s="410">
        <f t="shared" si="11"/>
        <v>8696.6123621842635</v>
      </c>
    </row>
    <row r="237" spans="1:17" s="248" customFormat="1" x14ac:dyDescent="0.25">
      <c r="A237" s="245">
        <f>'B) D RI'!A238</f>
        <v>5763</v>
      </c>
      <c r="B237" s="246" t="str">
        <f>'B) D RI'!B238</f>
        <v>Valeyres-sous-Rances</v>
      </c>
      <c r="C237" s="424">
        <f>'B) D RI'!S238</f>
        <v>68</v>
      </c>
      <c r="D237" s="247">
        <f>'B) D RI'!AR238</f>
        <v>600</v>
      </c>
      <c r="E237" s="254">
        <f>'D) Ecrêtage'!M236</f>
        <v>16129.151764705883</v>
      </c>
      <c r="F237" s="257">
        <f>'E) Fact soc'!G242</f>
        <v>289147.13177679206</v>
      </c>
      <c r="G237" s="257">
        <f>'H) Péréquation directe'!I247</f>
        <v>54074.013776354142</v>
      </c>
      <c r="H237" s="257">
        <f>'I) Dépenses thématiques'!O236</f>
        <v>-115234.80297203529</v>
      </c>
      <c r="I237" s="257">
        <f>'K) Plafonnement aide'!J236</f>
        <v>0</v>
      </c>
      <c r="J237" s="257">
        <f>'J) Plafonnement effort'!I236</f>
        <v>0</v>
      </c>
      <c r="K237" s="257">
        <f>'L) Plafonnement taux'!Q237</f>
        <v>0</v>
      </c>
      <c r="L237" s="346">
        <f t="shared" si="12"/>
        <v>227986.34258111089</v>
      </c>
      <c r="M237" s="346">
        <f>'M) Police'!O237</f>
        <v>50789.788844830211</v>
      </c>
      <c r="N237" s="346">
        <f t="shared" si="10"/>
        <v>278776.13142594113</v>
      </c>
      <c r="P237" s="407">
        <v>-147</v>
      </c>
      <c r="Q237" s="410">
        <f t="shared" si="11"/>
        <v>278629.13142594113</v>
      </c>
    </row>
    <row r="238" spans="1:17" s="248" customFormat="1" x14ac:dyDescent="0.25">
      <c r="A238" s="245">
        <f>'B) D RI'!A239</f>
        <v>5764</v>
      </c>
      <c r="B238" s="246" t="str">
        <f>'B) D RI'!B239</f>
        <v>Vallorbe</v>
      </c>
      <c r="C238" s="424">
        <f>'B) D RI'!S239</f>
        <v>74</v>
      </c>
      <c r="D238" s="247">
        <f>'B) D RI'!AR239</f>
        <v>3650</v>
      </c>
      <c r="E238" s="254">
        <f>'D) Ecrêtage'!M237</f>
        <v>84393.993513513502</v>
      </c>
      <c r="F238" s="257">
        <f>'E) Fact soc'!G243</f>
        <v>2127608.1993944189</v>
      </c>
      <c r="G238" s="257">
        <f>'H) Péréquation directe'!I248</f>
        <v>-1183294.6294751067</v>
      </c>
      <c r="H238" s="257">
        <f>'I) Dépenses thématiques'!O237</f>
        <v>-1499984.7872985443</v>
      </c>
      <c r="I238" s="257">
        <f>'K) Plafonnement aide'!J237</f>
        <v>0</v>
      </c>
      <c r="J238" s="257">
        <f>'J) Plafonnement effort'!I237</f>
        <v>0</v>
      </c>
      <c r="K238" s="257">
        <f>'L) Plafonnement taux'!Q238</f>
        <v>0</v>
      </c>
      <c r="L238" s="346">
        <f t="shared" si="12"/>
        <v>-555671.21737923217</v>
      </c>
      <c r="M238" s="346">
        <f>'M) Police'!O238</f>
        <v>267400.61970809754</v>
      </c>
      <c r="N238" s="346">
        <f t="shared" si="10"/>
        <v>-288270.59767113463</v>
      </c>
      <c r="P238" s="407">
        <v>-2202</v>
      </c>
      <c r="Q238" s="410">
        <f t="shared" si="11"/>
        <v>-290472.59767113463</v>
      </c>
    </row>
    <row r="239" spans="1:17" s="248" customFormat="1" x14ac:dyDescent="0.25">
      <c r="A239" s="245">
        <f>'B) D RI'!A240</f>
        <v>5765</v>
      </c>
      <c r="B239" s="246" t="str">
        <f>'B) D RI'!B240</f>
        <v>Vaulion</v>
      </c>
      <c r="C239" s="424">
        <f>'B) D RI'!S240</f>
        <v>81</v>
      </c>
      <c r="D239" s="247">
        <f>'B) D RI'!AR240</f>
        <v>491</v>
      </c>
      <c r="E239" s="254">
        <f>'D) Ecrêtage'!M238</f>
        <v>9305.5603703703709</v>
      </c>
      <c r="F239" s="257">
        <f>'E) Fact soc'!G244</f>
        <v>191285.21925229012</v>
      </c>
      <c r="G239" s="257">
        <f>'H) Péréquation directe'!I249</f>
        <v>-192706.56331787637</v>
      </c>
      <c r="H239" s="257">
        <f>'I) Dépenses thématiques'!O238</f>
        <v>-165102.48403287661</v>
      </c>
      <c r="I239" s="257">
        <f>'K) Plafonnement aide'!J238</f>
        <v>0</v>
      </c>
      <c r="J239" s="257">
        <f>'J) Plafonnement effort'!I238</f>
        <v>0</v>
      </c>
      <c r="K239" s="257">
        <f>'L) Plafonnement taux'!Q239</f>
        <v>0</v>
      </c>
      <c r="L239" s="346">
        <f t="shared" si="12"/>
        <v>-166523.82809846287</v>
      </c>
      <c r="M239" s="346">
        <f>'M) Police'!O239</f>
        <v>29278.593944081244</v>
      </c>
      <c r="N239" s="346">
        <f t="shared" si="10"/>
        <v>-137245.23415438161</v>
      </c>
      <c r="P239" s="407">
        <v>-274</v>
      </c>
      <c r="Q239" s="410">
        <f t="shared" si="11"/>
        <v>-137519.23415438161</v>
      </c>
    </row>
    <row r="240" spans="1:17" s="248" customFormat="1" x14ac:dyDescent="0.25">
      <c r="A240" s="245">
        <f>'B) D RI'!A241</f>
        <v>5766</v>
      </c>
      <c r="B240" s="246" t="str">
        <f>'B) D RI'!B241</f>
        <v>Vuiteboeuf</v>
      </c>
      <c r="C240" s="424">
        <f>'B) D RI'!S241</f>
        <v>77</v>
      </c>
      <c r="D240" s="247">
        <f>'B) D RI'!AR241</f>
        <v>538</v>
      </c>
      <c r="E240" s="254">
        <f>'D) Ecrêtage'!M239</f>
        <v>11614.965899814471</v>
      </c>
      <c r="F240" s="257">
        <f>'E) Fact soc'!G245</f>
        <v>206828.38556981809</v>
      </c>
      <c r="G240" s="257">
        <f>'H) Péréquation directe'!I250</f>
        <v>-118088.40190413588</v>
      </c>
      <c r="H240" s="257">
        <f>'I) Dépenses thématiques'!O239</f>
        <v>-89630.607015353075</v>
      </c>
      <c r="I240" s="257">
        <f>'K) Plafonnement aide'!J239</f>
        <v>0</v>
      </c>
      <c r="J240" s="257">
        <f>'J) Plafonnement effort'!I239</f>
        <v>0</v>
      </c>
      <c r="K240" s="257">
        <f>'L) Plafonnement taux'!Q240</f>
        <v>0</v>
      </c>
      <c r="L240" s="346">
        <f t="shared" si="12"/>
        <v>-890.62334967087372</v>
      </c>
      <c r="M240" s="346">
        <f>'M) Police'!O240</f>
        <v>36426.301173269036</v>
      </c>
      <c r="N240" s="346">
        <f t="shared" si="10"/>
        <v>35535.677823598162</v>
      </c>
      <c r="P240" s="407">
        <v>-63</v>
      </c>
      <c r="Q240" s="410">
        <f t="shared" si="11"/>
        <v>35472.677823598162</v>
      </c>
    </row>
    <row r="241" spans="1:17" s="248" customFormat="1" x14ac:dyDescent="0.25">
      <c r="A241" s="245">
        <f>'B) D RI'!A242</f>
        <v>5782</v>
      </c>
      <c r="B241" s="246" t="str">
        <f>'B) D RI'!B242</f>
        <v>Carrouge</v>
      </c>
      <c r="C241" s="424">
        <f>'B) D RI'!S242</f>
        <v>76</v>
      </c>
      <c r="D241" s="247">
        <f>'B) D RI'!AR242</f>
        <v>1204</v>
      </c>
      <c r="E241" s="254">
        <f>'D) Ecrêtage'!M240</f>
        <v>30069.638421052627</v>
      </c>
      <c r="F241" s="257">
        <f>'E) Fact soc'!G246</f>
        <v>547468.27215599851</v>
      </c>
      <c r="G241" s="257">
        <f>'H) Péréquation directe'!I251</f>
        <v>-129570.41038757004</v>
      </c>
      <c r="H241" s="257">
        <f>'I) Dépenses thématiques'!O240</f>
        <v>-377918.52621506178</v>
      </c>
      <c r="I241" s="257">
        <f>'K) Plafonnement aide'!J240</f>
        <v>0</v>
      </c>
      <c r="J241" s="257">
        <f>'J) Plafonnement effort'!I240</f>
        <v>0</v>
      </c>
      <c r="K241" s="257">
        <f>'L) Plafonnement taux'!Q241</f>
        <v>0</v>
      </c>
      <c r="L241" s="346">
        <f t="shared" si="12"/>
        <v>39979.335553366691</v>
      </c>
      <c r="M241" s="346">
        <f>'M) Police'!O241</f>
        <v>94275.577398454785</v>
      </c>
      <c r="N241" s="346">
        <f t="shared" si="10"/>
        <v>134254.91295182146</v>
      </c>
      <c r="P241" s="407">
        <v>-198</v>
      </c>
      <c r="Q241" s="410">
        <f t="shared" si="11"/>
        <v>134056.91295182146</v>
      </c>
    </row>
    <row r="242" spans="1:17" s="248" customFormat="1" x14ac:dyDescent="0.25">
      <c r="A242" s="245">
        <f>'B) D RI'!A243</f>
        <v>5785</v>
      </c>
      <c r="B242" s="246" t="str">
        <f>'B) D RI'!B243</f>
        <v>Corcelles-le-Jorat</v>
      </c>
      <c r="C242" s="424">
        <f>'B) D RI'!S243</f>
        <v>79</v>
      </c>
      <c r="D242" s="247">
        <f>'B) D RI'!AR243</f>
        <v>421</v>
      </c>
      <c r="E242" s="254">
        <f>'D) Ecrêtage'!M241</f>
        <v>12293.058354430379</v>
      </c>
      <c r="F242" s="257">
        <f>'E) Fact soc'!G247</f>
        <v>196992.7918522488</v>
      </c>
      <c r="G242" s="257">
        <f>'H) Péréquation directe'!I252</f>
        <v>34875.654362703703</v>
      </c>
      <c r="H242" s="257">
        <f>'I) Dépenses thématiques'!O241</f>
        <v>-102617.69206631897</v>
      </c>
      <c r="I242" s="257">
        <f>'K) Plafonnement aide'!J241</f>
        <v>0</v>
      </c>
      <c r="J242" s="257">
        <f>'J) Plafonnement effort'!I241</f>
        <v>0</v>
      </c>
      <c r="K242" s="257">
        <f>'L) Plafonnement taux'!Q242</f>
        <v>0</v>
      </c>
      <c r="L242" s="346">
        <f t="shared" si="12"/>
        <v>129250.75414863354</v>
      </c>
      <c r="M242" s="346">
        <f>'M) Police'!O242</f>
        <v>38876.722569566045</v>
      </c>
      <c r="N242" s="346">
        <f t="shared" si="10"/>
        <v>168127.47671819958</v>
      </c>
      <c r="P242" s="407">
        <v>-95</v>
      </c>
      <c r="Q242" s="410">
        <f t="shared" si="11"/>
        <v>168032.47671819958</v>
      </c>
    </row>
    <row r="243" spans="1:17" s="248" customFormat="1" x14ac:dyDescent="0.25">
      <c r="A243" s="245">
        <f>'B) D RI'!A244</f>
        <v>5788</v>
      </c>
      <c r="B243" s="246" t="str">
        <f>'B) D RI'!B244</f>
        <v>Essertes</v>
      </c>
      <c r="C243" s="424">
        <f>'B) D RI'!S244</f>
        <v>70</v>
      </c>
      <c r="D243" s="247">
        <f>'B) D RI'!AR244</f>
        <v>330</v>
      </c>
      <c r="E243" s="254">
        <f>'D) Ecrêtage'!M242</f>
        <v>10412.319857142857</v>
      </c>
      <c r="F243" s="257">
        <f>'E) Fact soc'!G248</f>
        <v>171345.24203799421</v>
      </c>
      <c r="G243" s="257">
        <f>'H) Péréquation directe'!I253</f>
        <v>82220.027478330914</v>
      </c>
      <c r="H243" s="257">
        <f>'I) Dépenses thématiques'!O242</f>
        <v>-42012.645520663958</v>
      </c>
      <c r="I243" s="257">
        <f>'K) Plafonnement aide'!J242</f>
        <v>0</v>
      </c>
      <c r="J243" s="257">
        <f>'J) Plafonnement effort'!I242</f>
        <v>0</v>
      </c>
      <c r="K243" s="257">
        <f>'L) Plafonnement taux'!Q243</f>
        <v>0</v>
      </c>
      <c r="L243" s="346">
        <f t="shared" si="12"/>
        <v>211552.62399566115</v>
      </c>
      <c r="M243" s="346">
        <f>'M) Police'!O243</f>
        <v>32751.669343867667</v>
      </c>
      <c r="N243" s="346">
        <f t="shared" si="10"/>
        <v>244304.29333952881</v>
      </c>
      <c r="P243" s="407">
        <v>-43</v>
      </c>
      <c r="Q243" s="410">
        <f t="shared" si="11"/>
        <v>244261.29333952881</v>
      </c>
    </row>
    <row r="244" spans="1:17" s="248" customFormat="1" x14ac:dyDescent="0.25">
      <c r="A244" s="245">
        <f>'B) D RI'!A245</f>
        <v>5789</v>
      </c>
      <c r="B244" s="246" t="str">
        <f>'B) D RI'!B245</f>
        <v>Ferlens</v>
      </c>
      <c r="C244" s="424">
        <f>'B) D RI'!S245</f>
        <v>77</v>
      </c>
      <c r="D244" s="247">
        <f>'B) D RI'!AR245</f>
        <v>336</v>
      </c>
      <c r="E244" s="254">
        <f>'D) Ecrêtage'!M243</f>
        <v>10073.464805194806</v>
      </c>
      <c r="F244" s="257">
        <f>'E) Fact soc'!G249</f>
        <v>176576.563618477</v>
      </c>
      <c r="G244" s="257">
        <f>'H) Péréquation directe'!I254</f>
        <v>44889.45670770263</v>
      </c>
      <c r="H244" s="257">
        <f>'I) Dépenses thématiques'!O243</f>
        <v>-7568.1345727190164</v>
      </c>
      <c r="I244" s="257">
        <f>'K) Plafonnement aide'!J243</f>
        <v>0</v>
      </c>
      <c r="J244" s="257">
        <f>'J) Plafonnement effort'!I243</f>
        <v>0</v>
      </c>
      <c r="K244" s="257">
        <f>'L) Plafonnement taux'!Q244</f>
        <v>0</v>
      </c>
      <c r="L244" s="346">
        <f t="shared" si="12"/>
        <v>213897.88575346061</v>
      </c>
      <c r="M244" s="346">
        <f>'M) Police'!O244</f>
        <v>31937.20788598634</v>
      </c>
      <c r="N244" s="346">
        <f t="shared" si="10"/>
        <v>245835.09363944695</v>
      </c>
      <c r="P244" s="407">
        <v>-16</v>
      </c>
      <c r="Q244" s="410">
        <f t="shared" si="11"/>
        <v>245819.09363944695</v>
      </c>
    </row>
    <row r="245" spans="1:17" s="248" customFormat="1" x14ac:dyDescent="0.25">
      <c r="A245" s="245">
        <f>'B) D RI'!A246</f>
        <v>5790</v>
      </c>
      <c r="B245" s="246" t="str">
        <f>'B) D RI'!B246</f>
        <v>Maracon</v>
      </c>
      <c r="C245" s="424">
        <f>'B) D RI'!S246</f>
        <v>76</v>
      </c>
      <c r="D245" s="247">
        <f>'B) D RI'!AR246</f>
        <v>444</v>
      </c>
      <c r="E245" s="254">
        <f>'D) Ecrêtage'!M244</f>
        <v>12107.709078947366</v>
      </c>
      <c r="F245" s="257">
        <f>'E) Fact soc'!G250</f>
        <v>281646.16695560154</v>
      </c>
      <c r="G245" s="257">
        <f>'H) Péréquation directe'!I255</f>
        <v>13089.834061317291</v>
      </c>
      <c r="H245" s="257">
        <f>'I) Dépenses thématiques'!O244</f>
        <v>-108896.02451713536</v>
      </c>
      <c r="I245" s="257">
        <f>'K) Plafonnement aide'!J244</f>
        <v>0</v>
      </c>
      <c r="J245" s="257">
        <f>'J) Plafonnement effort'!I244</f>
        <v>0</v>
      </c>
      <c r="K245" s="257">
        <f>'L) Plafonnement taux'!Q245</f>
        <v>0</v>
      </c>
      <c r="L245" s="346">
        <f t="shared" si="12"/>
        <v>185839.97649978346</v>
      </c>
      <c r="M245" s="346">
        <f>'M) Police'!O245</f>
        <v>38082.12570986677</v>
      </c>
      <c r="N245" s="346">
        <f t="shared" si="10"/>
        <v>223922.10220965021</v>
      </c>
      <c r="P245" s="407">
        <v>-131</v>
      </c>
      <c r="Q245" s="410">
        <f t="shared" si="11"/>
        <v>223791.10220965021</v>
      </c>
    </row>
    <row r="246" spans="1:17" s="248" customFormat="1" x14ac:dyDescent="0.25">
      <c r="A246" s="245">
        <f>'B) D RI'!A247</f>
        <v>5791</v>
      </c>
      <c r="B246" s="246" t="str">
        <f>'B) D RI'!B247</f>
        <v>Mézières</v>
      </c>
      <c r="C246" s="424">
        <f>'B) D RI'!S247</f>
        <v>76</v>
      </c>
      <c r="D246" s="247">
        <f>'B) D RI'!AR247</f>
        <v>1215</v>
      </c>
      <c r="E246" s="254">
        <f>'D) Ecrêtage'!M245</f>
        <v>42914.858070175447</v>
      </c>
      <c r="F246" s="257">
        <f>'E) Fact soc'!G251</f>
        <v>688734.72359084419</v>
      </c>
      <c r="G246" s="257">
        <f>'H) Péréquation directe'!I256</f>
        <v>388277.07396531664</v>
      </c>
      <c r="H246" s="257">
        <f>'I) Dépenses thématiques'!O245</f>
        <v>-290366.47760082211</v>
      </c>
      <c r="I246" s="257">
        <f>'K) Plafonnement aide'!J245</f>
        <v>0</v>
      </c>
      <c r="J246" s="257">
        <f>'J) Plafonnement effort'!I245</f>
        <v>0</v>
      </c>
      <c r="K246" s="257">
        <f>'L) Plafonnement taux'!Q246</f>
        <v>0</v>
      </c>
      <c r="L246" s="346">
        <f t="shared" si="12"/>
        <v>786645.31995533884</v>
      </c>
      <c r="M246" s="346">
        <f>'M) Police'!O246</f>
        <v>135951.29990695618</v>
      </c>
      <c r="N246" s="346">
        <f t="shared" si="10"/>
        <v>922596.61986229499</v>
      </c>
      <c r="P246" s="407">
        <v>-459</v>
      </c>
      <c r="Q246" s="410">
        <f t="shared" si="11"/>
        <v>922137.61986229499</v>
      </c>
    </row>
    <row r="247" spans="1:17" s="248" customFormat="1" x14ac:dyDescent="0.25">
      <c r="A247" s="245">
        <f>'B) D RI'!A248</f>
        <v>5792</v>
      </c>
      <c r="B247" s="246" t="str">
        <f>'B) D RI'!B248</f>
        <v>Montpreveyres</v>
      </c>
      <c r="C247" s="424">
        <f>'B) D RI'!S248</f>
        <v>77</v>
      </c>
      <c r="D247" s="247">
        <f>'B) D RI'!AR248</f>
        <v>628</v>
      </c>
      <c r="E247" s="254">
        <f>'D) Ecrêtage'!M246</f>
        <v>19088.494155844161</v>
      </c>
      <c r="F247" s="257">
        <f>'E) Fact soc'!G252</f>
        <v>303361.52382656437</v>
      </c>
      <c r="G247" s="257">
        <f>'H) Péréquation directe'!I257</f>
        <v>94870.686521887634</v>
      </c>
      <c r="H247" s="257">
        <f>'I) Dépenses thématiques'!O246</f>
        <v>-108428.97516208267</v>
      </c>
      <c r="I247" s="257">
        <f>'K) Plafonnement aide'!J246</f>
        <v>0</v>
      </c>
      <c r="J247" s="257">
        <f>'J) Plafonnement effort'!I246</f>
        <v>0</v>
      </c>
      <c r="K247" s="257">
        <f>'L) Plafonnement taux'!Q247</f>
        <v>0</v>
      </c>
      <c r="L247" s="346">
        <f t="shared" si="12"/>
        <v>289803.23518636927</v>
      </c>
      <c r="M247" s="346">
        <f>'M) Police'!O247</f>
        <v>60311.846568741574</v>
      </c>
      <c r="N247" s="346">
        <f t="shared" si="10"/>
        <v>350115.08175511088</v>
      </c>
      <c r="P247" s="407">
        <v>-190</v>
      </c>
      <c r="Q247" s="410">
        <f t="shared" si="11"/>
        <v>349925.08175511088</v>
      </c>
    </row>
    <row r="248" spans="1:17" s="248" customFormat="1" x14ac:dyDescent="0.25">
      <c r="A248" s="245">
        <f>'B) D RI'!A249</f>
        <v>5798</v>
      </c>
      <c r="B248" s="246" t="str">
        <f>'B) D RI'!B249</f>
        <v>Ropraz</v>
      </c>
      <c r="C248" s="424">
        <f>'B) D RI'!S249</f>
        <v>77.5</v>
      </c>
      <c r="D248" s="247">
        <f>'B) D RI'!AR249</f>
        <v>405</v>
      </c>
      <c r="E248" s="254">
        <f>'D) Ecrêtage'!M247</f>
        <v>9558.3067096774193</v>
      </c>
      <c r="F248" s="257">
        <f>'E) Fact soc'!G253</f>
        <v>180721.7311585377</v>
      </c>
      <c r="G248" s="257">
        <f>'H) Péréquation directe'!I258</f>
        <v>-57106.454629432177</v>
      </c>
      <c r="H248" s="257">
        <f>'I) Dépenses thématiques'!O247</f>
        <v>-86179.423909809877</v>
      </c>
      <c r="I248" s="257">
        <f>'K) Plafonnement aide'!J247</f>
        <v>0</v>
      </c>
      <c r="J248" s="257">
        <f>'J) Plafonnement effort'!I247</f>
        <v>0</v>
      </c>
      <c r="K248" s="257">
        <f>'L) Plafonnement taux'!Q248</f>
        <v>0</v>
      </c>
      <c r="L248" s="346">
        <f t="shared" si="12"/>
        <v>37435.852619295649</v>
      </c>
      <c r="M248" s="346">
        <f>'M) Police'!O248</f>
        <v>30468.832198247677</v>
      </c>
      <c r="N248" s="346">
        <f t="shared" si="10"/>
        <v>67904.684817543326</v>
      </c>
      <c r="P248" s="407">
        <v>-108</v>
      </c>
      <c r="Q248" s="410">
        <f t="shared" si="11"/>
        <v>67796.684817543326</v>
      </c>
    </row>
    <row r="249" spans="1:17" s="248" customFormat="1" x14ac:dyDescent="0.25">
      <c r="A249" s="245">
        <f>'B) D RI'!A250</f>
        <v>5799</v>
      </c>
      <c r="B249" s="246" t="str">
        <f>'B) D RI'!B250</f>
        <v>Servion</v>
      </c>
      <c r="C249" s="424">
        <f>'B) D RI'!S250</f>
        <v>69</v>
      </c>
      <c r="D249" s="247">
        <f>'B) D RI'!AR250</f>
        <v>1908</v>
      </c>
      <c r="E249" s="254">
        <f>'D) Ecrêtage'!M248</f>
        <v>51366.477681159435</v>
      </c>
      <c r="F249" s="257">
        <f>'E) Fact soc'!G254</f>
        <v>982080.4271924058</v>
      </c>
      <c r="G249" s="257">
        <f>'H) Péréquation directe'!I259</f>
        <v>-67332.647353048669</v>
      </c>
      <c r="H249" s="257">
        <f>'I) Dépenses thématiques'!O248</f>
        <v>-225732.42095631766</v>
      </c>
      <c r="I249" s="257">
        <f>'K) Plafonnement aide'!J248</f>
        <v>0</v>
      </c>
      <c r="J249" s="257">
        <f>'J) Plafonnement effort'!I248</f>
        <v>0</v>
      </c>
      <c r="K249" s="257">
        <f>'L) Plafonnement taux'!Q249</f>
        <v>0</v>
      </c>
      <c r="L249" s="346">
        <f t="shared" si="12"/>
        <v>689015.35888303944</v>
      </c>
      <c r="M249" s="346">
        <f>'M) Police'!O249</f>
        <v>159314.85643121402</v>
      </c>
      <c r="N249" s="346">
        <f t="shared" si="10"/>
        <v>848330.21531425347</v>
      </c>
      <c r="P249" s="407">
        <v>-202</v>
      </c>
      <c r="Q249" s="410">
        <f t="shared" si="11"/>
        <v>848128.21531425347</v>
      </c>
    </row>
    <row r="250" spans="1:17" s="248" customFormat="1" x14ac:dyDescent="0.25">
      <c r="A250" s="245">
        <f>'B) D RI'!A251</f>
        <v>5803</v>
      </c>
      <c r="B250" s="246" t="str">
        <f>'B) D RI'!B251</f>
        <v>Vulliens</v>
      </c>
      <c r="C250" s="424">
        <f>'B) D RI'!S251</f>
        <v>81</v>
      </c>
      <c r="D250" s="247">
        <f>'B) D RI'!AR251</f>
        <v>462</v>
      </c>
      <c r="E250" s="254">
        <f>'D) Ecrêtage'!M249</f>
        <v>12589.149382716048</v>
      </c>
      <c r="F250" s="257">
        <f>'E) Fact soc'!G255</f>
        <v>267454.91914368619</v>
      </c>
      <c r="G250" s="257">
        <f>'H) Péréquation directe'!I260</f>
        <v>-10392.446806851774</v>
      </c>
      <c r="H250" s="257">
        <f>'I) Dépenses thématiques'!O249</f>
        <v>-71853.055462673641</v>
      </c>
      <c r="I250" s="257">
        <f>'K) Plafonnement aide'!J249</f>
        <v>0</v>
      </c>
      <c r="J250" s="257">
        <f>'J) Plafonnement effort'!I249</f>
        <v>0</v>
      </c>
      <c r="K250" s="257">
        <f>'L) Plafonnement taux'!Q250</f>
        <v>0</v>
      </c>
      <c r="L250" s="346">
        <f t="shared" si="12"/>
        <v>185209.41687416076</v>
      </c>
      <c r="M250" s="346">
        <f>'M) Police'!O250</f>
        <v>39820.736208282033</v>
      </c>
      <c r="N250" s="346">
        <f t="shared" si="10"/>
        <v>225030.15308244279</v>
      </c>
      <c r="P250" s="407">
        <v>0</v>
      </c>
      <c r="Q250" s="410">
        <f t="shared" si="11"/>
        <v>225030.15308244279</v>
      </c>
    </row>
    <row r="251" spans="1:17" s="248" customFormat="1" x14ac:dyDescent="0.25">
      <c r="A251" s="245">
        <f>'B) D RI'!A252</f>
        <v>5804</v>
      </c>
      <c r="B251" s="246" t="str">
        <f>'B) D RI'!B252</f>
        <v>Jorat-Menthue</v>
      </c>
      <c r="C251" s="424">
        <f>'B) D RI'!S252</f>
        <v>72</v>
      </c>
      <c r="D251" s="247">
        <f>'B) D RI'!AR252</f>
        <v>1518</v>
      </c>
      <c r="E251" s="254">
        <f>'D) Ecrêtage'!M250</f>
        <v>41163.666944444441</v>
      </c>
      <c r="F251" s="257">
        <f>'E) Fact soc'!G256</f>
        <v>708121.51603866159</v>
      </c>
      <c r="G251" s="257">
        <f>'H) Péréquation directe'!I261</f>
        <v>-34041.960808979231</v>
      </c>
      <c r="H251" s="257">
        <f>'I) Dépenses thématiques'!O250</f>
        <v>-409674.36190459947</v>
      </c>
      <c r="I251" s="257">
        <f>'K) Plafonnement aide'!J250</f>
        <v>0</v>
      </c>
      <c r="J251" s="257">
        <f>'J) Plafonnement effort'!I250</f>
        <v>0</v>
      </c>
      <c r="K251" s="257">
        <f>'L) Plafonnement taux'!Q251</f>
        <v>0</v>
      </c>
      <c r="L251" s="346">
        <f>F251+G251+H251+I251+J251+K251</f>
        <v>264405.19332508289</v>
      </c>
      <c r="M251" s="346">
        <f>'M) Police'!O251</f>
        <v>129318.87593813144</v>
      </c>
      <c r="N251" s="346">
        <f t="shared" si="10"/>
        <v>393724.06926321436</v>
      </c>
      <c r="P251" s="407">
        <v>-526</v>
      </c>
      <c r="Q251" s="410">
        <f t="shared" si="11"/>
        <v>393198.06926321436</v>
      </c>
    </row>
    <row r="252" spans="1:17" s="248" customFormat="1" x14ac:dyDescent="0.25">
      <c r="A252" s="245">
        <f>'B) D RI'!A253</f>
        <v>5805</v>
      </c>
      <c r="B252" s="246" t="str">
        <f>'B) D RI'!B253</f>
        <v>Oron</v>
      </c>
      <c r="C252" s="424">
        <f>'B) D RI'!S253</f>
        <v>69</v>
      </c>
      <c r="D252" s="247">
        <f>'B) D RI'!AR253</f>
        <v>5297</v>
      </c>
      <c r="E252" s="254">
        <f>'D) Ecrêtage'!M251</f>
        <v>146504.50986824767</v>
      </c>
      <c r="F252" s="257">
        <f>'E) Fact soc'!G257</f>
        <v>2566560.5731538143</v>
      </c>
      <c r="G252" s="257">
        <f>'H) Péréquation directe'!I262</f>
        <v>-850992.47053461522</v>
      </c>
      <c r="H252" s="257">
        <f>'I) Dépenses thématiques'!O251</f>
        <v>-947603.92088273098</v>
      </c>
      <c r="I252" s="257">
        <f>'K) Plafonnement aide'!J251</f>
        <v>0</v>
      </c>
      <c r="J252" s="257">
        <f>'J) Plafonnement effort'!I251</f>
        <v>0</v>
      </c>
      <c r="K252" s="257">
        <f>'L) Plafonnement taux'!Q252</f>
        <v>0</v>
      </c>
      <c r="L252" s="346">
        <f>F252+G252+H252+I252+J252+K252</f>
        <v>767964.1817364681</v>
      </c>
      <c r="M252" s="346">
        <f>'M) Police'!O252</f>
        <v>458517.91882435977</v>
      </c>
      <c r="N252" s="346">
        <f t="shared" si="10"/>
        <v>1226482.1005608279</v>
      </c>
      <c r="P252" s="407">
        <v>-1189</v>
      </c>
      <c r="Q252" s="410">
        <f t="shared" si="11"/>
        <v>1225293.1005608279</v>
      </c>
    </row>
    <row r="253" spans="1:17" s="248" customFormat="1" x14ac:dyDescent="0.25">
      <c r="A253" s="245">
        <f>'B) D RI'!A254</f>
        <v>5812</v>
      </c>
      <c r="B253" s="246" t="str">
        <f>'B) D RI'!B254</f>
        <v>Champtauroz</v>
      </c>
      <c r="C253" s="424">
        <f>'B) D RI'!S254</f>
        <v>77</v>
      </c>
      <c r="D253" s="247">
        <f>'B) D RI'!AR254</f>
        <v>133</v>
      </c>
      <c r="E253" s="254">
        <f>'D) Ecrêtage'!M252</f>
        <v>2420.1879870129869</v>
      </c>
      <c r="F253" s="257">
        <f>'E) Fact soc'!G258</f>
        <v>52316.803646574626</v>
      </c>
      <c r="G253" s="257">
        <f>'H) Péréquation directe'!I263</f>
        <v>-48177.268137235944</v>
      </c>
      <c r="H253" s="257">
        <f>'I) Dépenses thématiques'!O252</f>
        <v>-35018.984042533339</v>
      </c>
      <c r="I253" s="257">
        <f>'K) Plafonnement aide'!J252</f>
        <v>0</v>
      </c>
      <c r="J253" s="257">
        <f>'J) Plafonnement effort'!I252</f>
        <v>0</v>
      </c>
      <c r="K253" s="257">
        <f>'L) Plafonnement taux'!Q253</f>
        <v>0</v>
      </c>
      <c r="L253" s="346">
        <f t="shared" si="12"/>
        <v>-30879.448533194656</v>
      </c>
      <c r="M253" s="346">
        <f>'M) Police'!O253</f>
        <v>7599.76108375068</v>
      </c>
      <c r="N253" s="346">
        <f t="shared" si="10"/>
        <v>-23279.687449443976</v>
      </c>
      <c r="P253" s="407">
        <v>-58</v>
      </c>
      <c r="Q253" s="410">
        <f t="shared" si="11"/>
        <v>-23337.687449443976</v>
      </c>
    </row>
    <row r="254" spans="1:17" s="248" customFormat="1" x14ac:dyDescent="0.25">
      <c r="A254" s="245">
        <f>'B) D RI'!A255</f>
        <v>5813</v>
      </c>
      <c r="B254" s="246" t="str">
        <f>'B) D RI'!B255</f>
        <v>Chevroux</v>
      </c>
      <c r="C254" s="424">
        <f>'B) D RI'!S255</f>
        <v>70</v>
      </c>
      <c r="D254" s="247">
        <f>'B) D RI'!AR255</f>
        <v>430</v>
      </c>
      <c r="E254" s="254">
        <f>'D) Ecrêtage'!M253</f>
        <v>11590.298571428571</v>
      </c>
      <c r="F254" s="257">
        <f>'E) Fact soc'!G259</f>
        <v>199772.11696081588</v>
      </c>
      <c r="G254" s="257">
        <f>'H) Péréquation directe'!I264</f>
        <v>32029.654878817179</v>
      </c>
      <c r="H254" s="257">
        <f>'I) Dépenses thématiques'!O253</f>
        <v>-8847.2563281618059</v>
      </c>
      <c r="I254" s="257">
        <f>'K) Plafonnement aide'!J253</f>
        <v>0</v>
      </c>
      <c r="J254" s="257">
        <f>'J) Plafonnement effort'!I253</f>
        <v>0</v>
      </c>
      <c r="K254" s="257">
        <f>'L) Plafonnement taux'!Q254</f>
        <v>0</v>
      </c>
      <c r="L254" s="346">
        <f t="shared" si="12"/>
        <v>222954.51551147125</v>
      </c>
      <c r="M254" s="346">
        <f>'M) Police'!O254</f>
        <v>36214.604898833095</v>
      </c>
      <c r="N254" s="346">
        <f t="shared" si="10"/>
        <v>259169.12041030434</v>
      </c>
      <c r="P254" s="407">
        <v>0</v>
      </c>
      <c r="Q254" s="410">
        <f t="shared" si="11"/>
        <v>259169.12041030434</v>
      </c>
    </row>
    <row r="255" spans="1:17" s="248" customFormat="1" x14ac:dyDescent="0.25">
      <c r="A255" s="245">
        <f>'B) D RI'!A256</f>
        <v>5816</v>
      </c>
      <c r="B255" s="246" t="str">
        <f>'B) D RI'!B256</f>
        <v>Corcelles-près-Payerne</v>
      </c>
      <c r="C255" s="424">
        <f>'B) D RI'!S256</f>
        <v>72</v>
      </c>
      <c r="D255" s="247">
        <f>'B) D RI'!AR256</f>
        <v>2229</v>
      </c>
      <c r="E255" s="254">
        <f>'D) Ecrêtage'!M254</f>
        <v>52953.608154761903</v>
      </c>
      <c r="F255" s="257">
        <f>'E) Fact soc'!G260</f>
        <v>1001510.7759040482</v>
      </c>
      <c r="G255" s="257">
        <f>'H) Péréquation directe'!I265</f>
        <v>-458880.34316088865</v>
      </c>
      <c r="H255" s="257">
        <f>'I) Dépenses thématiques'!O254</f>
        <v>-248731.16108233674</v>
      </c>
      <c r="I255" s="257">
        <f>'K) Plafonnement aide'!J254</f>
        <v>0</v>
      </c>
      <c r="J255" s="257">
        <f>'J) Plafonnement effort'!I254</f>
        <v>0</v>
      </c>
      <c r="K255" s="257">
        <f>'L) Plafonnement taux'!Q255</f>
        <v>0</v>
      </c>
      <c r="L255" s="346">
        <f t="shared" si="12"/>
        <v>293899.27166082285</v>
      </c>
      <c r="M255" s="346">
        <f>'M) Police'!O255</f>
        <v>166769.15954246011</v>
      </c>
      <c r="N255" s="346">
        <f t="shared" si="10"/>
        <v>460668.43120328296</v>
      </c>
      <c r="P255" s="407">
        <v>-584</v>
      </c>
      <c r="Q255" s="410">
        <f t="shared" si="11"/>
        <v>460084.43120328296</v>
      </c>
    </row>
    <row r="256" spans="1:17" s="248" customFormat="1" x14ac:dyDescent="0.25">
      <c r="A256" s="245">
        <f>'B) D RI'!A257</f>
        <v>5817</v>
      </c>
      <c r="B256" s="246" t="str">
        <f>'B) D RI'!B257</f>
        <v>Grandcour</v>
      </c>
      <c r="C256" s="424">
        <f>'B) D RI'!S257</f>
        <v>79.5</v>
      </c>
      <c r="D256" s="247">
        <f>'B) D RI'!AR257</f>
        <v>856</v>
      </c>
      <c r="E256" s="254">
        <f>'D) Ecrêtage'!M255</f>
        <v>20895.78968553459</v>
      </c>
      <c r="F256" s="257">
        <f>'E) Fact soc'!G261</f>
        <v>340345.4959890758</v>
      </c>
      <c r="G256" s="257">
        <f>'H) Péréquation directe'!I266</f>
        <v>-111845.29328088963</v>
      </c>
      <c r="H256" s="257">
        <f>'I) Dépenses thématiques'!O255</f>
        <v>-102135.57519535576</v>
      </c>
      <c r="I256" s="257">
        <f>'K) Plafonnement aide'!J255</f>
        <v>0</v>
      </c>
      <c r="J256" s="257">
        <f>'J) Plafonnement effort'!I255</f>
        <v>0</v>
      </c>
      <c r="K256" s="257">
        <f>'L) Plafonnement taux'!Q256</f>
        <v>0</v>
      </c>
      <c r="L256" s="346">
        <f t="shared" si="12"/>
        <v>126364.62751283041</v>
      </c>
      <c r="M256" s="346">
        <f>'M) Police'!O256</f>
        <v>66195.693042676168</v>
      </c>
      <c r="N256" s="346">
        <f t="shared" si="10"/>
        <v>192560.32055550657</v>
      </c>
      <c r="P256" s="407">
        <v>-177</v>
      </c>
      <c r="Q256" s="410">
        <f t="shared" si="11"/>
        <v>192383.32055550657</v>
      </c>
    </row>
    <row r="257" spans="1:17" s="248" customFormat="1" x14ac:dyDescent="0.25">
      <c r="A257" s="245">
        <f>'B) D RI'!A258</f>
        <v>5819</v>
      </c>
      <c r="B257" s="246" t="str">
        <f>'B) D RI'!B258</f>
        <v>Henniez</v>
      </c>
      <c r="C257" s="424">
        <f>'B) D RI'!S258</f>
        <v>67</v>
      </c>
      <c r="D257" s="247">
        <f>'B) D RI'!AR258</f>
        <v>339</v>
      </c>
      <c r="E257" s="254">
        <f>'D) Ecrêtage'!M256</f>
        <v>13106.979402985076</v>
      </c>
      <c r="F257" s="257">
        <f>'E) Fact soc'!G262</f>
        <v>213422.94260642238</v>
      </c>
      <c r="G257" s="257">
        <f>'H) Péréquation directe'!I267</f>
        <v>178779.26360184181</v>
      </c>
      <c r="H257" s="257">
        <f>'I) Dépenses thématiques'!O256</f>
        <v>-70677.09295753231</v>
      </c>
      <c r="I257" s="257">
        <f>'K) Plafonnement aide'!J256</f>
        <v>0</v>
      </c>
      <c r="J257" s="257">
        <f>'J) Plafonnement effort'!I256</f>
        <v>0</v>
      </c>
      <c r="K257" s="257">
        <f>'L) Plafonnement taux'!Q257</f>
        <v>0</v>
      </c>
      <c r="L257" s="346">
        <f t="shared" si="12"/>
        <v>321525.1132507319</v>
      </c>
      <c r="M257" s="346">
        <f>'M) Police'!O257</f>
        <v>40996.397502991866</v>
      </c>
      <c r="N257" s="346">
        <f t="shared" si="10"/>
        <v>362521.51075372379</v>
      </c>
      <c r="P257" s="407">
        <v>-84</v>
      </c>
      <c r="Q257" s="410">
        <f t="shared" si="11"/>
        <v>362437.51075372379</v>
      </c>
    </row>
    <row r="258" spans="1:17" s="248" customFormat="1" x14ac:dyDescent="0.25">
      <c r="A258" s="245">
        <f>'B) D RI'!A259</f>
        <v>5821</v>
      </c>
      <c r="B258" s="246" t="str">
        <f>'B) D RI'!B259</f>
        <v>Missy</v>
      </c>
      <c r="C258" s="424">
        <f>'B) D RI'!S259</f>
        <v>72</v>
      </c>
      <c r="D258" s="247">
        <f>'B) D RI'!AR259</f>
        <v>350</v>
      </c>
      <c r="E258" s="254">
        <f>'D) Ecrêtage'!M257</f>
        <v>7313.8070833333331</v>
      </c>
      <c r="F258" s="257">
        <f>'E) Fact soc'!G263</f>
        <v>153671.77345693595</v>
      </c>
      <c r="G258" s="257">
        <f>'H) Péréquation directe'!I268</f>
        <v>-63448.969675080938</v>
      </c>
      <c r="H258" s="257">
        <f>'I) Dépenses thématiques'!O257</f>
        <v>-70929.884605235537</v>
      </c>
      <c r="I258" s="257">
        <f>'K) Plafonnement aide'!J257</f>
        <v>0</v>
      </c>
      <c r="J258" s="257">
        <f>'J) Plafonnement effort'!I257</f>
        <v>0</v>
      </c>
      <c r="K258" s="257">
        <f>'L) Plafonnement taux'!Q258</f>
        <v>0</v>
      </c>
      <c r="L258" s="346">
        <f t="shared" si="12"/>
        <v>19292.919176619471</v>
      </c>
      <c r="M258" s="346">
        <f>'M) Police'!O258</f>
        <v>22940.466792497835</v>
      </c>
      <c r="N258" s="346">
        <f t="shared" si="10"/>
        <v>42233.385969117306</v>
      </c>
      <c r="P258" s="407">
        <v>-93</v>
      </c>
      <c r="Q258" s="410">
        <f t="shared" si="11"/>
        <v>42140.385969117306</v>
      </c>
    </row>
    <row r="259" spans="1:17" s="248" customFormat="1" x14ac:dyDescent="0.25">
      <c r="A259" s="245">
        <f>'B) D RI'!A260</f>
        <v>5822</v>
      </c>
      <c r="B259" s="246" t="str">
        <f>'B) D RI'!B260</f>
        <v>Payerne</v>
      </c>
      <c r="C259" s="424">
        <f>'B) D RI'!S260</f>
        <v>75</v>
      </c>
      <c r="D259" s="247">
        <f>'B) D RI'!AR260</f>
        <v>9302</v>
      </c>
      <c r="E259" s="254">
        <f>'D) Ecrêtage'!M258</f>
        <v>224445.50853333328</v>
      </c>
      <c r="F259" s="257">
        <f>'E) Fact soc'!G264</f>
        <v>3910232.4839873817</v>
      </c>
      <c r="G259" s="257">
        <f>'H) Péréquation directe'!I269</f>
        <v>-4319449.5307110632</v>
      </c>
      <c r="H259" s="257">
        <f>'I) Dépenses thématiques'!O258</f>
        <v>-1126031.4984816695</v>
      </c>
      <c r="I259" s="257">
        <f>'K) Plafonnement aide'!J258</f>
        <v>0</v>
      </c>
      <c r="J259" s="257">
        <f>'J) Plafonnement effort'!I258</f>
        <v>0</v>
      </c>
      <c r="K259" s="257">
        <f>'L) Plafonnement taux'!Q259</f>
        <v>0</v>
      </c>
      <c r="L259" s="346">
        <f t="shared" si="12"/>
        <v>-1535248.545205351</v>
      </c>
      <c r="M259" s="346">
        <f>'M) Police'!O259</f>
        <v>704207.97805826482</v>
      </c>
      <c r="N259" s="346">
        <f t="shared" si="10"/>
        <v>-831040.56714708614</v>
      </c>
      <c r="P259" s="407">
        <v>-1389</v>
      </c>
      <c r="Q259" s="410">
        <f t="shared" si="11"/>
        <v>-832429.56714708614</v>
      </c>
    </row>
    <row r="260" spans="1:17" s="248" customFormat="1" x14ac:dyDescent="0.25">
      <c r="A260" s="245">
        <f>'B) D RI'!A261</f>
        <v>5827</v>
      </c>
      <c r="B260" s="246" t="str">
        <f>'B) D RI'!B261</f>
        <v>Trey</v>
      </c>
      <c r="C260" s="424">
        <f>'B) D RI'!S261</f>
        <v>80</v>
      </c>
      <c r="D260" s="247">
        <f>'B) D RI'!AR261</f>
        <v>255</v>
      </c>
      <c r="E260" s="254">
        <f>'D) Ecrêtage'!M259</f>
        <v>6544.3336250000011</v>
      </c>
      <c r="F260" s="257">
        <f>'E) Fact soc'!G265</f>
        <v>120048.08196212993</v>
      </c>
      <c r="G260" s="257">
        <f>'H) Péréquation directe'!I270</f>
        <v>-20828.367838660051</v>
      </c>
      <c r="H260" s="257">
        <f>'I) Dépenses thématiques'!O259</f>
        <v>-45192.576281270885</v>
      </c>
      <c r="I260" s="257">
        <f>'K) Plafonnement aide'!J259</f>
        <v>0</v>
      </c>
      <c r="J260" s="257">
        <f>'J) Plafonnement effort'!I259</f>
        <v>0</v>
      </c>
      <c r="K260" s="257">
        <f>'L) Plafonnement taux'!Q260</f>
        <v>0</v>
      </c>
      <c r="L260" s="346">
        <f t="shared" si="12"/>
        <v>54027.137842198994</v>
      </c>
      <c r="M260" s="346">
        <f>'M) Police'!O260</f>
        <v>20729.956219540953</v>
      </c>
      <c r="N260" s="346">
        <f t="shared" si="10"/>
        <v>74757.094061739946</v>
      </c>
      <c r="P260" s="407">
        <v>-71</v>
      </c>
      <c r="Q260" s="410">
        <f t="shared" si="11"/>
        <v>74686.094061739946</v>
      </c>
    </row>
    <row r="261" spans="1:17" s="248" customFormat="1" x14ac:dyDescent="0.25">
      <c r="A261" s="245">
        <f>'B) D RI'!A262</f>
        <v>5828</v>
      </c>
      <c r="B261" s="246" t="str">
        <f>'B) D RI'!B262</f>
        <v>Treytorrens (Payerne)</v>
      </c>
      <c r="C261" s="424">
        <f>'B) D RI'!S262</f>
        <v>84</v>
      </c>
      <c r="D261" s="247">
        <f>'B) D RI'!AR262</f>
        <v>124</v>
      </c>
      <c r="E261" s="254">
        <f>'D) Ecrêtage'!M260</f>
        <v>2136.5168650793653</v>
      </c>
      <c r="F261" s="257">
        <f>'E) Fact soc'!G266</f>
        <v>38851.227473799358</v>
      </c>
      <c r="G261" s="257">
        <f>'H) Péréquation directe'!I271</f>
        <v>-64635.20096401051</v>
      </c>
      <c r="H261" s="257">
        <f>'I) Dépenses thématiques'!O260</f>
        <v>-53250.953264846721</v>
      </c>
      <c r="I261" s="257">
        <f>'K) Plafonnement aide'!J260</f>
        <v>14033.130732274651</v>
      </c>
      <c r="J261" s="257">
        <f>'J) Plafonnement effort'!I260</f>
        <v>0</v>
      </c>
      <c r="K261" s="257">
        <f>'L) Plafonnement taux'!Q261</f>
        <v>0</v>
      </c>
      <c r="L261" s="346">
        <f t="shared" si="12"/>
        <v>-65001.79602278323</v>
      </c>
      <c r="M261" s="346">
        <f>'M) Police'!O261</f>
        <v>6717.3120424821482</v>
      </c>
      <c r="N261" s="346">
        <f t="shared" si="10"/>
        <v>-58284.483980301084</v>
      </c>
      <c r="P261" s="407">
        <v>-44</v>
      </c>
      <c r="Q261" s="410">
        <f t="shared" si="11"/>
        <v>-58328.483980301084</v>
      </c>
    </row>
    <row r="262" spans="1:17" s="248" customFormat="1" x14ac:dyDescent="0.25">
      <c r="A262" s="245">
        <f>'B) D RI'!A263</f>
        <v>5830</v>
      </c>
      <c r="B262" s="246" t="str">
        <f>'B) D RI'!B263</f>
        <v>Villarzel</v>
      </c>
      <c r="C262" s="424">
        <f>'B) D RI'!S263</f>
        <v>79</v>
      </c>
      <c r="D262" s="247">
        <f>'B) D RI'!AR263</f>
        <v>415</v>
      </c>
      <c r="E262" s="254">
        <f>'D) Ecrêtage'!M261</f>
        <v>10236.981518987341</v>
      </c>
      <c r="F262" s="257">
        <f>'E) Fact soc'!G267</f>
        <v>162836.65097471786</v>
      </c>
      <c r="G262" s="257">
        <f>'H) Péréquation directe'!I272</f>
        <v>-47100.017764561431</v>
      </c>
      <c r="H262" s="257">
        <f>'I) Dépenses thématiques'!O261</f>
        <v>-104432.52035314625</v>
      </c>
      <c r="I262" s="257">
        <f>'K) Plafonnement aide'!J261</f>
        <v>0</v>
      </c>
      <c r="J262" s="257">
        <f>'J) Plafonnement effort'!I261</f>
        <v>0</v>
      </c>
      <c r="K262" s="257">
        <f>'L) Plafonnement taux'!Q262</f>
        <v>0</v>
      </c>
      <c r="L262" s="346">
        <f t="shared" si="12"/>
        <v>11304.112857010186</v>
      </c>
      <c r="M262" s="346">
        <f>'M) Police'!O262</f>
        <v>32368.853328199915</v>
      </c>
      <c r="N262" s="346">
        <f t="shared" si="10"/>
        <v>43672.966185210098</v>
      </c>
      <c r="P262" s="407">
        <v>-123</v>
      </c>
      <c r="Q262" s="410">
        <f t="shared" si="11"/>
        <v>43549.966185210098</v>
      </c>
    </row>
    <row r="263" spans="1:17" s="248" customFormat="1" x14ac:dyDescent="0.25">
      <c r="A263" s="245">
        <f>'B) D RI'!A264</f>
        <v>5831</v>
      </c>
      <c r="B263" s="246" t="str">
        <f>'B) D RI'!B264</f>
        <v>Valbroye</v>
      </c>
      <c r="C263" s="424">
        <f>'B) D RI'!S264</f>
        <v>73</v>
      </c>
      <c r="D263" s="247">
        <f>'B) D RI'!AR264</f>
        <v>2960</v>
      </c>
      <c r="E263" s="254">
        <f>'D) Ecrêtage'!M262</f>
        <v>78037.716438356161</v>
      </c>
      <c r="F263" s="257">
        <f>'E) Fact soc'!G268</f>
        <v>1230847.3813114758</v>
      </c>
      <c r="G263" s="257">
        <f>'H) Péréquation directe'!I273</f>
        <v>-418116.35848068865</v>
      </c>
      <c r="H263" s="257">
        <f>'I) Dépenses thématiques'!O262</f>
        <v>-609870.10610040964</v>
      </c>
      <c r="I263" s="257">
        <f>'K) Plafonnement aide'!J262</f>
        <v>0</v>
      </c>
      <c r="J263" s="257">
        <f>'J) Plafonnement effort'!I262</f>
        <v>0</v>
      </c>
      <c r="K263" s="257">
        <f>'L) Plafonnement taux'!Q263</f>
        <v>0</v>
      </c>
      <c r="L263" s="346">
        <f>F263+G263+H263+I263+J263+K263</f>
        <v>202860.91673037747</v>
      </c>
      <c r="M263" s="346">
        <f>'M) Police'!O263</f>
        <v>246448.64290472964</v>
      </c>
      <c r="N263" s="346">
        <f t="shared" ref="N263:N323" si="13">L263+M263</f>
        <v>449309.55963510711</v>
      </c>
      <c r="P263" s="407">
        <v>-845</v>
      </c>
      <c r="Q263" s="410">
        <f t="shared" ref="Q263:Q323" si="14">N263+P263</f>
        <v>448464.55963510711</v>
      </c>
    </row>
    <row r="264" spans="1:17" s="248" customFormat="1" x14ac:dyDescent="0.25">
      <c r="A264" s="245">
        <f>'B) D RI'!A265</f>
        <v>5841</v>
      </c>
      <c r="B264" s="246" t="str">
        <f>'B) D RI'!B265</f>
        <v>Château-d'Oex</v>
      </c>
      <c r="C264" s="424">
        <f>'B) D RI'!S265</f>
        <v>83</v>
      </c>
      <c r="D264" s="247">
        <f>'B) D RI'!AR265</f>
        <v>3408</v>
      </c>
      <c r="E264" s="254">
        <f>'D) Ecrêtage'!M263</f>
        <v>107525.73574297188</v>
      </c>
      <c r="F264" s="257">
        <f>'E) Fact soc'!G269</f>
        <v>2140660.0200900575</v>
      </c>
      <c r="G264" s="257">
        <f>'H) Péréquation directe'!I274</f>
        <v>-133127.86258051801</v>
      </c>
      <c r="H264" s="257">
        <f>'I) Dépenses thématiques'!O263</f>
        <v>-1738987.0034172966</v>
      </c>
      <c r="I264" s="257">
        <f>'K) Plafonnement aide'!J263</f>
        <v>0</v>
      </c>
      <c r="J264" s="257">
        <f>'J) Plafonnement effort'!I263</f>
        <v>0</v>
      </c>
      <c r="K264" s="257">
        <f>'L) Plafonnement taux'!Q264</f>
        <v>0</v>
      </c>
      <c r="L264" s="346">
        <f t="shared" si="12"/>
        <v>268545.15409224294</v>
      </c>
      <c r="M264" s="346">
        <f>'M) Police'!O264</f>
        <v>332720.01544637728</v>
      </c>
      <c r="N264" s="346">
        <f t="shared" si="13"/>
        <v>601265.16953862016</v>
      </c>
      <c r="P264" s="407">
        <v>-2309</v>
      </c>
      <c r="Q264" s="410">
        <f t="shared" si="14"/>
        <v>598956.16953862016</v>
      </c>
    </row>
    <row r="265" spans="1:17" s="248" customFormat="1" x14ac:dyDescent="0.25">
      <c r="A265" s="245">
        <f>'B) D RI'!A266</f>
        <v>5842</v>
      </c>
      <c r="B265" s="246" t="str">
        <f>'B) D RI'!B266</f>
        <v>Rossinière</v>
      </c>
      <c r="C265" s="424">
        <f>'B) D RI'!S266</f>
        <v>81</v>
      </c>
      <c r="D265" s="247">
        <f>'B) D RI'!AR266</f>
        <v>565</v>
      </c>
      <c r="E265" s="254">
        <f>'D) Ecrêtage'!M264</f>
        <v>16554.125349794238</v>
      </c>
      <c r="F265" s="257">
        <f>'E) Fact soc'!G270</f>
        <v>270933.70783178619</v>
      </c>
      <c r="G265" s="257">
        <f>'H) Péréquation directe'!I275</f>
        <v>38942.325718328415</v>
      </c>
      <c r="H265" s="257">
        <f>'I) Dépenses thématiques'!O264</f>
        <v>-268589.20180772839</v>
      </c>
      <c r="I265" s="257">
        <f>'K) Plafonnement aide'!J264</f>
        <v>0</v>
      </c>
      <c r="J265" s="257">
        <f>'J) Plafonnement effort'!I264</f>
        <v>0</v>
      </c>
      <c r="K265" s="257">
        <f>'L) Plafonnement taux'!Q265</f>
        <v>0</v>
      </c>
      <c r="L265" s="346">
        <f t="shared" si="12"/>
        <v>41286.831742386217</v>
      </c>
      <c r="M265" s="346">
        <f>'M) Police'!O265</f>
        <v>52500.982514590076</v>
      </c>
      <c r="N265" s="346">
        <f t="shared" si="13"/>
        <v>93787.8142569763</v>
      </c>
      <c r="P265" s="407">
        <v>-403</v>
      </c>
      <c r="Q265" s="410">
        <f t="shared" si="14"/>
        <v>93384.8142569763</v>
      </c>
    </row>
    <row r="266" spans="1:17" s="248" customFormat="1" x14ac:dyDescent="0.25">
      <c r="A266" s="245">
        <f>'B) D RI'!A267</f>
        <v>5843</v>
      </c>
      <c r="B266" s="246" t="str">
        <f>'B) D RI'!B267</f>
        <v>Rougemont</v>
      </c>
      <c r="C266" s="424">
        <f>'B) D RI'!S267</f>
        <v>69</v>
      </c>
      <c r="D266" s="247">
        <f>'B) D RI'!AR267</f>
        <v>881</v>
      </c>
      <c r="E266" s="254">
        <f>'D) Ecrêtage'!M265</f>
        <v>72188.208025341344</v>
      </c>
      <c r="F266" s="257">
        <f>'E) Fact soc'!G271</f>
        <v>3487336.4327212004</v>
      </c>
      <c r="G266" s="257">
        <f>'H) Péréquation directe'!I276</f>
        <v>1247582.0586775243</v>
      </c>
      <c r="H266" s="257">
        <f>'I) Dépenses thématiques'!O265</f>
        <v>-1003776.9831928711</v>
      </c>
      <c r="I266" s="257">
        <f>'K) Plafonnement aide'!J265</f>
        <v>0</v>
      </c>
      <c r="J266" s="257">
        <f>'J) Plafonnement effort'!I265</f>
        <v>0</v>
      </c>
      <c r="K266" s="257">
        <f>'L) Plafonnement taux'!Q266</f>
        <v>0</v>
      </c>
      <c r="L266" s="346">
        <f t="shared" si="12"/>
        <v>3731141.5082058534</v>
      </c>
      <c r="M266" s="346">
        <f>'M) Police'!O266</f>
        <v>168848.87492779127</v>
      </c>
      <c r="N266" s="346">
        <f t="shared" si="13"/>
        <v>3899990.3831336447</v>
      </c>
      <c r="P266" s="407">
        <v>-1339</v>
      </c>
      <c r="Q266" s="410">
        <f t="shared" si="14"/>
        <v>3898651.3831336447</v>
      </c>
    </row>
    <row r="267" spans="1:17" s="248" customFormat="1" x14ac:dyDescent="0.25">
      <c r="A267" s="245">
        <f>'B) D RI'!A268</f>
        <v>5851</v>
      </c>
      <c r="B267" s="246" t="str">
        <f>'B) D RI'!B268</f>
        <v>Allaman</v>
      </c>
      <c r="C267" s="424">
        <f>'B) D RI'!S268</f>
        <v>62</v>
      </c>
      <c r="D267" s="247">
        <f>'B) D RI'!AR268</f>
        <v>393</v>
      </c>
      <c r="E267" s="254">
        <f>'D) Ecrêtage'!M266</f>
        <v>24621.2150634602</v>
      </c>
      <c r="F267" s="257">
        <f>'E) Fact soc'!G272</f>
        <v>218391.02214127441</v>
      </c>
      <c r="G267" s="257">
        <f>'H) Péréquation directe'!I277</f>
        <v>416353.84031663556</v>
      </c>
      <c r="H267" s="257">
        <f>'I) Dépenses thématiques'!O266</f>
        <v>-690.57109471261106</v>
      </c>
      <c r="I267" s="257">
        <f>'K) Plafonnement aide'!J266</f>
        <v>0</v>
      </c>
      <c r="J267" s="257">
        <f>'J) Plafonnement effort'!I266</f>
        <v>0</v>
      </c>
      <c r="K267" s="257">
        <f>'L) Plafonnement taux'!Q267</f>
        <v>0</v>
      </c>
      <c r="L267" s="346">
        <f t="shared" si="12"/>
        <v>634054.29136319738</v>
      </c>
      <c r="M267" s="346">
        <f>'M) Police'!O267</f>
        <v>65494.796398796359</v>
      </c>
      <c r="N267" s="346">
        <f t="shared" si="13"/>
        <v>699549.08776199375</v>
      </c>
      <c r="P267" s="407">
        <v>0</v>
      </c>
      <c r="Q267" s="410">
        <f t="shared" si="14"/>
        <v>699549.08776199375</v>
      </c>
    </row>
    <row r="268" spans="1:17" s="248" customFormat="1" x14ac:dyDescent="0.25">
      <c r="A268" s="245">
        <f>'B) D RI'!A269</f>
        <v>5852</v>
      </c>
      <c r="B268" s="246" t="str">
        <f>'B) D RI'!B269</f>
        <v>Bursinel</v>
      </c>
      <c r="C268" s="424">
        <f>'B) D RI'!S269</f>
        <v>63.5</v>
      </c>
      <c r="D268" s="247">
        <f>'B) D RI'!AR269</f>
        <v>477</v>
      </c>
      <c r="E268" s="254">
        <f>'D) Ecrêtage'!M267</f>
        <v>29689.674798254688</v>
      </c>
      <c r="F268" s="257">
        <f>'E) Fact soc'!G273</f>
        <v>670430.24205130665</v>
      </c>
      <c r="G268" s="257">
        <f>'H) Péréquation directe'!I278</f>
        <v>501756.67963683367</v>
      </c>
      <c r="H268" s="257">
        <f>'I) Dépenses thématiques'!O267</f>
        <v>-21089.352216219315</v>
      </c>
      <c r="I268" s="257">
        <f>'K) Plafonnement aide'!J267</f>
        <v>0</v>
      </c>
      <c r="J268" s="257">
        <f>'J) Plafonnement effort'!I267</f>
        <v>0</v>
      </c>
      <c r="K268" s="257">
        <f>'L) Plafonnement taux'!Q268</f>
        <v>0</v>
      </c>
      <c r="L268" s="346">
        <f t="shared" si="12"/>
        <v>1151097.5694719211</v>
      </c>
      <c r="M268" s="346">
        <f>'M) Police'!O268</f>
        <v>79242.110662626699</v>
      </c>
      <c r="N268" s="346">
        <f t="shared" si="13"/>
        <v>1230339.6801345479</v>
      </c>
      <c r="P268" s="407">
        <v>-56</v>
      </c>
      <c r="Q268" s="410">
        <f t="shared" si="14"/>
        <v>1230283.6801345479</v>
      </c>
    </row>
    <row r="269" spans="1:17" s="248" customFormat="1" x14ac:dyDescent="0.25">
      <c r="A269" s="245">
        <f>'B) D RI'!A270</f>
        <v>5853</v>
      </c>
      <c r="B269" s="246" t="str">
        <f>'B) D RI'!B270</f>
        <v>Bursins</v>
      </c>
      <c r="C269" s="424">
        <f>'B) D RI'!S270</f>
        <v>71</v>
      </c>
      <c r="D269" s="247">
        <f>'B) D RI'!AR270</f>
        <v>772</v>
      </c>
      <c r="E269" s="254">
        <f>'D) Ecrêtage'!M268</f>
        <v>37118.734366197183</v>
      </c>
      <c r="F269" s="257">
        <f>'E) Fact soc'!G274</f>
        <v>683091.44255801919</v>
      </c>
      <c r="G269" s="257">
        <f>'H) Péréquation directe'!I279</f>
        <v>609920.45335857931</v>
      </c>
      <c r="H269" s="257">
        <f>'I) Dépenses thématiques'!O268</f>
        <v>-1598.7984233591296</v>
      </c>
      <c r="I269" s="257">
        <f>'K) Plafonnement aide'!J268</f>
        <v>0</v>
      </c>
      <c r="J269" s="257">
        <f>'J) Plafonnement effort'!I268</f>
        <v>0</v>
      </c>
      <c r="K269" s="257">
        <f>'L) Plafonnement taux'!Q269</f>
        <v>0</v>
      </c>
      <c r="L269" s="346">
        <f t="shared" si="12"/>
        <v>1291413.0974932392</v>
      </c>
      <c r="M269" s="346">
        <f>'M) Police'!O269</f>
        <v>114078.94460570827</v>
      </c>
      <c r="N269" s="346">
        <f t="shared" si="13"/>
        <v>1405492.0420989476</v>
      </c>
      <c r="P269" s="407">
        <v>-25</v>
      </c>
      <c r="Q269" s="410">
        <f t="shared" si="14"/>
        <v>1405467.0420989476</v>
      </c>
    </row>
    <row r="270" spans="1:17" s="248" customFormat="1" x14ac:dyDescent="0.25">
      <c r="A270" s="245">
        <f>'B) D RI'!A271</f>
        <v>5854</v>
      </c>
      <c r="B270" s="246" t="str">
        <f>'B) D RI'!B271</f>
        <v>Burtigny</v>
      </c>
      <c r="C270" s="424">
        <f>'B) D RI'!S271</f>
        <v>80</v>
      </c>
      <c r="D270" s="247">
        <f>'B) D RI'!AR271</f>
        <v>352</v>
      </c>
      <c r="E270" s="254">
        <f>'D) Ecrêtage'!M269</f>
        <v>10244.164041666669</v>
      </c>
      <c r="F270" s="257">
        <f>'E) Fact soc'!G275</f>
        <v>158315.08501946772</v>
      </c>
      <c r="G270" s="257">
        <f>'H) Péréquation directe'!I280</f>
        <v>24448.950472363969</v>
      </c>
      <c r="H270" s="257">
        <f>'I) Dépenses thématiques'!O269</f>
        <v>-24181.946371222799</v>
      </c>
      <c r="I270" s="257">
        <f>'K) Plafonnement aide'!J269</f>
        <v>0</v>
      </c>
      <c r="J270" s="257">
        <f>'J) Plafonnement effort'!I269</f>
        <v>0</v>
      </c>
      <c r="K270" s="257">
        <f>'L) Plafonnement taux'!Q270</f>
        <v>0</v>
      </c>
      <c r="L270" s="346">
        <f t="shared" si="12"/>
        <v>158582.0891206089</v>
      </c>
      <c r="M270" s="346">
        <f>'M) Police'!O270</f>
        <v>32207.540658277569</v>
      </c>
      <c r="N270" s="346">
        <f t="shared" si="13"/>
        <v>190789.62977888648</v>
      </c>
      <c r="P270" s="407">
        <v>0</v>
      </c>
      <c r="Q270" s="410">
        <f t="shared" si="14"/>
        <v>190789.62977888648</v>
      </c>
    </row>
    <row r="271" spans="1:17" s="248" customFormat="1" x14ac:dyDescent="0.25">
      <c r="A271" s="245">
        <f>'B) D RI'!A272</f>
        <v>5855</v>
      </c>
      <c r="B271" s="246" t="str">
        <f>'B) D RI'!B272</f>
        <v>Dully</v>
      </c>
      <c r="C271" s="424">
        <f>'B) D RI'!S272</f>
        <v>49</v>
      </c>
      <c r="D271" s="247">
        <f>'B) D RI'!AR272</f>
        <v>636</v>
      </c>
      <c r="E271" s="254">
        <f>'D) Ecrêtage'!M270</f>
        <v>51551.289556577765</v>
      </c>
      <c r="F271" s="257">
        <f>'E) Fact soc'!G276</f>
        <v>1874748.2212884882</v>
      </c>
      <c r="G271" s="257">
        <f>'H) Péréquation directe'!I281</f>
        <v>890248.73025878705</v>
      </c>
      <c r="H271" s="257">
        <f>'I) Dépenses thématiques'!O270</f>
        <v>0</v>
      </c>
      <c r="I271" s="257">
        <f>'K) Plafonnement aide'!J270</f>
        <v>0</v>
      </c>
      <c r="J271" s="257">
        <f>'J) Plafonnement effort'!I270</f>
        <v>0</v>
      </c>
      <c r="K271" s="257">
        <f>'L) Plafonnement taux'!Q271</f>
        <v>0</v>
      </c>
      <c r="L271" s="346">
        <f t="shared" si="12"/>
        <v>2764996.9515472753</v>
      </c>
      <c r="M271" s="346">
        <f>'M) Police'!O271</f>
        <v>121164.8834970257</v>
      </c>
      <c r="N271" s="346">
        <f t="shared" si="13"/>
        <v>2886161.8350443011</v>
      </c>
      <c r="P271" s="407">
        <v>0</v>
      </c>
      <c r="Q271" s="410">
        <f t="shared" si="14"/>
        <v>2886161.8350443011</v>
      </c>
    </row>
    <row r="272" spans="1:17" s="248" customFormat="1" x14ac:dyDescent="0.25">
      <c r="A272" s="245">
        <f>'B) D RI'!A273</f>
        <v>5856</v>
      </c>
      <c r="B272" s="246" t="str">
        <f>'B) D RI'!B273</f>
        <v>Essertines-sur-Rolle</v>
      </c>
      <c r="C272" s="424">
        <f>'B) D RI'!S273</f>
        <v>68</v>
      </c>
      <c r="D272" s="247">
        <f>'B) D RI'!AR273</f>
        <v>700</v>
      </c>
      <c r="E272" s="254">
        <f>'D) Ecrêtage'!M271</f>
        <v>28766.256402714938</v>
      </c>
      <c r="F272" s="257">
        <f>'E) Fact soc'!G277</f>
        <v>432316.68590995425</v>
      </c>
      <c r="G272" s="257">
        <f>'H) Péréquation directe'!I282</f>
        <v>430066.29194703785</v>
      </c>
      <c r="H272" s="257">
        <f>'I) Dépenses thématiques'!O271</f>
        <v>-56588.654386941686</v>
      </c>
      <c r="I272" s="257">
        <f>'K) Plafonnement aide'!J271</f>
        <v>0</v>
      </c>
      <c r="J272" s="257">
        <f>'J) Plafonnement effort'!I271</f>
        <v>0</v>
      </c>
      <c r="K272" s="257">
        <f>'L) Plafonnement taux'!Q272</f>
        <v>0</v>
      </c>
      <c r="L272" s="346">
        <f t="shared" si="12"/>
        <v>805794.32347005035</v>
      </c>
      <c r="M272" s="346">
        <f>'M) Police'!O272</f>
        <v>89832.426035892422</v>
      </c>
      <c r="N272" s="346">
        <f t="shared" si="13"/>
        <v>895626.7495059428</v>
      </c>
      <c r="P272" s="407">
        <v>-1</v>
      </c>
      <c r="Q272" s="410">
        <f t="shared" si="14"/>
        <v>895625.7495059428</v>
      </c>
    </row>
    <row r="273" spans="1:17" s="248" customFormat="1" x14ac:dyDescent="0.25">
      <c r="A273" s="245">
        <f>'B) D RI'!A274</f>
        <v>5857</v>
      </c>
      <c r="B273" s="246" t="str">
        <f>'B) D RI'!B274</f>
        <v>Gilly</v>
      </c>
      <c r="C273" s="424">
        <f>'B) D RI'!S274</f>
        <v>66</v>
      </c>
      <c r="D273" s="247">
        <f>'B) D RI'!AR274</f>
        <v>1131</v>
      </c>
      <c r="E273" s="254">
        <f>'D) Ecrêtage'!M272</f>
        <v>55694.918787878785</v>
      </c>
      <c r="F273" s="257">
        <f>'E) Fact soc'!G278</f>
        <v>1150979.9403507556</v>
      </c>
      <c r="G273" s="257">
        <f>'H) Péréquation directe'!I283</f>
        <v>885443.95299670426</v>
      </c>
      <c r="H273" s="257">
        <f>'I) Dépenses thématiques'!O272</f>
        <v>0</v>
      </c>
      <c r="I273" s="257">
        <f>'K) Plafonnement aide'!J272</f>
        <v>0</v>
      </c>
      <c r="J273" s="257">
        <f>'J) Plafonnement effort'!I272</f>
        <v>0</v>
      </c>
      <c r="K273" s="257">
        <f>'L) Plafonnement taux'!Q273</f>
        <v>0</v>
      </c>
      <c r="L273" s="346">
        <f t="shared" si="12"/>
        <v>2036423.8933474598</v>
      </c>
      <c r="M273" s="346">
        <f>'M) Police'!O273</f>
        <v>168833.08623324701</v>
      </c>
      <c r="N273" s="346">
        <f t="shared" si="13"/>
        <v>2205256.9795807069</v>
      </c>
      <c r="P273" s="407">
        <v>0</v>
      </c>
      <c r="Q273" s="410">
        <f t="shared" si="14"/>
        <v>2205256.9795807069</v>
      </c>
    </row>
    <row r="274" spans="1:17" s="248" customFormat="1" x14ac:dyDescent="0.25">
      <c r="A274" s="245">
        <f>'B) D RI'!A275</f>
        <v>5858</v>
      </c>
      <c r="B274" s="246" t="str">
        <f>'B) D RI'!B275</f>
        <v>Luins</v>
      </c>
      <c r="C274" s="424">
        <f>'B) D RI'!S275</f>
        <v>60</v>
      </c>
      <c r="D274" s="247">
        <f>'B) D RI'!AR275</f>
        <v>633</v>
      </c>
      <c r="E274" s="254">
        <f>'D) Ecrêtage'!M273</f>
        <v>33594.571611111111</v>
      </c>
      <c r="F274" s="257">
        <f>'E) Fact soc'!G279</f>
        <v>512624.71799631492</v>
      </c>
      <c r="G274" s="257">
        <f>'H) Péréquation directe'!I284</f>
        <v>558517.09851001692</v>
      </c>
      <c r="H274" s="257">
        <f>'I) Dépenses thématiques'!O273</f>
        <v>0</v>
      </c>
      <c r="I274" s="257">
        <f>'K) Plafonnement aide'!J273</f>
        <v>0</v>
      </c>
      <c r="J274" s="257">
        <f>'J) Plafonnement effort'!I273</f>
        <v>0</v>
      </c>
      <c r="K274" s="257">
        <f>'L) Plafonnement taux'!Q274</f>
        <v>0</v>
      </c>
      <c r="L274" s="346">
        <f t="shared" ref="L274:L324" si="15">F274+G274+H274+I274+J274+K274</f>
        <v>1071141.8165063318</v>
      </c>
      <c r="M274" s="346">
        <f>'M) Police'!O274</f>
        <v>97633.593767490893</v>
      </c>
      <c r="N274" s="346">
        <f t="shared" si="13"/>
        <v>1168775.4102738227</v>
      </c>
      <c r="P274" s="407">
        <v>-1</v>
      </c>
      <c r="Q274" s="410">
        <f t="shared" si="14"/>
        <v>1168774.4102738227</v>
      </c>
    </row>
    <row r="275" spans="1:17" s="248" customFormat="1" x14ac:dyDescent="0.25">
      <c r="A275" s="245">
        <f>'B) D RI'!A276</f>
        <v>5859</v>
      </c>
      <c r="B275" s="246" t="str">
        <f>'B) D RI'!B276</f>
        <v>Mont-sur-Rolle</v>
      </c>
      <c r="C275" s="424">
        <f>'B) D RI'!S276</f>
        <v>63</v>
      </c>
      <c r="D275" s="247">
        <f>'B) D RI'!AR276</f>
        <v>2594</v>
      </c>
      <c r="E275" s="254">
        <f>'D) Ecrêtage'!M274</f>
        <v>145844.19140296514</v>
      </c>
      <c r="F275" s="257">
        <f>'E) Fact soc'!G280</f>
        <v>2494242.7386656124</v>
      </c>
      <c r="G275" s="257">
        <f>'H) Péréquation directe'!I285</f>
        <v>2045450.0874643838</v>
      </c>
      <c r="H275" s="257">
        <f>'I) Dépenses thématiques'!O274</f>
        <v>0</v>
      </c>
      <c r="I275" s="257">
        <f>'K) Plafonnement aide'!J274</f>
        <v>0</v>
      </c>
      <c r="J275" s="257">
        <f>'J) Plafonnement effort'!I274</f>
        <v>0</v>
      </c>
      <c r="K275" s="257">
        <f>'L) Plafonnement taux'!Q275</f>
        <v>0</v>
      </c>
      <c r="L275" s="346">
        <f t="shared" si="15"/>
        <v>4539692.8261299962</v>
      </c>
      <c r="M275" s="346">
        <f>'M) Police'!O275</f>
        <v>410693.97724183882</v>
      </c>
      <c r="N275" s="346">
        <f t="shared" si="13"/>
        <v>4950386.8033718355</v>
      </c>
      <c r="P275" s="407">
        <v>-1</v>
      </c>
      <c r="Q275" s="410">
        <f t="shared" si="14"/>
        <v>4950385.8033718355</v>
      </c>
    </row>
    <row r="276" spans="1:17" s="248" customFormat="1" x14ac:dyDescent="0.25">
      <c r="A276" s="245">
        <f>'B) D RI'!A277</f>
        <v>5860</v>
      </c>
      <c r="B276" s="246" t="str">
        <f>'B) D RI'!B277</f>
        <v>Perroy</v>
      </c>
      <c r="C276" s="424">
        <f>'B) D RI'!S277</f>
        <v>60</v>
      </c>
      <c r="D276" s="247">
        <f>'B) D RI'!AR277</f>
        <v>1464</v>
      </c>
      <c r="E276" s="254">
        <f>'D) Ecrêtage'!M275</f>
        <v>85462.661062115134</v>
      </c>
      <c r="F276" s="257">
        <f>'E) Fact soc'!G281</f>
        <v>1773992.813277914</v>
      </c>
      <c r="G276" s="257">
        <f>'H) Péréquation directe'!I286</f>
        <v>1320486.7948880286</v>
      </c>
      <c r="H276" s="257">
        <f>'I) Dépenses thématiques'!O275</f>
        <v>0</v>
      </c>
      <c r="I276" s="257">
        <f>'K) Plafonnement aide'!J275</f>
        <v>0</v>
      </c>
      <c r="J276" s="257">
        <f>'J) Plafonnement effort'!I275</f>
        <v>0</v>
      </c>
      <c r="K276" s="257">
        <f>'L) Plafonnement taux'!Q276</f>
        <v>0</v>
      </c>
      <c r="L276" s="346">
        <f t="shared" si="15"/>
        <v>3094479.6081659426</v>
      </c>
      <c r="M276" s="346">
        <f>'M) Police'!O276</f>
        <v>235871.69935815712</v>
      </c>
      <c r="N276" s="346">
        <f t="shared" si="13"/>
        <v>3330351.3075240999</v>
      </c>
      <c r="P276" s="407">
        <v>-1</v>
      </c>
      <c r="Q276" s="410">
        <f t="shared" si="14"/>
        <v>3330350.3075240999</v>
      </c>
    </row>
    <row r="277" spans="1:17" s="248" customFormat="1" x14ac:dyDescent="0.25">
      <c r="A277" s="245">
        <f>'B) D RI'!A278</f>
        <v>5861</v>
      </c>
      <c r="B277" s="246" t="str">
        <f>'B) D RI'!B278</f>
        <v>Rolle</v>
      </c>
      <c r="C277" s="424">
        <f>'B) D RI'!S278</f>
        <v>59.5</v>
      </c>
      <c r="D277" s="247">
        <f>'B) D RI'!AR278</f>
        <v>6047</v>
      </c>
      <c r="E277" s="254">
        <f>'D) Ecrêtage'!M276</f>
        <v>498836.36659534537</v>
      </c>
      <c r="F277" s="257">
        <f>'E) Fact soc'!G282</f>
        <v>16951639.559979185</v>
      </c>
      <c r="G277" s="257">
        <f>'H) Péréquation directe'!I287</f>
        <v>6819960.198607171</v>
      </c>
      <c r="H277" s="257">
        <f>'I) Dépenses thématiques'!O276</f>
        <v>-31192.051287811853</v>
      </c>
      <c r="I277" s="257">
        <f>'K) Plafonnement aide'!J276</f>
        <v>0</v>
      </c>
      <c r="J277" s="257">
        <f>'J) Plafonnement effort'!I276</f>
        <v>0</v>
      </c>
      <c r="K277" s="257">
        <f>'L) Plafonnement taux'!Q277</f>
        <v>0</v>
      </c>
      <c r="L277" s="346">
        <f t="shared" si="15"/>
        <v>23740407.707298543</v>
      </c>
      <c r="M277" s="346">
        <f>'M) Police'!O277</f>
        <v>1163287.6315928218</v>
      </c>
      <c r="N277" s="346">
        <f t="shared" si="13"/>
        <v>24903695.338891365</v>
      </c>
      <c r="P277" s="407">
        <v>-629</v>
      </c>
      <c r="Q277" s="410">
        <f t="shared" si="14"/>
        <v>24903066.338891365</v>
      </c>
    </row>
    <row r="278" spans="1:17" s="248" customFormat="1" x14ac:dyDescent="0.25">
      <c r="A278" s="245">
        <f>'B) D RI'!A279</f>
        <v>5862</v>
      </c>
      <c r="B278" s="246" t="str">
        <f>'B) D RI'!B279</f>
        <v>Tartegnin</v>
      </c>
      <c r="C278" s="424">
        <f>'B) D RI'!S279</f>
        <v>84</v>
      </c>
      <c r="D278" s="247">
        <f>'B) D RI'!AR279</f>
        <v>230</v>
      </c>
      <c r="E278" s="254">
        <f>'D) Ecrêtage'!M277</f>
        <v>9990.8663492063497</v>
      </c>
      <c r="F278" s="257">
        <f>'E) Fact soc'!G283</f>
        <v>158277.17507676414</v>
      </c>
      <c r="G278" s="257">
        <f>'H) Péréquation directe'!I288</f>
        <v>160785.42980487214</v>
      </c>
      <c r="H278" s="257">
        <f>'I) Dépenses thématiques'!O277</f>
        <v>0</v>
      </c>
      <c r="I278" s="257">
        <f>'K) Plafonnement aide'!J277</f>
        <v>0</v>
      </c>
      <c r="J278" s="257">
        <f>'J) Plafonnement effort'!I277</f>
        <v>0</v>
      </c>
      <c r="K278" s="257">
        <f>'L) Plafonnement taux'!Q278</f>
        <v>0</v>
      </c>
      <c r="L278" s="346">
        <f t="shared" si="15"/>
        <v>319062.60488163627</v>
      </c>
      <c r="M278" s="346">
        <f>'M) Police'!O278</f>
        <v>31863.993206596257</v>
      </c>
      <c r="N278" s="346">
        <f t="shared" si="13"/>
        <v>350926.59808823251</v>
      </c>
      <c r="P278" s="407">
        <v>-15</v>
      </c>
      <c r="Q278" s="410">
        <f t="shared" si="14"/>
        <v>350911.59808823251</v>
      </c>
    </row>
    <row r="279" spans="1:17" s="248" customFormat="1" x14ac:dyDescent="0.25">
      <c r="A279" s="245">
        <f>'B) D RI'!A280</f>
        <v>5863</v>
      </c>
      <c r="B279" s="246" t="str">
        <f>'B) D RI'!B280</f>
        <v>Vinzel</v>
      </c>
      <c r="C279" s="424">
        <f>'B) D RI'!S280</f>
        <v>70</v>
      </c>
      <c r="D279" s="247">
        <f>'B) D RI'!AR280</f>
        <v>349</v>
      </c>
      <c r="E279" s="254">
        <f>'D) Ecrêtage'!M278</f>
        <v>23166.645443928526</v>
      </c>
      <c r="F279" s="257">
        <f>'E) Fact soc'!G284</f>
        <v>534711.90461403923</v>
      </c>
      <c r="G279" s="257">
        <f>'H) Péréquation directe'!I289</f>
        <v>393813.86161543115</v>
      </c>
      <c r="H279" s="257">
        <f>'I) Dépenses thématiques'!O278</f>
        <v>0</v>
      </c>
      <c r="I279" s="257">
        <f>'K) Plafonnement aide'!J278</f>
        <v>0</v>
      </c>
      <c r="J279" s="257">
        <f>'J) Plafonnement effort'!I278</f>
        <v>0</v>
      </c>
      <c r="K279" s="257">
        <f>'L) Plafonnement taux'!Q279</f>
        <v>0</v>
      </c>
      <c r="L279" s="346">
        <f t="shared" si="15"/>
        <v>928525.76622947038</v>
      </c>
      <c r="M279" s="346">
        <f>'M) Police'!O279</f>
        <v>59849.663049075309</v>
      </c>
      <c r="N279" s="346">
        <f t="shared" si="13"/>
        <v>988375.42927854566</v>
      </c>
      <c r="P279" s="407">
        <v>0</v>
      </c>
      <c r="Q279" s="410">
        <f t="shared" si="14"/>
        <v>988375.42927854566</v>
      </c>
    </row>
    <row r="280" spans="1:17" s="248" customFormat="1" x14ac:dyDescent="0.25">
      <c r="A280" s="245">
        <f>'B) D RI'!A281</f>
        <v>5871</v>
      </c>
      <c r="B280" s="246" t="str">
        <f>'B) D RI'!B281</f>
        <v>L'Abbaye</v>
      </c>
      <c r="C280" s="424">
        <f>'B) D RI'!S281</f>
        <v>77.11</v>
      </c>
      <c r="D280" s="247">
        <f>'B) D RI'!AR281</f>
        <v>1423</v>
      </c>
      <c r="E280" s="254">
        <f>'D) Ecrêtage'!M279</f>
        <v>49270.614706263776</v>
      </c>
      <c r="F280" s="257">
        <f>'E) Fact soc'!G285</f>
        <v>964842.59287786041</v>
      </c>
      <c r="G280" s="257">
        <f>'H) Péréquation directe'!I290</f>
        <v>362627.64778016566</v>
      </c>
      <c r="H280" s="257">
        <f>'I) Dépenses thématiques'!O279</f>
        <v>-304115.19793348806</v>
      </c>
      <c r="I280" s="257">
        <f>'K) Plafonnement aide'!J279</f>
        <v>0</v>
      </c>
      <c r="J280" s="257">
        <f>'J) Plafonnement effort'!I279</f>
        <v>0</v>
      </c>
      <c r="K280" s="257">
        <f>'L) Plafonnement taux'!Q280</f>
        <v>0</v>
      </c>
      <c r="L280" s="346">
        <f t="shared" si="15"/>
        <v>1023355.0427245381</v>
      </c>
      <c r="M280" s="346">
        <f>'M) Police'!O280</f>
        <v>156430.77783362451</v>
      </c>
      <c r="N280" s="346">
        <f t="shared" si="13"/>
        <v>1179785.8205581626</v>
      </c>
      <c r="P280" s="407">
        <v>-204</v>
      </c>
      <c r="Q280" s="410">
        <f t="shared" si="14"/>
        <v>1179581.8205581626</v>
      </c>
    </row>
    <row r="281" spans="1:17" s="248" customFormat="1" x14ac:dyDescent="0.25">
      <c r="A281" s="245">
        <f>'B) D RI'!A282</f>
        <v>5872</v>
      </c>
      <c r="B281" s="246" t="str">
        <f>'B) D RI'!B282</f>
        <v>Le Chenit</v>
      </c>
      <c r="C281" s="424">
        <f>'B) D RI'!S282</f>
        <v>69.739999999999995</v>
      </c>
      <c r="D281" s="247">
        <f>'B) D RI'!AR282</f>
        <v>4614</v>
      </c>
      <c r="E281" s="254">
        <f>'D) Ecrêtage'!M280</f>
        <v>291401.48019129108</v>
      </c>
      <c r="F281" s="257">
        <f>'E) Fact soc'!G286</f>
        <v>7244306.0301612634</v>
      </c>
      <c r="G281" s="257">
        <f>'H) Péréquation directe'!I291</f>
        <v>3797324.7808682662</v>
      </c>
      <c r="H281" s="257">
        <f>'I) Dépenses thématiques'!O280</f>
        <v>-1303818.7376845595</v>
      </c>
      <c r="I281" s="257">
        <f>'K) Plafonnement aide'!J280</f>
        <v>0</v>
      </c>
      <c r="J281" s="257">
        <f>'J) Plafonnement effort'!I280</f>
        <v>0</v>
      </c>
      <c r="K281" s="257">
        <f>'L) Plafonnement taux'!Q281</f>
        <v>0</v>
      </c>
      <c r="L281" s="346">
        <f t="shared" si="15"/>
        <v>9737812.0733449701</v>
      </c>
      <c r="M281" s="346">
        <f>'M) Police'!O281</f>
        <v>771968.23387585115</v>
      </c>
      <c r="N281" s="346">
        <f t="shared" si="13"/>
        <v>10509780.30722082</v>
      </c>
      <c r="P281" s="407">
        <v>-1390</v>
      </c>
      <c r="Q281" s="410">
        <f t="shared" si="14"/>
        <v>10508390.30722082</v>
      </c>
    </row>
    <row r="282" spans="1:17" s="248" customFormat="1" x14ac:dyDescent="0.25">
      <c r="A282" s="245">
        <f>'B) D RI'!A283</f>
        <v>5873</v>
      </c>
      <c r="B282" s="246" t="str">
        <f>'B) D RI'!B283</f>
        <v>Le Lieu</v>
      </c>
      <c r="C282" s="424">
        <f>'B) D RI'!S283</f>
        <v>65</v>
      </c>
      <c r="D282" s="247">
        <f>'B) D RI'!AR283</f>
        <v>859</v>
      </c>
      <c r="E282" s="254">
        <f>'D) Ecrêtage'!M281</f>
        <v>35906.558461538458</v>
      </c>
      <c r="F282" s="257">
        <f>'E) Fact soc'!G287</f>
        <v>857767.17832542816</v>
      </c>
      <c r="G282" s="257">
        <f>'H) Péréquation directe'!I292</f>
        <v>552598.57596954796</v>
      </c>
      <c r="H282" s="257">
        <f>'I) Dépenses thématiques'!O281</f>
        <v>-739858.15404873225</v>
      </c>
      <c r="I282" s="257">
        <f>'K) Plafonnement aide'!J281</f>
        <v>0</v>
      </c>
      <c r="J282" s="257">
        <f>'J) Plafonnement effort'!I281</f>
        <v>0</v>
      </c>
      <c r="K282" s="257">
        <f>'L) Plafonnement taux'!Q282</f>
        <v>0</v>
      </c>
      <c r="L282" s="346">
        <f t="shared" si="15"/>
        <v>670507.60024624388</v>
      </c>
      <c r="M282" s="346">
        <f>'M) Police'!O282</f>
        <v>111635.07142870969</v>
      </c>
      <c r="N282" s="346">
        <f t="shared" si="13"/>
        <v>782142.67167495354</v>
      </c>
      <c r="P282" s="407">
        <v>-898</v>
      </c>
      <c r="Q282" s="410">
        <f t="shared" si="14"/>
        <v>781244.67167495354</v>
      </c>
    </row>
    <row r="283" spans="1:17" s="248" customFormat="1" x14ac:dyDescent="0.25">
      <c r="A283" s="245">
        <f>'B) D RI'!A284</f>
        <v>5881</v>
      </c>
      <c r="B283" s="246" t="str">
        <f>'B) D RI'!B284</f>
        <v>Blonay</v>
      </c>
      <c r="C283" s="424">
        <f>'B) D RI'!S284</f>
        <v>70</v>
      </c>
      <c r="D283" s="247">
        <f>'B) D RI'!AR284</f>
        <v>6132</v>
      </c>
      <c r="E283" s="254">
        <f>'D) Ecrêtage'!M282</f>
        <v>345610.45704485953</v>
      </c>
      <c r="F283" s="257">
        <f>'E) Fact soc'!G288</f>
        <v>6265681.9104724666</v>
      </c>
      <c r="G283" s="257">
        <f>'H) Péréquation directe'!I293</f>
        <v>3936250.2751742471</v>
      </c>
      <c r="H283" s="257">
        <f>'I) Dépenses thématiques'!O282</f>
        <v>-785301.77964636066</v>
      </c>
      <c r="I283" s="257">
        <f>'K) Plafonnement aide'!J282</f>
        <v>0</v>
      </c>
      <c r="J283" s="257">
        <f>'J) Plafonnement effort'!I282</f>
        <v>0</v>
      </c>
      <c r="K283" s="257">
        <f>'L) Plafonnement taux'!Q283</f>
        <v>0</v>
      </c>
      <c r="L283" s="346">
        <f t="shared" si="15"/>
        <v>9416630.4060003515</v>
      </c>
      <c r="M283" s="346">
        <f>'M) Police'!O283</f>
        <v>447969.5789366535</v>
      </c>
      <c r="N283" s="346">
        <f t="shared" si="13"/>
        <v>9864599.9849370047</v>
      </c>
      <c r="P283" s="407">
        <v>-747</v>
      </c>
      <c r="Q283" s="410">
        <f t="shared" si="14"/>
        <v>9863852.9849370047</v>
      </c>
    </row>
    <row r="284" spans="1:17" s="248" customFormat="1" x14ac:dyDescent="0.25">
      <c r="A284" s="245">
        <f>'B) D RI'!A285</f>
        <v>5882</v>
      </c>
      <c r="B284" s="246" t="str">
        <f>'B) D RI'!B285</f>
        <v>Chardonne</v>
      </c>
      <c r="C284" s="424">
        <f>'B) D RI'!S285</f>
        <v>66</v>
      </c>
      <c r="D284" s="247">
        <f>'B) D RI'!AR285</f>
        <v>2889</v>
      </c>
      <c r="E284" s="254">
        <f>'D) Ecrêtage'!M283</f>
        <v>161443.20422773872</v>
      </c>
      <c r="F284" s="257">
        <f>'E) Fact soc'!G289</f>
        <v>3141150.6451142225</v>
      </c>
      <c r="G284" s="257">
        <f>'H) Péréquation directe'!I294</f>
        <v>2231672.2974069989</v>
      </c>
      <c r="H284" s="257">
        <f>'I) Dépenses thématiques'!O283</f>
        <v>-292640.77039197064</v>
      </c>
      <c r="I284" s="257">
        <f>'K) Plafonnement aide'!J283</f>
        <v>0</v>
      </c>
      <c r="J284" s="257">
        <f>'J) Plafonnement effort'!I283</f>
        <v>0</v>
      </c>
      <c r="K284" s="257">
        <f>'L) Plafonnement taux'!Q284</f>
        <v>0</v>
      </c>
      <c r="L284" s="346">
        <f t="shared" si="15"/>
        <v>5080182.1721292511</v>
      </c>
      <c r="M284" s="346">
        <f>'M) Police'!O284</f>
        <v>209257.6851941059</v>
      </c>
      <c r="N284" s="346">
        <f t="shared" si="13"/>
        <v>5289439.8573233569</v>
      </c>
      <c r="P284" s="407">
        <v>-325</v>
      </c>
      <c r="Q284" s="410">
        <f t="shared" si="14"/>
        <v>5289114.8573233569</v>
      </c>
    </row>
    <row r="285" spans="1:17" s="248" customFormat="1" x14ac:dyDescent="0.25">
      <c r="A285" s="245">
        <f>'B) D RI'!A286</f>
        <v>5883</v>
      </c>
      <c r="B285" s="246" t="str">
        <f>'B) D RI'!B286</f>
        <v>Corseaux</v>
      </c>
      <c r="C285" s="424">
        <f>'B) D RI'!S286</f>
        <v>64</v>
      </c>
      <c r="D285" s="247">
        <f>'B) D RI'!AR286</f>
        <v>2172</v>
      </c>
      <c r="E285" s="254">
        <f>'D) Ecrêtage'!M284</f>
        <v>135434.27141574418</v>
      </c>
      <c r="F285" s="257">
        <f>'E) Fact soc'!G290</f>
        <v>3083495.1809364734</v>
      </c>
      <c r="G285" s="257">
        <f>'H) Péréquation directe'!I295</f>
        <v>1999179.5925533855</v>
      </c>
      <c r="H285" s="257">
        <f>'I) Dépenses thématiques'!O284</f>
        <v>0</v>
      </c>
      <c r="I285" s="257">
        <f>'K) Plafonnement aide'!J284</f>
        <v>0</v>
      </c>
      <c r="J285" s="257">
        <f>'J) Plafonnement effort'!I284</f>
        <v>0</v>
      </c>
      <c r="K285" s="257">
        <f>'L) Plafonnement taux'!Q285</f>
        <v>0</v>
      </c>
      <c r="L285" s="346">
        <f t="shared" si="15"/>
        <v>5082674.773489859</v>
      </c>
      <c r="M285" s="346">
        <f>'M) Police'!O285</f>
        <v>175545.71137246714</v>
      </c>
      <c r="N285" s="346">
        <f t="shared" si="13"/>
        <v>5258220.4848623257</v>
      </c>
      <c r="P285" s="407">
        <v>-1</v>
      </c>
      <c r="Q285" s="410">
        <f t="shared" si="14"/>
        <v>5258219.4848623257</v>
      </c>
    </row>
    <row r="286" spans="1:17" s="248" customFormat="1" x14ac:dyDescent="0.25">
      <c r="A286" s="245">
        <f>'B) D RI'!A287</f>
        <v>5884</v>
      </c>
      <c r="B286" s="246" t="str">
        <f>'B) D RI'!B287</f>
        <v>Corsier-sur-Vevey</v>
      </c>
      <c r="C286" s="424">
        <f>'B) D RI'!S287</f>
        <v>66</v>
      </c>
      <c r="D286" s="247">
        <f>'B) D RI'!AR287</f>
        <v>3427</v>
      </c>
      <c r="E286" s="254">
        <f>'D) Ecrêtage'!M285</f>
        <v>132379.93277777778</v>
      </c>
      <c r="F286" s="257">
        <f>'E) Fact soc'!G291</f>
        <v>2245086.7026375411</v>
      </c>
      <c r="G286" s="257">
        <f>'H) Péréquation directe'!I296</f>
        <v>1147930.8555719084</v>
      </c>
      <c r="H286" s="257">
        <f>'I) Dépenses thématiques'!O285</f>
        <v>-673400.21069516067</v>
      </c>
      <c r="I286" s="257">
        <f>'K) Plafonnement aide'!J285</f>
        <v>0</v>
      </c>
      <c r="J286" s="257">
        <f>'J) Plafonnement effort'!I285</f>
        <v>0</v>
      </c>
      <c r="K286" s="257">
        <f>'L) Plafonnement taux'!Q286</f>
        <v>0</v>
      </c>
      <c r="L286" s="346">
        <f t="shared" si="15"/>
        <v>2719617.347514289</v>
      </c>
      <c r="M286" s="346">
        <f>'M) Police'!O286</f>
        <v>171586.77215147545</v>
      </c>
      <c r="N286" s="346">
        <f t="shared" si="13"/>
        <v>2891204.1196657643</v>
      </c>
      <c r="P286" s="407">
        <v>-538</v>
      </c>
      <c r="Q286" s="410">
        <f t="shared" si="14"/>
        <v>2890666.1196657643</v>
      </c>
    </row>
    <row r="287" spans="1:17" s="248" customFormat="1" x14ac:dyDescent="0.25">
      <c r="A287" s="245">
        <f>'B) D RI'!A288</f>
        <v>5885</v>
      </c>
      <c r="B287" s="246" t="str">
        <f>'B) D RI'!B288</f>
        <v>Jongny</v>
      </c>
      <c r="C287" s="424">
        <f>'B) D RI'!S288</f>
        <v>69</v>
      </c>
      <c r="D287" s="247">
        <f>'B) D RI'!AR288</f>
        <v>1493</v>
      </c>
      <c r="E287" s="254">
        <f>'D) Ecrêtage'!M286</f>
        <v>140402.47310602231</v>
      </c>
      <c r="F287" s="257">
        <f>'E) Fact soc'!G292</f>
        <v>6147256.4146442283</v>
      </c>
      <c r="G287" s="257">
        <f>'H) Péréquation directe'!I297</f>
        <v>2326303.2588328221</v>
      </c>
      <c r="H287" s="257">
        <f>'I) Dépenses thématiques'!O286</f>
        <v>0</v>
      </c>
      <c r="I287" s="257">
        <f>'K) Plafonnement aide'!J286</f>
        <v>0</v>
      </c>
      <c r="J287" s="257">
        <f>'J) Plafonnement effort'!I286</f>
        <v>0</v>
      </c>
      <c r="K287" s="257">
        <f>'L) Plafonnement taux'!Q287</f>
        <v>0</v>
      </c>
      <c r="L287" s="346">
        <f t="shared" si="15"/>
        <v>8473559.6734770499</v>
      </c>
      <c r="M287" s="346">
        <f>'M) Police'!O287</f>
        <v>181985.34065422058</v>
      </c>
      <c r="N287" s="346">
        <f t="shared" si="13"/>
        <v>8655545.0141312703</v>
      </c>
      <c r="P287" s="407">
        <v>-11</v>
      </c>
      <c r="Q287" s="410">
        <f t="shared" si="14"/>
        <v>8655534.0141312703</v>
      </c>
    </row>
    <row r="288" spans="1:17" s="248" customFormat="1" x14ac:dyDescent="0.25">
      <c r="A288" s="245">
        <f>'B) D RI'!A289</f>
        <v>5886</v>
      </c>
      <c r="B288" s="246" t="str">
        <f>'B) D RI'!B289</f>
        <v>Montreux</v>
      </c>
      <c r="C288" s="424">
        <f>'B) D RI'!S289</f>
        <v>65</v>
      </c>
      <c r="D288" s="247">
        <f>'B) D RI'!AR289</f>
        <v>26283</v>
      </c>
      <c r="E288" s="254">
        <f>'D) Ecrêtage'!M287</f>
        <v>1113145.3400000003</v>
      </c>
      <c r="F288" s="257">
        <f>'E) Fact soc'!G293</f>
        <v>22934834.543012403</v>
      </c>
      <c r="G288" s="257">
        <f>'H) Péréquation directe'!I298</f>
        <v>-1358031.9642069601</v>
      </c>
      <c r="H288" s="257">
        <f>'I) Dépenses thématiques'!O287</f>
        <v>-4491518.3419670425</v>
      </c>
      <c r="I288" s="257">
        <f>'K) Plafonnement aide'!J287</f>
        <v>0</v>
      </c>
      <c r="J288" s="257">
        <f>'J) Plafonnement effort'!I287</f>
        <v>0</v>
      </c>
      <c r="K288" s="257">
        <f>'L) Plafonnement taux'!Q288</f>
        <v>0</v>
      </c>
      <c r="L288" s="346">
        <f t="shared" si="15"/>
        <v>17085284.2368384</v>
      </c>
      <c r="M288" s="346">
        <f>'M) Police'!O288</f>
        <v>1442824.5415918468</v>
      </c>
      <c r="N288" s="346">
        <f t="shared" si="13"/>
        <v>18528108.778430246</v>
      </c>
      <c r="P288" s="407">
        <v>-6558</v>
      </c>
      <c r="Q288" s="410">
        <f t="shared" si="14"/>
        <v>18521550.778430246</v>
      </c>
    </row>
    <row r="289" spans="1:17" s="248" customFormat="1" x14ac:dyDescent="0.25">
      <c r="A289" s="245">
        <f>'B) D RI'!A290</f>
        <v>5888</v>
      </c>
      <c r="B289" s="246" t="str">
        <f>'B) D RI'!B290</f>
        <v>Saint-Légier-La Chiésaz</v>
      </c>
      <c r="C289" s="424">
        <f>'B) D RI'!S290</f>
        <v>66</v>
      </c>
      <c r="D289" s="247">
        <f>'B) D RI'!AR290</f>
        <v>5071</v>
      </c>
      <c r="E289" s="254">
        <f>'D) Ecrêtage'!M288</f>
        <v>300951.67037929955</v>
      </c>
      <c r="F289" s="257">
        <f>'E) Fact soc'!G294</f>
        <v>5820231.1462040497</v>
      </c>
      <c r="G289" s="257">
        <f>'H) Péréquation directe'!I299</f>
        <v>3740682.7515696902</v>
      </c>
      <c r="H289" s="257">
        <f>'I) Dépenses thématiques'!O288</f>
        <v>-1734662.1624831592</v>
      </c>
      <c r="I289" s="257">
        <f>'K) Plafonnement aide'!J288</f>
        <v>0</v>
      </c>
      <c r="J289" s="257">
        <f>'J) Plafonnement effort'!I288</f>
        <v>0</v>
      </c>
      <c r="K289" s="257">
        <f>'L) Plafonnement taux'!Q289</f>
        <v>0</v>
      </c>
      <c r="L289" s="346">
        <f t="shared" si="15"/>
        <v>7826251.7352905795</v>
      </c>
      <c r="M289" s="346">
        <f>'M) Police'!O289</f>
        <v>390084.24170047132</v>
      </c>
      <c r="N289" s="346">
        <f t="shared" si="13"/>
        <v>8216335.9769910509</v>
      </c>
      <c r="P289" s="407">
        <v>-1413</v>
      </c>
      <c r="Q289" s="410">
        <f t="shared" si="14"/>
        <v>8214922.9769910509</v>
      </c>
    </row>
    <row r="290" spans="1:17" s="248" customFormat="1" x14ac:dyDescent="0.25">
      <c r="A290" s="245">
        <f>'B) D RI'!A291</f>
        <v>5889</v>
      </c>
      <c r="B290" s="246" t="str">
        <f>'B) D RI'!B291</f>
        <v>La Tour-de-Peilz</v>
      </c>
      <c r="C290" s="424">
        <f>'B) D RI'!S291</f>
        <v>64</v>
      </c>
      <c r="D290" s="247">
        <f>'B) D RI'!AR291</f>
        <v>11421</v>
      </c>
      <c r="E290" s="254">
        <f>'D) Ecrêtage'!M289</f>
        <v>590141.45856770838</v>
      </c>
      <c r="F290" s="257">
        <f>'E) Fact soc'!G295</f>
        <v>9560136.4253832698</v>
      </c>
      <c r="G290" s="257">
        <f>'H) Péréquation directe'!I300</f>
        <v>4717114.2633267082</v>
      </c>
      <c r="H290" s="257">
        <f>'I) Dépenses thématiques'!O289</f>
        <v>0</v>
      </c>
      <c r="I290" s="257">
        <f>'K) Plafonnement aide'!J289</f>
        <v>0</v>
      </c>
      <c r="J290" s="257">
        <f>'J) Plafonnement effort'!I289</f>
        <v>0</v>
      </c>
      <c r="K290" s="257">
        <f>'L) Plafonnement taux'!Q290</f>
        <v>0</v>
      </c>
      <c r="L290" s="346">
        <f t="shared" si="15"/>
        <v>14277250.688709978</v>
      </c>
      <c r="M290" s="346">
        <f>'M) Police'!O290</f>
        <v>764923.09569592902</v>
      </c>
      <c r="N290" s="346">
        <f t="shared" si="13"/>
        <v>15042173.784405908</v>
      </c>
      <c r="P290" s="407">
        <v>-5</v>
      </c>
      <c r="Q290" s="410">
        <f t="shared" si="14"/>
        <v>15042168.784405908</v>
      </c>
    </row>
    <row r="291" spans="1:17" s="248" customFormat="1" x14ac:dyDescent="0.25">
      <c r="A291" s="245">
        <f>'B) D RI'!A292</f>
        <v>5890</v>
      </c>
      <c r="B291" s="246" t="str">
        <f>'B) D RI'!B292</f>
        <v>Vevey</v>
      </c>
      <c r="C291" s="424">
        <f>'B) D RI'!S292</f>
        <v>73</v>
      </c>
      <c r="D291" s="247">
        <f>'B) D RI'!AR292</f>
        <v>19217</v>
      </c>
      <c r="E291" s="254">
        <f>'D) Ecrêtage'!M290</f>
        <v>922155.6933561645</v>
      </c>
      <c r="F291" s="257">
        <f>'E) Fact soc'!G296</f>
        <v>15595360.695266016</v>
      </c>
      <c r="G291" s="257">
        <f>'H) Péréquation directe'!I301</f>
        <v>3015900.0695978366</v>
      </c>
      <c r="H291" s="257">
        <f>'I) Dépenses thématiques'!O290</f>
        <v>-936443.7322610023</v>
      </c>
      <c r="I291" s="257">
        <f>'K) Plafonnement aide'!J290</f>
        <v>0</v>
      </c>
      <c r="J291" s="257">
        <f>'J) Plafonnement effort'!I290</f>
        <v>0</v>
      </c>
      <c r="K291" s="257">
        <f>'L) Plafonnement taux'!Q291</f>
        <v>0</v>
      </c>
      <c r="L291" s="346">
        <f t="shared" si="15"/>
        <v>17674817.03260285</v>
      </c>
      <c r="M291" s="346">
        <f>'M) Police'!O291</f>
        <v>1195269.6721013263</v>
      </c>
      <c r="N291" s="346">
        <f t="shared" si="13"/>
        <v>18870086.704704177</v>
      </c>
      <c r="P291" s="407">
        <v>-1195</v>
      </c>
      <c r="Q291" s="410">
        <f t="shared" si="14"/>
        <v>18868891.704704177</v>
      </c>
    </row>
    <row r="292" spans="1:17" s="248" customFormat="1" x14ac:dyDescent="0.25">
      <c r="A292" s="245">
        <f>'B) D RI'!A293</f>
        <v>5891</v>
      </c>
      <c r="B292" s="246" t="str">
        <f>'B) D RI'!B293</f>
        <v>Veytaux</v>
      </c>
      <c r="C292" s="424">
        <f>'B) D RI'!S293</f>
        <v>69</v>
      </c>
      <c r="D292" s="247">
        <f>'B) D RI'!AR293</f>
        <v>854</v>
      </c>
      <c r="E292" s="254">
        <f>'D) Ecrêtage'!M291</f>
        <v>37259.444879227056</v>
      </c>
      <c r="F292" s="257">
        <f>'E) Fact soc'!G297</f>
        <v>648091.36601855257</v>
      </c>
      <c r="G292" s="257">
        <f>'H) Péréquation directe'!I302</f>
        <v>604404.75544636848</v>
      </c>
      <c r="H292" s="257">
        <f>'I) Dépenses thématiques'!O291</f>
        <v>-325784.79775842529</v>
      </c>
      <c r="I292" s="257">
        <f>'K) Plafonnement aide'!J291</f>
        <v>0</v>
      </c>
      <c r="J292" s="257">
        <f>'J) Plafonnement effort'!I291</f>
        <v>0</v>
      </c>
      <c r="K292" s="257">
        <f>'L) Plafonnement taux'!Q292</f>
        <v>0</v>
      </c>
      <c r="L292" s="346">
        <f t="shared" si="15"/>
        <v>926711.32370649581</v>
      </c>
      <c r="M292" s="346">
        <f>'M) Police'!O292</f>
        <v>48294.539397557419</v>
      </c>
      <c r="N292" s="346">
        <f t="shared" si="13"/>
        <v>975005.86310405319</v>
      </c>
      <c r="P292" s="407">
        <v>-523</v>
      </c>
      <c r="Q292" s="410">
        <f t="shared" si="14"/>
        <v>974482.86310405319</v>
      </c>
    </row>
    <row r="293" spans="1:17" s="248" customFormat="1" x14ac:dyDescent="0.25">
      <c r="A293" s="245">
        <f>'B) D RI'!A294</f>
        <v>5902</v>
      </c>
      <c r="B293" s="246" t="str">
        <f>'B) D RI'!B294</f>
        <v>Belmont-sur-Yverdon</v>
      </c>
      <c r="C293" s="424">
        <f>'B) D RI'!S294</f>
        <v>76</v>
      </c>
      <c r="D293" s="247">
        <f>'B) D RI'!AR294</f>
        <v>369</v>
      </c>
      <c r="E293" s="254">
        <f>'D) Ecrêtage'!M292</f>
        <v>8642.2247368421067</v>
      </c>
      <c r="F293" s="257">
        <f>'E) Fact soc'!G298</f>
        <v>180855.01594170392</v>
      </c>
      <c r="G293" s="257">
        <f>'H) Péréquation directe'!I303</f>
        <v>-48018.904895799671</v>
      </c>
      <c r="H293" s="257">
        <f>'I) Dépenses thématiques'!O292</f>
        <v>-153809.65926517369</v>
      </c>
      <c r="I293" s="257">
        <f>'K) Plafonnement aide'!J292</f>
        <v>0</v>
      </c>
      <c r="J293" s="257">
        <f>'J) Plafonnement effort'!I292</f>
        <v>0</v>
      </c>
      <c r="K293" s="257">
        <f>'L) Plafonnement taux'!Q293</f>
        <v>0</v>
      </c>
      <c r="L293" s="346">
        <f t="shared" si="15"/>
        <v>-20973.548219269433</v>
      </c>
      <c r="M293" s="346">
        <f>'M) Police'!O293</f>
        <v>27205.528466540833</v>
      </c>
      <c r="N293" s="346">
        <f t="shared" si="13"/>
        <v>6231.9802472714</v>
      </c>
      <c r="P293" s="407">
        <v>-24</v>
      </c>
      <c r="Q293" s="410">
        <f t="shared" si="14"/>
        <v>6207.9802472714</v>
      </c>
    </row>
    <row r="294" spans="1:17" s="248" customFormat="1" x14ac:dyDescent="0.25">
      <c r="A294" s="245">
        <f>'B) D RI'!A295</f>
        <v>5903</v>
      </c>
      <c r="B294" s="246" t="str">
        <f>'B) D RI'!B295</f>
        <v>Bioley-Magnoux</v>
      </c>
      <c r="C294" s="424">
        <f>'B) D RI'!S295</f>
        <v>74</v>
      </c>
      <c r="D294" s="247">
        <f>'B) D RI'!AR295</f>
        <v>201</v>
      </c>
      <c r="E294" s="254">
        <f>'D) Ecrêtage'!M293</f>
        <v>6046.5271621621623</v>
      </c>
      <c r="F294" s="257">
        <f>'E) Fact soc'!G299</f>
        <v>132378.11034790921</v>
      </c>
      <c r="G294" s="257">
        <f>'H) Péréquation directe'!I304</f>
        <v>32617.986536828335</v>
      </c>
      <c r="H294" s="257">
        <f>'I) Dépenses thématiques'!O293</f>
        <v>-161731.46633800867</v>
      </c>
      <c r="I294" s="257">
        <f>'K) Plafonnement aide'!J293</f>
        <v>0</v>
      </c>
      <c r="J294" s="257">
        <f>'J) Plafonnement effort'!I293</f>
        <v>0</v>
      </c>
      <c r="K294" s="257">
        <f>'L) Plafonnement taux'!Q294</f>
        <v>0</v>
      </c>
      <c r="L294" s="346">
        <f t="shared" si="15"/>
        <v>3264.6305467288767</v>
      </c>
      <c r="M294" s="346">
        <f>'M) Police'!O294</f>
        <v>19123.794631094781</v>
      </c>
      <c r="N294" s="346">
        <f t="shared" si="13"/>
        <v>22388.425177823658</v>
      </c>
      <c r="P294" s="407">
        <v>-33</v>
      </c>
      <c r="Q294" s="410">
        <f t="shared" si="14"/>
        <v>22355.425177823658</v>
      </c>
    </row>
    <row r="295" spans="1:17" s="248" customFormat="1" x14ac:dyDescent="0.25">
      <c r="A295" s="245">
        <f>'B) D RI'!A296</f>
        <v>5904</v>
      </c>
      <c r="B295" s="246" t="str">
        <f>'B) D RI'!B296</f>
        <v>Chamblon</v>
      </c>
      <c r="C295" s="424">
        <f>'B) D RI'!S296</f>
        <v>66</v>
      </c>
      <c r="D295" s="247">
        <f>'B) D RI'!AR296</f>
        <v>568</v>
      </c>
      <c r="E295" s="254">
        <f>'D) Ecrêtage'!M294</f>
        <v>20170.434545454544</v>
      </c>
      <c r="F295" s="257">
        <f>'E) Fact soc'!G300</f>
        <v>365507.52206072584</v>
      </c>
      <c r="G295" s="257">
        <f>'H) Péréquation directe'!I305</f>
        <v>236900.70731369761</v>
      </c>
      <c r="H295" s="257">
        <f>'I) Dépenses thématiques'!O294</f>
        <v>0</v>
      </c>
      <c r="I295" s="257">
        <f>'K) Plafonnement aide'!J294</f>
        <v>0</v>
      </c>
      <c r="J295" s="257">
        <f>'J) Plafonnement effort'!I294</f>
        <v>0</v>
      </c>
      <c r="K295" s="257">
        <f>'L) Plafonnement taux'!Q295</f>
        <v>0</v>
      </c>
      <c r="L295" s="346">
        <f t="shared" si="15"/>
        <v>602408.22937442339</v>
      </c>
      <c r="M295" s="346">
        <f>'M) Police'!O295</f>
        <v>26144.293050495809</v>
      </c>
      <c r="N295" s="346">
        <f t="shared" si="13"/>
        <v>628552.52242491918</v>
      </c>
      <c r="P295" s="407">
        <v>0</v>
      </c>
      <c r="Q295" s="410">
        <f t="shared" si="14"/>
        <v>628552.52242491918</v>
      </c>
    </row>
    <row r="296" spans="1:17" s="248" customFormat="1" x14ac:dyDescent="0.25">
      <c r="A296" s="245">
        <f>'B) D RI'!A297</f>
        <v>5905</v>
      </c>
      <c r="B296" s="246" t="str">
        <f>'B) D RI'!B297</f>
        <v>Champvent</v>
      </c>
      <c r="C296" s="424">
        <f>'B) D RI'!S297</f>
        <v>71</v>
      </c>
      <c r="D296" s="247">
        <f>'B) D RI'!AR297</f>
        <v>617</v>
      </c>
      <c r="E296" s="254">
        <f>'D) Ecrêtage'!M295</f>
        <v>18220.765633802814</v>
      </c>
      <c r="F296" s="257">
        <f>'E) Fact soc'!G301</f>
        <v>309779.26073474169</v>
      </c>
      <c r="G296" s="257">
        <f>'H) Péréquation directe'!I306</f>
        <v>101478.68913694372</v>
      </c>
      <c r="H296" s="257">
        <f>'I) Dépenses thématiques'!O295</f>
        <v>-89423.237870901547</v>
      </c>
      <c r="I296" s="257">
        <f>'K) Plafonnement aide'!J295</f>
        <v>0</v>
      </c>
      <c r="J296" s="257">
        <f>'J) Plafonnement effort'!I295</f>
        <v>0</v>
      </c>
      <c r="K296" s="257">
        <f>'L) Plafonnement taux'!Q296</f>
        <v>0</v>
      </c>
      <c r="L296" s="346">
        <f t="shared" si="15"/>
        <v>321834.71200078388</v>
      </c>
      <c r="M296" s="346">
        <f>'M) Police'!O296</f>
        <v>57639.588599266892</v>
      </c>
      <c r="N296" s="346">
        <f t="shared" si="13"/>
        <v>379474.30060005077</v>
      </c>
      <c r="P296" s="407">
        <v>0</v>
      </c>
      <c r="Q296" s="410">
        <f t="shared" si="14"/>
        <v>379474.30060005077</v>
      </c>
    </row>
    <row r="297" spans="1:17" s="248" customFormat="1" x14ac:dyDescent="0.25">
      <c r="A297" s="245">
        <f>'B) D RI'!A298</f>
        <v>5907</v>
      </c>
      <c r="B297" s="246" t="str">
        <f>'B) D RI'!B298</f>
        <v>Chavannes-le-Chêne</v>
      </c>
      <c r="C297" s="424">
        <f>'B) D RI'!S298</f>
        <v>78</v>
      </c>
      <c r="D297" s="247">
        <f>'B) D RI'!AR298</f>
        <v>278</v>
      </c>
      <c r="E297" s="254">
        <f>'D) Ecrêtage'!M296</f>
        <v>6951.74782051282</v>
      </c>
      <c r="F297" s="257">
        <f>'E) Fact soc'!G302</f>
        <v>120123.30167027769</v>
      </c>
      <c r="G297" s="257">
        <f>'H) Péréquation directe'!I307</f>
        <v>-24238.131123732048</v>
      </c>
      <c r="H297" s="257">
        <f>'I) Dépenses thématiques'!O296</f>
        <v>-87486.627545568626</v>
      </c>
      <c r="I297" s="257">
        <f>'K) Plafonnement aide'!J296</f>
        <v>0</v>
      </c>
      <c r="J297" s="257">
        <f>'J) Plafonnement effort'!I296</f>
        <v>0</v>
      </c>
      <c r="K297" s="257">
        <f>'L) Plafonnement taux'!Q297</f>
        <v>0</v>
      </c>
      <c r="L297" s="346">
        <f t="shared" si="15"/>
        <v>8398.5430009770207</v>
      </c>
      <c r="M297" s="346">
        <f>'M) Police'!O297</f>
        <v>21954.018083968971</v>
      </c>
      <c r="N297" s="346">
        <f t="shared" si="13"/>
        <v>30352.561084945992</v>
      </c>
      <c r="P297" s="407">
        <v>-163</v>
      </c>
      <c r="Q297" s="410">
        <f t="shared" si="14"/>
        <v>30189.561084945992</v>
      </c>
    </row>
    <row r="298" spans="1:17" s="248" customFormat="1" x14ac:dyDescent="0.25">
      <c r="A298" s="245">
        <f>'B) D RI'!A299</f>
        <v>5908</v>
      </c>
      <c r="B298" s="246" t="str">
        <f>'B) D RI'!B299</f>
        <v>Chêne-Pâquier</v>
      </c>
      <c r="C298" s="424">
        <f>'B) D RI'!S299</f>
        <v>79</v>
      </c>
      <c r="D298" s="247">
        <f>'B) D RI'!AR299</f>
        <v>125</v>
      </c>
      <c r="E298" s="254">
        <f>'D) Ecrêtage'!M297</f>
        <v>2899.0017721518989</v>
      </c>
      <c r="F298" s="257">
        <f>'E) Fact soc'!G303</f>
        <v>48611.137325380878</v>
      </c>
      <c r="G298" s="257">
        <f>'H) Péréquation directe'!I308</f>
        <v>-22176.00184361382</v>
      </c>
      <c r="H298" s="257">
        <f>'I) Dépenses thématiques'!O297</f>
        <v>-29799.220707580935</v>
      </c>
      <c r="I298" s="257">
        <f>'K) Plafonnement aide'!J297</f>
        <v>0</v>
      </c>
      <c r="J298" s="257">
        <f>'J) Plafonnement effort'!I297</f>
        <v>0</v>
      </c>
      <c r="K298" s="257">
        <f>'L) Plafonnement taux'!Q298</f>
        <v>0</v>
      </c>
      <c r="L298" s="346">
        <f t="shared" si="15"/>
        <v>-3364.0852258138766</v>
      </c>
      <c r="M298" s="346">
        <f>'M) Police'!O298</f>
        <v>9160.6758763490143</v>
      </c>
      <c r="N298" s="346">
        <f t="shared" si="13"/>
        <v>5796.5906505351377</v>
      </c>
      <c r="P298" s="407">
        <v>-52</v>
      </c>
      <c r="Q298" s="410">
        <f t="shared" si="14"/>
        <v>5744.5906505351377</v>
      </c>
    </row>
    <row r="299" spans="1:17" s="248" customFormat="1" x14ac:dyDescent="0.25">
      <c r="A299" s="245">
        <f>'B) D RI'!A300</f>
        <v>5909</v>
      </c>
      <c r="B299" s="246" t="str">
        <f>'B) D RI'!B300</f>
        <v>Cheseaux-Noréaz</v>
      </c>
      <c r="C299" s="424">
        <f>'B) D RI'!S300</f>
        <v>70</v>
      </c>
      <c r="D299" s="247">
        <f>'B) D RI'!AR300</f>
        <v>664</v>
      </c>
      <c r="E299" s="254">
        <f>'D) Ecrêtage'!M298</f>
        <v>22661.846714285719</v>
      </c>
      <c r="F299" s="257">
        <f>'E) Fact soc'!G304</f>
        <v>380222.19403860386</v>
      </c>
      <c r="G299" s="257">
        <f>'H) Péréquation directe'!I309</f>
        <v>230427.96911179711</v>
      </c>
      <c r="H299" s="257">
        <f>'I) Dépenses thématiques'!O298</f>
        <v>-127976.00627496936</v>
      </c>
      <c r="I299" s="257">
        <f>'K) Plafonnement aide'!J298</f>
        <v>0</v>
      </c>
      <c r="J299" s="257">
        <f>'J) Plafonnement effort'!I298</f>
        <v>0</v>
      </c>
      <c r="K299" s="257">
        <f>'L) Plafonnement taux'!Q299</f>
        <v>0</v>
      </c>
      <c r="L299" s="346">
        <f t="shared" si="15"/>
        <v>482674.1568754316</v>
      </c>
      <c r="M299" s="346">
        <f>'M) Police'!O299</f>
        <v>29373.584402881283</v>
      </c>
      <c r="N299" s="346">
        <f t="shared" si="13"/>
        <v>512047.74127831287</v>
      </c>
      <c r="P299" s="407">
        <v>-126</v>
      </c>
      <c r="Q299" s="410">
        <f t="shared" si="14"/>
        <v>511921.74127831287</v>
      </c>
    </row>
    <row r="300" spans="1:17" s="248" customFormat="1" x14ac:dyDescent="0.25">
      <c r="A300" s="245">
        <f>'B) D RI'!A301</f>
        <v>5910</v>
      </c>
      <c r="B300" s="246" t="str">
        <f>'B) D RI'!B301</f>
        <v>Cronay</v>
      </c>
      <c r="C300" s="424">
        <f>'B) D RI'!S301</f>
        <v>81</v>
      </c>
      <c r="D300" s="247">
        <f>'B) D RI'!AR301</f>
        <v>364</v>
      </c>
      <c r="E300" s="254">
        <f>'D) Ecrêtage'!M299</f>
        <v>10409.753209876544</v>
      </c>
      <c r="F300" s="257">
        <f>'E) Fact soc'!G305</f>
        <v>201161.23389016025</v>
      </c>
      <c r="G300" s="257">
        <f>'H) Péréquation directe'!I310</f>
        <v>13708.253617819835</v>
      </c>
      <c r="H300" s="257">
        <f>'I) Dépenses thématiques'!O299</f>
        <v>-96907.09591480231</v>
      </c>
      <c r="I300" s="257">
        <f>'K) Plafonnement aide'!J299</f>
        <v>0</v>
      </c>
      <c r="J300" s="257">
        <f>'J) Plafonnement effort'!I299</f>
        <v>0</v>
      </c>
      <c r="K300" s="257">
        <f>'L) Plafonnement taux'!Q300</f>
        <v>0</v>
      </c>
      <c r="L300" s="346">
        <f t="shared" si="15"/>
        <v>117962.39159317777</v>
      </c>
      <c r="M300" s="346">
        <f>'M) Police'!O300</f>
        <v>33101.689099484101</v>
      </c>
      <c r="N300" s="346">
        <f t="shared" si="13"/>
        <v>151064.08069266187</v>
      </c>
      <c r="P300" s="407">
        <v>-148</v>
      </c>
      <c r="Q300" s="410">
        <f t="shared" si="14"/>
        <v>150916.08069266187</v>
      </c>
    </row>
    <row r="301" spans="1:17" s="248" customFormat="1" x14ac:dyDescent="0.25">
      <c r="A301" s="245">
        <f>'B) D RI'!A302</f>
        <v>5911</v>
      </c>
      <c r="B301" s="246" t="str">
        <f>'B) D RI'!B302</f>
        <v>Cuarny</v>
      </c>
      <c r="C301" s="424">
        <f>'B) D RI'!S302</f>
        <v>81</v>
      </c>
      <c r="D301" s="247">
        <f>'B) D RI'!AR302</f>
        <v>216</v>
      </c>
      <c r="E301" s="254">
        <f>'D) Ecrêtage'!M300</f>
        <v>6783.6280246913584</v>
      </c>
      <c r="F301" s="257">
        <f>'E) Fact soc'!G306</f>
        <v>97827.612260176684</v>
      </c>
      <c r="G301" s="257">
        <f>'H) Péréquation directe'!I311</f>
        <v>35176.001497343634</v>
      </c>
      <c r="H301" s="257">
        <f>'I) Dépenses thématiques'!O300</f>
        <v>-6077.1051699375457</v>
      </c>
      <c r="I301" s="257">
        <f>'K) Plafonnement aide'!J300</f>
        <v>0</v>
      </c>
      <c r="J301" s="257">
        <f>'J) Plafonnement effort'!I300</f>
        <v>0</v>
      </c>
      <c r="K301" s="257">
        <f>'L) Plafonnement taux'!Q301</f>
        <v>0</v>
      </c>
      <c r="L301" s="346">
        <f t="shared" si="15"/>
        <v>126926.50858758279</v>
      </c>
      <c r="M301" s="346">
        <f>'M) Police'!O301</f>
        <v>21733.852665678798</v>
      </c>
      <c r="N301" s="346">
        <f t="shared" si="13"/>
        <v>148660.3612532616</v>
      </c>
      <c r="P301" s="407">
        <v>-131</v>
      </c>
      <c r="Q301" s="410">
        <f t="shared" si="14"/>
        <v>148529.3612532616</v>
      </c>
    </row>
    <row r="302" spans="1:17" s="248" customFormat="1" x14ac:dyDescent="0.25">
      <c r="A302" s="245">
        <f>'B) D RI'!A303</f>
        <v>5912</v>
      </c>
      <c r="B302" s="246" t="str">
        <f>'B) D RI'!B303</f>
        <v>Démoret</v>
      </c>
      <c r="C302" s="424">
        <f>'B) D RI'!S303</f>
        <v>81</v>
      </c>
      <c r="D302" s="247">
        <f>'B) D RI'!AR303</f>
        <v>123</v>
      </c>
      <c r="E302" s="254">
        <f>'D) Ecrêtage'!M301</f>
        <v>3146.6025925925924</v>
      </c>
      <c r="F302" s="257">
        <f>'E) Fact soc'!G307</f>
        <v>95409.602270253003</v>
      </c>
      <c r="G302" s="257">
        <f>'H) Péréquation directe'!I312</f>
        <v>-11910.698112238395</v>
      </c>
      <c r="H302" s="257">
        <f>'I) Dépenses thématiques'!O301</f>
        <v>-26891.724904181807</v>
      </c>
      <c r="I302" s="257">
        <f>'K) Plafonnement aide'!J301</f>
        <v>0</v>
      </c>
      <c r="J302" s="257">
        <f>'J) Plafonnement effort'!I301</f>
        <v>0</v>
      </c>
      <c r="K302" s="257">
        <f>'L) Plafonnement taux'!Q302</f>
        <v>-1837.9502781599349</v>
      </c>
      <c r="L302" s="346">
        <f t="shared" si="15"/>
        <v>54769.228975672857</v>
      </c>
      <c r="M302" s="346">
        <f>'M) Police'!O302</f>
        <v>9988.556311125516</v>
      </c>
      <c r="N302" s="346">
        <f t="shared" si="13"/>
        <v>64757.785286798375</v>
      </c>
      <c r="P302" s="407">
        <v>-30</v>
      </c>
      <c r="Q302" s="410">
        <f t="shared" si="14"/>
        <v>64727.785286798375</v>
      </c>
    </row>
    <row r="303" spans="1:17" s="248" customFormat="1" x14ac:dyDescent="0.25">
      <c r="A303" s="245">
        <f>'B) D RI'!A304</f>
        <v>5913</v>
      </c>
      <c r="B303" s="246" t="str">
        <f>'B) D RI'!B304</f>
        <v>Donneloye</v>
      </c>
      <c r="C303" s="424">
        <f>'B) D RI'!S304</f>
        <v>73</v>
      </c>
      <c r="D303" s="247">
        <f>'B) D RI'!AR304</f>
        <v>765</v>
      </c>
      <c r="E303" s="254">
        <f>'D) Ecrêtage'!M302</f>
        <v>23116.238767123283</v>
      </c>
      <c r="F303" s="257">
        <f>'E) Fact soc'!G308</f>
        <v>395851.01336496481</v>
      </c>
      <c r="G303" s="257">
        <f>'H) Péréquation directe'!I313</f>
        <v>134301.9934977559</v>
      </c>
      <c r="H303" s="257">
        <f>'I) Dépenses thématiques'!O302</f>
        <v>-26767.42545844445</v>
      </c>
      <c r="I303" s="257">
        <f>'K) Plafonnement aide'!J302</f>
        <v>0</v>
      </c>
      <c r="J303" s="257">
        <f>'J) Plafonnement effort'!I302</f>
        <v>0</v>
      </c>
      <c r="K303" s="257">
        <f>'L) Plafonnement taux'!Q303</f>
        <v>0</v>
      </c>
      <c r="L303" s="346">
        <f t="shared" si="15"/>
        <v>503385.58140427625</v>
      </c>
      <c r="M303" s="346">
        <f>'M) Police'!O303</f>
        <v>73614.737703420411</v>
      </c>
      <c r="N303" s="346">
        <f t="shared" si="13"/>
        <v>577000.31910769665</v>
      </c>
      <c r="P303" s="407">
        <v>-42</v>
      </c>
      <c r="Q303" s="410">
        <f t="shared" si="14"/>
        <v>576958.31910769665</v>
      </c>
    </row>
    <row r="304" spans="1:17" s="248" customFormat="1" x14ac:dyDescent="0.25">
      <c r="A304" s="245">
        <f>'B) D RI'!A305</f>
        <v>5914</v>
      </c>
      <c r="B304" s="246" t="str">
        <f>'B) D RI'!B305</f>
        <v>Ependes</v>
      </c>
      <c r="C304" s="424">
        <f>'B) D RI'!S305</f>
        <v>75</v>
      </c>
      <c r="D304" s="247">
        <f>'B) D RI'!AR305</f>
        <v>345</v>
      </c>
      <c r="E304" s="254">
        <f>'D) Ecrêtage'!M303</f>
        <v>8750.2923999999985</v>
      </c>
      <c r="F304" s="257">
        <f>'E) Fact soc'!G309</f>
        <v>134011.35622382321</v>
      </c>
      <c r="G304" s="257">
        <f>'H) Péréquation directe'!I314</f>
        <v>-13320.253531231458</v>
      </c>
      <c r="H304" s="257">
        <f>'I) Dépenses thématiques'!O303</f>
        <v>-29361.643056482848</v>
      </c>
      <c r="I304" s="257">
        <f>'K) Plafonnement aide'!J303</f>
        <v>0</v>
      </c>
      <c r="J304" s="257">
        <f>'J) Plafonnement effort'!I303</f>
        <v>0</v>
      </c>
      <c r="K304" s="257">
        <f>'L) Plafonnement taux'!Q304</f>
        <v>0</v>
      </c>
      <c r="L304" s="346">
        <f t="shared" si="15"/>
        <v>91329.459636108906</v>
      </c>
      <c r="M304" s="346">
        <f>'M) Police'!O304</f>
        <v>11341.85821666793</v>
      </c>
      <c r="N304" s="346">
        <f t="shared" si="13"/>
        <v>102671.31785277683</v>
      </c>
      <c r="P304" s="407">
        <v>-37</v>
      </c>
      <c r="Q304" s="410">
        <f t="shared" si="14"/>
        <v>102634.31785277683</v>
      </c>
    </row>
    <row r="305" spans="1:17" s="248" customFormat="1" x14ac:dyDescent="0.25">
      <c r="A305" s="245">
        <f>'B) D RI'!A306</f>
        <v>5915</v>
      </c>
      <c r="B305" s="246" t="str">
        <f>'B) D RI'!B306</f>
        <v>Essert-Pittet</v>
      </c>
      <c r="C305" s="424">
        <f>'B) D RI'!S306</f>
        <v>75</v>
      </c>
      <c r="D305" s="247">
        <f>'B) D RI'!AR306</f>
        <v>164</v>
      </c>
      <c r="E305" s="254">
        <f>'D) Ecrêtage'!M304</f>
        <v>5181.7059529411763</v>
      </c>
      <c r="F305" s="257">
        <f>'E) Fact soc'!G310</f>
        <v>81381.550824556121</v>
      </c>
      <c r="G305" s="257">
        <f>'H) Péréquation directe'!I315</f>
        <v>35441.937209771364</v>
      </c>
      <c r="H305" s="257">
        <f>'I) Dépenses thématiques'!O304</f>
        <v>-17210.777014844556</v>
      </c>
      <c r="I305" s="257">
        <f>'K) Plafonnement aide'!J304</f>
        <v>0</v>
      </c>
      <c r="J305" s="257">
        <f>'J) Plafonnement effort'!I304</f>
        <v>0</v>
      </c>
      <c r="K305" s="257">
        <f>'L) Plafonnement taux'!Q305</f>
        <v>0</v>
      </c>
      <c r="L305" s="346">
        <f t="shared" si="15"/>
        <v>99612.711019482929</v>
      </c>
      <c r="M305" s="346">
        <f>'M) Police'!O305</f>
        <v>6716.3668997761733</v>
      </c>
      <c r="N305" s="346">
        <f t="shared" si="13"/>
        <v>106329.0779192591</v>
      </c>
      <c r="P305" s="407">
        <v>-26</v>
      </c>
      <c r="Q305" s="410">
        <f t="shared" si="14"/>
        <v>106303.0779192591</v>
      </c>
    </row>
    <row r="306" spans="1:17" s="248" customFormat="1" x14ac:dyDescent="0.25">
      <c r="A306" s="245">
        <f>'B) D RI'!A307</f>
        <v>5919</v>
      </c>
      <c r="B306" s="246" t="str">
        <f>'B) D RI'!B307</f>
        <v>Mathod</v>
      </c>
      <c r="C306" s="424">
        <f>'B) D RI'!S307</f>
        <v>74</v>
      </c>
      <c r="D306" s="247">
        <f>'B) D RI'!AR307</f>
        <v>581</v>
      </c>
      <c r="E306" s="254">
        <f>'D) Ecrêtage'!M305</f>
        <v>16260.723851351351</v>
      </c>
      <c r="F306" s="257">
        <f>'E) Fact soc'!G311</f>
        <v>239855.2295312316</v>
      </c>
      <c r="G306" s="257">
        <f>'H) Péréquation directe'!I316</f>
        <v>45265.977609526628</v>
      </c>
      <c r="H306" s="257">
        <f>'I) Dépenses thématiques'!O305</f>
        <v>-75136.452788380091</v>
      </c>
      <c r="I306" s="257">
        <f>'K) Plafonnement aide'!J305</f>
        <v>0</v>
      </c>
      <c r="J306" s="257">
        <f>'J) Plafonnement effort'!I305</f>
        <v>0</v>
      </c>
      <c r="K306" s="257">
        <f>'L) Plafonnement taux'!Q306</f>
        <v>0</v>
      </c>
      <c r="L306" s="346">
        <f t="shared" si="15"/>
        <v>209984.75435237814</v>
      </c>
      <c r="M306" s="346">
        <f>'M) Police'!O306</f>
        <v>21076.647041236876</v>
      </c>
      <c r="N306" s="346">
        <f t="shared" si="13"/>
        <v>231061.401393615</v>
      </c>
      <c r="P306" s="407">
        <v>-92</v>
      </c>
      <c r="Q306" s="410">
        <f t="shared" si="14"/>
        <v>230969.401393615</v>
      </c>
    </row>
    <row r="307" spans="1:17" s="248" customFormat="1" x14ac:dyDescent="0.25">
      <c r="A307" s="245">
        <f>'B) D RI'!A308</f>
        <v>5921</v>
      </c>
      <c r="B307" s="246" t="str">
        <f>'B) D RI'!B308</f>
        <v>Molondin</v>
      </c>
      <c r="C307" s="424">
        <f>'B) D RI'!S308</f>
        <v>81</v>
      </c>
      <c r="D307" s="247">
        <f>'B) D RI'!AR308</f>
        <v>224</v>
      </c>
      <c r="E307" s="254">
        <f>'D) Ecrêtage'!M306</f>
        <v>4932.1140740740739</v>
      </c>
      <c r="F307" s="257">
        <f>'E) Fact soc'!G312</f>
        <v>103087.24403915138</v>
      </c>
      <c r="G307" s="257">
        <f>'H) Péréquation directe'!I317</f>
        <v>-57288.531151599454</v>
      </c>
      <c r="H307" s="257">
        <f>'I) Dépenses thématiques'!O306</f>
        <v>-54415.693198430359</v>
      </c>
      <c r="I307" s="257">
        <f>'K) Plafonnement aide'!J306</f>
        <v>0</v>
      </c>
      <c r="J307" s="257">
        <f>'J) Plafonnement effort'!I306</f>
        <v>0</v>
      </c>
      <c r="K307" s="257">
        <f>'L) Plafonnement taux'!Q307</f>
        <v>0</v>
      </c>
      <c r="L307" s="346">
        <f t="shared" si="15"/>
        <v>-8616.9803108784326</v>
      </c>
      <c r="M307" s="346">
        <f>'M) Police'!O307</f>
        <v>15581.808939062437</v>
      </c>
      <c r="N307" s="346">
        <f t="shared" si="13"/>
        <v>6964.8286281840046</v>
      </c>
      <c r="P307" s="407">
        <v>-82</v>
      </c>
      <c r="Q307" s="410">
        <f t="shared" si="14"/>
        <v>6882.8286281840046</v>
      </c>
    </row>
    <row r="308" spans="1:17" s="248" customFormat="1" x14ac:dyDescent="0.25">
      <c r="A308" s="245">
        <f>'B) D RI'!A309</f>
        <v>5922</v>
      </c>
      <c r="B308" s="246" t="str">
        <f>'B) D RI'!B309</f>
        <v>Montagny-près-Yverdon</v>
      </c>
      <c r="C308" s="424">
        <f>'B) D RI'!S309</f>
        <v>61</v>
      </c>
      <c r="D308" s="247">
        <f>'B) D RI'!AR309</f>
        <v>713</v>
      </c>
      <c r="E308" s="254">
        <f>'D) Ecrêtage'!M307</f>
        <v>48327.826356462392</v>
      </c>
      <c r="F308" s="257">
        <f>'E) Fact soc'!G313</f>
        <v>1156341.1723408001</v>
      </c>
      <c r="G308" s="257">
        <f>'H) Péréquation directe'!I318</f>
        <v>823022.76302254584</v>
      </c>
      <c r="H308" s="257">
        <f>'I) Dépenses thématiques'!O307</f>
        <v>-71635.710633763636</v>
      </c>
      <c r="I308" s="257">
        <f>'K) Plafonnement aide'!J307</f>
        <v>0</v>
      </c>
      <c r="J308" s="257">
        <f>'J) Plafonnement effort'!I307</f>
        <v>0</v>
      </c>
      <c r="K308" s="257">
        <f>'L) Plafonnement taux'!Q308</f>
        <v>0</v>
      </c>
      <c r="L308" s="346">
        <f t="shared" si="15"/>
        <v>1907728.2247295822</v>
      </c>
      <c r="M308" s="346">
        <f>'M) Police'!O308</f>
        <v>123566.31939255437</v>
      </c>
      <c r="N308" s="346">
        <f t="shared" si="13"/>
        <v>2031294.5441221367</v>
      </c>
      <c r="P308" s="407">
        <v>-90</v>
      </c>
      <c r="Q308" s="410">
        <f t="shared" si="14"/>
        <v>2031204.5441221367</v>
      </c>
    </row>
    <row r="309" spans="1:17" s="248" customFormat="1" x14ac:dyDescent="0.25">
      <c r="A309" s="245">
        <f>'B) D RI'!A310</f>
        <v>5923</v>
      </c>
      <c r="B309" s="246" t="str">
        <f>'B) D RI'!B310</f>
        <v>Oppens</v>
      </c>
      <c r="C309" s="424">
        <f>'B) D RI'!S310</f>
        <v>81</v>
      </c>
      <c r="D309" s="247">
        <f>'B) D RI'!AR310</f>
        <v>182</v>
      </c>
      <c r="E309" s="254">
        <f>'D) Ecrêtage'!M308</f>
        <v>4902.1274074074072</v>
      </c>
      <c r="F309" s="257">
        <f>'E) Fact soc'!G314</f>
        <v>97527.700654897111</v>
      </c>
      <c r="G309" s="257">
        <f>'H) Péréquation directe'!I319</f>
        <v>-6646.223621267447</v>
      </c>
      <c r="H309" s="257">
        <f>'I) Dépenses thématiques'!O308</f>
        <v>-33600.426020809624</v>
      </c>
      <c r="I309" s="257">
        <f>'K) Plafonnement aide'!J308</f>
        <v>0</v>
      </c>
      <c r="J309" s="257">
        <f>'J) Plafonnement effort'!I308</f>
        <v>0</v>
      </c>
      <c r="K309" s="257">
        <f>'L) Plafonnement taux'!Q309</f>
        <v>0</v>
      </c>
      <c r="L309" s="346">
        <f t="shared" si="15"/>
        <v>57281.05101282004</v>
      </c>
      <c r="M309" s="346">
        <f>'M) Police'!O309</f>
        <v>15616.462878110959</v>
      </c>
      <c r="N309" s="346">
        <f t="shared" si="13"/>
        <v>72897.513890931004</v>
      </c>
      <c r="P309" s="407">
        <v>-35</v>
      </c>
      <c r="Q309" s="410">
        <f t="shared" si="14"/>
        <v>72862.513890931004</v>
      </c>
    </row>
    <row r="310" spans="1:17" s="248" customFormat="1" x14ac:dyDescent="0.25">
      <c r="A310" s="245">
        <f>'B) D RI'!A311</f>
        <v>5924</v>
      </c>
      <c r="B310" s="246" t="str">
        <f>'B) D RI'!B311</f>
        <v>Orges</v>
      </c>
      <c r="C310" s="424">
        <f>'B) D RI'!S311</f>
        <v>74</v>
      </c>
      <c r="D310" s="247">
        <f>'B) D RI'!AR311</f>
        <v>275</v>
      </c>
      <c r="E310" s="254">
        <f>'D) Ecrêtage'!M309</f>
        <v>9002.8555405405405</v>
      </c>
      <c r="F310" s="257">
        <f>'E) Fact soc'!G315</f>
        <v>174118.01053334557</v>
      </c>
      <c r="G310" s="257">
        <f>'H) Péréquation directe'!I320</f>
        <v>74037.896432674548</v>
      </c>
      <c r="H310" s="257">
        <f>'I) Dépenses thématiques'!O309</f>
        <v>0</v>
      </c>
      <c r="I310" s="257">
        <f>'K) Plafonnement aide'!J309</f>
        <v>0</v>
      </c>
      <c r="J310" s="257">
        <f>'J) Plafonnement effort'!I309</f>
        <v>0</v>
      </c>
      <c r="K310" s="257">
        <f>'L) Plafonnement taux'!Q310</f>
        <v>0</v>
      </c>
      <c r="L310" s="346">
        <f t="shared" si="15"/>
        <v>248155.90696602012</v>
      </c>
      <c r="M310" s="346">
        <f>'M) Police'!O310</f>
        <v>28560.060851562273</v>
      </c>
      <c r="N310" s="346">
        <f t="shared" si="13"/>
        <v>276715.96781758242</v>
      </c>
      <c r="P310" s="407">
        <v>0</v>
      </c>
      <c r="Q310" s="410">
        <f t="shared" si="14"/>
        <v>276715.96781758242</v>
      </c>
    </row>
    <row r="311" spans="1:17" s="248" customFormat="1" x14ac:dyDescent="0.25">
      <c r="A311" s="245">
        <f>'B) D RI'!A312</f>
        <v>5925</v>
      </c>
      <c r="B311" s="246" t="str">
        <f>'B) D RI'!B312</f>
        <v>Orzens</v>
      </c>
      <c r="C311" s="424">
        <f>'B) D RI'!S312</f>
        <v>79</v>
      </c>
      <c r="D311" s="247">
        <f>'B) D RI'!AR312</f>
        <v>211</v>
      </c>
      <c r="E311" s="254">
        <f>'D) Ecrêtage'!M310</f>
        <v>5053.7527848101263</v>
      </c>
      <c r="F311" s="257">
        <f>'E) Fact soc'!G316</f>
        <v>76795.647530689777</v>
      </c>
      <c r="G311" s="257">
        <f>'H) Péréquation directe'!I321</f>
        <v>-30491.678505250122</v>
      </c>
      <c r="H311" s="257">
        <f>'I) Dépenses thématiques'!O310</f>
        <v>-10507.840252163618</v>
      </c>
      <c r="I311" s="257">
        <f>'K) Plafonnement aide'!J310</f>
        <v>0</v>
      </c>
      <c r="J311" s="257">
        <f>'J) Plafonnement effort'!I310</f>
        <v>0</v>
      </c>
      <c r="K311" s="257">
        <f>'L) Plafonnement taux'!Q311</f>
        <v>0</v>
      </c>
      <c r="L311" s="346">
        <f t="shared" si="15"/>
        <v>35796.128773276039</v>
      </c>
      <c r="M311" s="346">
        <f>'M) Police'!O311</f>
        <v>15962.360241447273</v>
      </c>
      <c r="N311" s="346">
        <f t="shared" si="13"/>
        <v>51758.489014723309</v>
      </c>
      <c r="P311" s="407">
        <v>-10</v>
      </c>
      <c r="Q311" s="410">
        <f t="shared" si="14"/>
        <v>51748.489014723309</v>
      </c>
    </row>
    <row r="312" spans="1:17" s="248" customFormat="1" x14ac:dyDescent="0.25">
      <c r="A312" s="245">
        <f>'B) D RI'!A313</f>
        <v>5926</v>
      </c>
      <c r="B312" s="246" t="str">
        <f>'B) D RI'!B313</f>
        <v>Pomy</v>
      </c>
      <c r="C312" s="424">
        <f>'B) D RI'!S313</f>
        <v>71</v>
      </c>
      <c r="D312" s="247">
        <f>'B) D RI'!AR313</f>
        <v>730</v>
      </c>
      <c r="E312" s="254">
        <f>'D) Ecrêtage'!M311</f>
        <v>21029.126197183101</v>
      </c>
      <c r="F312" s="257">
        <f>'E) Fact soc'!G317</f>
        <v>352881.32382408413</v>
      </c>
      <c r="G312" s="257">
        <f>'H) Péréquation directe'!I322</f>
        <v>99686.207064441114</v>
      </c>
      <c r="H312" s="257">
        <f>'I) Dépenses thématiques'!O311</f>
        <v>-274218.19738264085</v>
      </c>
      <c r="I312" s="257">
        <f>'K) Plafonnement aide'!J311</f>
        <v>0</v>
      </c>
      <c r="J312" s="257">
        <f>'J) Plafonnement effort'!I311</f>
        <v>0</v>
      </c>
      <c r="K312" s="257">
        <f>'L) Plafonnement taux'!Q312</f>
        <v>0</v>
      </c>
      <c r="L312" s="346">
        <f t="shared" si="15"/>
        <v>178349.33350588439</v>
      </c>
      <c r="M312" s="346">
        <f>'M) Police'!O312</f>
        <v>46777.586539500713</v>
      </c>
      <c r="N312" s="346">
        <f t="shared" si="13"/>
        <v>225126.92004538511</v>
      </c>
      <c r="P312" s="407">
        <v>-32</v>
      </c>
      <c r="Q312" s="410">
        <f t="shared" si="14"/>
        <v>225094.92004538511</v>
      </c>
    </row>
    <row r="313" spans="1:17" s="248" customFormat="1" x14ac:dyDescent="0.25">
      <c r="A313" s="245">
        <f>'B) D RI'!A314</f>
        <v>5928</v>
      </c>
      <c r="B313" s="246" t="str">
        <f>'B) D RI'!B314</f>
        <v>Rovray</v>
      </c>
      <c r="C313" s="424">
        <f>'B) D RI'!S314</f>
        <v>75</v>
      </c>
      <c r="D313" s="247">
        <f>'B) D RI'!AR314</f>
        <v>176</v>
      </c>
      <c r="E313" s="254">
        <f>'D) Ecrêtage'!M312</f>
        <v>4897.1457333333328</v>
      </c>
      <c r="F313" s="257">
        <f>'E) Fact soc'!G318</f>
        <v>84131.8481704203</v>
      </c>
      <c r="G313" s="257">
        <f>'H) Péréquation directe'!I323</f>
        <v>10910.257018983146</v>
      </c>
      <c r="H313" s="257">
        <f>'I) Dépenses thématiques'!O312</f>
        <v>-6421.2040756777615</v>
      </c>
      <c r="I313" s="257">
        <f>'K) Plafonnement aide'!J312</f>
        <v>0</v>
      </c>
      <c r="J313" s="257">
        <f>'J) Plafonnement effort'!I312</f>
        <v>0</v>
      </c>
      <c r="K313" s="257">
        <f>'L) Plafonnement taux'!Q313</f>
        <v>0</v>
      </c>
      <c r="L313" s="346">
        <f t="shared" si="15"/>
        <v>88620.901113725689</v>
      </c>
      <c r="M313" s="346">
        <f>'M) Police'!O313</f>
        <v>15622.412215971883</v>
      </c>
      <c r="N313" s="346">
        <f t="shared" si="13"/>
        <v>104243.31332969757</v>
      </c>
      <c r="P313" s="407">
        <v>-20</v>
      </c>
      <c r="Q313" s="410">
        <f t="shared" si="14"/>
        <v>104223.31332969757</v>
      </c>
    </row>
    <row r="314" spans="1:17" s="248" customFormat="1" x14ac:dyDescent="0.25">
      <c r="A314" s="245">
        <f>'B) D RI'!A315</f>
        <v>5929</v>
      </c>
      <c r="B314" s="246" t="str">
        <f>'B) D RI'!B315</f>
        <v>Suchy</v>
      </c>
      <c r="C314" s="424">
        <f>'B) D RI'!S315</f>
        <v>68</v>
      </c>
      <c r="D314" s="247">
        <f>'B) D RI'!AR315</f>
        <v>542</v>
      </c>
      <c r="E314" s="254">
        <f>'D) Ecrêtage'!M313</f>
        <v>16083.913284313729</v>
      </c>
      <c r="F314" s="257">
        <f>'E) Fact soc'!G319</f>
        <v>249294.63729421192</v>
      </c>
      <c r="G314" s="257">
        <f>'H) Péréquation directe'!I324</f>
        <v>104689.71061163675</v>
      </c>
      <c r="H314" s="257">
        <f>'I) Dépenses thématiques'!O313</f>
        <v>-15403.310384096281</v>
      </c>
      <c r="I314" s="257">
        <f>'K) Plafonnement aide'!J313</f>
        <v>0</v>
      </c>
      <c r="J314" s="257">
        <f>'J) Plafonnement effort'!I313</f>
        <v>0</v>
      </c>
      <c r="K314" s="257">
        <f>'L) Plafonnement taux'!Q314</f>
        <v>0</v>
      </c>
      <c r="L314" s="346">
        <f t="shared" si="15"/>
        <v>338581.03752175235</v>
      </c>
      <c r="M314" s="346">
        <f>'M) Police'!O314</f>
        <v>20847.470655936955</v>
      </c>
      <c r="N314" s="346">
        <f t="shared" si="13"/>
        <v>359428.50817768933</v>
      </c>
      <c r="P314" s="407">
        <v>-31</v>
      </c>
      <c r="Q314" s="410">
        <f t="shared" si="14"/>
        <v>359397.50817768933</v>
      </c>
    </row>
    <row r="315" spans="1:17" s="248" customFormat="1" x14ac:dyDescent="0.25">
      <c r="A315" s="245">
        <f>'B) D RI'!A316</f>
        <v>5930</v>
      </c>
      <c r="B315" s="246" t="str">
        <f>'B) D RI'!B316</f>
        <v>Suscévaz</v>
      </c>
      <c r="C315" s="424">
        <f>'B) D RI'!S316</f>
        <v>66</v>
      </c>
      <c r="D315" s="247">
        <f>'B) D RI'!AR316</f>
        <v>199</v>
      </c>
      <c r="E315" s="254">
        <f>'D) Ecrêtage'!M314</f>
        <v>5208.083787878787</v>
      </c>
      <c r="F315" s="257">
        <f>'E) Fact soc'!G320</f>
        <v>79565.479697019429</v>
      </c>
      <c r="G315" s="257">
        <f>'H) Péréquation directe'!I325</f>
        <v>16420.644107208267</v>
      </c>
      <c r="H315" s="257">
        <f>'I) Dépenses thématiques'!O314</f>
        <v>0</v>
      </c>
      <c r="I315" s="257">
        <f>'K) Plafonnement aide'!J314</f>
        <v>0</v>
      </c>
      <c r="J315" s="257">
        <f>'J) Plafonnement effort'!I314</f>
        <v>0</v>
      </c>
      <c r="K315" s="257">
        <f>'L) Plafonnement taux'!Q315</f>
        <v>0</v>
      </c>
      <c r="L315" s="346">
        <f t="shared" si="15"/>
        <v>95986.123804227696</v>
      </c>
      <c r="M315" s="346">
        <f>'M) Police'!O315</f>
        <v>6750.5570331167519</v>
      </c>
      <c r="N315" s="346">
        <f t="shared" si="13"/>
        <v>102736.68083734445</v>
      </c>
      <c r="P315" s="407">
        <v>-8</v>
      </c>
      <c r="Q315" s="410">
        <f t="shared" si="14"/>
        <v>102728.68083734445</v>
      </c>
    </row>
    <row r="316" spans="1:17" s="248" customFormat="1" x14ac:dyDescent="0.25">
      <c r="A316" s="245">
        <f>'B) D RI'!A317</f>
        <v>5931</v>
      </c>
      <c r="B316" s="246" t="str">
        <f>'B) D RI'!B317</f>
        <v>Treycovagnes</v>
      </c>
      <c r="C316" s="424">
        <f>'B) D RI'!S317</f>
        <v>77</v>
      </c>
      <c r="D316" s="247">
        <f>'B) D RI'!AR317</f>
        <v>462</v>
      </c>
      <c r="E316" s="254">
        <f>'D) Ecrêtage'!M315</f>
        <v>13922.074155844155</v>
      </c>
      <c r="F316" s="257">
        <f>'E) Fact soc'!G321</f>
        <v>241638.79468653796</v>
      </c>
      <c r="G316" s="257">
        <f>'H) Péréquation directe'!I326</f>
        <v>64713.081799987034</v>
      </c>
      <c r="H316" s="257">
        <f>'I) Dépenses thématiques'!O315</f>
        <v>0</v>
      </c>
      <c r="I316" s="257">
        <f>'K) Plafonnement aide'!J315</f>
        <v>0</v>
      </c>
      <c r="J316" s="257">
        <f>'J) Plafonnement effort'!I315</f>
        <v>0</v>
      </c>
      <c r="K316" s="257">
        <f>'L) Plafonnement taux'!Q316</f>
        <v>0</v>
      </c>
      <c r="L316" s="346">
        <f t="shared" si="15"/>
        <v>306351.876486525</v>
      </c>
      <c r="M316" s="346">
        <f>'M) Police'!O316</f>
        <v>18045.361679287573</v>
      </c>
      <c r="N316" s="346">
        <f t="shared" si="13"/>
        <v>324397.23816581257</v>
      </c>
      <c r="P316" s="407">
        <v>-29</v>
      </c>
      <c r="Q316" s="410">
        <f t="shared" si="14"/>
        <v>324368.23816581257</v>
      </c>
    </row>
    <row r="317" spans="1:17" s="248" customFormat="1" x14ac:dyDescent="0.25">
      <c r="A317" s="245">
        <f>'B) D RI'!A318</f>
        <v>5932</v>
      </c>
      <c r="B317" s="246" t="str">
        <f>'B) D RI'!B318</f>
        <v>Ursins</v>
      </c>
      <c r="C317" s="424">
        <f>'B) D RI'!S318</f>
        <v>78</v>
      </c>
      <c r="D317" s="247">
        <f>'B) D RI'!AR318</f>
        <v>207</v>
      </c>
      <c r="E317" s="254">
        <f>'D) Ecrêtage'!M316</f>
        <v>5429.3069230769233</v>
      </c>
      <c r="F317" s="257">
        <f>'E) Fact soc'!G322</f>
        <v>78300.542920571039</v>
      </c>
      <c r="G317" s="257">
        <f>'H) Péréquation directe'!I327</f>
        <v>-7245.7871118837065</v>
      </c>
      <c r="H317" s="257">
        <f>'I) Dépenses thématiques'!O316</f>
        <v>-16876.826791739855</v>
      </c>
      <c r="I317" s="257">
        <f>'K) Plafonnement aide'!J316</f>
        <v>0</v>
      </c>
      <c r="J317" s="257">
        <f>'J) Plafonnement effort'!I316</f>
        <v>0</v>
      </c>
      <c r="K317" s="257">
        <f>'L) Plafonnement taux'!Q317</f>
        <v>0</v>
      </c>
      <c r="L317" s="346">
        <f t="shared" si="15"/>
        <v>54177.929016947477</v>
      </c>
      <c r="M317" s="346">
        <f>'M) Police'!O317</f>
        <v>17153.767307153943</v>
      </c>
      <c r="N317" s="346">
        <f t="shared" si="13"/>
        <v>71331.696324101416</v>
      </c>
      <c r="P317" s="407">
        <v>-36</v>
      </c>
      <c r="Q317" s="410">
        <f t="shared" si="14"/>
        <v>71295.696324101416</v>
      </c>
    </row>
    <row r="318" spans="1:17" s="248" customFormat="1" x14ac:dyDescent="0.25">
      <c r="A318" s="245">
        <f>'B) D RI'!A319</f>
        <v>5933</v>
      </c>
      <c r="B318" s="246" t="str">
        <f>'B) D RI'!B319</f>
        <v>Valeyres-sous-Montagny</v>
      </c>
      <c r="C318" s="424">
        <f>'B) D RI'!S319</f>
        <v>72</v>
      </c>
      <c r="D318" s="247">
        <f>'B) D RI'!AR319</f>
        <v>661</v>
      </c>
      <c r="E318" s="254">
        <f>'D) Ecrêtage'!M317</f>
        <v>17165.971111111114</v>
      </c>
      <c r="F318" s="257">
        <f>'E) Fact soc'!G323</f>
        <v>298704.40312027052</v>
      </c>
      <c r="G318" s="257">
        <f>'H) Péréquation directe'!I328</f>
        <v>11335.07541051181</v>
      </c>
      <c r="H318" s="257">
        <f>'I) Dépenses thématiques'!O317</f>
        <v>-161615.44369215574</v>
      </c>
      <c r="I318" s="257">
        <f>'K) Plafonnement aide'!J317</f>
        <v>0</v>
      </c>
      <c r="J318" s="257">
        <f>'J) Plafonnement effort'!I317</f>
        <v>0</v>
      </c>
      <c r="K318" s="257">
        <f>'L) Plafonnement taux'!Q318</f>
        <v>0</v>
      </c>
      <c r="L318" s="346">
        <f t="shared" si="15"/>
        <v>148424.0348386266</v>
      </c>
      <c r="M318" s="346">
        <f>'M) Police'!O318</f>
        <v>53826.713580525437</v>
      </c>
      <c r="N318" s="346">
        <f t="shared" si="13"/>
        <v>202250.74841915205</v>
      </c>
      <c r="P318" s="407">
        <v>-192</v>
      </c>
      <c r="Q318" s="410">
        <f t="shared" si="14"/>
        <v>202058.74841915205</v>
      </c>
    </row>
    <row r="319" spans="1:17" s="248" customFormat="1" x14ac:dyDescent="0.25">
      <c r="A319" s="245">
        <f>'B) D RI'!A320</f>
        <v>5934</v>
      </c>
      <c r="B319" s="246" t="str">
        <f>'B) D RI'!B320</f>
        <v>Valeyres-sous-Ursins</v>
      </c>
      <c r="C319" s="424">
        <f>'B) D RI'!S320</f>
        <v>79</v>
      </c>
      <c r="D319" s="247">
        <f>'B) D RI'!AR320</f>
        <v>245</v>
      </c>
      <c r="E319" s="254">
        <f>'D) Ecrêtage'!M318</f>
        <v>6602.430506329114</v>
      </c>
      <c r="F319" s="257">
        <f>'E) Fact soc'!G324</f>
        <v>116818.25380344206</v>
      </c>
      <c r="G319" s="257">
        <f>'H) Péréquation directe'!I329</f>
        <v>-3594.3062792050623</v>
      </c>
      <c r="H319" s="257">
        <f>'I) Dépenses thématiques'!O318</f>
        <v>-6630.3924209625202</v>
      </c>
      <c r="I319" s="257">
        <f>'K) Plafonnement aide'!J318</f>
        <v>0</v>
      </c>
      <c r="J319" s="257">
        <f>'J) Plafonnement effort'!I318</f>
        <v>0</v>
      </c>
      <c r="K319" s="257">
        <f>'L) Plafonnement taux'!Q319</f>
        <v>0</v>
      </c>
      <c r="L319" s="346">
        <f t="shared" si="15"/>
        <v>106593.55510327447</v>
      </c>
      <c r="M319" s="346">
        <f>'M) Police'!O319</f>
        <v>21091.230909342637</v>
      </c>
      <c r="N319" s="346">
        <f t="shared" si="13"/>
        <v>127684.78601261711</v>
      </c>
      <c r="P319" s="407">
        <v>-39</v>
      </c>
      <c r="Q319" s="410">
        <f t="shared" si="14"/>
        <v>127645.78601261711</v>
      </c>
    </row>
    <row r="320" spans="1:17" s="248" customFormat="1" x14ac:dyDescent="0.25">
      <c r="A320" s="245">
        <f>'B) D RI'!A321</f>
        <v>5935</v>
      </c>
      <c r="B320" s="246" t="str">
        <f>'B) D RI'!B321</f>
        <v>Villars-Epeney</v>
      </c>
      <c r="C320" s="424">
        <f>'B) D RI'!S321</f>
        <v>60</v>
      </c>
      <c r="D320" s="247">
        <f>'B) D RI'!AR321</f>
        <v>90</v>
      </c>
      <c r="E320" s="254">
        <f>'D) Ecrêtage'!M319</f>
        <v>6457.7949952619629</v>
      </c>
      <c r="F320" s="257">
        <f>'E) Fact soc'!G325</f>
        <v>156877.73775299921</v>
      </c>
      <c r="G320" s="257">
        <f>'H) Péréquation directe'!I330</f>
        <v>110498.37301779221</v>
      </c>
      <c r="H320" s="257">
        <f>'I) Dépenses thématiques'!O319</f>
        <v>-41172.599667550516</v>
      </c>
      <c r="I320" s="257">
        <f>'K) Plafonnement aide'!J319</f>
        <v>0</v>
      </c>
      <c r="J320" s="257">
        <f>'J) Plafonnement effort'!I319</f>
        <v>0</v>
      </c>
      <c r="K320" s="257">
        <f>'L) Plafonnement taux'!Q320</f>
        <v>0</v>
      </c>
      <c r="L320" s="346">
        <f t="shared" si="15"/>
        <v>226203.51110324089</v>
      </c>
      <c r="M320" s="346">
        <f>'M) Police'!O320</f>
        <v>16060.822890853316</v>
      </c>
      <c r="N320" s="346">
        <f t="shared" si="13"/>
        <v>242264.3339940942</v>
      </c>
      <c r="P320" s="407">
        <v>-11</v>
      </c>
      <c r="Q320" s="410">
        <f t="shared" si="14"/>
        <v>242253.3339940942</v>
      </c>
    </row>
    <row r="321" spans="1:17" s="248" customFormat="1" x14ac:dyDescent="0.25">
      <c r="A321" s="245">
        <f>'B) D RI'!A322</f>
        <v>5937</v>
      </c>
      <c r="B321" s="246" t="str">
        <f>'B) D RI'!B322</f>
        <v>Vugelles-La Mothe</v>
      </c>
      <c r="C321" s="424">
        <f>'B) D RI'!S322</f>
        <v>70</v>
      </c>
      <c r="D321" s="247">
        <f>'B) D RI'!AR322</f>
        <v>135</v>
      </c>
      <c r="E321" s="254">
        <f>'D) Ecrêtage'!M320</f>
        <v>2128.9780612244899</v>
      </c>
      <c r="F321" s="257">
        <f>'E) Fact soc'!G326</f>
        <v>30593.76860933737</v>
      </c>
      <c r="G321" s="257">
        <f>'H) Péréquation directe'!I331</f>
        <v>-47294.513620143181</v>
      </c>
      <c r="H321" s="257">
        <f>'I) Dépenses thématiques'!O320</f>
        <v>-41896.467778149548</v>
      </c>
      <c r="I321" s="257">
        <f>'K) Plafonnement aide'!J320</f>
        <v>4991.3656740711212</v>
      </c>
      <c r="J321" s="257">
        <f>'J) Plafonnement effort'!I320</f>
        <v>0</v>
      </c>
      <c r="K321" s="257">
        <f>'L) Plafonnement taux'!Q321</f>
        <v>0</v>
      </c>
      <c r="L321" s="346">
        <f t="shared" si="15"/>
        <v>-53605.847114884236</v>
      </c>
      <c r="M321" s="346">
        <f>'M) Police'!O321</f>
        <v>6601.9654782261605</v>
      </c>
      <c r="N321" s="346">
        <f t="shared" si="13"/>
        <v>-47003.881636658072</v>
      </c>
      <c r="P321" s="407">
        <v>-59</v>
      </c>
      <c r="Q321" s="410">
        <f t="shared" si="14"/>
        <v>-47062.881636658072</v>
      </c>
    </row>
    <row r="322" spans="1:17" s="248" customFormat="1" x14ac:dyDescent="0.25">
      <c r="A322" s="245">
        <f>'B) D RI'!A323</f>
        <v>5938</v>
      </c>
      <c r="B322" s="246" t="str">
        <f>'B) D RI'!B323</f>
        <v>Yverdon-les-Bains</v>
      </c>
      <c r="C322" s="424">
        <f>'B) D RI'!S323</f>
        <v>76.5</v>
      </c>
      <c r="D322" s="247">
        <f>'B) D RI'!AR323</f>
        <v>29308</v>
      </c>
      <c r="E322" s="254">
        <f>'D) Ecrêtage'!M321</f>
        <v>771340.02758169943</v>
      </c>
      <c r="F322" s="257">
        <f>'E) Fact soc'!G327</f>
        <v>14006583.905158136</v>
      </c>
      <c r="G322" s="257">
        <f>'H) Péréquation directe'!I332</f>
        <v>-22068724.987434059</v>
      </c>
      <c r="H322" s="257">
        <f>'I) Dépenses thématiques'!O321</f>
        <v>-6798867.7815225609</v>
      </c>
      <c r="I322" s="257">
        <f>'K) Plafonnement aide'!J321</f>
        <v>3819770.9305765787</v>
      </c>
      <c r="J322" s="257">
        <f>'J) Plafonnement effort'!I321</f>
        <v>0</v>
      </c>
      <c r="K322" s="257">
        <f>'L) Plafonnement taux'!Q322</f>
        <v>0</v>
      </c>
      <c r="L322" s="346">
        <f t="shared" si="15"/>
        <v>-11041237.933221906</v>
      </c>
      <c r="M322" s="346">
        <f>'M) Police'!O322</f>
        <v>999787.07336367026</v>
      </c>
      <c r="N322" s="346">
        <f t="shared" si="13"/>
        <v>-10041450.859858235</v>
      </c>
      <c r="P322" s="407">
        <v>-9990</v>
      </c>
      <c r="Q322" s="410">
        <f t="shared" si="14"/>
        <v>-10051440.859858235</v>
      </c>
    </row>
    <row r="323" spans="1:17" s="248" customFormat="1" x14ac:dyDescent="0.25">
      <c r="A323" s="249">
        <f>'B) D RI'!A324</f>
        <v>5939</v>
      </c>
      <c r="B323" s="246" t="str">
        <f>'B) D RI'!B324</f>
        <v>Yvonand</v>
      </c>
      <c r="C323" s="424">
        <f>'B) D RI'!S324</f>
        <v>73</v>
      </c>
      <c r="D323" s="247">
        <f>'B) D RI'!AR324</f>
        <v>3152</v>
      </c>
      <c r="E323" s="254">
        <f>'D) Ecrêtage'!M322</f>
        <v>88221.551917808203</v>
      </c>
      <c r="F323" s="257">
        <f>'E) Fact soc'!G328</f>
        <v>1546739.5348643661</v>
      </c>
      <c r="G323" s="257">
        <f>'H) Péréquation directe'!I333</f>
        <v>-280565.6819347071</v>
      </c>
      <c r="H323" s="257">
        <f>'I) Dépenses thématiques'!O322</f>
        <v>-225764.14855752719</v>
      </c>
      <c r="I323" s="257">
        <f>'K) Plafonnement aide'!J322</f>
        <v>0</v>
      </c>
      <c r="J323" s="257">
        <f>'J) Plafonnement effort'!I322</f>
        <v>0</v>
      </c>
      <c r="K323" s="257">
        <f>'L) Plafonnement taux'!Q323</f>
        <v>0</v>
      </c>
      <c r="L323" s="346">
        <f t="shared" si="15"/>
        <v>1040409.7043721317</v>
      </c>
      <c r="M323" s="348">
        <f>'M) Police'!O323</f>
        <v>277873.75064009707</v>
      </c>
      <c r="N323" s="348">
        <f t="shared" si="13"/>
        <v>1318283.4550122288</v>
      </c>
      <c r="P323" s="408">
        <v>-197</v>
      </c>
      <c r="Q323" s="411">
        <f t="shared" si="14"/>
        <v>1318086.4550122288</v>
      </c>
    </row>
    <row r="324" spans="1:17" x14ac:dyDescent="0.25">
      <c r="B324" s="34">
        <f>COUNTA(B6:B323)</f>
        <v>318</v>
      </c>
      <c r="C324" s="425"/>
      <c r="D324" s="255">
        <f>SUM(D6:D323)</f>
        <v>767496</v>
      </c>
      <c r="E324" s="255">
        <f>SUM(E6:E323)</f>
        <v>33479424.883787204</v>
      </c>
      <c r="F324" s="232">
        <f>'E) Fact soc'!G329</f>
        <v>710289734.00000072</v>
      </c>
      <c r="G324" s="232">
        <f>'H) Péréquation directe'!I334</f>
        <v>128425334.53514969</v>
      </c>
      <c r="H324" s="232">
        <f>'I) Dépenses thématiques'!O323</f>
        <v>-133917699.53514889</v>
      </c>
      <c r="I324" s="232">
        <f>'K) Plafonnement aide'!J323</f>
        <v>5946311.082450835</v>
      </c>
      <c r="J324" s="232">
        <f>'J) Plafonnement effort'!I323</f>
        <v>0</v>
      </c>
      <c r="K324" s="232">
        <f>'L) Plafonnement taux'!Q324</f>
        <v>-3946.4360521143963</v>
      </c>
      <c r="L324" s="347">
        <f t="shared" si="15"/>
        <v>710739733.64640033</v>
      </c>
      <c r="M324" s="347">
        <f>SUM(M6:M323)</f>
        <v>63995825.999999955</v>
      </c>
      <c r="N324" s="347">
        <f>SUM(N6:N323)</f>
        <v>774735559.64639926</v>
      </c>
      <c r="P324" s="405">
        <f>SUM(P6:P323)</f>
        <v>-200253.69950843649</v>
      </c>
      <c r="Q324" s="412">
        <f>SUM(Q6:Q323)</f>
        <v>774535305.94689083</v>
      </c>
    </row>
    <row r="325" spans="1:17" x14ac:dyDescent="0.25">
      <c r="D325" s="18"/>
      <c r="E325" s="18"/>
      <c r="L325" s="8"/>
      <c r="M325" s="8"/>
      <c r="N325" s="8"/>
    </row>
    <row r="326" spans="1:17" x14ac:dyDescent="0.25">
      <c r="H326" s="250"/>
      <c r="I326" s="250"/>
      <c r="J326" s="250"/>
      <c r="K326" s="250"/>
      <c r="L326" s="8"/>
      <c r="M326" s="8"/>
      <c r="N326" s="8"/>
    </row>
  </sheetData>
  <sheetProtection sheet="1" objects="1" scenarios="1"/>
  <mergeCells count="18">
    <mergeCell ref="P4:P5"/>
    <mergeCell ref="Q4:Q5"/>
    <mergeCell ref="O4:O5"/>
    <mergeCell ref="M4:M5"/>
    <mergeCell ref="N4:N5"/>
    <mergeCell ref="A1:E1"/>
    <mergeCell ref="L4:L5"/>
    <mergeCell ref="K4:K5"/>
    <mergeCell ref="J4:J5"/>
    <mergeCell ref="I4:I5"/>
    <mergeCell ref="H4:H5"/>
    <mergeCell ref="G4:G5"/>
    <mergeCell ref="F4:F5"/>
    <mergeCell ref="E4:E5"/>
    <mergeCell ref="D4:D5"/>
    <mergeCell ref="C4:C5"/>
    <mergeCell ref="B4:B5"/>
    <mergeCell ref="A4:A5"/>
  </mergeCells>
  <phoneticPr fontId="0" type="noConversion"/>
  <printOptions horizontalCentered="1" verticalCentered="1"/>
  <pageMargins left="0.59055118110236227" right="0.59055118110236227" top="0.78740157480314965" bottom="0.78740157480314965" header="0.51181102362204722" footer="0.51181102362204722"/>
  <pageSetup paperSize="8" scale="94" fitToHeight="7" orientation="landscape" horizontalDpi="4294967292" verticalDpi="4294967292" r:id="rId1"/>
  <headerFooter alignWithMargins="0">
    <oddFooter>&amp;LSCL - Division finances communales&amp;C- &amp;P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327"/>
  <sheetViews>
    <sheetView workbookViewId="0">
      <selection sqref="A1:E1"/>
    </sheetView>
  </sheetViews>
  <sheetFormatPr baseColWidth="10" defaultColWidth="10.875" defaultRowHeight="15" x14ac:dyDescent="0.25"/>
  <cols>
    <col min="1" max="1" width="6.875" style="18" customWidth="1"/>
    <col min="2" max="2" width="17.375" style="18" bestFit="1" customWidth="1"/>
    <col min="3" max="3" width="10" style="18" bestFit="1" customWidth="1"/>
    <col min="4" max="4" width="8.875" style="18" bestFit="1" customWidth="1"/>
    <col min="5" max="5" width="8.5" style="18" bestFit="1" customWidth="1"/>
    <col min="6" max="7" width="8.625" style="18" bestFit="1" customWidth="1"/>
    <col min="8" max="8" width="8.5" style="18" bestFit="1" customWidth="1"/>
    <col min="9" max="9" width="9.125" style="18" bestFit="1" customWidth="1"/>
    <col min="10" max="10" width="8.125" style="18" bestFit="1" customWidth="1"/>
    <col min="11" max="11" width="7.875" style="18" bestFit="1" customWidth="1"/>
    <col min="12" max="16384" width="10.875" style="454"/>
  </cols>
  <sheetData>
    <row r="1" spans="1:11" ht="21" x14ac:dyDescent="0.2">
      <c r="A1" s="536" t="s">
        <v>536</v>
      </c>
      <c r="B1" s="537"/>
      <c r="C1" s="537"/>
      <c r="D1" s="537"/>
      <c r="E1" s="537"/>
      <c r="F1" s="100"/>
      <c r="G1" s="100"/>
      <c r="H1" s="100"/>
      <c r="I1" s="100"/>
      <c r="J1" s="100"/>
      <c r="K1" s="100"/>
    </row>
    <row r="2" spans="1:11" ht="21" x14ac:dyDescent="0.2">
      <c r="A2" s="252" t="s">
        <v>651</v>
      </c>
      <c r="B2" s="54"/>
      <c r="C2" s="423"/>
      <c r="D2" s="446"/>
      <c r="E2" s="446"/>
      <c r="F2" s="100"/>
      <c r="G2" s="100"/>
      <c r="H2" s="100"/>
      <c r="I2" s="100"/>
      <c r="J2" s="100"/>
      <c r="K2" s="100"/>
    </row>
    <row r="4" spans="1:11" ht="12.6" customHeight="1" x14ac:dyDescent="0.2">
      <c r="A4" s="497" t="s">
        <v>51</v>
      </c>
      <c r="B4" s="516" t="s">
        <v>121</v>
      </c>
      <c r="C4" s="542" t="s">
        <v>647</v>
      </c>
      <c r="D4" s="541"/>
      <c r="E4" s="538"/>
      <c r="F4" s="541" t="s">
        <v>645</v>
      </c>
      <c r="G4" s="541"/>
      <c r="H4" s="538"/>
      <c r="I4" s="541" t="s">
        <v>564</v>
      </c>
      <c r="J4" s="541"/>
      <c r="K4" s="538"/>
    </row>
    <row r="5" spans="1:11" ht="12.6" customHeight="1" x14ac:dyDescent="0.2">
      <c r="A5" s="498"/>
      <c r="B5" s="517"/>
      <c r="C5" s="452" t="s">
        <v>646</v>
      </c>
      <c r="D5" s="456" t="s">
        <v>649</v>
      </c>
      <c r="E5" s="453" t="s">
        <v>650</v>
      </c>
      <c r="F5" s="455" t="s">
        <v>646</v>
      </c>
      <c r="G5" s="456" t="s">
        <v>649</v>
      </c>
      <c r="H5" s="453" t="s">
        <v>650</v>
      </c>
      <c r="I5" s="455" t="s">
        <v>646</v>
      </c>
      <c r="J5" s="455" t="s">
        <v>649</v>
      </c>
      <c r="K5" s="453" t="s">
        <v>648</v>
      </c>
    </row>
    <row r="6" spans="1:11" x14ac:dyDescent="0.25">
      <c r="A6" s="245">
        <f>'B) D RI'!A7</f>
        <v>5401</v>
      </c>
      <c r="B6" s="246" t="str">
        <f>'B) D RI'!B7</f>
        <v>Aigle</v>
      </c>
      <c r="C6" s="407">
        <v>4500831.5660531372</v>
      </c>
      <c r="D6" s="346">
        <v>4601337.2338172002</v>
      </c>
      <c r="E6" s="257">
        <f>D6-C6</f>
        <v>100505.66776406299</v>
      </c>
      <c r="F6" s="257">
        <v>-5278358.811995415</v>
      </c>
      <c r="G6" s="346">
        <v>-5089894.7616435308</v>
      </c>
      <c r="H6" s="257">
        <f>G6-F6</f>
        <v>188464.05035188422</v>
      </c>
      <c r="I6" s="257">
        <v>345498.07956762775</v>
      </c>
      <c r="J6" s="346">
        <v>338099.79510123841</v>
      </c>
      <c r="K6" s="257">
        <f>J6-I6</f>
        <v>-7398.2844663893338</v>
      </c>
    </row>
    <row r="7" spans="1:11" x14ac:dyDescent="0.25">
      <c r="A7" s="245">
        <f>'B) D RI'!A8</f>
        <v>5402</v>
      </c>
      <c r="B7" s="246" t="str">
        <f>'B) D RI'!B8</f>
        <v>Bex</v>
      </c>
      <c r="C7" s="407">
        <v>3694824.1413355982</v>
      </c>
      <c r="D7" s="346">
        <v>3446632.9032334271</v>
      </c>
      <c r="E7" s="257">
        <f t="shared" ref="E7:E70" si="0">D7-C7</f>
        <v>-248191.2381021711</v>
      </c>
      <c r="F7" s="257">
        <v>-3995728.5537431231</v>
      </c>
      <c r="G7" s="346">
        <v>-4469191.9348945767</v>
      </c>
      <c r="H7" s="257">
        <f t="shared" ref="H7:H70" si="1">G7-F7</f>
        <v>-473463.38115145359</v>
      </c>
      <c r="I7" s="257">
        <v>237102.09856353811</v>
      </c>
      <c r="J7" s="346">
        <v>227984.34444986994</v>
      </c>
      <c r="K7" s="257">
        <f t="shared" ref="K7:K70" si="2">J7-I7</f>
        <v>-9117.7541136681684</v>
      </c>
    </row>
    <row r="8" spans="1:11" x14ac:dyDescent="0.25">
      <c r="A8" s="245">
        <f>'B) D RI'!A9</f>
        <v>5403</v>
      </c>
      <c r="B8" s="246" t="str">
        <f>'B) D RI'!B9</f>
        <v>Chessel</v>
      </c>
      <c r="C8" s="407">
        <v>145512.52693825666</v>
      </c>
      <c r="D8" s="346">
        <v>134280.05393738271</v>
      </c>
      <c r="E8" s="257">
        <f t="shared" si="0"/>
        <v>-11232.473000873957</v>
      </c>
      <c r="F8" s="257">
        <v>-90111.665576568077</v>
      </c>
      <c r="G8" s="346">
        <v>-135738.73499047908</v>
      </c>
      <c r="H8" s="257">
        <f t="shared" si="1"/>
        <v>-45627.069413910998</v>
      </c>
      <c r="I8" s="257">
        <v>25923.442558717699</v>
      </c>
      <c r="J8" s="346">
        <v>25889.922327337306</v>
      </c>
      <c r="K8" s="257">
        <f t="shared" si="2"/>
        <v>-33.520231380392943</v>
      </c>
    </row>
    <row r="9" spans="1:11" x14ac:dyDescent="0.25">
      <c r="A9" s="245">
        <f>'B) D RI'!A10</f>
        <v>5404</v>
      </c>
      <c r="B9" s="246" t="str">
        <f>'B) D RI'!B10</f>
        <v>Corbeyrier</v>
      </c>
      <c r="C9" s="407">
        <v>282737.20122364908</v>
      </c>
      <c r="D9" s="346">
        <v>190797.22630826378</v>
      </c>
      <c r="E9" s="257">
        <f t="shared" si="0"/>
        <v>-91939.974915385304</v>
      </c>
      <c r="F9" s="257">
        <v>-66607.455017104498</v>
      </c>
      <c r="G9" s="346">
        <v>-240972.07315485558</v>
      </c>
      <c r="H9" s="257">
        <f t="shared" si="1"/>
        <v>-174364.61813775107</v>
      </c>
      <c r="I9" s="257">
        <v>41458.427625563651</v>
      </c>
      <c r="J9" s="346">
        <v>30813.502349020899</v>
      </c>
      <c r="K9" s="257">
        <f t="shared" si="2"/>
        <v>-10644.925276542752</v>
      </c>
    </row>
    <row r="10" spans="1:11" x14ac:dyDescent="0.25">
      <c r="A10" s="245">
        <f>'B) D RI'!A11</f>
        <v>5405</v>
      </c>
      <c r="B10" s="246" t="str">
        <f>'B) D RI'!B11</f>
        <v>Gryon</v>
      </c>
      <c r="C10" s="407">
        <v>1390800.4174687262</v>
      </c>
      <c r="D10" s="346">
        <v>1436741.9030778927</v>
      </c>
      <c r="E10" s="257">
        <f t="shared" si="0"/>
        <v>45941.485609166557</v>
      </c>
      <c r="F10" s="257">
        <v>488086.14073075005</v>
      </c>
      <c r="G10" s="346">
        <v>615804.8788484456</v>
      </c>
      <c r="H10" s="257">
        <f t="shared" si="1"/>
        <v>127718.73811769555</v>
      </c>
      <c r="I10" s="257">
        <v>195345.97786376567</v>
      </c>
      <c r="J10" s="346">
        <v>200443.61069501535</v>
      </c>
      <c r="K10" s="257">
        <f t="shared" si="2"/>
        <v>5097.6328312496771</v>
      </c>
    </row>
    <row r="11" spans="1:11" x14ac:dyDescent="0.25">
      <c r="A11" s="245">
        <f>'B) D RI'!A12</f>
        <v>5406</v>
      </c>
      <c r="B11" s="246" t="str">
        <f>'B) D RI'!B12</f>
        <v>Lavey-Morcles</v>
      </c>
      <c r="C11" s="407">
        <v>334325.4373417109</v>
      </c>
      <c r="D11" s="346">
        <v>327052.79129488033</v>
      </c>
      <c r="E11" s="257">
        <f t="shared" si="0"/>
        <v>-7272.6460468305741</v>
      </c>
      <c r="F11" s="257">
        <v>-174838.12890114973</v>
      </c>
      <c r="G11" s="346">
        <v>-200850.38199742962</v>
      </c>
      <c r="H11" s="257">
        <f t="shared" si="1"/>
        <v>-26012.253096279892</v>
      </c>
      <c r="I11" s="257">
        <v>60658.295035102841</v>
      </c>
      <c r="J11" s="346">
        <v>61533.905495822197</v>
      </c>
      <c r="K11" s="257">
        <f t="shared" si="2"/>
        <v>875.61046071935561</v>
      </c>
    </row>
    <row r="12" spans="1:11" x14ac:dyDescent="0.25">
      <c r="A12" s="245">
        <f>'B) D RI'!A13</f>
        <v>5407</v>
      </c>
      <c r="B12" s="246" t="str">
        <f>'B) D RI'!B13</f>
        <v>Leysin</v>
      </c>
      <c r="C12" s="407">
        <v>1775617.6473576545</v>
      </c>
      <c r="D12" s="346">
        <v>1869970.8730172066</v>
      </c>
      <c r="E12" s="257">
        <f t="shared" si="0"/>
        <v>94353.22565955203</v>
      </c>
      <c r="F12" s="257">
        <v>-3729746.0862213233</v>
      </c>
      <c r="G12" s="346">
        <v>-2681119.4631131142</v>
      </c>
      <c r="H12" s="257">
        <f t="shared" si="1"/>
        <v>1048626.6231082091</v>
      </c>
      <c r="I12" s="257">
        <v>282175.08168622595</v>
      </c>
      <c r="J12" s="346">
        <v>318792.77956482396</v>
      </c>
      <c r="K12" s="257">
        <f t="shared" si="2"/>
        <v>36617.697878598003</v>
      </c>
    </row>
    <row r="13" spans="1:11" x14ac:dyDescent="0.25">
      <c r="A13" s="245">
        <f>'B) D RI'!A14</f>
        <v>5408</v>
      </c>
      <c r="B13" s="246" t="str">
        <f>'B) D RI'!B14</f>
        <v>Noville</v>
      </c>
      <c r="C13" s="407">
        <v>583039.86917479092</v>
      </c>
      <c r="D13" s="346">
        <v>642186.40962365025</v>
      </c>
      <c r="E13" s="257">
        <f t="shared" si="0"/>
        <v>59146.540448859334</v>
      </c>
      <c r="F13" s="257">
        <v>145401.7384417167</v>
      </c>
      <c r="G13" s="346">
        <v>194169.01690158786</v>
      </c>
      <c r="H13" s="257">
        <f t="shared" si="1"/>
        <v>48767.278459871159</v>
      </c>
      <c r="I13" s="257">
        <v>101418.02223338191</v>
      </c>
      <c r="J13" s="346">
        <v>110788.95537304002</v>
      </c>
      <c r="K13" s="257">
        <f t="shared" si="2"/>
        <v>9370.933139658111</v>
      </c>
    </row>
    <row r="14" spans="1:11" x14ac:dyDescent="0.25">
      <c r="A14" s="245">
        <f>'B) D RI'!A15</f>
        <v>5409</v>
      </c>
      <c r="B14" s="246" t="str">
        <f>'B) D RI'!B15</f>
        <v>Ollon</v>
      </c>
      <c r="C14" s="407">
        <v>6805585.691328817</v>
      </c>
      <c r="D14" s="346">
        <v>22057341.198460735</v>
      </c>
      <c r="E14" s="257">
        <f t="shared" si="0"/>
        <v>15251755.507131919</v>
      </c>
      <c r="F14" s="257">
        <v>1509085.0931369998</v>
      </c>
      <c r="G14" s="346">
        <v>5529612.4754041787</v>
      </c>
      <c r="H14" s="257">
        <f t="shared" si="1"/>
        <v>4020527.382267179</v>
      </c>
      <c r="I14" s="257">
        <v>474262.71646733856</v>
      </c>
      <c r="J14" s="346">
        <v>671214.01537758997</v>
      </c>
      <c r="K14" s="257">
        <f t="shared" si="2"/>
        <v>196951.29891025141</v>
      </c>
    </row>
    <row r="15" spans="1:11" x14ac:dyDescent="0.25">
      <c r="A15" s="245">
        <f>'B) D RI'!A16</f>
        <v>5410</v>
      </c>
      <c r="B15" s="246" t="str">
        <f>'B) D RI'!B16</f>
        <v>Ormont-Dessous</v>
      </c>
      <c r="C15" s="407">
        <v>782041.70125304163</v>
      </c>
      <c r="D15" s="346">
        <v>670076.1842380797</v>
      </c>
      <c r="E15" s="257">
        <f t="shared" si="0"/>
        <v>-111965.51701496192</v>
      </c>
      <c r="F15" s="257">
        <v>-563957.70846819459</v>
      </c>
      <c r="G15" s="346">
        <v>-604186.04037327319</v>
      </c>
      <c r="H15" s="257">
        <f t="shared" si="1"/>
        <v>-40228.331905078609</v>
      </c>
      <c r="I15" s="257">
        <v>101457.73996850902</v>
      </c>
      <c r="J15" s="346">
        <v>107453.95601907867</v>
      </c>
      <c r="K15" s="257">
        <f t="shared" si="2"/>
        <v>5996.216050569652</v>
      </c>
    </row>
    <row r="16" spans="1:11" x14ac:dyDescent="0.25">
      <c r="A16" s="245">
        <f>'B) D RI'!A17</f>
        <v>5411</v>
      </c>
      <c r="B16" s="246" t="str">
        <f>'B) D RI'!B17</f>
        <v>Ormont-Dessus</v>
      </c>
      <c r="C16" s="407">
        <v>1390054.993211926</v>
      </c>
      <c r="D16" s="346">
        <v>1289345.7708225506</v>
      </c>
      <c r="E16" s="257">
        <f t="shared" si="0"/>
        <v>-100709.22238937533</v>
      </c>
      <c r="F16" s="257">
        <v>311749.67672574986</v>
      </c>
      <c r="G16" s="346">
        <v>254762.50245010958</v>
      </c>
      <c r="H16" s="257">
        <f t="shared" si="1"/>
        <v>-56987.174275640282</v>
      </c>
      <c r="I16" s="257">
        <v>224905.19801620441</v>
      </c>
      <c r="J16" s="346">
        <v>216497.18827529636</v>
      </c>
      <c r="K16" s="257">
        <f t="shared" si="2"/>
        <v>-8408.0097409080481</v>
      </c>
    </row>
    <row r="17" spans="1:11" x14ac:dyDescent="0.25">
      <c r="A17" s="245">
        <f>'B) D RI'!A18</f>
        <v>5412</v>
      </c>
      <c r="B17" s="246" t="str">
        <f>'B) D RI'!B18</f>
        <v>Rennaz</v>
      </c>
      <c r="C17" s="407">
        <v>503976.74678848794</v>
      </c>
      <c r="D17" s="346">
        <v>472868.43454697414</v>
      </c>
      <c r="E17" s="257">
        <f t="shared" si="0"/>
        <v>-31108.312241513806</v>
      </c>
      <c r="F17" s="257">
        <v>211970.62976489845</v>
      </c>
      <c r="G17" s="346">
        <v>220326.75292545464</v>
      </c>
      <c r="H17" s="257">
        <f t="shared" si="1"/>
        <v>8356.1231605561916</v>
      </c>
      <c r="I17" s="257">
        <v>76557.253676314926</v>
      </c>
      <c r="J17" s="346">
        <v>81600.768345432589</v>
      </c>
      <c r="K17" s="257">
        <f t="shared" si="2"/>
        <v>5043.5146691176633</v>
      </c>
    </row>
    <row r="18" spans="1:11" x14ac:dyDescent="0.25">
      <c r="A18" s="245">
        <f>'B) D RI'!A19</f>
        <v>5413</v>
      </c>
      <c r="B18" s="246" t="str">
        <f>'B) D RI'!B19</f>
        <v>Roche</v>
      </c>
      <c r="C18" s="407">
        <v>744628.34879743319</v>
      </c>
      <c r="D18" s="346">
        <v>671633.21912733163</v>
      </c>
      <c r="E18" s="257">
        <f t="shared" si="0"/>
        <v>-72995.129670101567</v>
      </c>
      <c r="F18" s="257">
        <v>-46990.364798027556</v>
      </c>
      <c r="G18" s="346">
        <v>-218587.13283052636</v>
      </c>
      <c r="H18" s="257">
        <f t="shared" si="1"/>
        <v>-171596.7680324988</v>
      </c>
      <c r="I18" s="257">
        <v>110238.6817725568</v>
      </c>
      <c r="J18" s="346">
        <v>108201.47838757256</v>
      </c>
      <c r="K18" s="257">
        <f t="shared" si="2"/>
        <v>-2037.203384984241</v>
      </c>
    </row>
    <row r="19" spans="1:11" x14ac:dyDescent="0.25">
      <c r="A19" s="245">
        <f>'B) D RI'!A20</f>
        <v>5414</v>
      </c>
      <c r="B19" s="246" t="str">
        <f>'B) D RI'!B20</f>
        <v>Villeneuve</v>
      </c>
      <c r="C19" s="407">
        <v>2956335.6529114707</v>
      </c>
      <c r="D19" s="346">
        <v>3338226.7375143189</v>
      </c>
      <c r="E19" s="257">
        <f t="shared" si="0"/>
        <v>381891.08460284816</v>
      </c>
      <c r="F19" s="257">
        <v>-1559123.9136469169</v>
      </c>
      <c r="G19" s="346">
        <v>-1266944.6030267291</v>
      </c>
      <c r="H19" s="257">
        <f t="shared" si="1"/>
        <v>292179.31062018778</v>
      </c>
      <c r="I19" s="257">
        <v>507983.88154975395</v>
      </c>
      <c r="J19" s="346">
        <v>523660.03621314332</v>
      </c>
      <c r="K19" s="257">
        <f t="shared" si="2"/>
        <v>15676.154663389374</v>
      </c>
    </row>
    <row r="20" spans="1:11" x14ac:dyDescent="0.25">
      <c r="A20" s="245">
        <f>'B) D RI'!A21</f>
        <v>5415</v>
      </c>
      <c r="B20" s="246" t="str">
        <f>'B) D RI'!B21</f>
        <v>Yvorne</v>
      </c>
      <c r="C20" s="407">
        <v>630308.01442349679</v>
      </c>
      <c r="D20" s="346">
        <v>694775.73897221801</v>
      </c>
      <c r="E20" s="257">
        <f t="shared" si="0"/>
        <v>64467.72454872122</v>
      </c>
      <c r="F20" s="257">
        <v>-146070.55177524732</v>
      </c>
      <c r="G20" s="346">
        <v>469907.95187977253</v>
      </c>
      <c r="H20" s="257">
        <f t="shared" si="1"/>
        <v>615978.50365501991</v>
      </c>
      <c r="I20" s="257">
        <v>117365.48415632933</v>
      </c>
      <c r="J20" s="346">
        <v>135633.00902240799</v>
      </c>
      <c r="K20" s="257">
        <f t="shared" si="2"/>
        <v>18267.52486607866</v>
      </c>
    </row>
    <row r="21" spans="1:11" x14ac:dyDescent="0.25">
      <c r="A21" s="245">
        <f>'B) D RI'!A22</f>
        <v>5421</v>
      </c>
      <c r="B21" s="246" t="str">
        <f>'B) D RI'!B22</f>
        <v>Apples</v>
      </c>
      <c r="C21" s="407">
        <v>995015.8578287987</v>
      </c>
      <c r="D21" s="346">
        <v>1127581.529938593</v>
      </c>
      <c r="E21" s="257">
        <f t="shared" si="0"/>
        <v>132565.67210979434</v>
      </c>
      <c r="F21" s="257">
        <v>397058.06046350283</v>
      </c>
      <c r="G21" s="346">
        <v>613244.57613192813</v>
      </c>
      <c r="H21" s="257">
        <f t="shared" si="1"/>
        <v>216186.5156684253</v>
      </c>
      <c r="I21" s="257">
        <v>153870.31979176152</v>
      </c>
      <c r="J21" s="346">
        <v>181692.58897109312</v>
      </c>
      <c r="K21" s="257">
        <f t="shared" si="2"/>
        <v>27822.269179331604</v>
      </c>
    </row>
    <row r="22" spans="1:11" x14ac:dyDescent="0.25">
      <c r="A22" s="245">
        <f>'B) D RI'!A23</f>
        <v>5422</v>
      </c>
      <c r="B22" s="246" t="str">
        <f>'B) D RI'!B23</f>
        <v>Aubonne</v>
      </c>
      <c r="C22" s="407">
        <v>4278587.6808572048</v>
      </c>
      <c r="D22" s="346">
        <v>5141906.2910321783</v>
      </c>
      <c r="E22" s="257">
        <f t="shared" si="0"/>
        <v>863318.6101749735</v>
      </c>
      <c r="F22" s="257">
        <v>2379050.1713749999</v>
      </c>
      <c r="G22" s="346">
        <v>2950153.9143701722</v>
      </c>
      <c r="H22" s="257">
        <f t="shared" si="1"/>
        <v>571103.74299517227</v>
      </c>
      <c r="I22" s="257">
        <v>509206.29294245481</v>
      </c>
      <c r="J22" s="346">
        <v>549391.7427833546</v>
      </c>
      <c r="K22" s="257">
        <f t="shared" si="2"/>
        <v>40185.44984089979</v>
      </c>
    </row>
    <row r="23" spans="1:11" x14ac:dyDescent="0.25">
      <c r="A23" s="245">
        <f>'B) D RI'!A24</f>
        <v>5423</v>
      </c>
      <c r="B23" s="246" t="str">
        <f>'B) D RI'!B24</f>
        <v>Ballens</v>
      </c>
      <c r="C23" s="407">
        <v>213245.57852686977</v>
      </c>
      <c r="D23" s="346">
        <v>339450.75870693545</v>
      </c>
      <c r="E23" s="257">
        <f t="shared" si="0"/>
        <v>126205.18018006568</v>
      </c>
      <c r="F23" s="257">
        <v>-74786.589918681188</v>
      </c>
      <c r="G23" s="346">
        <v>212766.3596969684</v>
      </c>
      <c r="H23" s="257">
        <f t="shared" si="1"/>
        <v>287552.94961564959</v>
      </c>
      <c r="I23" s="257">
        <v>44693.665685226078</v>
      </c>
      <c r="J23" s="346">
        <v>62943.580685481596</v>
      </c>
      <c r="K23" s="257">
        <f t="shared" si="2"/>
        <v>18249.915000255518</v>
      </c>
    </row>
    <row r="24" spans="1:11" x14ac:dyDescent="0.25">
      <c r="A24" s="245">
        <f>'B) D RI'!A25</f>
        <v>5424</v>
      </c>
      <c r="B24" s="246" t="str">
        <f>'B) D RI'!B25</f>
        <v>Berolle</v>
      </c>
      <c r="C24" s="407">
        <v>123088.55921334654</v>
      </c>
      <c r="D24" s="346">
        <v>160498.11977899089</v>
      </c>
      <c r="E24" s="257">
        <f t="shared" si="0"/>
        <v>37409.560565644351</v>
      </c>
      <c r="F24" s="257">
        <v>-43799.985363052139</v>
      </c>
      <c r="G24" s="346">
        <v>21570.422177470435</v>
      </c>
      <c r="H24" s="257">
        <f t="shared" si="1"/>
        <v>65370.407540522574</v>
      </c>
      <c r="I24" s="257">
        <v>25559.679587435174</v>
      </c>
      <c r="J24" s="346">
        <v>29617.88829734554</v>
      </c>
      <c r="K24" s="257">
        <f t="shared" si="2"/>
        <v>4058.2087099103665</v>
      </c>
    </row>
    <row r="25" spans="1:11" x14ac:dyDescent="0.25">
      <c r="A25" s="245">
        <f>'B) D RI'!A26</f>
        <v>5425</v>
      </c>
      <c r="B25" s="246" t="str">
        <f>'B) D RI'!B26</f>
        <v>Bière</v>
      </c>
      <c r="C25" s="407">
        <v>591099.13380914333</v>
      </c>
      <c r="D25" s="346">
        <v>700681.52956354083</v>
      </c>
      <c r="E25" s="257">
        <f t="shared" si="0"/>
        <v>109582.3957543975</v>
      </c>
      <c r="F25" s="257">
        <v>-574790.3972750674</v>
      </c>
      <c r="G25" s="346">
        <v>-429893.86983694864</v>
      </c>
      <c r="H25" s="257">
        <f t="shared" si="1"/>
        <v>144896.52743811876</v>
      </c>
      <c r="I25" s="257">
        <v>108899.38999356373</v>
      </c>
      <c r="J25" s="346">
        <v>128628.68167562726</v>
      </c>
      <c r="K25" s="257">
        <f t="shared" si="2"/>
        <v>19729.291682063529</v>
      </c>
    </row>
    <row r="26" spans="1:11" x14ac:dyDescent="0.25">
      <c r="A26" s="245">
        <f>'B) D RI'!A27</f>
        <v>5426</v>
      </c>
      <c r="B26" s="246" t="str">
        <f>'B) D RI'!B27</f>
        <v>Bougy-Villars</v>
      </c>
      <c r="C26" s="407">
        <v>1647913.6171850578</v>
      </c>
      <c r="D26" s="346">
        <v>1040632.2072980901</v>
      </c>
      <c r="E26" s="257">
        <f t="shared" si="0"/>
        <v>-607281.40988696774</v>
      </c>
      <c r="F26" s="257">
        <v>502272.38285079936</v>
      </c>
      <c r="G26" s="346">
        <v>610132.84905514284</v>
      </c>
      <c r="H26" s="257">
        <f t="shared" si="1"/>
        <v>107860.46620434348</v>
      </c>
      <c r="I26" s="257">
        <v>82921.056756998049</v>
      </c>
      <c r="J26" s="346">
        <v>87208.748491894716</v>
      </c>
      <c r="K26" s="257">
        <f t="shared" si="2"/>
        <v>4287.6917348966672</v>
      </c>
    </row>
    <row r="27" spans="1:11" x14ac:dyDescent="0.25">
      <c r="A27" s="245">
        <f>'B) D RI'!A28</f>
        <v>5427</v>
      </c>
      <c r="B27" s="246" t="str">
        <f>'B) D RI'!B28</f>
        <v>Féchy</v>
      </c>
      <c r="C27" s="407">
        <v>2034327.8036126229</v>
      </c>
      <c r="D27" s="346">
        <v>1377956.7404338131</v>
      </c>
      <c r="E27" s="257">
        <f t="shared" si="0"/>
        <v>-656371.06317880983</v>
      </c>
      <c r="F27" s="257">
        <v>1102123.83241</v>
      </c>
      <c r="G27" s="346">
        <v>981654.33256569807</v>
      </c>
      <c r="H27" s="257">
        <f t="shared" si="1"/>
        <v>-120469.49984430196</v>
      </c>
      <c r="I27" s="257">
        <v>160709.05988633429</v>
      </c>
      <c r="J27" s="346">
        <v>148267.39177706372</v>
      </c>
      <c r="K27" s="257">
        <f t="shared" si="2"/>
        <v>-12441.668109270569</v>
      </c>
    </row>
    <row r="28" spans="1:11" x14ac:dyDescent="0.25">
      <c r="A28" s="245">
        <f>'B) D RI'!A29</f>
        <v>5428</v>
      </c>
      <c r="B28" s="246" t="str">
        <f>'B) D RI'!B29</f>
        <v>Gimel</v>
      </c>
      <c r="C28" s="407">
        <v>1081394.4960565018</v>
      </c>
      <c r="D28" s="346">
        <v>1097124.5524859698</v>
      </c>
      <c r="E28" s="257">
        <f t="shared" si="0"/>
        <v>15730.056429468095</v>
      </c>
      <c r="F28" s="257">
        <v>-109169.29652514379</v>
      </c>
      <c r="G28" s="346">
        <v>-188009.51891975274</v>
      </c>
      <c r="H28" s="257">
        <f t="shared" si="1"/>
        <v>-78840.222394608951</v>
      </c>
      <c r="I28" s="257">
        <v>179683.77680836269</v>
      </c>
      <c r="J28" s="346">
        <v>180941.78492619272</v>
      </c>
      <c r="K28" s="257">
        <f t="shared" si="2"/>
        <v>1258.0081178300316</v>
      </c>
    </row>
    <row r="29" spans="1:11" x14ac:dyDescent="0.25">
      <c r="A29" s="245">
        <f>'B) D RI'!A30</f>
        <v>5429</v>
      </c>
      <c r="B29" s="246" t="str">
        <f>'B) D RI'!B30</f>
        <v>Longirod</v>
      </c>
      <c r="C29" s="407">
        <v>244578.85836731846</v>
      </c>
      <c r="D29" s="346">
        <v>230601.74386633883</v>
      </c>
      <c r="E29" s="257">
        <f t="shared" si="0"/>
        <v>-13977.114500979631</v>
      </c>
      <c r="F29" s="257">
        <v>-24667.121953826398</v>
      </c>
      <c r="G29" s="346">
        <v>-104887.07869237076</v>
      </c>
      <c r="H29" s="257">
        <f t="shared" si="1"/>
        <v>-80219.956738544366</v>
      </c>
      <c r="I29" s="257">
        <v>43571.525577302964</v>
      </c>
      <c r="J29" s="346">
        <v>42896.586038112815</v>
      </c>
      <c r="K29" s="257">
        <f t="shared" si="2"/>
        <v>-674.93953919014893</v>
      </c>
    </row>
    <row r="30" spans="1:11" x14ac:dyDescent="0.25">
      <c r="A30" s="245">
        <f>'B) D RI'!A31</f>
        <v>5430</v>
      </c>
      <c r="B30" s="246" t="str">
        <f>'B) D RI'!B31</f>
        <v>Marchissy</v>
      </c>
      <c r="C30" s="407">
        <v>244601.33300387705</v>
      </c>
      <c r="D30" s="346">
        <v>283373.77508855995</v>
      </c>
      <c r="E30" s="257">
        <f t="shared" si="0"/>
        <v>38772.442084682902</v>
      </c>
      <c r="F30" s="257">
        <v>7124.3028719727881</v>
      </c>
      <c r="G30" s="346">
        <v>-203339.15989796337</v>
      </c>
      <c r="H30" s="257">
        <f t="shared" si="1"/>
        <v>-210463.46276993616</v>
      </c>
      <c r="I30" s="257">
        <v>47793.062856809185</v>
      </c>
      <c r="J30" s="346">
        <v>40644.75843830478</v>
      </c>
      <c r="K30" s="257">
        <f t="shared" si="2"/>
        <v>-7148.3044185044055</v>
      </c>
    </row>
    <row r="31" spans="1:11" x14ac:dyDescent="0.25">
      <c r="A31" s="245">
        <f>'B) D RI'!A32</f>
        <v>5431</v>
      </c>
      <c r="B31" s="246" t="str">
        <f>'B) D RI'!B32</f>
        <v>Mollens</v>
      </c>
      <c r="C31" s="407">
        <v>161381.47727192927</v>
      </c>
      <c r="D31" s="346">
        <v>147538.87255169451</v>
      </c>
      <c r="E31" s="257">
        <f t="shared" si="0"/>
        <v>-13842.604720234754</v>
      </c>
      <c r="F31" s="257">
        <v>49730.857527533153</v>
      </c>
      <c r="G31" s="346">
        <v>8358.6742998583359</v>
      </c>
      <c r="H31" s="257">
        <f t="shared" si="1"/>
        <v>-41372.183227674817</v>
      </c>
      <c r="I31" s="257">
        <v>28540.393774729702</v>
      </c>
      <c r="J31" s="346">
        <v>28291.449246898192</v>
      </c>
      <c r="K31" s="257">
        <f t="shared" si="2"/>
        <v>-248.94452783151064</v>
      </c>
    </row>
    <row r="32" spans="1:11" x14ac:dyDescent="0.25">
      <c r="A32" s="245">
        <f>'B) D RI'!A33</f>
        <v>5432</v>
      </c>
      <c r="B32" s="246" t="str">
        <f>'B) D RI'!B33</f>
        <v>Montherod</v>
      </c>
      <c r="C32" s="407">
        <v>312619.10213192872</v>
      </c>
      <c r="D32" s="346">
        <v>357704.81906139001</v>
      </c>
      <c r="E32" s="257">
        <f t="shared" si="0"/>
        <v>45085.716929461283</v>
      </c>
      <c r="F32" s="257">
        <v>331614.07963260484</v>
      </c>
      <c r="G32" s="346">
        <v>219229.83165391802</v>
      </c>
      <c r="H32" s="257">
        <f t="shared" si="1"/>
        <v>-112384.24797868682</v>
      </c>
      <c r="I32" s="257">
        <v>68060.694363596689</v>
      </c>
      <c r="J32" s="346">
        <v>60032.979436616108</v>
      </c>
      <c r="K32" s="257">
        <f t="shared" si="2"/>
        <v>-8027.7149269805814</v>
      </c>
    </row>
    <row r="33" spans="1:11" x14ac:dyDescent="0.25">
      <c r="A33" s="245">
        <f>'B) D RI'!A34</f>
        <v>5434</v>
      </c>
      <c r="B33" s="246" t="str">
        <f>'B) D RI'!B34</f>
        <v>Saint-George</v>
      </c>
      <c r="C33" s="407">
        <v>537718.68326054676</v>
      </c>
      <c r="D33" s="346">
        <v>610100.31305734348</v>
      </c>
      <c r="E33" s="257">
        <f t="shared" si="0"/>
        <v>72381.629796796711</v>
      </c>
      <c r="F33" s="257">
        <v>248619.85361839208</v>
      </c>
      <c r="G33" s="346">
        <v>223644.47664294305</v>
      </c>
      <c r="H33" s="257">
        <f t="shared" si="1"/>
        <v>-24975.376975449035</v>
      </c>
      <c r="I33" s="257">
        <v>104870.64857282335</v>
      </c>
      <c r="J33" s="346">
        <v>103132.77800273706</v>
      </c>
      <c r="K33" s="257">
        <f t="shared" si="2"/>
        <v>-1737.870570086292</v>
      </c>
    </row>
    <row r="34" spans="1:11" x14ac:dyDescent="0.25">
      <c r="A34" s="245">
        <f>'B) D RI'!A35</f>
        <v>5435</v>
      </c>
      <c r="B34" s="246" t="str">
        <f>'B) D RI'!B35</f>
        <v>Saint-Livres</v>
      </c>
      <c r="C34" s="407">
        <v>353831.06775914115</v>
      </c>
      <c r="D34" s="346">
        <v>364568.69154023315</v>
      </c>
      <c r="E34" s="257">
        <f t="shared" si="0"/>
        <v>10737.623781091999</v>
      </c>
      <c r="F34" s="257">
        <v>160969.25882647495</v>
      </c>
      <c r="G34" s="346">
        <v>225308.46249042437</v>
      </c>
      <c r="H34" s="257">
        <f t="shared" si="1"/>
        <v>64339.203663949418</v>
      </c>
      <c r="I34" s="257">
        <v>73678.231372875918</v>
      </c>
      <c r="J34" s="346">
        <v>76993.805963490537</v>
      </c>
      <c r="K34" s="257">
        <f t="shared" si="2"/>
        <v>3315.5745906146185</v>
      </c>
    </row>
    <row r="35" spans="1:11" x14ac:dyDescent="0.25">
      <c r="A35" s="245">
        <f>'B) D RI'!A36</f>
        <v>5436</v>
      </c>
      <c r="B35" s="246" t="str">
        <f>'B) D RI'!B36</f>
        <v>Saint-Oyens</v>
      </c>
      <c r="C35" s="407">
        <v>158233.35394173971</v>
      </c>
      <c r="D35" s="346">
        <v>181381.35066656754</v>
      </c>
      <c r="E35" s="257">
        <f t="shared" si="0"/>
        <v>23147.996724827826</v>
      </c>
      <c r="F35" s="257">
        <v>-163469.37379138725</v>
      </c>
      <c r="G35" s="346">
        <v>-47443.150857664325</v>
      </c>
      <c r="H35" s="257">
        <f t="shared" si="1"/>
        <v>116026.22293372292</v>
      </c>
      <c r="I35" s="257">
        <v>28117.420895139683</v>
      </c>
      <c r="J35" s="346">
        <v>31301.510342848851</v>
      </c>
      <c r="K35" s="257">
        <f t="shared" si="2"/>
        <v>3184.0894477091679</v>
      </c>
    </row>
    <row r="36" spans="1:11" x14ac:dyDescent="0.25">
      <c r="A36" s="245">
        <f>'B) D RI'!A37</f>
        <v>5437</v>
      </c>
      <c r="B36" s="246" t="str">
        <f>'B) D RI'!B37</f>
        <v>Saubraz</v>
      </c>
      <c r="C36" s="407">
        <v>133327.5226361331</v>
      </c>
      <c r="D36" s="346">
        <v>255617.30378285248</v>
      </c>
      <c r="E36" s="257">
        <f t="shared" si="0"/>
        <v>122289.78114671938</v>
      </c>
      <c r="F36" s="257">
        <v>-250830.72451303253</v>
      </c>
      <c r="G36" s="346">
        <v>-140338.74568170583</v>
      </c>
      <c r="H36" s="257">
        <f t="shared" si="1"/>
        <v>110491.97883132671</v>
      </c>
      <c r="I36" s="257">
        <v>25636.707546112739</v>
      </c>
      <c r="J36" s="346">
        <v>28778.047045142601</v>
      </c>
      <c r="K36" s="257">
        <f t="shared" si="2"/>
        <v>3141.3394990298621</v>
      </c>
    </row>
    <row r="37" spans="1:11" x14ac:dyDescent="0.25">
      <c r="A37" s="245">
        <f>'B) D RI'!A38</f>
        <v>5451</v>
      </c>
      <c r="B37" s="246" t="str">
        <f>'B) D RI'!B38</f>
        <v>Avenches</v>
      </c>
      <c r="C37" s="407">
        <v>1736156.903809922</v>
      </c>
      <c r="D37" s="346">
        <v>1907980.262176136</v>
      </c>
      <c r="E37" s="257">
        <f t="shared" si="0"/>
        <v>171823.35836621397</v>
      </c>
      <c r="F37" s="257">
        <v>-1934228.310840867</v>
      </c>
      <c r="G37" s="346">
        <v>-2417354.2878301004</v>
      </c>
      <c r="H37" s="257">
        <f t="shared" si="1"/>
        <v>-483125.9769892334</v>
      </c>
      <c r="I37" s="257">
        <v>306023.87005887943</v>
      </c>
      <c r="J37" s="346">
        <v>314717.28246409993</v>
      </c>
      <c r="K37" s="257">
        <f t="shared" si="2"/>
        <v>8693.4124052205007</v>
      </c>
    </row>
    <row r="38" spans="1:11" x14ac:dyDescent="0.25">
      <c r="A38" s="245">
        <f>'B) D RI'!A39</f>
        <v>5456</v>
      </c>
      <c r="B38" s="246" t="str">
        <f>'B) D RI'!B39</f>
        <v>Cudrefin</v>
      </c>
      <c r="C38" s="407">
        <v>783773.84488700784</v>
      </c>
      <c r="D38" s="346">
        <v>1034685.7398285278</v>
      </c>
      <c r="E38" s="257">
        <f t="shared" si="0"/>
        <v>250911.89494151995</v>
      </c>
      <c r="F38" s="257">
        <v>679.13533413864207</v>
      </c>
      <c r="G38" s="346">
        <v>6180.0413854302606</v>
      </c>
      <c r="H38" s="257">
        <f t="shared" si="1"/>
        <v>5500.9060512916185</v>
      </c>
      <c r="I38" s="257">
        <v>138191.57300986807</v>
      </c>
      <c r="J38" s="346">
        <v>140096.34715692219</v>
      </c>
      <c r="K38" s="257">
        <f t="shared" si="2"/>
        <v>1904.7741470541223</v>
      </c>
    </row>
    <row r="39" spans="1:11" x14ac:dyDescent="0.25">
      <c r="A39" s="245">
        <f>'B) D RI'!A40</f>
        <v>5458</v>
      </c>
      <c r="B39" s="246" t="str">
        <f>'B) D RI'!B40</f>
        <v>Faoug</v>
      </c>
      <c r="C39" s="407">
        <v>519750.63746442093</v>
      </c>
      <c r="D39" s="346">
        <v>494639.21715720673</v>
      </c>
      <c r="E39" s="257">
        <f t="shared" si="0"/>
        <v>-25111.420307214197</v>
      </c>
      <c r="F39" s="257">
        <v>363099.13281715673</v>
      </c>
      <c r="G39" s="346">
        <v>188193.97183005535</v>
      </c>
      <c r="H39" s="257">
        <f t="shared" si="1"/>
        <v>-174905.16098710138</v>
      </c>
      <c r="I39" s="257">
        <v>100591.36674894654</v>
      </c>
      <c r="J39" s="346">
        <v>87339.324954004056</v>
      </c>
      <c r="K39" s="257">
        <f t="shared" si="2"/>
        <v>-13252.041794942488</v>
      </c>
    </row>
    <row r="40" spans="1:11" x14ac:dyDescent="0.25">
      <c r="A40" s="245">
        <f>'B) D RI'!A41</f>
        <v>5464</v>
      </c>
      <c r="B40" s="246" t="str">
        <f>'B) D RI'!B41</f>
        <v>Vully-les-Lacs</v>
      </c>
      <c r="C40" s="407">
        <v>1694630.5975459805</v>
      </c>
      <c r="D40" s="346">
        <v>1764360.9188102377</v>
      </c>
      <c r="E40" s="257">
        <f t="shared" si="0"/>
        <v>69730.321264257189</v>
      </c>
      <c r="F40" s="257">
        <v>-20943.162911402062</v>
      </c>
      <c r="G40" s="346">
        <v>145881.01444894989</v>
      </c>
      <c r="H40" s="257">
        <f t="shared" si="1"/>
        <v>166824.17736035195</v>
      </c>
      <c r="I40" s="257">
        <v>276161.26746698015</v>
      </c>
      <c r="J40" s="346">
        <v>302663.96808033588</v>
      </c>
      <c r="K40" s="257">
        <f t="shared" si="2"/>
        <v>26502.70061335573</v>
      </c>
    </row>
    <row r="41" spans="1:11" x14ac:dyDescent="0.25">
      <c r="A41" s="245">
        <f>'B) D RI'!A42</f>
        <v>5471</v>
      </c>
      <c r="B41" s="246" t="str">
        <f>'B) D RI'!B42</f>
        <v>Bettens</v>
      </c>
      <c r="C41" s="407">
        <v>318517.17806458939</v>
      </c>
      <c r="D41" s="346">
        <v>324712.11885162839</v>
      </c>
      <c r="E41" s="257">
        <f t="shared" si="0"/>
        <v>6194.9407870389987</v>
      </c>
      <c r="F41" s="257">
        <v>161780.0403728805</v>
      </c>
      <c r="G41" s="346">
        <v>161322.10311535982</v>
      </c>
      <c r="H41" s="257">
        <f t="shared" si="1"/>
        <v>-457.93725752067985</v>
      </c>
      <c r="I41" s="257">
        <v>49627.198146297407</v>
      </c>
      <c r="J41" s="346">
        <v>57412.905416199137</v>
      </c>
      <c r="K41" s="257">
        <f t="shared" si="2"/>
        <v>7785.7072699017299</v>
      </c>
    </row>
    <row r="42" spans="1:11" x14ac:dyDescent="0.25">
      <c r="A42" s="245">
        <f>'B) D RI'!A43</f>
        <v>5472</v>
      </c>
      <c r="B42" s="246" t="str">
        <f>'B) D RI'!B43</f>
        <v>Bournens</v>
      </c>
      <c r="C42" s="407">
        <v>245028.42804788984</v>
      </c>
      <c r="D42" s="346">
        <v>240832.68517426326</v>
      </c>
      <c r="E42" s="257">
        <f t="shared" si="0"/>
        <v>-4195.7428736265865</v>
      </c>
      <c r="F42" s="257">
        <v>221658.0967355</v>
      </c>
      <c r="G42" s="346">
        <v>102945.03893384401</v>
      </c>
      <c r="H42" s="257">
        <f t="shared" si="1"/>
        <v>-118713.05780165599</v>
      </c>
      <c r="I42" s="257">
        <v>47979.821345643351</v>
      </c>
      <c r="J42" s="346">
        <v>41890.427072403982</v>
      </c>
      <c r="K42" s="257">
        <f t="shared" si="2"/>
        <v>-6089.3942732393698</v>
      </c>
    </row>
    <row r="43" spans="1:11" x14ac:dyDescent="0.25">
      <c r="A43" s="245">
        <f>'B) D RI'!A44</f>
        <v>5473</v>
      </c>
      <c r="B43" s="246" t="str">
        <f>'B) D RI'!B44</f>
        <v>Boussens</v>
      </c>
      <c r="C43" s="407">
        <v>516020.81863125047</v>
      </c>
      <c r="D43" s="346">
        <v>494109.53723622492</v>
      </c>
      <c r="E43" s="257">
        <f t="shared" si="0"/>
        <v>-21911.281395025551</v>
      </c>
      <c r="F43" s="257">
        <v>354402.24057880125</v>
      </c>
      <c r="G43" s="346">
        <v>349156.16521414893</v>
      </c>
      <c r="H43" s="257">
        <f t="shared" si="1"/>
        <v>-5246.0753646523226</v>
      </c>
      <c r="I43" s="257">
        <v>103139.25919641246</v>
      </c>
      <c r="J43" s="346">
        <v>103833.96366278696</v>
      </c>
      <c r="K43" s="257">
        <f t="shared" si="2"/>
        <v>694.70446637450368</v>
      </c>
    </row>
    <row r="44" spans="1:11" x14ac:dyDescent="0.25">
      <c r="A44" s="245">
        <f>'B) D RI'!A45</f>
        <v>5474</v>
      </c>
      <c r="B44" s="246" t="str">
        <f>'B) D RI'!B45</f>
        <v>La Chaux (Cossonay)</v>
      </c>
      <c r="C44" s="407">
        <v>211967.68234542207</v>
      </c>
      <c r="D44" s="346">
        <v>174982.50127944569</v>
      </c>
      <c r="E44" s="257">
        <f t="shared" si="0"/>
        <v>-36985.181065976387</v>
      </c>
      <c r="F44" s="257">
        <v>-66425.211920050468</v>
      </c>
      <c r="G44" s="346">
        <v>-50952.087983977108</v>
      </c>
      <c r="H44" s="257">
        <f t="shared" si="1"/>
        <v>15473.12393607336</v>
      </c>
      <c r="I44" s="257">
        <v>39913.655738028661</v>
      </c>
      <c r="J44" s="346">
        <v>40116.987385688713</v>
      </c>
      <c r="K44" s="257">
        <f t="shared" si="2"/>
        <v>203.33164766005211</v>
      </c>
    </row>
    <row r="45" spans="1:11" x14ac:dyDescent="0.25">
      <c r="A45" s="245">
        <f>'B) D RI'!A46</f>
        <v>5475</v>
      </c>
      <c r="B45" s="246" t="str">
        <f>'B) D RI'!B46</f>
        <v>Chavannes-le-Veyron</v>
      </c>
      <c r="C45" s="407">
        <v>52479.424128256425</v>
      </c>
      <c r="D45" s="346">
        <v>41344.80293699653</v>
      </c>
      <c r="E45" s="257">
        <f t="shared" si="0"/>
        <v>-11134.621191259896</v>
      </c>
      <c r="F45" s="257">
        <v>-9854.3690557522932</v>
      </c>
      <c r="G45" s="346">
        <v>-84482.625055469762</v>
      </c>
      <c r="H45" s="257">
        <f t="shared" si="1"/>
        <v>-74628.255999717469</v>
      </c>
      <c r="I45" s="257">
        <v>11699.385330413927</v>
      </c>
      <c r="J45" s="346">
        <v>8552.6678111582296</v>
      </c>
      <c r="K45" s="257">
        <f t="shared" si="2"/>
        <v>-3146.717519255697</v>
      </c>
    </row>
    <row r="46" spans="1:11" x14ac:dyDescent="0.25">
      <c r="A46" s="245">
        <f>'B) D RI'!A47</f>
        <v>5476</v>
      </c>
      <c r="B46" s="246" t="str">
        <f>'B) D RI'!B47</f>
        <v>Chevilly</v>
      </c>
      <c r="C46" s="407">
        <v>105830.40573034302</v>
      </c>
      <c r="D46" s="346">
        <v>151892.32131742622</v>
      </c>
      <c r="E46" s="257">
        <f t="shared" si="0"/>
        <v>46061.915587083204</v>
      </c>
      <c r="F46" s="257">
        <v>-35276.423345295654</v>
      </c>
      <c r="G46" s="346">
        <v>-18785.747415619677</v>
      </c>
      <c r="H46" s="257">
        <f t="shared" si="1"/>
        <v>16490.675929675977</v>
      </c>
      <c r="I46" s="257">
        <v>23033.911929335794</v>
      </c>
      <c r="J46" s="346">
        <v>24689.754699615045</v>
      </c>
      <c r="K46" s="257">
        <f t="shared" si="2"/>
        <v>1655.8427702792505</v>
      </c>
    </row>
    <row r="47" spans="1:11" x14ac:dyDescent="0.25">
      <c r="A47" s="245">
        <f>'B) D RI'!A48</f>
        <v>5477</v>
      </c>
      <c r="B47" s="246" t="str">
        <f>'B) D RI'!B48</f>
        <v>Cossonay</v>
      </c>
      <c r="C47" s="407">
        <v>2290776.31972219</v>
      </c>
      <c r="D47" s="346">
        <v>2120187.2196163191</v>
      </c>
      <c r="E47" s="257">
        <f t="shared" si="0"/>
        <v>-170589.10010587098</v>
      </c>
      <c r="F47" s="257">
        <v>546569.74338338338</v>
      </c>
      <c r="G47" s="346">
        <v>-260861.82990187779</v>
      </c>
      <c r="H47" s="257">
        <f t="shared" si="1"/>
        <v>-807431.57328526117</v>
      </c>
      <c r="I47" s="257">
        <v>430507.00711714127</v>
      </c>
      <c r="J47" s="346">
        <v>382413.08814011764</v>
      </c>
      <c r="K47" s="257">
        <f t="shared" si="2"/>
        <v>-48093.918977023626</v>
      </c>
    </row>
    <row r="48" spans="1:11" x14ac:dyDescent="0.25">
      <c r="A48" s="245">
        <f>'B) D RI'!A49</f>
        <v>5478</v>
      </c>
      <c r="B48" s="246" t="str">
        <f>'B) D RI'!B49</f>
        <v>Cottens</v>
      </c>
      <c r="C48" s="407">
        <v>236989.41669559307</v>
      </c>
      <c r="D48" s="346">
        <v>235960.03039395405</v>
      </c>
      <c r="E48" s="257">
        <f t="shared" si="0"/>
        <v>-1029.3863016390242</v>
      </c>
      <c r="F48" s="257">
        <v>121296.86660535802</v>
      </c>
      <c r="G48" s="346">
        <v>123031.19310905278</v>
      </c>
      <c r="H48" s="257">
        <f t="shared" si="1"/>
        <v>1734.326503694756</v>
      </c>
      <c r="I48" s="257">
        <v>47098.654275214183</v>
      </c>
      <c r="J48" s="346">
        <v>48963.636138294256</v>
      </c>
      <c r="K48" s="257">
        <f t="shared" si="2"/>
        <v>1864.9818630800728</v>
      </c>
    </row>
    <row r="49" spans="1:11" x14ac:dyDescent="0.25">
      <c r="A49" s="245">
        <f>'B) D RI'!A50</f>
        <v>5479</v>
      </c>
      <c r="B49" s="246" t="str">
        <f>'B) D RI'!B50</f>
        <v>Cuarnens</v>
      </c>
      <c r="C49" s="407">
        <v>227749.20505927064</v>
      </c>
      <c r="D49" s="346">
        <v>177681.57244652265</v>
      </c>
      <c r="E49" s="257">
        <f t="shared" si="0"/>
        <v>-50067.632612747984</v>
      </c>
      <c r="F49" s="257">
        <v>-245760.25198750789</v>
      </c>
      <c r="G49" s="346">
        <v>-182360.78583928486</v>
      </c>
      <c r="H49" s="257">
        <f t="shared" si="1"/>
        <v>63399.466148223029</v>
      </c>
      <c r="I49" s="257">
        <v>38949.3306027699</v>
      </c>
      <c r="J49" s="346">
        <v>37044.933650346669</v>
      </c>
      <c r="K49" s="257">
        <f t="shared" si="2"/>
        <v>-1904.3969524232307</v>
      </c>
    </row>
    <row r="50" spans="1:11" x14ac:dyDescent="0.25">
      <c r="A50" s="245">
        <f>'B) D RI'!A51</f>
        <v>5480</v>
      </c>
      <c r="B50" s="246" t="str">
        <f>'B) D RI'!B51</f>
        <v>Daillens</v>
      </c>
      <c r="C50" s="407">
        <v>647660.81336131878</v>
      </c>
      <c r="D50" s="346">
        <v>780760.71043438581</v>
      </c>
      <c r="E50" s="257">
        <f t="shared" si="0"/>
        <v>133099.89707306703</v>
      </c>
      <c r="F50" s="257">
        <v>230466.9478816833</v>
      </c>
      <c r="G50" s="346">
        <v>506288.80693686806</v>
      </c>
      <c r="H50" s="257">
        <f t="shared" si="1"/>
        <v>275821.85905518476</v>
      </c>
      <c r="I50" s="257">
        <v>107028.67683920651</v>
      </c>
      <c r="J50" s="346">
        <v>130823.52872242246</v>
      </c>
      <c r="K50" s="257">
        <f t="shared" si="2"/>
        <v>23794.851883215946</v>
      </c>
    </row>
    <row r="51" spans="1:11" x14ac:dyDescent="0.25">
      <c r="A51" s="245">
        <f>'B) D RI'!A52</f>
        <v>5481</v>
      </c>
      <c r="B51" s="246" t="str">
        <f>'B) D RI'!B52</f>
        <v>Dizy</v>
      </c>
      <c r="C51" s="407">
        <v>105728.5630144043</v>
      </c>
      <c r="D51" s="346">
        <v>130281.17375835136</v>
      </c>
      <c r="E51" s="257">
        <f t="shared" si="0"/>
        <v>24552.610743947065</v>
      </c>
      <c r="F51" s="257">
        <v>47030.86162374969</v>
      </c>
      <c r="G51" s="346">
        <v>87850.735472518762</v>
      </c>
      <c r="H51" s="257">
        <f t="shared" si="1"/>
        <v>40819.873848769072</v>
      </c>
      <c r="I51" s="257">
        <v>23548.980372616003</v>
      </c>
      <c r="J51" s="346">
        <v>26236.427537633164</v>
      </c>
      <c r="K51" s="257">
        <f t="shared" si="2"/>
        <v>2687.4471650171618</v>
      </c>
    </row>
    <row r="52" spans="1:11" x14ac:dyDescent="0.25">
      <c r="A52" s="245">
        <f>'B) D RI'!A53</f>
        <v>5482</v>
      </c>
      <c r="B52" s="246" t="str">
        <f>'B) D RI'!B53</f>
        <v>Eclépens</v>
      </c>
      <c r="C52" s="407">
        <v>973067.52685733011</v>
      </c>
      <c r="D52" s="346">
        <v>1143689.8626043235</v>
      </c>
      <c r="E52" s="257">
        <f t="shared" si="0"/>
        <v>170622.33574699343</v>
      </c>
      <c r="F52" s="257">
        <v>774056.52404499997</v>
      </c>
      <c r="G52" s="346">
        <v>1021165.419333449</v>
      </c>
      <c r="H52" s="257">
        <f t="shared" si="1"/>
        <v>247108.89528844901</v>
      </c>
      <c r="I52" s="257">
        <v>165747.92634399672</v>
      </c>
      <c r="J52" s="346">
        <v>168996.40559027373</v>
      </c>
      <c r="K52" s="257">
        <f t="shared" si="2"/>
        <v>3248.4792462770129</v>
      </c>
    </row>
    <row r="53" spans="1:11" x14ac:dyDescent="0.25">
      <c r="A53" s="245">
        <f>'B) D RI'!A54</f>
        <v>5483</v>
      </c>
      <c r="B53" s="246" t="str">
        <f>'B) D RI'!B54</f>
        <v>Ferreyres</v>
      </c>
      <c r="C53" s="407">
        <v>134939.78303484651</v>
      </c>
      <c r="D53" s="346">
        <v>144058.90410416285</v>
      </c>
      <c r="E53" s="257">
        <f t="shared" si="0"/>
        <v>9119.1210693163448</v>
      </c>
      <c r="F53" s="257">
        <v>-546.60572159622097</v>
      </c>
      <c r="G53" s="346">
        <v>15460.323484030658</v>
      </c>
      <c r="H53" s="257">
        <f t="shared" si="1"/>
        <v>16006.929205626879</v>
      </c>
      <c r="I53" s="257">
        <v>27739.051298751787</v>
      </c>
      <c r="J53" s="346">
        <v>28722.509846348323</v>
      </c>
      <c r="K53" s="257">
        <f t="shared" si="2"/>
        <v>983.45854759653594</v>
      </c>
    </row>
    <row r="54" spans="1:11" x14ac:dyDescent="0.25">
      <c r="A54" s="245">
        <f>'B) D RI'!A55</f>
        <v>5484</v>
      </c>
      <c r="B54" s="246" t="str">
        <f>'B) D RI'!B55</f>
        <v>Gollion</v>
      </c>
      <c r="C54" s="407">
        <v>577977.64263826446</v>
      </c>
      <c r="D54" s="346">
        <v>455652.95297531417</v>
      </c>
      <c r="E54" s="257">
        <f t="shared" si="0"/>
        <v>-122324.68966295029</v>
      </c>
      <c r="F54" s="257">
        <v>-76948.194233936665</v>
      </c>
      <c r="G54" s="346">
        <v>-117329.5019669747</v>
      </c>
      <c r="H54" s="257">
        <f t="shared" si="1"/>
        <v>-40381.307733038033</v>
      </c>
      <c r="I54" s="257">
        <v>71179.227690422136</v>
      </c>
      <c r="J54" s="346">
        <v>72739.195498615576</v>
      </c>
      <c r="K54" s="257">
        <f t="shared" si="2"/>
        <v>1559.9678081934399</v>
      </c>
    </row>
    <row r="55" spans="1:11" x14ac:dyDescent="0.25">
      <c r="A55" s="245">
        <f>'B) D RI'!A56</f>
        <v>5485</v>
      </c>
      <c r="B55" s="246" t="str">
        <f>'B) D RI'!B56</f>
        <v>Grancy</v>
      </c>
      <c r="C55" s="407">
        <v>339380.94472898636</v>
      </c>
      <c r="D55" s="346">
        <v>280628.79392516759</v>
      </c>
      <c r="E55" s="257">
        <f t="shared" si="0"/>
        <v>-58752.150803818775</v>
      </c>
      <c r="F55" s="257">
        <v>308130.35033499997</v>
      </c>
      <c r="G55" s="346">
        <v>229197.39422804426</v>
      </c>
      <c r="H55" s="257">
        <f t="shared" si="1"/>
        <v>-78932.956106955709</v>
      </c>
      <c r="I55" s="257">
        <v>63007.653664661353</v>
      </c>
      <c r="J55" s="346">
        <v>55099.103821626479</v>
      </c>
      <c r="K55" s="257">
        <f t="shared" si="2"/>
        <v>-7908.5498430348744</v>
      </c>
    </row>
    <row r="56" spans="1:11" x14ac:dyDescent="0.25">
      <c r="A56" s="245">
        <f>'B) D RI'!A57</f>
        <v>5486</v>
      </c>
      <c r="B56" s="246" t="str">
        <f>'B) D RI'!B57</f>
        <v>L'Isle</v>
      </c>
      <c r="C56" s="407">
        <v>508763.32483277045</v>
      </c>
      <c r="D56" s="346">
        <v>658694.12223917455</v>
      </c>
      <c r="E56" s="257">
        <f t="shared" si="0"/>
        <v>149930.7974064041</v>
      </c>
      <c r="F56" s="257">
        <v>-375870.1441588063</v>
      </c>
      <c r="G56" s="346">
        <v>-359840.64863257139</v>
      </c>
      <c r="H56" s="257">
        <f t="shared" si="1"/>
        <v>16029.49552623491</v>
      </c>
      <c r="I56" s="257">
        <v>84460.336517432399</v>
      </c>
      <c r="J56" s="346">
        <v>85055.146243596566</v>
      </c>
      <c r="K56" s="257">
        <f t="shared" si="2"/>
        <v>594.80972616416693</v>
      </c>
    </row>
    <row r="57" spans="1:11" x14ac:dyDescent="0.25">
      <c r="A57" s="245">
        <f>'B) D RI'!A58</f>
        <v>5487</v>
      </c>
      <c r="B57" s="246" t="str">
        <f>'B) D RI'!B58</f>
        <v>Lussery-Villars</v>
      </c>
      <c r="C57" s="407">
        <v>199624.34071432846</v>
      </c>
      <c r="D57" s="346">
        <v>194122.51608915426</v>
      </c>
      <c r="E57" s="257">
        <f t="shared" si="0"/>
        <v>-5501.8246251741948</v>
      </c>
      <c r="F57" s="257">
        <v>45233.114234310953</v>
      </c>
      <c r="G57" s="346">
        <v>10801.523451862107</v>
      </c>
      <c r="H57" s="257">
        <f t="shared" si="1"/>
        <v>-34431.590782448846</v>
      </c>
      <c r="I57" s="257">
        <v>36001.970062698972</v>
      </c>
      <c r="J57" s="346">
        <v>37251.363100843315</v>
      </c>
      <c r="K57" s="257">
        <f t="shared" si="2"/>
        <v>1249.3930381443424</v>
      </c>
    </row>
    <row r="58" spans="1:11" x14ac:dyDescent="0.25">
      <c r="A58" s="245">
        <f>'B) D RI'!A59</f>
        <v>5488</v>
      </c>
      <c r="B58" s="246" t="str">
        <f>'B) D RI'!B59</f>
        <v>Mauraz</v>
      </c>
      <c r="C58" s="407">
        <v>17960.251377547</v>
      </c>
      <c r="D58" s="346">
        <v>20370.077632542732</v>
      </c>
      <c r="E58" s="257">
        <f t="shared" si="0"/>
        <v>2409.8262549957326</v>
      </c>
      <c r="F58" s="257">
        <v>-6482.7878079913389</v>
      </c>
      <c r="G58" s="346">
        <v>1002.1358991111756</v>
      </c>
      <c r="H58" s="257">
        <f t="shared" si="1"/>
        <v>7484.9237071025145</v>
      </c>
      <c r="I58" s="257">
        <v>3998.1223072140465</v>
      </c>
      <c r="J58" s="346">
        <v>4443.3767920398586</v>
      </c>
      <c r="K58" s="257">
        <f t="shared" si="2"/>
        <v>445.25448482581214</v>
      </c>
    </row>
    <row r="59" spans="1:11" x14ac:dyDescent="0.25">
      <c r="A59" s="245">
        <f>'B) D RI'!A60</f>
        <v>5489</v>
      </c>
      <c r="B59" s="246" t="str">
        <f>'B) D RI'!B60</f>
        <v>Mex</v>
      </c>
      <c r="C59" s="407">
        <v>742327.29124621721</v>
      </c>
      <c r="D59" s="346">
        <v>603304.70383489854</v>
      </c>
      <c r="E59" s="257">
        <f t="shared" si="0"/>
        <v>-139022.58741131867</v>
      </c>
      <c r="F59" s="257">
        <v>596722.14736199996</v>
      </c>
      <c r="G59" s="346">
        <v>612657.93090129935</v>
      </c>
      <c r="H59" s="257">
        <f t="shared" si="1"/>
        <v>15935.783539299387</v>
      </c>
      <c r="I59" s="257">
        <v>105774.0136606287</v>
      </c>
      <c r="J59" s="346">
        <v>106050.02569846628</v>
      </c>
      <c r="K59" s="257">
        <f t="shared" si="2"/>
        <v>276.01203783758683</v>
      </c>
    </row>
    <row r="60" spans="1:11" x14ac:dyDescent="0.25">
      <c r="A60" s="245">
        <f>'B) D RI'!A61</f>
        <v>5490</v>
      </c>
      <c r="B60" s="246" t="str">
        <f>'B) D RI'!B61</f>
        <v>Moiry</v>
      </c>
      <c r="C60" s="407">
        <v>102909.92917142142</v>
      </c>
      <c r="D60" s="346">
        <v>130997.98450807868</v>
      </c>
      <c r="E60" s="257">
        <f t="shared" si="0"/>
        <v>28088.055336657257</v>
      </c>
      <c r="F60" s="257">
        <v>-92007.462775029882</v>
      </c>
      <c r="G60" s="346">
        <v>-50060.929271286812</v>
      </c>
      <c r="H60" s="257">
        <f t="shared" si="1"/>
        <v>41946.53350374307</v>
      </c>
      <c r="I60" s="257">
        <v>19556.101388645231</v>
      </c>
      <c r="J60" s="346">
        <v>23195.990817318489</v>
      </c>
      <c r="K60" s="257">
        <f t="shared" si="2"/>
        <v>3639.8894286732575</v>
      </c>
    </row>
    <row r="61" spans="1:11" x14ac:dyDescent="0.25">
      <c r="A61" s="245">
        <f>'B) D RI'!A62</f>
        <v>5491</v>
      </c>
      <c r="B61" s="246" t="str">
        <f>'B) D RI'!B62</f>
        <v>Mont-la-Ville</v>
      </c>
      <c r="C61" s="407">
        <v>117027.59702952046</v>
      </c>
      <c r="D61" s="346">
        <v>162196.31923735983</v>
      </c>
      <c r="E61" s="257">
        <f t="shared" si="0"/>
        <v>45168.722207839368</v>
      </c>
      <c r="F61" s="257">
        <v>-202503.97059871344</v>
      </c>
      <c r="G61" s="346">
        <v>-174566.31943696763</v>
      </c>
      <c r="H61" s="257">
        <f t="shared" si="1"/>
        <v>27937.651161745802</v>
      </c>
      <c r="I61" s="257">
        <v>23842.075502671865</v>
      </c>
      <c r="J61" s="346">
        <v>26726.440278576665</v>
      </c>
      <c r="K61" s="257">
        <f t="shared" si="2"/>
        <v>2884.3647759047999</v>
      </c>
    </row>
    <row r="62" spans="1:11" x14ac:dyDescent="0.25">
      <c r="A62" s="245">
        <f>'B) D RI'!A63</f>
        <v>5492</v>
      </c>
      <c r="B62" s="246" t="str">
        <f>'B) D RI'!B63</f>
        <v>Montricher</v>
      </c>
      <c r="C62" s="407">
        <v>2364905.6300371801</v>
      </c>
      <c r="D62" s="346">
        <v>6511354.9892465593</v>
      </c>
      <c r="E62" s="257">
        <f t="shared" si="0"/>
        <v>4146449.3592093792</v>
      </c>
      <c r="F62" s="257">
        <v>911751.94438900007</v>
      </c>
      <c r="G62" s="346">
        <v>1710403.7092822399</v>
      </c>
      <c r="H62" s="257">
        <f t="shared" si="1"/>
        <v>798651.76489323983</v>
      </c>
      <c r="I62" s="257">
        <v>174355.76499682519</v>
      </c>
      <c r="J62" s="346">
        <v>226312.38587295485</v>
      </c>
      <c r="K62" s="257">
        <f t="shared" si="2"/>
        <v>51956.620876129658</v>
      </c>
    </row>
    <row r="63" spans="1:11" x14ac:dyDescent="0.25">
      <c r="A63" s="245">
        <f>'B) D RI'!A64</f>
        <v>5493</v>
      </c>
      <c r="B63" s="246" t="str">
        <f>'B) D RI'!B64</f>
        <v>Orny</v>
      </c>
      <c r="C63" s="407">
        <v>218455.85515909208</v>
      </c>
      <c r="D63" s="346">
        <v>179443.65126165157</v>
      </c>
      <c r="E63" s="257">
        <f t="shared" si="0"/>
        <v>-39012.203897440515</v>
      </c>
      <c r="F63" s="257">
        <v>-88769.727106595412</v>
      </c>
      <c r="G63" s="346">
        <v>-15233.936848073536</v>
      </c>
      <c r="H63" s="257">
        <f t="shared" si="1"/>
        <v>73535.790258521884</v>
      </c>
      <c r="I63" s="257">
        <v>27561.880084224238</v>
      </c>
      <c r="J63" s="346">
        <v>33562.63518398696</v>
      </c>
      <c r="K63" s="257">
        <f t="shared" si="2"/>
        <v>6000.7550997627222</v>
      </c>
    </row>
    <row r="64" spans="1:11" x14ac:dyDescent="0.25">
      <c r="A64" s="245">
        <f>'B) D RI'!A65</f>
        <v>5494</v>
      </c>
      <c r="B64" s="246" t="str">
        <f>'B) D RI'!B65</f>
        <v>Pampigny</v>
      </c>
      <c r="C64" s="407">
        <v>542812.37257162819</v>
      </c>
      <c r="D64" s="346">
        <v>573356.54419235198</v>
      </c>
      <c r="E64" s="257">
        <f t="shared" si="0"/>
        <v>30544.171620723791</v>
      </c>
      <c r="F64" s="257">
        <v>39648.426623022649</v>
      </c>
      <c r="G64" s="346">
        <v>-159187.23085307458</v>
      </c>
      <c r="H64" s="257">
        <f t="shared" si="1"/>
        <v>-198835.65747609723</v>
      </c>
      <c r="I64" s="257">
        <v>110516.51973046496</v>
      </c>
      <c r="J64" s="346">
        <v>106839.33065897088</v>
      </c>
      <c r="K64" s="257">
        <f t="shared" si="2"/>
        <v>-3677.1890714940819</v>
      </c>
    </row>
    <row r="65" spans="1:11" x14ac:dyDescent="0.25">
      <c r="A65" s="245">
        <f>'B) D RI'!A66</f>
        <v>5495</v>
      </c>
      <c r="B65" s="246" t="str">
        <f>'B) D RI'!B66</f>
        <v>Penthalaz</v>
      </c>
      <c r="C65" s="407">
        <v>1396022.1660051777</v>
      </c>
      <c r="D65" s="346">
        <v>1609087.2565047923</v>
      </c>
      <c r="E65" s="257">
        <f t="shared" si="0"/>
        <v>213065.0904996146</v>
      </c>
      <c r="F65" s="257">
        <v>-432930.59844528278</v>
      </c>
      <c r="G65" s="346">
        <v>-515069.17627058842</v>
      </c>
      <c r="H65" s="257">
        <f t="shared" si="1"/>
        <v>-82138.577825305634</v>
      </c>
      <c r="I65" s="257">
        <v>284055.41064153815</v>
      </c>
      <c r="J65" s="346">
        <v>302639.90287202375</v>
      </c>
      <c r="K65" s="257">
        <f t="shared" si="2"/>
        <v>18584.492230485601</v>
      </c>
    </row>
    <row r="66" spans="1:11" x14ac:dyDescent="0.25">
      <c r="A66" s="245">
        <f>'B) D RI'!A67</f>
        <v>5496</v>
      </c>
      <c r="B66" s="246" t="str">
        <f>'B) D RI'!B67</f>
        <v>Penthaz</v>
      </c>
      <c r="C66" s="407">
        <v>798181.09050712048</v>
      </c>
      <c r="D66" s="346">
        <v>924252.54139573057</v>
      </c>
      <c r="E66" s="257">
        <f t="shared" si="0"/>
        <v>126071.4508886101</v>
      </c>
      <c r="F66" s="257">
        <v>31474.767552135047</v>
      </c>
      <c r="G66" s="346">
        <v>245787.6742248472</v>
      </c>
      <c r="H66" s="257">
        <f t="shared" si="1"/>
        <v>214312.90667271215</v>
      </c>
      <c r="I66" s="257">
        <v>158475.2332664908</v>
      </c>
      <c r="J66" s="346">
        <v>179105.28240612586</v>
      </c>
      <c r="K66" s="257">
        <f t="shared" si="2"/>
        <v>20630.049139635055</v>
      </c>
    </row>
    <row r="67" spans="1:11" x14ac:dyDescent="0.25">
      <c r="A67" s="245">
        <f>'B) D RI'!A68</f>
        <v>5497</v>
      </c>
      <c r="B67" s="246" t="str">
        <f>'B) D RI'!B68</f>
        <v>Pompaples</v>
      </c>
      <c r="C67" s="407">
        <v>423399.28958775254</v>
      </c>
      <c r="D67" s="346">
        <v>434051.99987034872</v>
      </c>
      <c r="E67" s="257">
        <f t="shared" si="0"/>
        <v>10652.710282596177</v>
      </c>
      <c r="F67" s="257">
        <v>-103356.29620619514</v>
      </c>
      <c r="G67" s="346">
        <v>-86851.589356362936</v>
      </c>
      <c r="H67" s="257">
        <f t="shared" si="1"/>
        <v>16504.706849832204</v>
      </c>
      <c r="I67" s="257">
        <v>65149.695042402796</v>
      </c>
      <c r="J67" s="346">
        <v>69728.915902333189</v>
      </c>
      <c r="K67" s="257">
        <f t="shared" si="2"/>
        <v>4579.2208599303922</v>
      </c>
    </row>
    <row r="68" spans="1:11" x14ac:dyDescent="0.25">
      <c r="A68" s="245">
        <f>'B) D RI'!A69</f>
        <v>5498</v>
      </c>
      <c r="B68" s="246" t="str">
        <f>'B) D RI'!B69</f>
        <v>La Sarraz</v>
      </c>
      <c r="C68" s="407">
        <v>1361607.5321392494</v>
      </c>
      <c r="D68" s="346">
        <v>1177018.4379371782</v>
      </c>
      <c r="E68" s="257">
        <f t="shared" si="0"/>
        <v>-184589.0942020712</v>
      </c>
      <c r="F68" s="257">
        <v>-226995.4411212604</v>
      </c>
      <c r="G68" s="346">
        <v>-473678.90419371781</v>
      </c>
      <c r="H68" s="257">
        <f t="shared" si="1"/>
        <v>-246683.46307245741</v>
      </c>
      <c r="I68" s="257">
        <v>235705.33354092116</v>
      </c>
      <c r="J68" s="346">
        <v>225903.17848742503</v>
      </c>
      <c r="K68" s="257">
        <f t="shared" si="2"/>
        <v>-9802.1550534961279</v>
      </c>
    </row>
    <row r="69" spans="1:11" x14ac:dyDescent="0.25">
      <c r="A69" s="245">
        <f>'B) D RI'!A70</f>
        <v>5499</v>
      </c>
      <c r="B69" s="246" t="str">
        <f>'B) D RI'!B70</f>
        <v>Senarclens</v>
      </c>
      <c r="C69" s="407">
        <v>357793.19596607605</v>
      </c>
      <c r="D69" s="346">
        <v>371806.25756297936</v>
      </c>
      <c r="E69" s="257">
        <f t="shared" si="0"/>
        <v>14013.06159690331</v>
      </c>
      <c r="F69" s="257">
        <v>312931.42937899998</v>
      </c>
      <c r="G69" s="346">
        <v>356531.86710434122</v>
      </c>
      <c r="H69" s="257">
        <f t="shared" si="1"/>
        <v>43600.437725341239</v>
      </c>
      <c r="I69" s="257">
        <v>62232.583633159258</v>
      </c>
      <c r="J69" s="346">
        <v>66661.47512738363</v>
      </c>
      <c r="K69" s="257">
        <f t="shared" si="2"/>
        <v>4428.8914942243719</v>
      </c>
    </row>
    <row r="70" spans="1:11" x14ac:dyDescent="0.25">
      <c r="A70" s="245">
        <f>'B) D RI'!A71</f>
        <v>5500</v>
      </c>
      <c r="B70" s="246" t="str">
        <f>'B) D RI'!B71</f>
        <v>Sévery</v>
      </c>
      <c r="C70" s="407">
        <v>96246.547746674943</v>
      </c>
      <c r="D70" s="346">
        <v>118238.72717727696</v>
      </c>
      <c r="E70" s="257">
        <f t="shared" si="0"/>
        <v>21992.179430602017</v>
      </c>
      <c r="F70" s="257">
        <v>21330.425441376632</v>
      </c>
      <c r="G70" s="346">
        <v>-810.87994652283305</v>
      </c>
      <c r="H70" s="257">
        <f t="shared" si="1"/>
        <v>-22141.305387899465</v>
      </c>
      <c r="I70" s="257">
        <v>20716.077901173354</v>
      </c>
      <c r="J70" s="346">
        <v>21259.25452456679</v>
      </c>
      <c r="K70" s="257">
        <f t="shared" si="2"/>
        <v>543.17662339343588</v>
      </c>
    </row>
    <row r="71" spans="1:11" x14ac:dyDescent="0.25">
      <c r="A71" s="245">
        <f>'B) D RI'!A72</f>
        <v>5501</v>
      </c>
      <c r="B71" s="246" t="str">
        <f>'B) D RI'!B72</f>
        <v>Sullens</v>
      </c>
      <c r="C71" s="407">
        <v>587706.43853331078</v>
      </c>
      <c r="D71" s="346">
        <v>623935.66631093237</v>
      </c>
      <c r="E71" s="257">
        <f t="shared" ref="E71:E134" si="3">D71-C71</f>
        <v>36229.227777621592</v>
      </c>
      <c r="F71" s="257">
        <v>357955.65307798318</v>
      </c>
      <c r="G71" s="346">
        <v>473864.39432918734</v>
      </c>
      <c r="H71" s="257">
        <f t="shared" ref="H71:H134" si="4">G71-F71</f>
        <v>115908.74125120416</v>
      </c>
      <c r="I71" s="257">
        <v>103493.5326363685</v>
      </c>
      <c r="J71" s="346">
        <v>113202.65239710873</v>
      </c>
      <c r="K71" s="257">
        <f t="shared" ref="K71:K134" si="5">J71-I71</f>
        <v>9709.1197607402282</v>
      </c>
    </row>
    <row r="72" spans="1:11" x14ac:dyDescent="0.25">
      <c r="A72" s="245">
        <f>'B) D RI'!A73</f>
        <v>5503</v>
      </c>
      <c r="B72" s="246" t="str">
        <f>'B) D RI'!B73</f>
        <v>Vufflens-la-Ville</v>
      </c>
      <c r="C72" s="407">
        <v>1013280.2046474903</v>
      </c>
      <c r="D72" s="346">
        <v>1199352.7408220829</v>
      </c>
      <c r="E72" s="257">
        <f t="shared" si="3"/>
        <v>186072.53617459256</v>
      </c>
      <c r="F72" s="257">
        <v>724343.3784456955</v>
      </c>
      <c r="G72" s="346">
        <v>961102.97989775694</v>
      </c>
      <c r="H72" s="257">
        <f t="shared" si="4"/>
        <v>236759.60145206144</v>
      </c>
      <c r="I72" s="257">
        <v>162854.10526608647</v>
      </c>
      <c r="J72" s="346">
        <v>183464.37771828813</v>
      </c>
      <c r="K72" s="257">
        <f t="shared" si="5"/>
        <v>20610.272452201665</v>
      </c>
    </row>
    <row r="73" spans="1:11" x14ac:dyDescent="0.25">
      <c r="A73" s="245">
        <f>'B) D RI'!A74</f>
        <v>5511</v>
      </c>
      <c r="B73" s="246" t="str">
        <f>'B) D RI'!B74</f>
        <v>Assens</v>
      </c>
      <c r="C73" s="407">
        <v>636510.34395234403</v>
      </c>
      <c r="D73" s="346">
        <v>671778.6277392474</v>
      </c>
      <c r="E73" s="257">
        <f t="shared" si="3"/>
        <v>35268.283786903368</v>
      </c>
      <c r="F73" s="257">
        <v>386621.54733333155</v>
      </c>
      <c r="G73" s="346">
        <v>411660.76049596776</v>
      </c>
      <c r="H73" s="257">
        <f t="shared" si="4"/>
        <v>25039.21316263621</v>
      </c>
      <c r="I73" s="257">
        <v>132159.71681896487</v>
      </c>
      <c r="J73" s="346">
        <v>130577.56938124992</v>
      </c>
      <c r="K73" s="257">
        <f t="shared" si="5"/>
        <v>-1582.1474377149425</v>
      </c>
    </row>
    <row r="74" spans="1:11" x14ac:dyDescent="0.25">
      <c r="A74" s="245">
        <f>'B) D RI'!A75</f>
        <v>5512</v>
      </c>
      <c r="B74" s="246" t="str">
        <f>'B) D RI'!B75</f>
        <v>Bercher</v>
      </c>
      <c r="C74" s="407">
        <v>511177.92313360586</v>
      </c>
      <c r="D74" s="346">
        <v>540506.8078305769</v>
      </c>
      <c r="E74" s="257">
        <f t="shared" si="3"/>
        <v>29328.884696971043</v>
      </c>
      <c r="F74" s="257">
        <v>-197126.30501320236</v>
      </c>
      <c r="G74" s="346">
        <v>-158587.76357868867</v>
      </c>
      <c r="H74" s="257">
        <f t="shared" si="4"/>
        <v>38538.541434513696</v>
      </c>
      <c r="I74" s="257">
        <v>107148.01717744017</v>
      </c>
      <c r="J74" s="346">
        <v>100024.91259365738</v>
      </c>
      <c r="K74" s="257">
        <f t="shared" si="5"/>
        <v>-7123.1045837827842</v>
      </c>
    </row>
    <row r="75" spans="1:11" x14ac:dyDescent="0.25">
      <c r="A75" s="245">
        <f>'B) D RI'!A76</f>
        <v>5513</v>
      </c>
      <c r="B75" s="246" t="str">
        <f>'B) D RI'!B76</f>
        <v>Bioley-Orjulaz</v>
      </c>
      <c r="C75" s="407">
        <v>430342.58316962986</v>
      </c>
      <c r="D75" s="346">
        <v>419619.98891665658</v>
      </c>
      <c r="E75" s="257">
        <f t="shared" si="3"/>
        <v>-10722.594252973271</v>
      </c>
      <c r="F75" s="257">
        <v>395645.51171649998</v>
      </c>
      <c r="G75" s="346">
        <v>372215.5261193245</v>
      </c>
      <c r="H75" s="257">
        <f t="shared" si="4"/>
        <v>-23429.985597175488</v>
      </c>
      <c r="I75" s="257">
        <v>72134.162643977324</v>
      </c>
      <c r="J75" s="346">
        <v>71386.354228442622</v>
      </c>
      <c r="K75" s="257">
        <f t="shared" si="5"/>
        <v>-747.80841553470236</v>
      </c>
    </row>
    <row r="76" spans="1:11" x14ac:dyDescent="0.25">
      <c r="A76" s="245">
        <f>'B) D RI'!A77</f>
        <v>5514</v>
      </c>
      <c r="B76" s="246" t="str">
        <f>'B) D RI'!B77</f>
        <v>Bottens</v>
      </c>
      <c r="C76" s="407">
        <v>607664.14968864806</v>
      </c>
      <c r="D76" s="346">
        <v>701908.07666748564</v>
      </c>
      <c r="E76" s="257">
        <f t="shared" si="3"/>
        <v>94243.926978837582</v>
      </c>
      <c r="F76" s="257">
        <v>225297.07658125699</v>
      </c>
      <c r="G76" s="346">
        <v>218484.66372213516</v>
      </c>
      <c r="H76" s="257">
        <f t="shared" si="4"/>
        <v>-6812.4128591218323</v>
      </c>
      <c r="I76" s="257">
        <v>121211.87637732067</v>
      </c>
      <c r="J76" s="346">
        <v>120424.40221750375</v>
      </c>
      <c r="K76" s="257">
        <f t="shared" si="5"/>
        <v>-787.47415981692029</v>
      </c>
    </row>
    <row r="77" spans="1:11" x14ac:dyDescent="0.25">
      <c r="A77" s="245">
        <f>'B) D RI'!A78</f>
        <v>5515</v>
      </c>
      <c r="B77" s="246" t="str">
        <f>'B) D RI'!B78</f>
        <v>Bretigny-sur-Morrens</v>
      </c>
      <c r="C77" s="407">
        <v>320231.92867633415</v>
      </c>
      <c r="D77" s="346">
        <v>415531.68489755184</v>
      </c>
      <c r="E77" s="257">
        <f t="shared" si="3"/>
        <v>95299.756221217685</v>
      </c>
      <c r="F77" s="257">
        <v>-140990.90882162715</v>
      </c>
      <c r="G77" s="346">
        <v>70218.849988366244</v>
      </c>
      <c r="H77" s="257">
        <f t="shared" si="4"/>
        <v>211209.75880999339</v>
      </c>
      <c r="I77" s="257">
        <v>58889.733208300284</v>
      </c>
      <c r="J77" s="346">
        <v>76530.902180795907</v>
      </c>
      <c r="K77" s="257">
        <f t="shared" si="5"/>
        <v>17641.168972495623</v>
      </c>
    </row>
    <row r="78" spans="1:11" x14ac:dyDescent="0.25">
      <c r="A78" s="245">
        <f>'B) D RI'!A79</f>
        <v>5516</v>
      </c>
      <c r="B78" s="246" t="str">
        <f>'B) D RI'!B79</f>
        <v>Cugy</v>
      </c>
      <c r="C78" s="407">
        <v>1726085.1263467458</v>
      </c>
      <c r="D78" s="346">
        <v>1829960.750576542</v>
      </c>
      <c r="E78" s="257">
        <f t="shared" si="3"/>
        <v>103875.62422979623</v>
      </c>
      <c r="F78" s="257">
        <v>738248.40569672699</v>
      </c>
      <c r="G78" s="346">
        <v>737403.05004267115</v>
      </c>
      <c r="H78" s="257">
        <f t="shared" si="4"/>
        <v>-845.35565405583475</v>
      </c>
      <c r="I78" s="257">
        <v>324044.14333952777</v>
      </c>
      <c r="J78" s="346">
        <v>329043.71442797547</v>
      </c>
      <c r="K78" s="257">
        <f t="shared" si="5"/>
        <v>4999.5710884477012</v>
      </c>
    </row>
    <row r="79" spans="1:11" x14ac:dyDescent="0.25">
      <c r="A79" s="245">
        <f>'B) D RI'!A80</f>
        <v>5518</v>
      </c>
      <c r="B79" s="246" t="str">
        <f>'B) D RI'!B80</f>
        <v>Echallens</v>
      </c>
      <c r="C79" s="407">
        <v>2766447.981672422</v>
      </c>
      <c r="D79" s="346">
        <v>2953956.0692383884</v>
      </c>
      <c r="E79" s="257">
        <f t="shared" si="3"/>
        <v>187508.08756596642</v>
      </c>
      <c r="F79" s="257">
        <v>-851493.62793207355</v>
      </c>
      <c r="G79" s="346">
        <v>-978321.37182420073</v>
      </c>
      <c r="H79" s="257">
        <f t="shared" si="4"/>
        <v>-126827.74389212718</v>
      </c>
      <c r="I79" s="257">
        <v>536678.87075432879</v>
      </c>
      <c r="J79" s="346">
        <v>572031.71579831769</v>
      </c>
      <c r="K79" s="257">
        <f t="shared" si="5"/>
        <v>35352.845043988898</v>
      </c>
    </row>
    <row r="80" spans="1:11" x14ac:dyDescent="0.25">
      <c r="A80" s="245">
        <f>'B) D RI'!A81</f>
        <v>5520</v>
      </c>
      <c r="B80" s="246" t="str">
        <f>'B) D RI'!B81</f>
        <v>Essertines-sur-Yverdon</v>
      </c>
      <c r="C80" s="407">
        <v>433878.14788201632</v>
      </c>
      <c r="D80" s="346">
        <v>447130.00632049632</v>
      </c>
      <c r="E80" s="257">
        <f t="shared" si="3"/>
        <v>13251.858438480005</v>
      </c>
      <c r="F80" s="257">
        <v>43616.080515886249</v>
      </c>
      <c r="G80" s="346">
        <v>29340.669803740035</v>
      </c>
      <c r="H80" s="257">
        <f t="shared" si="4"/>
        <v>-14275.410712146215</v>
      </c>
      <c r="I80" s="257">
        <v>85650.742217040563</v>
      </c>
      <c r="J80" s="346">
        <v>87827.414152390382</v>
      </c>
      <c r="K80" s="257">
        <f t="shared" si="5"/>
        <v>2176.6719353498193</v>
      </c>
    </row>
    <row r="81" spans="1:11" x14ac:dyDescent="0.25">
      <c r="A81" s="245">
        <f>'B) D RI'!A82</f>
        <v>5521</v>
      </c>
      <c r="B81" s="246" t="str">
        <f>'B) D RI'!B82</f>
        <v>Etagnières</v>
      </c>
      <c r="C81" s="407">
        <v>577444.9074039791</v>
      </c>
      <c r="D81" s="346">
        <v>649626.20319631859</v>
      </c>
      <c r="E81" s="257">
        <f t="shared" si="3"/>
        <v>72181.295792339486</v>
      </c>
      <c r="F81" s="257">
        <v>183235.51922069414</v>
      </c>
      <c r="G81" s="346">
        <v>470583.41778157884</v>
      </c>
      <c r="H81" s="257">
        <f t="shared" si="4"/>
        <v>287347.8985608847</v>
      </c>
      <c r="I81" s="257">
        <v>110332.96079695856</v>
      </c>
      <c r="J81" s="346">
        <v>133669.8307091615</v>
      </c>
      <c r="K81" s="257">
        <f t="shared" si="5"/>
        <v>23336.869912202936</v>
      </c>
    </row>
    <row r="82" spans="1:11" x14ac:dyDescent="0.25">
      <c r="A82" s="245">
        <f>'B) D RI'!A83</f>
        <v>5522</v>
      </c>
      <c r="B82" s="246" t="str">
        <f>'B) D RI'!B83</f>
        <v>Fey</v>
      </c>
      <c r="C82" s="407">
        <v>283403.88350191619</v>
      </c>
      <c r="D82" s="346">
        <v>298457.87639047246</v>
      </c>
      <c r="E82" s="257">
        <f t="shared" si="3"/>
        <v>15053.992888556269</v>
      </c>
      <c r="F82" s="257">
        <v>-38726.071884673845</v>
      </c>
      <c r="G82" s="346">
        <v>-60091.566770622056</v>
      </c>
      <c r="H82" s="257">
        <f t="shared" si="4"/>
        <v>-21365.49488594821</v>
      </c>
      <c r="I82" s="257">
        <v>56470.858497243302</v>
      </c>
      <c r="J82" s="346">
        <v>57140.344771003685</v>
      </c>
      <c r="K82" s="257">
        <f t="shared" si="5"/>
        <v>669.48627376038348</v>
      </c>
    </row>
    <row r="83" spans="1:11" x14ac:dyDescent="0.25">
      <c r="A83" s="245">
        <f>'B) D RI'!A84</f>
        <v>5523</v>
      </c>
      <c r="B83" s="246" t="str">
        <f>'B) D RI'!B84</f>
        <v>Froideville</v>
      </c>
      <c r="C83" s="407">
        <v>1181196.7511849958</v>
      </c>
      <c r="D83" s="346">
        <v>1380361.1919041052</v>
      </c>
      <c r="E83" s="257">
        <f t="shared" si="3"/>
        <v>199164.44071910949</v>
      </c>
      <c r="F83" s="257">
        <v>63845.75285787764</v>
      </c>
      <c r="G83" s="346">
        <v>13898.976017876528</v>
      </c>
      <c r="H83" s="257">
        <f t="shared" si="4"/>
        <v>-49946.776840001112</v>
      </c>
      <c r="I83" s="257">
        <v>209797.49031960522</v>
      </c>
      <c r="J83" s="346">
        <v>244449.7013456352</v>
      </c>
      <c r="K83" s="257">
        <f t="shared" si="5"/>
        <v>34652.211026029981</v>
      </c>
    </row>
    <row r="84" spans="1:11" x14ac:dyDescent="0.25">
      <c r="A84" s="245">
        <f>'B) D RI'!A85</f>
        <v>5527</v>
      </c>
      <c r="B84" s="246" t="str">
        <f>'B) D RI'!B85</f>
        <v>Morrens</v>
      </c>
      <c r="C84" s="407">
        <v>644881.52281257499</v>
      </c>
      <c r="D84" s="346">
        <v>659271.54088150593</v>
      </c>
      <c r="E84" s="257">
        <f t="shared" si="3"/>
        <v>14390.018068930949</v>
      </c>
      <c r="F84" s="257">
        <v>573191.72983659897</v>
      </c>
      <c r="G84" s="346">
        <v>371877.02352760528</v>
      </c>
      <c r="H84" s="257">
        <f t="shared" si="4"/>
        <v>-201314.70630899369</v>
      </c>
      <c r="I84" s="257">
        <v>130971.56559587388</v>
      </c>
      <c r="J84" s="346">
        <v>116490.19333746807</v>
      </c>
      <c r="K84" s="257">
        <f t="shared" si="5"/>
        <v>-14481.372258405812</v>
      </c>
    </row>
    <row r="85" spans="1:11" x14ac:dyDescent="0.25">
      <c r="A85" s="245">
        <f>'B) D RI'!A86</f>
        <v>5529</v>
      </c>
      <c r="B85" s="246" t="str">
        <f>'B) D RI'!B86</f>
        <v>Oulens-sous-Echallens</v>
      </c>
      <c r="C85" s="407">
        <v>276326.22586701415</v>
      </c>
      <c r="D85" s="346">
        <v>325395.32239014609</v>
      </c>
      <c r="E85" s="257">
        <f t="shared" si="3"/>
        <v>49069.096523131942</v>
      </c>
      <c r="F85" s="257">
        <v>118684.99931126295</v>
      </c>
      <c r="G85" s="346">
        <v>8642.4264567243517</v>
      </c>
      <c r="H85" s="257">
        <f t="shared" si="4"/>
        <v>-110042.57285453859</v>
      </c>
      <c r="I85" s="257">
        <v>62189.227065822342</v>
      </c>
      <c r="J85" s="346">
        <v>52599.443749396291</v>
      </c>
      <c r="K85" s="257">
        <f t="shared" si="5"/>
        <v>-9589.7833164260519</v>
      </c>
    </row>
    <row r="86" spans="1:11" x14ac:dyDescent="0.25">
      <c r="A86" s="245">
        <f>'B) D RI'!A87</f>
        <v>5530</v>
      </c>
      <c r="B86" s="246" t="str">
        <f>'B) D RI'!B87</f>
        <v>Pailly</v>
      </c>
      <c r="C86" s="407">
        <v>220181.65649351862</v>
      </c>
      <c r="D86" s="346">
        <v>254748.19686789927</v>
      </c>
      <c r="E86" s="257">
        <f t="shared" si="3"/>
        <v>34566.540374380653</v>
      </c>
      <c r="F86" s="257">
        <v>-189326.43285504135</v>
      </c>
      <c r="G86" s="346">
        <v>-224188.25822982503</v>
      </c>
      <c r="H86" s="257">
        <f t="shared" si="4"/>
        <v>-34861.825374783686</v>
      </c>
      <c r="I86" s="257">
        <v>45530.271518223439</v>
      </c>
      <c r="J86" s="346">
        <v>50428.879984256244</v>
      </c>
      <c r="K86" s="257">
        <f t="shared" si="5"/>
        <v>4898.6084660328052</v>
      </c>
    </row>
    <row r="87" spans="1:11" x14ac:dyDescent="0.25">
      <c r="A87" s="245">
        <f>'B) D RI'!A88</f>
        <v>5531</v>
      </c>
      <c r="B87" s="246" t="str">
        <f>'B) D RI'!B88</f>
        <v>Penthéréaz</v>
      </c>
      <c r="C87" s="407">
        <v>199209.49806806131</v>
      </c>
      <c r="D87" s="346">
        <v>201640.21765641091</v>
      </c>
      <c r="E87" s="257">
        <f t="shared" si="3"/>
        <v>2430.7195883496024</v>
      </c>
      <c r="F87" s="257">
        <v>53493.409526344622</v>
      </c>
      <c r="G87" s="346">
        <v>2382.748236817235</v>
      </c>
      <c r="H87" s="257">
        <f t="shared" si="4"/>
        <v>-51110.661289527387</v>
      </c>
      <c r="I87" s="257">
        <v>40138.610808688551</v>
      </c>
      <c r="J87" s="346">
        <v>36578.488108151905</v>
      </c>
      <c r="K87" s="257">
        <f t="shared" si="5"/>
        <v>-3560.1227005366454</v>
      </c>
    </row>
    <row r="88" spans="1:11" x14ac:dyDescent="0.25">
      <c r="A88" s="245">
        <f>'B) D RI'!A89</f>
        <v>5533</v>
      </c>
      <c r="B88" s="246" t="str">
        <f>'B) D RI'!B89</f>
        <v>Poliez-Pittet</v>
      </c>
      <c r="C88" s="407">
        <v>327261.62840980029</v>
      </c>
      <c r="D88" s="346">
        <v>346562.88722626795</v>
      </c>
      <c r="E88" s="257">
        <f t="shared" si="3"/>
        <v>19301.258816467656</v>
      </c>
      <c r="F88" s="257">
        <v>-82967.157295793062</v>
      </c>
      <c r="G88" s="346">
        <v>-85157.713061478222</v>
      </c>
      <c r="H88" s="257">
        <f t="shared" si="4"/>
        <v>-2190.5557656851597</v>
      </c>
      <c r="I88" s="257">
        <v>70229.510840700459</v>
      </c>
      <c r="J88" s="346">
        <v>66549.479435741479</v>
      </c>
      <c r="K88" s="257">
        <f t="shared" si="5"/>
        <v>-3680.0314049589797</v>
      </c>
    </row>
    <row r="89" spans="1:11" x14ac:dyDescent="0.25">
      <c r="A89" s="245">
        <f>'B) D RI'!A90</f>
        <v>5534</v>
      </c>
      <c r="B89" s="246" t="str">
        <f>'B) D RI'!B90</f>
        <v>Rueyres</v>
      </c>
      <c r="C89" s="407">
        <v>107035.74244940218</v>
      </c>
      <c r="D89" s="346">
        <v>168637.90160046896</v>
      </c>
      <c r="E89" s="257">
        <f t="shared" si="3"/>
        <v>61602.159151066779</v>
      </c>
      <c r="F89" s="257">
        <v>-37501.70650408807</v>
      </c>
      <c r="G89" s="346">
        <v>22977.193021003721</v>
      </c>
      <c r="H89" s="257">
        <f t="shared" si="4"/>
        <v>60478.899525091794</v>
      </c>
      <c r="I89" s="257">
        <v>19740.625059215454</v>
      </c>
      <c r="J89" s="346">
        <v>24908.677000332569</v>
      </c>
      <c r="K89" s="257">
        <f t="shared" si="5"/>
        <v>5168.0519411171153</v>
      </c>
    </row>
    <row r="90" spans="1:11" x14ac:dyDescent="0.25">
      <c r="A90" s="245">
        <f>'B) D RI'!A91</f>
        <v>5535</v>
      </c>
      <c r="B90" s="246" t="str">
        <f>'B) D RI'!B91</f>
        <v>Saint-Barthélemy</v>
      </c>
      <c r="C90" s="407">
        <v>320966.78765930742</v>
      </c>
      <c r="D90" s="346">
        <v>325748.39879956114</v>
      </c>
      <c r="E90" s="257">
        <f t="shared" si="3"/>
        <v>4781.6111402537208</v>
      </c>
      <c r="F90" s="257">
        <v>-36614.728584579891</v>
      </c>
      <c r="G90" s="346">
        <v>-6299.2288382978586</v>
      </c>
      <c r="H90" s="257">
        <f t="shared" si="4"/>
        <v>30315.499746282032</v>
      </c>
      <c r="I90" s="257">
        <v>65640.606371876507</v>
      </c>
      <c r="J90" s="346">
        <v>67921.897142744026</v>
      </c>
      <c r="K90" s="257">
        <f t="shared" si="5"/>
        <v>2281.2907708675193</v>
      </c>
    </row>
    <row r="91" spans="1:11" x14ac:dyDescent="0.25">
      <c r="A91" s="245">
        <f>'B) D RI'!A92</f>
        <v>5537</v>
      </c>
      <c r="B91" s="246" t="str">
        <f>'B) D RI'!B92</f>
        <v>Villars-le-Terroir</v>
      </c>
      <c r="C91" s="407">
        <v>501760.99963375257</v>
      </c>
      <c r="D91" s="346">
        <v>461665.02662884234</v>
      </c>
      <c r="E91" s="257">
        <f t="shared" si="3"/>
        <v>-40095.973004910222</v>
      </c>
      <c r="F91" s="257">
        <v>289499.62075205054</v>
      </c>
      <c r="G91" s="346">
        <v>42525.004347961571</v>
      </c>
      <c r="H91" s="257">
        <f t="shared" si="4"/>
        <v>-246974.61640408897</v>
      </c>
      <c r="I91" s="257">
        <v>95321.454784121888</v>
      </c>
      <c r="J91" s="346">
        <v>87987.584697926693</v>
      </c>
      <c r="K91" s="257">
        <f t="shared" si="5"/>
        <v>-7333.8700861951947</v>
      </c>
    </row>
    <row r="92" spans="1:11" x14ac:dyDescent="0.25">
      <c r="A92" s="245">
        <f>'B) D RI'!A93</f>
        <v>5539</v>
      </c>
      <c r="B92" s="246" t="str">
        <f>'B) D RI'!B93</f>
        <v>Vuarrens</v>
      </c>
      <c r="C92" s="407">
        <v>383736.75576921564</v>
      </c>
      <c r="D92" s="346">
        <v>383433.49248481489</v>
      </c>
      <c r="E92" s="257">
        <f t="shared" si="3"/>
        <v>-303.26328440074576</v>
      </c>
      <c r="F92" s="257">
        <v>-190312.67247984279</v>
      </c>
      <c r="G92" s="346">
        <v>-168863.39179844476</v>
      </c>
      <c r="H92" s="257">
        <f t="shared" si="4"/>
        <v>21449.280681398028</v>
      </c>
      <c r="I92" s="257">
        <v>70097.493985824985</v>
      </c>
      <c r="J92" s="346">
        <v>70761.499662263901</v>
      </c>
      <c r="K92" s="257">
        <f t="shared" si="5"/>
        <v>664.00567643891554</v>
      </c>
    </row>
    <row r="93" spans="1:11" x14ac:dyDescent="0.25">
      <c r="A93" s="245">
        <f>'B) D RI'!A94</f>
        <v>5540</v>
      </c>
      <c r="B93" s="246" t="str">
        <f>'B) D RI'!B94</f>
        <v>Montilliez</v>
      </c>
      <c r="C93" s="407">
        <v>783831.78555818077</v>
      </c>
      <c r="D93" s="346">
        <v>782373.52976448054</v>
      </c>
      <c r="E93" s="257">
        <f t="shared" si="3"/>
        <v>-1458.2557937002275</v>
      </c>
      <c r="F93" s="257">
        <v>-198892.04548505927</v>
      </c>
      <c r="G93" s="346">
        <v>-1099371.8471523626</v>
      </c>
      <c r="H93" s="257">
        <f t="shared" si="4"/>
        <v>-900479.80166730331</v>
      </c>
      <c r="I93" s="257">
        <v>151326.5543750393</v>
      </c>
      <c r="J93" s="346">
        <v>147769.4410896893</v>
      </c>
      <c r="K93" s="257">
        <f t="shared" si="5"/>
        <v>-3557.1132853500021</v>
      </c>
    </row>
    <row r="94" spans="1:11" x14ac:dyDescent="0.25">
      <c r="A94" s="245">
        <f>'B) D RI'!A95</f>
        <v>5541</v>
      </c>
      <c r="B94" s="246" t="str">
        <f>'B) D RI'!B95</f>
        <v>Goumoëns</v>
      </c>
      <c r="C94" s="407">
        <v>562174.1547309506</v>
      </c>
      <c r="D94" s="346">
        <v>576228.79445526132</v>
      </c>
      <c r="E94" s="257">
        <f t="shared" si="3"/>
        <v>14054.63972431072</v>
      </c>
      <c r="F94" s="257">
        <v>300186.04575446271</v>
      </c>
      <c r="G94" s="346">
        <v>263015.75129117898</v>
      </c>
      <c r="H94" s="257">
        <f t="shared" si="4"/>
        <v>-37170.294463283732</v>
      </c>
      <c r="I94" s="257">
        <v>105667.39278129191</v>
      </c>
      <c r="J94" s="346">
        <v>113070.58140931488</v>
      </c>
      <c r="K94" s="257">
        <f t="shared" si="5"/>
        <v>7403.1886280229664</v>
      </c>
    </row>
    <row r="95" spans="1:11" x14ac:dyDescent="0.25">
      <c r="A95" s="245">
        <f>'B) D RI'!A96</f>
        <v>5551</v>
      </c>
      <c r="B95" s="246" t="str">
        <f>'B) D RI'!B96</f>
        <v>Bonvillars</v>
      </c>
      <c r="C95" s="407">
        <v>251387.54509973867</v>
      </c>
      <c r="D95" s="346">
        <v>250658.69506484293</v>
      </c>
      <c r="E95" s="257">
        <f t="shared" si="3"/>
        <v>-728.85003489573137</v>
      </c>
      <c r="F95" s="257">
        <v>126783.68689347262</v>
      </c>
      <c r="G95" s="346">
        <v>30077.574430056673</v>
      </c>
      <c r="H95" s="257">
        <f t="shared" si="4"/>
        <v>-96706.11246341595</v>
      </c>
      <c r="I95" s="257">
        <v>50753.598420441791</v>
      </c>
      <c r="J95" s="346">
        <v>49307.154116971971</v>
      </c>
      <c r="K95" s="257">
        <f t="shared" si="5"/>
        <v>-1446.4443034698197</v>
      </c>
    </row>
    <row r="96" spans="1:11" x14ac:dyDescent="0.25">
      <c r="A96" s="245">
        <f>'B) D RI'!A97</f>
        <v>5552</v>
      </c>
      <c r="B96" s="246" t="str">
        <f>'B) D RI'!B97</f>
        <v>Bullet</v>
      </c>
      <c r="C96" s="407">
        <v>336450.41792353446</v>
      </c>
      <c r="D96" s="346">
        <v>337917.47640088713</v>
      </c>
      <c r="E96" s="257">
        <f t="shared" si="3"/>
        <v>1467.0584773526643</v>
      </c>
      <c r="F96" s="257">
        <v>-256453.43350750918</v>
      </c>
      <c r="G96" s="346">
        <v>-167035.75578334811</v>
      </c>
      <c r="H96" s="257">
        <f t="shared" si="4"/>
        <v>89417.677724161069</v>
      </c>
      <c r="I96" s="257">
        <v>49887.945676573087</v>
      </c>
      <c r="J96" s="346">
        <v>48125.448640013739</v>
      </c>
      <c r="K96" s="257">
        <f t="shared" si="5"/>
        <v>-1762.4970365593472</v>
      </c>
    </row>
    <row r="97" spans="1:11" x14ac:dyDescent="0.25">
      <c r="A97" s="245">
        <f>'B) D RI'!A98</f>
        <v>5553</v>
      </c>
      <c r="B97" s="246" t="str">
        <f>'B) D RI'!B98</f>
        <v>Champagne</v>
      </c>
      <c r="C97" s="407">
        <v>558484.3233040527</v>
      </c>
      <c r="D97" s="346">
        <v>946320.05390203209</v>
      </c>
      <c r="E97" s="257">
        <f t="shared" si="3"/>
        <v>387835.73059797939</v>
      </c>
      <c r="F97" s="257">
        <v>319073.52047578519</v>
      </c>
      <c r="G97" s="346">
        <v>763483.8835722747</v>
      </c>
      <c r="H97" s="257">
        <f t="shared" si="4"/>
        <v>444410.36309648951</v>
      </c>
      <c r="I97" s="257">
        <v>115351.55893515609</v>
      </c>
      <c r="J97" s="346">
        <v>161273.47006584401</v>
      </c>
      <c r="K97" s="257">
        <f t="shared" si="5"/>
        <v>45921.91113068792</v>
      </c>
    </row>
    <row r="98" spans="1:11" x14ac:dyDescent="0.25">
      <c r="A98" s="245">
        <f>'B) D RI'!A99</f>
        <v>5554</v>
      </c>
      <c r="B98" s="246" t="str">
        <f>'B) D RI'!B99</f>
        <v>Concise</v>
      </c>
      <c r="C98" s="407">
        <v>506063.52408899367</v>
      </c>
      <c r="D98" s="346">
        <v>568024.10553860548</v>
      </c>
      <c r="E98" s="257">
        <f t="shared" si="3"/>
        <v>61960.581449611811</v>
      </c>
      <c r="F98" s="257">
        <v>70825.126764283923</v>
      </c>
      <c r="G98" s="346">
        <v>82245.524405050586</v>
      </c>
      <c r="H98" s="257">
        <f t="shared" si="4"/>
        <v>11420.397640766663</v>
      </c>
      <c r="I98" s="257">
        <v>93018.159150440988</v>
      </c>
      <c r="J98" s="346">
        <v>93574.629389760172</v>
      </c>
      <c r="K98" s="257">
        <f t="shared" si="5"/>
        <v>556.47023931918375</v>
      </c>
    </row>
    <row r="99" spans="1:11" x14ac:dyDescent="0.25">
      <c r="A99" s="245">
        <f>'B) D RI'!A100</f>
        <v>5555</v>
      </c>
      <c r="B99" s="246" t="str">
        <f>'B) D RI'!B100</f>
        <v>Corcelles-près-Concise</v>
      </c>
      <c r="C99" s="407">
        <v>179071.67102866259</v>
      </c>
      <c r="D99" s="346">
        <v>176876.33646093856</v>
      </c>
      <c r="E99" s="257">
        <f t="shared" si="3"/>
        <v>-2195.3345677240286</v>
      </c>
      <c r="F99" s="257">
        <v>-51985.932612322431</v>
      </c>
      <c r="G99" s="346">
        <v>-60158.328173228307</v>
      </c>
      <c r="H99" s="257">
        <f t="shared" si="4"/>
        <v>-8172.3955609058758</v>
      </c>
      <c r="I99" s="257">
        <v>30113.192291160864</v>
      </c>
      <c r="J99" s="346">
        <v>30356.156118590872</v>
      </c>
      <c r="K99" s="257">
        <f t="shared" si="5"/>
        <v>242.96382743000868</v>
      </c>
    </row>
    <row r="100" spans="1:11" x14ac:dyDescent="0.25">
      <c r="A100" s="245">
        <f>'B) D RI'!A101</f>
        <v>5556</v>
      </c>
      <c r="B100" s="246" t="str">
        <f>'B) D RI'!B101</f>
        <v>Fiez</v>
      </c>
      <c r="C100" s="407">
        <v>159534.20875840462</v>
      </c>
      <c r="D100" s="346">
        <v>179099.02372170018</v>
      </c>
      <c r="E100" s="257">
        <f t="shared" si="3"/>
        <v>19564.814963295561</v>
      </c>
      <c r="F100" s="257">
        <v>-56453.525125017914</v>
      </c>
      <c r="G100" s="346">
        <v>-43650.78735445343</v>
      </c>
      <c r="H100" s="257">
        <f t="shared" si="4"/>
        <v>12802.737770564483</v>
      </c>
      <c r="I100" s="257">
        <v>31073.713869812753</v>
      </c>
      <c r="J100" s="346">
        <v>33808.72669110007</v>
      </c>
      <c r="K100" s="257">
        <f t="shared" si="5"/>
        <v>2735.0128212873169</v>
      </c>
    </row>
    <row r="101" spans="1:11" x14ac:dyDescent="0.25">
      <c r="A101" s="245">
        <f>'B) D RI'!A102</f>
        <v>5557</v>
      </c>
      <c r="B101" s="246" t="str">
        <f>'B) D RI'!B102</f>
        <v>Fontaines-sur-Grandson</v>
      </c>
      <c r="C101" s="407">
        <v>89953.044799811672</v>
      </c>
      <c r="D101" s="346">
        <v>69055.977036031196</v>
      </c>
      <c r="E101" s="257">
        <f t="shared" si="3"/>
        <v>-20897.067763780477</v>
      </c>
      <c r="F101" s="257">
        <v>-17090.656829763335</v>
      </c>
      <c r="G101" s="346">
        <v>-44855.438603898561</v>
      </c>
      <c r="H101" s="257">
        <f t="shared" si="4"/>
        <v>-27764.781774135226</v>
      </c>
      <c r="I101" s="257">
        <v>11920.060926344569</v>
      </c>
      <c r="J101" s="346">
        <v>13070.700756967013</v>
      </c>
      <c r="K101" s="257">
        <f t="shared" si="5"/>
        <v>1150.6398306224437</v>
      </c>
    </row>
    <row r="102" spans="1:11" x14ac:dyDescent="0.25">
      <c r="A102" s="245">
        <f>'B) D RI'!A103</f>
        <v>5559</v>
      </c>
      <c r="B102" s="246" t="str">
        <f>'B) D RI'!B103</f>
        <v>Giez</v>
      </c>
      <c r="C102" s="407">
        <v>277182.36424099893</v>
      </c>
      <c r="D102" s="346">
        <v>268058.06648478686</v>
      </c>
      <c r="E102" s="257">
        <f t="shared" si="3"/>
        <v>-9124.297756212065</v>
      </c>
      <c r="F102" s="257">
        <v>236830.1597230667</v>
      </c>
      <c r="G102" s="346">
        <v>294265.23005119932</v>
      </c>
      <c r="H102" s="257">
        <f t="shared" si="4"/>
        <v>57435.070328132628</v>
      </c>
      <c r="I102" s="257">
        <v>51334.665416576026</v>
      </c>
      <c r="J102" s="346">
        <v>56568.820035878154</v>
      </c>
      <c r="K102" s="257">
        <f t="shared" si="5"/>
        <v>5234.1546193021277</v>
      </c>
    </row>
    <row r="103" spans="1:11" x14ac:dyDescent="0.25">
      <c r="A103" s="245">
        <f>'B) D RI'!A104</f>
        <v>5560</v>
      </c>
      <c r="B103" s="246" t="str">
        <f>'B) D RI'!B104</f>
        <v>Grandevent</v>
      </c>
      <c r="C103" s="407">
        <v>103583.39834824079</v>
      </c>
      <c r="D103" s="346">
        <v>107523.7833365675</v>
      </c>
      <c r="E103" s="257">
        <f t="shared" si="3"/>
        <v>3940.3849883267103</v>
      </c>
      <c r="F103" s="257">
        <v>5666.4742087956402</v>
      </c>
      <c r="G103" s="346">
        <v>14004.774055051326</v>
      </c>
      <c r="H103" s="257">
        <f t="shared" si="4"/>
        <v>8338.2998462556861</v>
      </c>
      <c r="I103" s="257">
        <v>19431.45138704378</v>
      </c>
      <c r="J103" s="346">
        <v>19975.63356495172</v>
      </c>
      <c r="K103" s="257">
        <f t="shared" si="5"/>
        <v>544.18217790794006</v>
      </c>
    </row>
    <row r="104" spans="1:11" x14ac:dyDescent="0.25">
      <c r="A104" s="245">
        <f>'B) D RI'!A105</f>
        <v>5561</v>
      </c>
      <c r="B104" s="246" t="str">
        <f>'B) D RI'!B105</f>
        <v>Grandson</v>
      </c>
      <c r="C104" s="407">
        <v>1884413.988959328</v>
      </c>
      <c r="D104" s="346">
        <v>1979819.6222693417</v>
      </c>
      <c r="E104" s="257">
        <f t="shared" si="3"/>
        <v>95405.633310013684</v>
      </c>
      <c r="F104" s="257">
        <v>-221215.99888987839</v>
      </c>
      <c r="G104" s="346">
        <v>-409445.59898078488</v>
      </c>
      <c r="H104" s="257">
        <f t="shared" si="4"/>
        <v>-188229.60009090649</v>
      </c>
      <c r="I104" s="257">
        <v>333838.01440542343</v>
      </c>
      <c r="J104" s="346">
        <v>334999.72818355472</v>
      </c>
      <c r="K104" s="257">
        <f t="shared" si="5"/>
        <v>1161.7137781312922</v>
      </c>
    </row>
    <row r="105" spans="1:11" x14ac:dyDescent="0.25">
      <c r="A105" s="245">
        <f>'B) D RI'!A106</f>
        <v>5562</v>
      </c>
      <c r="B105" s="246" t="str">
        <f>'B) D RI'!B106</f>
        <v>Mauborget</v>
      </c>
      <c r="C105" s="407">
        <v>67812.141656178021</v>
      </c>
      <c r="D105" s="346">
        <v>61088.71286908519</v>
      </c>
      <c r="E105" s="257">
        <f t="shared" si="3"/>
        <v>-6723.428787092831</v>
      </c>
      <c r="F105" s="257">
        <v>1679.6893084818294</v>
      </c>
      <c r="G105" s="346">
        <v>21297.568412334062</v>
      </c>
      <c r="H105" s="257">
        <f t="shared" si="4"/>
        <v>19617.879103852232</v>
      </c>
      <c r="I105" s="257">
        <v>10983.853769743604</v>
      </c>
      <c r="J105" s="346">
        <v>12128.880521332238</v>
      </c>
      <c r="K105" s="257">
        <f t="shared" si="5"/>
        <v>1145.0267515886335</v>
      </c>
    </row>
    <row r="106" spans="1:11" x14ac:dyDescent="0.25">
      <c r="A106" s="245">
        <f>'B) D RI'!A107</f>
        <v>5563</v>
      </c>
      <c r="B106" s="246" t="str">
        <f>'B) D RI'!B107</f>
        <v>Mutrux</v>
      </c>
      <c r="C106" s="407">
        <v>56039.091531442726</v>
      </c>
      <c r="D106" s="346">
        <v>65235.350876548015</v>
      </c>
      <c r="E106" s="257">
        <f t="shared" si="3"/>
        <v>9196.259345105289</v>
      </c>
      <c r="F106" s="257">
        <v>-31629.633348221178</v>
      </c>
      <c r="G106" s="346">
        <v>-21934.381716071515</v>
      </c>
      <c r="H106" s="257">
        <f t="shared" si="4"/>
        <v>9695.2516321496623</v>
      </c>
      <c r="I106" s="257">
        <v>10623.037887901772</v>
      </c>
      <c r="J106" s="346">
        <v>13002.911464031116</v>
      </c>
      <c r="K106" s="257">
        <f t="shared" si="5"/>
        <v>2379.8735761293447</v>
      </c>
    </row>
    <row r="107" spans="1:11" x14ac:dyDescent="0.25">
      <c r="A107" s="245">
        <f>'B) D RI'!A108</f>
        <v>5564</v>
      </c>
      <c r="B107" s="246" t="str">
        <f>'B) D RI'!B108</f>
        <v>Novalles</v>
      </c>
      <c r="C107" s="407">
        <v>38009.425554865345</v>
      </c>
      <c r="D107" s="346">
        <v>30467.590957777302</v>
      </c>
      <c r="E107" s="257">
        <f t="shared" si="3"/>
        <v>-7541.8345970880437</v>
      </c>
      <c r="F107" s="257">
        <v>-4865.3422688224891</v>
      </c>
      <c r="G107" s="346">
        <v>-31068.430083124214</v>
      </c>
      <c r="H107" s="257">
        <f t="shared" si="4"/>
        <v>-26203.087814301725</v>
      </c>
      <c r="I107" s="257">
        <v>8637.8999331809464</v>
      </c>
      <c r="J107" s="346">
        <v>6669.3699554488367</v>
      </c>
      <c r="K107" s="257">
        <f t="shared" si="5"/>
        <v>-1968.5299777321097</v>
      </c>
    </row>
    <row r="108" spans="1:11" x14ac:dyDescent="0.25">
      <c r="A108" s="245">
        <f>'B) D RI'!A109</f>
        <v>5565</v>
      </c>
      <c r="B108" s="246" t="str">
        <f>'B) D RI'!B109</f>
        <v>Onnens</v>
      </c>
      <c r="C108" s="407">
        <v>276959.18754912895</v>
      </c>
      <c r="D108" s="346">
        <v>364883.75474683056</v>
      </c>
      <c r="E108" s="257">
        <f t="shared" si="3"/>
        <v>87924.567197701603</v>
      </c>
      <c r="F108" s="257">
        <v>161071.4965871133</v>
      </c>
      <c r="G108" s="346">
        <v>356723.48301263701</v>
      </c>
      <c r="H108" s="257">
        <f t="shared" si="4"/>
        <v>195651.9864255237</v>
      </c>
      <c r="I108" s="257">
        <v>51483.35741904311</v>
      </c>
      <c r="J108" s="346">
        <v>70250.636827813534</v>
      </c>
      <c r="K108" s="257">
        <f t="shared" si="5"/>
        <v>18767.279408770424</v>
      </c>
    </row>
    <row r="109" spans="1:11" x14ac:dyDescent="0.25">
      <c r="A109" s="245">
        <f>'B) D RI'!A110</f>
        <v>5566</v>
      </c>
      <c r="B109" s="246" t="str">
        <f>'B) D RI'!B110</f>
        <v>Provence</v>
      </c>
      <c r="C109" s="407">
        <v>118491.22643576277</v>
      </c>
      <c r="D109" s="346">
        <v>132672.8303164645</v>
      </c>
      <c r="E109" s="257">
        <f t="shared" si="3"/>
        <v>14181.603880701732</v>
      </c>
      <c r="F109" s="257">
        <v>-238839.10347085388</v>
      </c>
      <c r="G109" s="346">
        <v>-324318.67483323161</v>
      </c>
      <c r="H109" s="257">
        <f t="shared" si="4"/>
        <v>-85479.571362377726</v>
      </c>
      <c r="I109" s="257">
        <v>24268.066906787106</v>
      </c>
      <c r="J109" s="346">
        <v>24506.15925508595</v>
      </c>
      <c r="K109" s="257">
        <f t="shared" si="5"/>
        <v>238.09234829884372</v>
      </c>
    </row>
    <row r="110" spans="1:11" x14ac:dyDescent="0.25">
      <c r="A110" s="245">
        <f>'B) D RI'!A111</f>
        <v>5568</v>
      </c>
      <c r="B110" s="246" t="str">
        <f>'B) D RI'!B111</f>
        <v>Sainte-Croix</v>
      </c>
      <c r="C110" s="407">
        <v>2304389.6359180985</v>
      </c>
      <c r="D110" s="346">
        <v>2264009.0673615178</v>
      </c>
      <c r="E110" s="257">
        <f t="shared" si="3"/>
        <v>-40380.568556580693</v>
      </c>
      <c r="F110" s="257">
        <v>-3015928.1064439341</v>
      </c>
      <c r="G110" s="346">
        <v>-3298991.7647671038</v>
      </c>
      <c r="H110" s="257">
        <f t="shared" si="4"/>
        <v>-283063.65832316969</v>
      </c>
      <c r="I110" s="257">
        <v>309374.61486513395</v>
      </c>
      <c r="J110" s="346">
        <v>291586.04058618215</v>
      </c>
      <c r="K110" s="257">
        <f t="shared" si="5"/>
        <v>-17788.574278951797</v>
      </c>
    </row>
    <row r="111" spans="1:11" x14ac:dyDescent="0.25">
      <c r="A111" s="245">
        <f>'B) D RI'!A112</f>
        <v>5571</v>
      </c>
      <c r="B111" s="246" t="str">
        <f>'B) D RI'!B112</f>
        <v>Tévenon</v>
      </c>
      <c r="C111" s="407">
        <v>353606.18713130709</v>
      </c>
      <c r="D111" s="346">
        <v>364556.74869806797</v>
      </c>
      <c r="E111" s="257">
        <f t="shared" si="3"/>
        <v>10950.56156676088</v>
      </c>
      <c r="F111" s="257">
        <v>-115090.28982760594</v>
      </c>
      <c r="G111" s="346">
        <v>-66318.738884591396</v>
      </c>
      <c r="H111" s="257">
        <f t="shared" si="4"/>
        <v>48771.550943014547</v>
      </c>
      <c r="I111" s="257">
        <v>60103.141135128681</v>
      </c>
      <c r="J111" s="346">
        <v>64815.649369756356</v>
      </c>
      <c r="K111" s="257">
        <f t="shared" si="5"/>
        <v>4712.5082346276758</v>
      </c>
    </row>
    <row r="112" spans="1:11" x14ac:dyDescent="0.25">
      <c r="A112" s="245">
        <f>'B) D RI'!A113</f>
        <v>5581</v>
      </c>
      <c r="B112" s="246" t="str">
        <f>'B) D RI'!B113</f>
        <v>Belmont-sur-Lausanne</v>
      </c>
      <c r="C112" s="407">
        <v>3142323.8315941826</v>
      </c>
      <c r="D112" s="346">
        <v>2891488.6213682019</v>
      </c>
      <c r="E112" s="257">
        <f t="shared" si="3"/>
        <v>-250835.21022598073</v>
      </c>
      <c r="F112" s="257">
        <v>1824019.1745799999</v>
      </c>
      <c r="G112" s="346">
        <v>1484463.7848822214</v>
      </c>
      <c r="H112" s="257">
        <f t="shared" si="4"/>
        <v>-339555.3896977785</v>
      </c>
      <c r="I112" s="257">
        <v>249124.7775120532</v>
      </c>
      <c r="J112" s="346">
        <v>224281.77196825104</v>
      </c>
      <c r="K112" s="257">
        <f t="shared" si="5"/>
        <v>-24843.005543802166</v>
      </c>
    </row>
    <row r="113" spans="1:11" x14ac:dyDescent="0.25">
      <c r="A113" s="245">
        <f>'B) D RI'!A114</f>
        <v>5582</v>
      </c>
      <c r="B113" s="246" t="str">
        <f>'B) D RI'!B114</f>
        <v>Cheseaux-sur-Lausanne</v>
      </c>
      <c r="C113" s="407">
        <v>2490755.2846019487</v>
      </c>
      <c r="D113" s="346">
        <v>2937664.7813486606</v>
      </c>
      <c r="E113" s="257">
        <f t="shared" si="3"/>
        <v>446909.4967467119</v>
      </c>
      <c r="F113" s="257">
        <v>787641.58062141482</v>
      </c>
      <c r="G113" s="346">
        <v>920525.21854973317</v>
      </c>
      <c r="H113" s="257">
        <f t="shared" si="4"/>
        <v>132883.63792831835</v>
      </c>
      <c r="I113" s="257">
        <v>477179.51597049448</v>
      </c>
      <c r="J113" s="346">
        <v>524301.12253635761</v>
      </c>
      <c r="K113" s="257">
        <f t="shared" si="5"/>
        <v>47121.606565863127</v>
      </c>
    </row>
    <row r="114" spans="1:11" x14ac:dyDescent="0.25">
      <c r="A114" s="245">
        <f>'B) D RI'!A115</f>
        <v>5583</v>
      </c>
      <c r="B114" s="246" t="str">
        <f>'B) D RI'!B115</f>
        <v>Crissier</v>
      </c>
      <c r="C114" s="407">
        <v>5641170.7088460661</v>
      </c>
      <c r="D114" s="346">
        <v>5806289.2735130358</v>
      </c>
      <c r="E114" s="257">
        <f t="shared" si="3"/>
        <v>165118.5646669697</v>
      </c>
      <c r="F114" s="257">
        <v>1055556.0494759995</v>
      </c>
      <c r="G114" s="346">
        <v>787771.5837140535</v>
      </c>
      <c r="H114" s="257">
        <f t="shared" si="4"/>
        <v>-267784.46576194605</v>
      </c>
      <c r="I114" s="257">
        <v>441704.38276261807</v>
      </c>
      <c r="J114" s="346">
        <v>419862.49345019297</v>
      </c>
      <c r="K114" s="257">
        <f t="shared" si="5"/>
        <v>-21841.889312425104</v>
      </c>
    </row>
    <row r="115" spans="1:11" x14ac:dyDescent="0.25">
      <c r="A115" s="245">
        <f>'B) D RI'!A116</f>
        <v>5584</v>
      </c>
      <c r="B115" s="246" t="str">
        <f>'B) D RI'!B116</f>
        <v>Epalinges</v>
      </c>
      <c r="C115" s="407">
        <v>7507468.0958774183</v>
      </c>
      <c r="D115" s="346">
        <v>8222136.0238080407</v>
      </c>
      <c r="E115" s="257">
        <f t="shared" si="3"/>
        <v>714667.92793062236</v>
      </c>
      <c r="F115" s="257">
        <v>1570167.7856419994</v>
      </c>
      <c r="G115" s="346">
        <v>1498230.4874868006</v>
      </c>
      <c r="H115" s="257">
        <f t="shared" si="4"/>
        <v>-71937.298155198805</v>
      </c>
      <c r="I115" s="257">
        <v>1333799.9658083487</v>
      </c>
      <c r="J115" s="346">
        <v>1375805.0603351868</v>
      </c>
      <c r="K115" s="257">
        <f t="shared" si="5"/>
        <v>42005.094526838046</v>
      </c>
    </row>
    <row r="116" spans="1:11" x14ac:dyDescent="0.25">
      <c r="A116" s="245">
        <f>'B) D RI'!A117</f>
        <v>5585</v>
      </c>
      <c r="B116" s="246" t="str">
        <f>'B) D RI'!B117</f>
        <v>Jouxtens-Mézery</v>
      </c>
      <c r="C116" s="407">
        <v>8059250.2607333213</v>
      </c>
      <c r="D116" s="346">
        <v>4059250.9042094583</v>
      </c>
      <c r="E116" s="257">
        <f t="shared" si="3"/>
        <v>-3999999.356523863</v>
      </c>
      <c r="F116" s="257">
        <v>2574138.73149125</v>
      </c>
      <c r="G116" s="346">
        <v>1986882.4454449699</v>
      </c>
      <c r="H116" s="257">
        <f t="shared" si="4"/>
        <v>-587256.28604628006</v>
      </c>
      <c r="I116" s="257">
        <v>324715.37185094808</v>
      </c>
      <c r="J116" s="346">
        <v>276111.15626977343</v>
      </c>
      <c r="K116" s="257">
        <f t="shared" si="5"/>
        <v>-48604.215581174649</v>
      </c>
    </row>
    <row r="117" spans="1:11" x14ac:dyDescent="0.25">
      <c r="A117" s="245">
        <f>'B) D RI'!A118</f>
        <v>5586</v>
      </c>
      <c r="B117" s="246" t="str">
        <f>'B) D RI'!B118</f>
        <v>Lausanne</v>
      </c>
      <c r="C117" s="407">
        <v>105705089.1642783</v>
      </c>
      <c r="D117" s="346">
        <v>101995126.64721054</v>
      </c>
      <c r="E117" s="257">
        <f t="shared" si="3"/>
        <v>-3709962.5170677602</v>
      </c>
      <c r="F117" s="257">
        <v>-64501027.170824513</v>
      </c>
      <c r="G117" s="346">
        <v>-67795959.812664866</v>
      </c>
      <c r="H117" s="257">
        <f t="shared" si="4"/>
        <v>-3294932.6418403536</v>
      </c>
      <c r="I117" s="257">
        <v>8397038.9548000023</v>
      </c>
      <c r="J117" s="346">
        <v>7644129.9082307154</v>
      </c>
      <c r="K117" s="257">
        <f t="shared" si="5"/>
        <v>-752909.04656928685</v>
      </c>
    </row>
    <row r="118" spans="1:11" x14ac:dyDescent="0.25">
      <c r="A118" s="245">
        <f>'B) D RI'!A119</f>
        <v>5587</v>
      </c>
      <c r="B118" s="246" t="str">
        <f>'B) D RI'!B119</f>
        <v>Le Mont-sur-Lausanne</v>
      </c>
      <c r="C118" s="407">
        <v>6587398.4935442582</v>
      </c>
      <c r="D118" s="346">
        <v>7095474.9417261006</v>
      </c>
      <c r="E118" s="257">
        <f t="shared" si="3"/>
        <v>508076.44818184245</v>
      </c>
      <c r="F118" s="257">
        <v>2159889.3826749995</v>
      </c>
      <c r="G118" s="346">
        <v>1730734.1852667951</v>
      </c>
      <c r="H118" s="257">
        <f t="shared" si="4"/>
        <v>-429155.19740820443</v>
      </c>
      <c r="I118" s="257">
        <v>1069143.9382820867</v>
      </c>
      <c r="J118" s="346">
        <v>1114427.4277915335</v>
      </c>
      <c r="K118" s="257">
        <f t="shared" si="5"/>
        <v>45283.489509446779</v>
      </c>
    </row>
    <row r="119" spans="1:11" x14ac:dyDescent="0.25">
      <c r="A119" s="245">
        <f>'B) D RI'!A120</f>
        <v>5588</v>
      </c>
      <c r="B119" s="246" t="str">
        <f>'B) D RI'!B120</f>
        <v>Paudex</v>
      </c>
      <c r="C119" s="407">
        <v>3648499.7528888592</v>
      </c>
      <c r="D119" s="346">
        <v>3744040.3754528537</v>
      </c>
      <c r="E119" s="257">
        <f t="shared" si="3"/>
        <v>95540.62256399449</v>
      </c>
      <c r="F119" s="257">
        <v>1854304.0888359998</v>
      </c>
      <c r="G119" s="346">
        <v>1960213.6060597191</v>
      </c>
      <c r="H119" s="257">
        <f t="shared" si="4"/>
        <v>105909.51722371927</v>
      </c>
      <c r="I119" s="257">
        <v>154537.47647788844</v>
      </c>
      <c r="J119" s="346">
        <v>156128.44361288846</v>
      </c>
      <c r="K119" s="257">
        <f t="shared" si="5"/>
        <v>1590.9671350000135</v>
      </c>
    </row>
    <row r="120" spans="1:11" x14ac:dyDescent="0.25">
      <c r="A120" s="245">
        <f>'B) D RI'!A121</f>
        <v>5589</v>
      </c>
      <c r="B120" s="246" t="str">
        <f>'B) D RI'!B121</f>
        <v>Prilly</v>
      </c>
      <c r="C120" s="407">
        <v>7222627.684384116</v>
      </c>
      <c r="D120" s="346">
        <v>8387220.6035101367</v>
      </c>
      <c r="E120" s="257">
        <f t="shared" si="3"/>
        <v>1164592.9191260207</v>
      </c>
      <c r="F120" s="257">
        <v>-2757950.3832620671</v>
      </c>
      <c r="G120" s="346">
        <v>-1675627.960592662</v>
      </c>
      <c r="H120" s="257">
        <f t="shared" si="4"/>
        <v>1082322.4226694051</v>
      </c>
      <c r="I120" s="257">
        <v>568315.72824425017</v>
      </c>
      <c r="J120" s="346">
        <v>599367.97788891371</v>
      </c>
      <c r="K120" s="257">
        <f t="shared" si="5"/>
        <v>31052.249644663534</v>
      </c>
    </row>
    <row r="121" spans="1:11" x14ac:dyDescent="0.25">
      <c r="A121" s="245">
        <f>'B) D RI'!A122</f>
        <v>5590</v>
      </c>
      <c r="B121" s="246" t="str">
        <f>'B) D RI'!B122</f>
        <v>Pully</v>
      </c>
      <c r="C121" s="407">
        <v>32083990.834891491</v>
      </c>
      <c r="D121" s="346">
        <v>32757066.553534891</v>
      </c>
      <c r="E121" s="257">
        <f t="shared" si="3"/>
        <v>673075.71864340082</v>
      </c>
      <c r="F121" s="257">
        <v>8469746.9567657486</v>
      </c>
      <c r="G121" s="346">
        <v>7640924.0044988338</v>
      </c>
      <c r="H121" s="257">
        <f t="shared" si="4"/>
        <v>-828822.95226691477</v>
      </c>
      <c r="I121" s="257">
        <v>1612812.1394862609</v>
      </c>
      <c r="J121" s="346">
        <v>1572421.3217874274</v>
      </c>
      <c r="K121" s="257">
        <f t="shared" si="5"/>
        <v>-40390.817698833533</v>
      </c>
    </row>
    <row r="122" spans="1:11" x14ac:dyDescent="0.25">
      <c r="A122" s="245">
        <f>'B) D RI'!A123</f>
        <v>5591</v>
      </c>
      <c r="B122" s="246" t="str">
        <f>'B) D RI'!B123</f>
        <v>Renens</v>
      </c>
      <c r="C122" s="407">
        <v>9441148.0917451754</v>
      </c>
      <c r="D122" s="346">
        <v>9029347.8430259377</v>
      </c>
      <c r="E122" s="257">
        <f t="shared" si="3"/>
        <v>-411800.24871923774</v>
      </c>
      <c r="F122" s="257">
        <v>-16792472.130707867</v>
      </c>
      <c r="G122" s="346">
        <v>-17047938.800010204</v>
      </c>
      <c r="H122" s="257">
        <f t="shared" si="4"/>
        <v>-255466.66930233687</v>
      </c>
      <c r="I122" s="257">
        <v>728990.31533853791</v>
      </c>
      <c r="J122" s="346">
        <v>708868.7447437899</v>
      </c>
      <c r="K122" s="257">
        <f t="shared" si="5"/>
        <v>-20121.570594748016</v>
      </c>
    </row>
    <row r="123" spans="1:11" x14ac:dyDescent="0.25">
      <c r="A123" s="245">
        <f>'B) D RI'!A124</f>
        <v>5592</v>
      </c>
      <c r="B123" s="246" t="str">
        <f>'B) D RI'!B124</f>
        <v>Romanel-sur-Lausanne</v>
      </c>
      <c r="C123" s="407">
        <v>1956993.0910761578</v>
      </c>
      <c r="D123" s="346">
        <v>2081637.9154070055</v>
      </c>
      <c r="E123" s="257">
        <f t="shared" si="3"/>
        <v>124644.82433084771</v>
      </c>
      <c r="F123" s="257">
        <v>721753.06133120554</v>
      </c>
      <c r="G123" s="346">
        <v>185211.55458559038</v>
      </c>
      <c r="H123" s="257">
        <f t="shared" si="4"/>
        <v>-536541.50674561516</v>
      </c>
      <c r="I123" s="257">
        <v>378114.2456750836</v>
      </c>
      <c r="J123" s="346">
        <v>342834.97886608494</v>
      </c>
      <c r="K123" s="257">
        <f t="shared" si="5"/>
        <v>-35279.266808998655</v>
      </c>
    </row>
    <row r="124" spans="1:11" x14ac:dyDescent="0.25">
      <c r="A124" s="245">
        <f>'B) D RI'!A125</f>
        <v>5601</v>
      </c>
      <c r="B124" s="246" t="str">
        <f>'B) D RI'!B125</f>
        <v>Chexbres</v>
      </c>
      <c r="C124" s="407">
        <v>2009129.128543424</v>
      </c>
      <c r="D124" s="346">
        <v>1827309.851803472</v>
      </c>
      <c r="E124" s="257">
        <f t="shared" si="3"/>
        <v>-181819.27673995192</v>
      </c>
      <c r="F124" s="257">
        <v>1136064.9965295</v>
      </c>
      <c r="G124" s="346">
        <v>1260422.2560724169</v>
      </c>
      <c r="H124" s="257">
        <f t="shared" si="4"/>
        <v>124357.2595429169</v>
      </c>
      <c r="I124" s="257">
        <v>129984.50714613654</v>
      </c>
      <c r="J124" s="346">
        <v>135417.21101490053</v>
      </c>
      <c r="K124" s="257">
        <f t="shared" si="5"/>
        <v>5432.703868763987</v>
      </c>
    </row>
    <row r="125" spans="1:11" x14ac:dyDescent="0.25">
      <c r="A125" s="245">
        <f>'B) D RI'!A126</f>
        <v>5604</v>
      </c>
      <c r="B125" s="246" t="str">
        <f>'B) D RI'!B126</f>
        <v>Forel (Lavaux)</v>
      </c>
      <c r="C125" s="407">
        <v>1181285.442546899</v>
      </c>
      <c r="D125" s="346">
        <v>1082595.2414573138</v>
      </c>
      <c r="E125" s="257">
        <f t="shared" si="3"/>
        <v>-98690.2010895852</v>
      </c>
      <c r="F125" s="257">
        <v>198694.26615220471</v>
      </c>
      <c r="G125" s="346">
        <v>-22497.03618123848</v>
      </c>
      <c r="H125" s="257">
        <f t="shared" si="4"/>
        <v>-221191.30233344319</v>
      </c>
      <c r="I125" s="257">
        <v>220195.35997978604</v>
      </c>
      <c r="J125" s="346">
        <v>205421.99531260697</v>
      </c>
      <c r="K125" s="257">
        <f t="shared" si="5"/>
        <v>-14773.364667179063</v>
      </c>
    </row>
    <row r="126" spans="1:11" x14ac:dyDescent="0.25">
      <c r="A126" s="245">
        <f>'B) D RI'!A127</f>
        <v>5606</v>
      </c>
      <c r="B126" s="246" t="str">
        <f>'B) D RI'!B127</f>
        <v>Lutry</v>
      </c>
      <c r="C126" s="407">
        <v>21562205.383740269</v>
      </c>
      <c r="D126" s="346">
        <v>17859495.329076208</v>
      </c>
      <c r="E126" s="257">
        <f t="shared" si="3"/>
        <v>-3702710.0546640605</v>
      </c>
      <c r="F126" s="257">
        <v>7851529.3120022491</v>
      </c>
      <c r="G126" s="346">
        <v>5645279.313140234</v>
      </c>
      <c r="H126" s="257">
        <f t="shared" si="4"/>
        <v>-2206249.9988620151</v>
      </c>
      <c r="I126" s="257">
        <v>981091.55887858325</v>
      </c>
      <c r="J126" s="346">
        <v>856416.12846838206</v>
      </c>
      <c r="K126" s="257">
        <f t="shared" si="5"/>
        <v>-124675.4304102012</v>
      </c>
    </row>
    <row r="127" spans="1:11" x14ac:dyDescent="0.25">
      <c r="A127" s="245">
        <f>'B) D RI'!A128</f>
        <v>5607</v>
      </c>
      <c r="B127" s="246" t="str">
        <f>'B) D RI'!B128</f>
        <v>Puidoux</v>
      </c>
      <c r="C127" s="407">
        <v>2006926.6821456866</v>
      </c>
      <c r="D127" s="346">
        <v>1707409.0740650967</v>
      </c>
      <c r="E127" s="257">
        <f t="shared" si="3"/>
        <v>-299517.60808058991</v>
      </c>
      <c r="F127" s="257">
        <v>753662.83750924771</v>
      </c>
      <c r="G127" s="346">
        <v>115691.18257494026</v>
      </c>
      <c r="H127" s="257">
        <f t="shared" si="4"/>
        <v>-637971.65493430744</v>
      </c>
      <c r="I127" s="257">
        <v>154907.04547901463</v>
      </c>
      <c r="J127" s="346">
        <v>130734.8019076022</v>
      </c>
      <c r="K127" s="257">
        <f t="shared" si="5"/>
        <v>-24172.243571412429</v>
      </c>
    </row>
    <row r="128" spans="1:11" x14ac:dyDescent="0.25">
      <c r="A128" s="245">
        <f>'B) D RI'!A129</f>
        <v>5609</v>
      </c>
      <c r="B128" s="246" t="str">
        <f>'B) D RI'!B129</f>
        <v>Rivaz</v>
      </c>
      <c r="C128" s="407">
        <v>290472.69003336976</v>
      </c>
      <c r="D128" s="346">
        <v>283018.75693363725</v>
      </c>
      <c r="E128" s="257">
        <f t="shared" si="3"/>
        <v>-7453.9330997325014</v>
      </c>
      <c r="F128" s="257">
        <v>327436.16260549997</v>
      </c>
      <c r="G128" s="346">
        <v>235266.75957536395</v>
      </c>
      <c r="H128" s="257">
        <f t="shared" si="4"/>
        <v>-92169.403030136018</v>
      </c>
      <c r="I128" s="257">
        <v>26694.745510624263</v>
      </c>
      <c r="J128" s="346">
        <v>20897.154274117249</v>
      </c>
      <c r="K128" s="257">
        <f t="shared" si="5"/>
        <v>-5797.5912365070144</v>
      </c>
    </row>
    <row r="129" spans="1:11" x14ac:dyDescent="0.25">
      <c r="A129" s="245">
        <f>'B) D RI'!A130</f>
        <v>5610</v>
      </c>
      <c r="B129" s="246" t="str">
        <f>'B) D RI'!B130</f>
        <v>St-Saphorin (Lavaux)</v>
      </c>
      <c r="C129" s="407">
        <v>454248.22631849954</v>
      </c>
      <c r="D129" s="346">
        <v>327368.44086933276</v>
      </c>
      <c r="E129" s="257">
        <f t="shared" si="3"/>
        <v>-126879.78544916678</v>
      </c>
      <c r="F129" s="257">
        <v>313148.2350625</v>
      </c>
      <c r="G129" s="346">
        <v>306564.50712003873</v>
      </c>
      <c r="H129" s="257">
        <f t="shared" si="4"/>
        <v>-6583.7279424612643</v>
      </c>
      <c r="I129" s="257">
        <v>29162.162436487739</v>
      </c>
      <c r="J129" s="346">
        <v>27186.481084785675</v>
      </c>
      <c r="K129" s="257">
        <f t="shared" si="5"/>
        <v>-1975.6813517020637</v>
      </c>
    </row>
    <row r="130" spans="1:11" x14ac:dyDescent="0.25">
      <c r="A130" s="245">
        <f>'B) D RI'!A131</f>
        <v>5611</v>
      </c>
      <c r="B130" s="246" t="str">
        <f>'B) D RI'!B131</f>
        <v>Savigny</v>
      </c>
      <c r="C130" s="407">
        <v>2373498.4398149969</v>
      </c>
      <c r="D130" s="346">
        <v>2309941.9094805443</v>
      </c>
      <c r="E130" s="257">
        <f t="shared" si="3"/>
        <v>-63556.530334452633</v>
      </c>
      <c r="F130" s="257">
        <v>1192398.6966789155</v>
      </c>
      <c r="G130" s="346">
        <v>680403.89225276397</v>
      </c>
      <c r="H130" s="257">
        <f t="shared" si="4"/>
        <v>-511994.80442615156</v>
      </c>
      <c r="I130" s="257">
        <v>195800.97555827818</v>
      </c>
      <c r="J130" s="346">
        <v>168906.90885374046</v>
      </c>
      <c r="K130" s="257">
        <f t="shared" si="5"/>
        <v>-26894.066704537719</v>
      </c>
    </row>
    <row r="131" spans="1:11" x14ac:dyDescent="0.25">
      <c r="A131" s="245">
        <f>'B) D RI'!A132</f>
        <v>5613</v>
      </c>
      <c r="B131" s="246" t="str">
        <f>'B) D RI'!B132</f>
        <v>Bourg-en-Lavaux</v>
      </c>
      <c r="C131" s="407">
        <v>5891090.3253420871</v>
      </c>
      <c r="D131" s="346">
        <v>5690248.8023414351</v>
      </c>
      <c r="E131" s="257">
        <f t="shared" si="3"/>
        <v>-200841.52300065197</v>
      </c>
      <c r="F131" s="257">
        <v>3129299.3579049995</v>
      </c>
      <c r="G131" s="346">
        <v>3249512.1887681508</v>
      </c>
      <c r="H131" s="257">
        <f t="shared" si="4"/>
        <v>120212.83086315123</v>
      </c>
      <c r="I131" s="257">
        <v>389347.27728152939</v>
      </c>
      <c r="J131" s="346">
        <v>379926.5752925002</v>
      </c>
      <c r="K131" s="257">
        <f t="shared" si="5"/>
        <v>-9420.7019890291849</v>
      </c>
    </row>
    <row r="132" spans="1:11" x14ac:dyDescent="0.25">
      <c r="A132" s="245">
        <f>'B) D RI'!A133</f>
        <v>5621</v>
      </c>
      <c r="B132" s="246" t="str">
        <f>'B) D RI'!B133</f>
        <v>Aclens</v>
      </c>
      <c r="C132" s="407">
        <v>610362.72059359681</v>
      </c>
      <c r="D132" s="346">
        <v>690192.18365876004</v>
      </c>
      <c r="E132" s="257">
        <f t="shared" si="3"/>
        <v>79829.463065163232</v>
      </c>
      <c r="F132" s="257">
        <v>452365.74555499997</v>
      </c>
      <c r="G132" s="346">
        <v>540548.46621344483</v>
      </c>
      <c r="H132" s="257">
        <f t="shared" si="4"/>
        <v>88182.720658444858</v>
      </c>
      <c r="I132" s="257">
        <v>85405.122831498098</v>
      </c>
      <c r="J132" s="346">
        <v>86673.203091258067</v>
      </c>
      <c r="K132" s="257">
        <f t="shared" si="5"/>
        <v>1268.0802597599686</v>
      </c>
    </row>
    <row r="133" spans="1:11" x14ac:dyDescent="0.25">
      <c r="A133" s="245">
        <f>'B) D RI'!A134</f>
        <v>5622</v>
      </c>
      <c r="B133" s="246" t="str">
        <f>'B) D RI'!B134</f>
        <v>Bremblens</v>
      </c>
      <c r="C133" s="407">
        <v>455238.35682568839</v>
      </c>
      <c r="D133" s="346">
        <v>442104.57335215982</v>
      </c>
      <c r="E133" s="257">
        <f t="shared" si="3"/>
        <v>-13133.783473528572</v>
      </c>
      <c r="F133" s="257">
        <v>453379.60393450002</v>
      </c>
      <c r="G133" s="346">
        <v>457989.0830796666</v>
      </c>
      <c r="H133" s="257">
        <f t="shared" si="4"/>
        <v>4609.4791451665806</v>
      </c>
      <c r="I133" s="257">
        <v>78919.767240867906</v>
      </c>
      <c r="J133" s="346">
        <v>80111.37787449357</v>
      </c>
      <c r="K133" s="257">
        <f t="shared" si="5"/>
        <v>1191.6106336256635</v>
      </c>
    </row>
    <row r="134" spans="1:11" x14ac:dyDescent="0.25">
      <c r="A134" s="245">
        <f>'B) D RI'!A135</f>
        <v>5623</v>
      </c>
      <c r="B134" s="246" t="str">
        <f>'B) D RI'!B135</f>
        <v>Buchillon</v>
      </c>
      <c r="C134" s="407">
        <v>2881286.280261701</v>
      </c>
      <c r="D134" s="346">
        <v>2541677.2188037364</v>
      </c>
      <c r="E134" s="257">
        <f t="shared" si="3"/>
        <v>-339609.06145796459</v>
      </c>
      <c r="F134" s="257">
        <v>758171.6653485687</v>
      </c>
      <c r="G134" s="346">
        <v>1051381.1598714821</v>
      </c>
      <c r="H134" s="257">
        <f t="shared" si="4"/>
        <v>293209.49452291336</v>
      </c>
      <c r="I134" s="257">
        <v>76219.158308165075</v>
      </c>
      <c r="J134" s="346">
        <v>78031.308938828646</v>
      </c>
      <c r="K134" s="257">
        <f t="shared" si="5"/>
        <v>1812.1506306635711</v>
      </c>
    </row>
    <row r="135" spans="1:11" x14ac:dyDescent="0.25">
      <c r="A135" s="245">
        <f>'B) D RI'!A136</f>
        <v>5624</v>
      </c>
      <c r="B135" s="246" t="str">
        <f>'B) D RI'!B136</f>
        <v>Bussigny</v>
      </c>
      <c r="C135" s="407">
        <v>6691672.9700447116</v>
      </c>
      <c r="D135" s="346">
        <v>7105729.4667053223</v>
      </c>
      <c r="E135" s="257">
        <f t="shared" ref="E135:E198" si="6">D135-C135</f>
        <v>414056.49666061066</v>
      </c>
      <c r="F135" s="257">
        <v>3399463.1744519994</v>
      </c>
      <c r="G135" s="346">
        <v>407028.8526582492</v>
      </c>
      <c r="H135" s="257">
        <f t="shared" ref="H135:H198" si="7">G135-F135</f>
        <v>-2992434.3217937499</v>
      </c>
      <c r="I135" s="257">
        <v>544597.61183479219</v>
      </c>
      <c r="J135" s="346">
        <v>404631.36391651881</v>
      </c>
      <c r="K135" s="257">
        <f t="shared" ref="K135:K198" si="8">J135-I135</f>
        <v>-139966.24791827338</v>
      </c>
    </row>
    <row r="136" spans="1:11" x14ac:dyDescent="0.25">
      <c r="A136" s="245">
        <f>'B) D RI'!A137</f>
        <v>5625</v>
      </c>
      <c r="B136" s="246" t="str">
        <f>'B) D RI'!B137</f>
        <v>Bussy-Chardonney</v>
      </c>
      <c r="C136" s="407">
        <v>233398.09729380993</v>
      </c>
      <c r="D136" s="346">
        <v>284011.04731888772</v>
      </c>
      <c r="E136" s="257">
        <f t="shared" si="6"/>
        <v>50612.950025077793</v>
      </c>
      <c r="F136" s="257">
        <v>191075.68673345482</v>
      </c>
      <c r="G136" s="346">
        <v>247437.22471606836</v>
      </c>
      <c r="H136" s="257">
        <f t="shared" si="7"/>
        <v>56361.537982613547</v>
      </c>
      <c r="I136" s="257">
        <v>48341.300569335523</v>
      </c>
      <c r="J136" s="346">
        <v>51036.762594135223</v>
      </c>
      <c r="K136" s="257">
        <f t="shared" si="8"/>
        <v>2695.4620247997009</v>
      </c>
    </row>
    <row r="137" spans="1:11" x14ac:dyDescent="0.25">
      <c r="A137" s="245">
        <f>'B) D RI'!A138</f>
        <v>5627</v>
      </c>
      <c r="B137" s="246" t="str">
        <f>'B) D RI'!B138</f>
        <v>Chavannes-près-Renens</v>
      </c>
      <c r="C137" s="407">
        <v>2716599.2569874143</v>
      </c>
      <c r="D137" s="346">
        <v>2655060.6375971902</v>
      </c>
      <c r="E137" s="257">
        <f t="shared" si="6"/>
        <v>-61538.619390224107</v>
      </c>
      <c r="F137" s="257">
        <v>-4558178.470067584</v>
      </c>
      <c r="G137" s="346">
        <v>-4744586.3423247803</v>
      </c>
      <c r="H137" s="257">
        <f t="shared" si="7"/>
        <v>-186407.87225719634</v>
      </c>
      <c r="I137" s="257">
        <v>217951.61404581723</v>
      </c>
      <c r="J137" s="346">
        <v>210642.92467700021</v>
      </c>
      <c r="K137" s="257">
        <f t="shared" si="8"/>
        <v>-7308.6893688170239</v>
      </c>
    </row>
    <row r="138" spans="1:11" x14ac:dyDescent="0.25">
      <c r="A138" s="245">
        <f>'B) D RI'!A139</f>
        <v>5628</v>
      </c>
      <c r="B138" s="246" t="str">
        <f>'B) D RI'!B139</f>
        <v>Chigny</v>
      </c>
      <c r="C138" s="407">
        <v>339454.92394082004</v>
      </c>
      <c r="D138" s="346">
        <v>290073.49975070159</v>
      </c>
      <c r="E138" s="257">
        <f t="shared" si="6"/>
        <v>-49381.424190118443</v>
      </c>
      <c r="F138" s="257">
        <v>308526.1099095</v>
      </c>
      <c r="G138" s="346">
        <v>314024.24564645765</v>
      </c>
      <c r="H138" s="257">
        <f t="shared" si="7"/>
        <v>5498.1357369576581</v>
      </c>
      <c r="I138" s="257">
        <v>53897.609093007472</v>
      </c>
      <c r="J138" s="346">
        <v>52593.47940172864</v>
      </c>
      <c r="K138" s="257">
        <f t="shared" si="8"/>
        <v>-1304.1296912788312</v>
      </c>
    </row>
    <row r="139" spans="1:11" x14ac:dyDescent="0.25">
      <c r="A139" s="245">
        <f>'B) D RI'!A140</f>
        <v>5629</v>
      </c>
      <c r="B139" s="246" t="str">
        <f>'B) D RI'!B140</f>
        <v>Clarmont</v>
      </c>
      <c r="C139" s="407">
        <v>122788.02414090102</v>
      </c>
      <c r="D139" s="346">
        <v>119571.14981852791</v>
      </c>
      <c r="E139" s="257">
        <f t="shared" si="6"/>
        <v>-3216.8743223731144</v>
      </c>
      <c r="F139" s="257">
        <v>56006.480851</v>
      </c>
      <c r="G139" s="346">
        <v>75256.492728187819</v>
      </c>
      <c r="H139" s="257">
        <f t="shared" si="7"/>
        <v>19250.011877187819</v>
      </c>
      <c r="I139" s="257">
        <v>21856.230029891351</v>
      </c>
      <c r="J139" s="346">
        <v>23499.296473810231</v>
      </c>
      <c r="K139" s="257">
        <f t="shared" si="8"/>
        <v>1643.0664439188804</v>
      </c>
    </row>
    <row r="140" spans="1:11" x14ac:dyDescent="0.25">
      <c r="A140" s="245">
        <f>'B) D RI'!A141</f>
        <v>5631</v>
      </c>
      <c r="B140" s="246" t="str">
        <f>'B) D RI'!B141</f>
        <v>Denens</v>
      </c>
      <c r="C140" s="407">
        <v>525140.1628804967</v>
      </c>
      <c r="D140" s="346">
        <v>765798.73948828201</v>
      </c>
      <c r="E140" s="257">
        <f t="shared" si="6"/>
        <v>240658.5766077853</v>
      </c>
      <c r="F140" s="257">
        <v>346025.20993849996</v>
      </c>
      <c r="G140" s="346">
        <v>562032.73572803056</v>
      </c>
      <c r="H140" s="257">
        <f t="shared" si="7"/>
        <v>216007.5257895306</v>
      </c>
      <c r="I140" s="257">
        <v>103071.41775079622</v>
      </c>
      <c r="J140" s="346">
        <v>105363.51437975871</v>
      </c>
      <c r="K140" s="257">
        <f t="shared" si="8"/>
        <v>2292.0966289624921</v>
      </c>
    </row>
    <row r="141" spans="1:11" x14ac:dyDescent="0.25">
      <c r="A141" s="245">
        <f>'B) D RI'!A142</f>
        <v>5632</v>
      </c>
      <c r="B141" s="246" t="str">
        <f>'B) D RI'!B142</f>
        <v>Denges</v>
      </c>
      <c r="C141" s="407">
        <v>969786.61154015304</v>
      </c>
      <c r="D141" s="346">
        <v>1159419.6351718535</v>
      </c>
      <c r="E141" s="257">
        <f t="shared" si="6"/>
        <v>189633.02363170043</v>
      </c>
      <c r="F141" s="257">
        <v>718344.14882260188</v>
      </c>
      <c r="G141" s="346">
        <v>938406.37431589991</v>
      </c>
      <c r="H141" s="257">
        <f t="shared" si="7"/>
        <v>220062.22549329803</v>
      </c>
      <c r="I141" s="257">
        <v>200648.80627182062</v>
      </c>
      <c r="J141" s="346">
        <v>221619.04468604457</v>
      </c>
      <c r="K141" s="257">
        <f t="shared" si="8"/>
        <v>20970.238414223946</v>
      </c>
    </row>
    <row r="142" spans="1:11" x14ac:dyDescent="0.25">
      <c r="A142" s="245">
        <f>'B) D RI'!A143</f>
        <v>5633</v>
      </c>
      <c r="B142" s="246" t="str">
        <f>'B) D RI'!B143</f>
        <v>Echandens</v>
      </c>
      <c r="C142" s="407">
        <v>1946241.509914445</v>
      </c>
      <c r="D142" s="346">
        <v>2104707.8209752971</v>
      </c>
      <c r="E142" s="257">
        <f t="shared" si="6"/>
        <v>158466.31106085214</v>
      </c>
      <c r="F142" s="257">
        <v>1080692.5296537499</v>
      </c>
      <c r="G142" s="346">
        <v>1211132.1440987659</v>
      </c>
      <c r="H142" s="257">
        <f t="shared" si="7"/>
        <v>130439.61444501602</v>
      </c>
      <c r="I142" s="257">
        <v>332582.45095361024</v>
      </c>
      <c r="J142" s="346">
        <v>384263.10588824819</v>
      </c>
      <c r="K142" s="257">
        <f t="shared" si="8"/>
        <v>51680.654934637947</v>
      </c>
    </row>
    <row r="143" spans="1:11" x14ac:dyDescent="0.25">
      <c r="A143" s="245">
        <f>'B) D RI'!A144</f>
        <v>5634</v>
      </c>
      <c r="B143" s="246" t="str">
        <f>'B) D RI'!B144</f>
        <v>Echichens</v>
      </c>
      <c r="C143" s="407">
        <v>2245425.359825599</v>
      </c>
      <c r="D143" s="346">
        <v>2000682.2011922919</v>
      </c>
      <c r="E143" s="257">
        <f t="shared" si="6"/>
        <v>-244743.15863330709</v>
      </c>
      <c r="F143" s="257">
        <v>1479253.1607375001</v>
      </c>
      <c r="G143" s="346">
        <v>1601392.4440285051</v>
      </c>
      <c r="H143" s="257">
        <f t="shared" si="7"/>
        <v>122139.28329100506</v>
      </c>
      <c r="I143" s="257">
        <v>371987.26245005999</v>
      </c>
      <c r="J143" s="346">
        <v>378578.39539961331</v>
      </c>
      <c r="K143" s="257">
        <f t="shared" si="8"/>
        <v>6591.1329495533137</v>
      </c>
    </row>
    <row r="144" spans="1:11" x14ac:dyDescent="0.25">
      <c r="A144" s="245">
        <f>'B) D RI'!A145</f>
        <v>5635</v>
      </c>
      <c r="B144" s="246" t="str">
        <f>'B) D RI'!B145</f>
        <v>Ecublens</v>
      </c>
      <c r="C144" s="407">
        <v>7536409.299054347</v>
      </c>
      <c r="D144" s="346">
        <v>7806109.618945648</v>
      </c>
      <c r="E144" s="257">
        <f t="shared" si="6"/>
        <v>269700.31989130098</v>
      </c>
      <c r="F144" s="257">
        <v>-553119.41133352183</v>
      </c>
      <c r="G144" s="346">
        <v>-1688555.8602885082</v>
      </c>
      <c r="H144" s="257">
        <f t="shared" si="7"/>
        <v>-1135436.4489549864</v>
      </c>
      <c r="I144" s="257">
        <v>631369.56097713113</v>
      </c>
      <c r="J144" s="346">
        <v>609313.19440537423</v>
      </c>
      <c r="K144" s="257">
        <f t="shared" si="8"/>
        <v>-22056.366571756895</v>
      </c>
    </row>
    <row r="145" spans="1:11" x14ac:dyDescent="0.25">
      <c r="A145" s="245">
        <f>'B) D RI'!A146</f>
        <v>5636</v>
      </c>
      <c r="B145" s="246" t="str">
        <f>'B) D RI'!B146</f>
        <v>Etoy</v>
      </c>
      <c r="C145" s="407">
        <v>2685959.2495430554</v>
      </c>
      <c r="D145" s="346">
        <v>2739816.044347208</v>
      </c>
      <c r="E145" s="257">
        <f t="shared" si="6"/>
        <v>53856.794804152567</v>
      </c>
      <c r="F145" s="257">
        <v>1540945.734185</v>
      </c>
      <c r="G145" s="346">
        <v>2167122.0314415209</v>
      </c>
      <c r="H145" s="257">
        <f t="shared" si="7"/>
        <v>626176.29725652095</v>
      </c>
      <c r="I145" s="257">
        <v>450256.59791610204</v>
      </c>
      <c r="J145" s="346">
        <v>456341.56352685811</v>
      </c>
      <c r="K145" s="257">
        <f t="shared" si="8"/>
        <v>6084.9656107560731</v>
      </c>
    </row>
    <row r="146" spans="1:11" x14ac:dyDescent="0.25">
      <c r="A146" s="245">
        <f>'B) D RI'!A147</f>
        <v>5637</v>
      </c>
      <c r="B146" s="246" t="str">
        <f>'B) D RI'!B147</f>
        <v>Lavigny</v>
      </c>
      <c r="C146" s="407">
        <v>621887.56758927926</v>
      </c>
      <c r="D146" s="346">
        <v>643979.28976317996</v>
      </c>
      <c r="E146" s="257">
        <f t="shared" si="6"/>
        <v>22091.722173900693</v>
      </c>
      <c r="F146" s="257">
        <v>76130.460130378138</v>
      </c>
      <c r="G146" s="346">
        <v>-9660.5410124090267</v>
      </c>
      <c r="H146" s="257">
        <f t="shared" si="7"/>
        <v>-85791.001142787165</v>
      </c>
      <c r="I146" s="257">
        <v>92794.743127908499</v>
      </c>
      <c r="J146" s="346">
        <v>97765.060230254778</v>
      </c>
      <c r="K146" s="257">
        <f t="shared" si="8"/>
        <v>4970.3171023462783</v>
      </c>
    </row>
    <row r="147" spans="1:11" x14ac:dyDescent="0.25">
      <c r="A147" s="245">
        <f>'B) D RI'!A148</f>
        <v>5638</v>
      </c>
      <c r="B147" s="246" t="str">
        <f>'B) D RI'!B148</f>
        <v>Lonay</v>
      </c>
      <c r="C147" s="407">
        <v>3131439.5734459748</v>
      </c>
      <c r="D147" s="346">
        <v>3312115.0157053261</v>
      </c>
      <c r="E147" s="257">
        <f t="shared" si="6"/>
        <v>180675.44225935126</v>
      </c>
      <c r="F147" s="257">
        <v>1778221.4691025</v>
      </c>
      <c r="G147" s="346">
        <v>1898810.7004141617</v>
      </c>
      <c r="H147" s="257">
        <f t="shared" si="7"/>
        <v>120589.23131166166</v>
      </c>
      <c r="I147" s="257">
        <v>401625.63489234028</v>
      </c>
      <c r="J147" s="346">
        <v>408270.99739469157</v>
      </c>
      <c r="K147" s="257">
        <f t="shared" si="8"/>
        <v>6645.3625023512868</v>
      </c>
    </row>
    <row r="148" spans="1:11" x14ac:dyDescent="0.25">
      <c r="A148" s="245">
        <f>'B) D RI'!A149</f>
        <v>5639</v>
      </c>
      <c r="B148" s="246" t="str">
        <f>'B) D RI'!B149</f>
        <v>Lully</v>
      </c>
      <c r="C148" s="407">
        <v>862695.96746817918</v>
      </c>
      <c r="D148" s="346">
        <v>754236.72458111413</v>
      </c>
      <c r="E148" s="257">
        <f t="shared" si="6"/>
        <v>-108459.24288706505</v>
      </c>
      <c r="F148" s="257">
        <v>777005.51294049993</v>
      </c>
      <c r="G148" s="346">
        <v>604046.7057821044</v>
      </c>
      <c r="H148" s="257">
        <f t="shared" si="7"/>
        <v>-172958.80715839553</v>
      </c>
      <c r="I148" s="257">
        <v>127804.42344910992</v>
      </c>
      <c r="J148" s="346">
        <v>119551.833566204</v>
      </c>
      <c r="K148" s="257">
        <f t="shared" si="8"/>
        <v>-8252.5898829059151</v>
      </c>
    </row>
    <row r="149" spans="1:11" x14ac:dyDescent="0.25">
      <c r="A149" s="245">
        <f>'B) D RI'!A150</f>
        <v>5640</v>
      </c>
      <c r="B149" s="246" t="str">
        <f>'B) D RI'!B150</f>
        <v>Lussy-sur-Morges</v>
      </c>
      <c r="C149" s="407">
        <v>852899.3950680414</v>
      </c>
      <c r="D149" s="346">
        <v>976906.91143329989</v>
      </c>
      <c r="E149" s="257">
        <f t="shared" si="6"/>
        <v>124007.51636525849</v>
      </c>
      <c r="F149" s="257">
        <v>663036.12430749997</v>
      </c>
      <c r="G149" s="346">
        <v>707110.1006005035</v>
      </c>
      <c r="H149" s="257">
        <f t="shared" si="7"/>
        <v>44073.976293003536</v>
      </c>
      <c r="I149" s="257">
        <v>53819.99371046645</v>
      </c>
      <c r="J149" s="346">
        <v>54050.707685785717</v>
      </c>
      <c r="K149" s="257">
        <f t="shared" si="8"/>
        <v>230.71397531926777</v>
      </c>
    </row>
    <row r="150" spans="1:11" x14ac:dyDescent="0.25">
      <c r="A150" s="245">
        <f>'B) D RI'!A151</f>
        <v>5642</v>
      </c>
      <c r="B150" s="246" t="str">
        <f>'B) D RI'!B151</f>
        <v>Morges</v>
      </c>
      <c r="C150" s="407">
        <v>11994599.930510474</v>
      </c>
      <c r="D150" s="346">
        <v>13742899.4749368</v>
      </c>
      <c r="E150" s="257">
        <f t="shared" si="6"/>
        <v>1748299.5444263257</v>
      </c>
      <c r="F150" s="257">
        <v>1663467.0008889996</v>
      </c>
      <c r="G150" s="346">
        <v>1709718.0793136728</v>
      </c>
      <c r="H150" s="257">
        <f t="shared" si="7"/>
        <v>46251.078424673295</v>
      </c>
      <c r="I150" s="257">
        <v>917806.16739160311</v>
      </c>
      <c r="J150" s="346">
        <v>927253.58674097876</v>
      </c>
      <c r="K150" s="257">
        <f t="shared" si="8"/>
        <v>9447.4193493756466</v>
      </c>
    </row>
    <row r="151" spans="1:11" x14ac:dyDescent="0.25">
      <c r="A151" s="245">
        <f>'B) D RI'!A152</f>
        <v>5643</v>
      </c>
      <c r="B151" s="246" t="str">
        <f>'B) D RI'!B152</f>
        <v>Préverenges</v>
      </c>
      <c r="C151" s="407">
        <v>4444296.8430574238</v>
      </c>
      <c r="D151" s="346">
        <v>4048947.6127609476</v>
      </c>
      <c r="E151" s="257">
        <f t="shared" si="6"/>
        <v>-395349.23029647628</v>
      </c>
      <c r="F151" s="257">
        <v>2892721.0375899998</v>
      </c>
      <c r="G151" s="346">
        <v>2680700.4556433796</v>
      </c>
      <c r="H151" s="257">
        <f t="shared" si="7"/>
        <v>-212020.58194662025</v>
      </c>
      <c r="I151" s="257">
        <v>353735.92920642294</v>
      </c>
      <c r="J151" s="346">
        <v>323774.65161732957</v>
      </c>
      <c r="K151" s="257">
        <f t="shared" si="8"/>
        <v>-29961.27758909337</v>
      </c>
    </row>
    <row r="152" spans="1:11" x14ac:dyDescent="0.25">
      <c r="A152" s="245">
        <f>'B) D RI'!A153</f>
        <v>5644</v>
      </c>
      <c r="B152" s="246" t="str">
        <f>'B) D RI'!B153</f>
        <v>Reverolle</v>
      </c>
      <c r="C152" s="407">
        <v>202107.25702255641</v>
      </c>
      <c r="D152" s="346">
        <v>275091.37627569406</v>
      </c>
      <c r="E152" s="257">
        <f t="shared" si="6"/>
        <v>72984.119253137644</v>
      </c>
      <c r="F152" s="257">
        <v>107219.39683242573</v>
      </c>
      <c r="G152" s="346">
        <v>178380.99516958211</v>
      </c>
      <c r="H152" s="257">
        <f t="shared" si="7"/>
        <v>71161.598337156378</v>
      </c>
      <c r="I152" s="257">
        <v>41865.457439366262</v>
      </c>
      <c r="J152" s="346">
        <v>49668.772642968586</v>
      </c>
      <c r="K152" s="257">
        <f t="shared" si="8"/>
        <v>7803.3152036023239</v>
      </c>
    </row>
    <row r="153" spans="1:11" x14ac:dyDescent="0.25">
      <c r="A153" s="245">
        <f>'B) D RI'!A154</f>
        <v>5645</v>
      </c>
      <c r="B153" s="246" t="str">
        <f>'B) D RI'!B154</f>
        <v>Romanel-sur-Morges</v>
      </c>
      <c r="C153" s="407">
        <v>479992.72537547635</v>
      </c>
      <c r="D153" s="346">
        <v>403335.46330771851</v>
      </c>
      <c r="E153" s="257">
        <f t="shared" si="6"/>
        <v>-76657.262067757838</v>
      </c>
      <c r="F153" s="257">
        <v>411063.52159700001</v>
      </c>
      <c r="G153" s="346">
        <v>422939.7689679293</v>
      </c>
      <c r="H153" s="257">
        <f t="shared" si="7"/>
        <v>11876.247370929283</v>
      </c>
      <c r="I153" s="257">
        <v>73013.543684821911</v>
      </c>
      <c r="J153" s="346">
        <v>72054.112884238566</v>
      </c>
      <c r="K153" s="257">
        <f t="shared" si="8"/>
        <v>-959.43080058334453</v>
      </c>
    </row>
    <row r="154" spans="1:11" x14ac:dyDescent="0.25">
      <c r="A154" s="245">
        <f>'B) D RI'!A155</f>
        <v>5646</v>
      </c>
      <c r="B154" s="246" t="str">
        <f>'B) D RI'!B155</f>
        <v>Saint-Prex</v>
      </c>
      <c r="C154" s="407">
        <v>6506277.8167412644</v>
      </c>
      <c r="D154" s="346">
        <v>6033445.1637133341</v>
      </c>
      <c r="E154" s="257">
        <f t="shared" si="6"/>
        <v>-472832.6530279303</v>
      </c>
      <c r="F154" s="257">
        <v>3002279.9185569999</v>
      </c>
      <c r="G154" s="346">
        <v>3541808.0153644951</v>
      </c>
      <c r="H154" s="257">
        <f t="shared" si="7"/>
        <v>539528.09680749523</v>
      </c>
      <c r="I154" s="257">
        <v>433532.70079550293</v>
      </c>
      <c r="J154" s="346">
        <v>398335.61640274397</v>
      </c>
      <c r="K154" s="257">
        <f t="shared" si="8"/>
        <v>-35197.084392758959</v>
      </c>
    </row>
    <row r="155" spans="1:11" x14ac:dyDescent="0.25">
      <c r="A155" s="245">
        <f>'B) D RI'!A156</f>
        <v>5648</v>
      </c>
      <c r="B155" s="246" t="str">
        <f>'B) D RI'!B156</f>
        <v>Saint-Sulpice</v>
      </c>
      <c r="C155" s="407">
        <v>6575637.241870705</v>
      </c>
      <c r="D155" s="346">
        <v>7247789.8350535659</v>
      </c>
      <c r="E155" s="257">
        <f t="shared" si="6"/>
        <v>672152.59318286087</v>
      </c>
      <c r="F155" s="257">
        <v>3369548.5727150002</v>
      </c>
      <c r="G155" s="346">
        <v>3626557.2513085585</v>
      </c>
      <c r="H155" s="257">
        <f t="shared" si="7"/>
        <v>257008.67859355826</v>
      </c>
      <c r="I155" s="257">
        <v>326645.06254997535</v>
      </c>
      <c r="J155" s="346">
        <v>349891.86784471199</v>
      </c>
      <c r="K155" s="257">
        <f t="shared" si="8"/>
        <v>23246.805294736638</v>
      </c>
    </row>
    <row r="156" spans="1:11" x14ac:dyDescent="0.25">
      <c r="A156" s="245">
        <f>'B) D RI'!A157</f>
        <v>5649</v>
      </c>
      <c r="B156" s="246" t="str">
        <f>'B) D RI'!B157</f>
        <v>Tolochenaz</v>
      </c>
      <c r="C156" s="407">
        <v>1452998.5885494507</v>
      </c>
      <c r="D156" s="346">
        <v>2030978.4968105298</v>
      </c>
      <c r="E156" s="257">
        <f t="shared" si="6"/>
        <v>577979.90826107911</v>
      </c>
      <c r="F156" s="257">
        <v>341649.22711874987</v>
      </c>
      <c r="G156" s="346">
        <v>1505100.5882194419</v>
      </c>
      <c r="H156" s="257">
        <f t="shared" si="7"/>
        <v>1163451.3611006921</v>
      </c>
      <c r="I156" s="257">
        <v>108112.27783392729</v>
      </c>
      <c r="J156" s="346">
        <v>138327.72297365253</v>
      </c>
      <c r="K156" s="257">
        <f t="shared" si="8"/>
        <v>30215.445139725241</v>
      </c>
    </row>
    <row r="157" spans="1:11" x14ac:dyDescent="0.25">
      <c r="A157" s="245">
        <f>'B) D RI'!A158</f>
        <v>5650</v>
      </c>
      <c r="B157" s="246" t="str">
        <f>'B) D RI'!B158</f>
        <v>Vaux-sur-Morges</v>
      </c>
      <c r="C157" s="407">
        <v>3413398.6470202082</v>
      </c>
      <c r="D157" s="346">
        <v>5455285.4852469135</v>
      </c>
      <c r="E157" s="257">
        <f t="shared" si="6"/>
        <v>2041886.8382267053</v>
      </c>
      <c r="F157" s="257">
        <v>893025.586243</v>
      </c>
      <c r="G157" s="346">
        <v>1329491.4908399549</v>
      </c>
      <c r="H157" s="257">
        <f t="shared" si="7"/>
        <v>436465.90459695493</v>
      </c>
      <c r="I157" s="257">
        <v>82195.80356100286</v>
      </c>
      <c r="J157" s="346">
        <v>111951.32514359718</v>
      </c>
      <c r="K157" s="257">
        <f t="shared" si="8"/>
        <v>29755.521582594316</v>
      </c>
    </row>
    <row r="158" spans="1:11" x14ac:dyDescent="0.25">
      <c r="A158" s="245">
        <f>'B) D RI'!A159</f>
        <v>5651</v>
      </c>
      <c r="B158" s="246" t="str">
        <f>'B) D RI'!B159</f>
        <v>Villars-Sainte-Croix</v>
      </c>
      <c r="C158" s="407">
        <v>817777.87283217174</v>
      </c>
      <c r="D158" s="346">
        <v>806864.81616254547</v>
      </c>
      <c r="E158" s="257">
        <f t="shared" si="6"/>
        <v>-10913.056669626269</v>
      </c>
      <c r="F158" s="257">
        <v>631905.19347099995</v>
      </c>
      <c r="G158" s="346">
        <v>629182.80006642034</v>
      </c>
      <c r="H158" s="257">
        <f t="shared" si="7"/>
        <v>-2722.393404579605</v>
      </c>
      <c r="I158" s="257">
        <v>51404.836970487529</v>
      </c>
      <c r="J158" s="346">
        <v>49025.388099712094</v>
      </c>
      <c r="K158" s="257">
        <f t="shared" si="8"/>
        <v>-2379.4488707754354</v>
      </c>
    </row>
    <row r="159" spans="1:11" x14ac:dyDescent="0.25">
      <c r="A159" s="245">
        <f>'B) D RI'!A160</f>
        <v>5652</v>
      </c>
      <c r="B159" s="246" t="str">
        <f>'B) D RI'!B160</f>
        <v>Villars-sous-Yens</v>
      </c>
      <c r="C159" s="407">
        <v>329814.12213320332</v>
      </c>
      <c r="D159" s="346">
        <v>368022.65315392875</v>
      </c>
      <c r="E159" s="257">
        <f t="shared" si="6"/>
        <v>38208.531020725437</v>
      </c>
      <c r="F159" s="257">
        <v>191857.60539436503</v>
      </c>
      <c r="G159" s="346">
        <v>232159.87575698958</v>
      </c>
      <c r="H159" s="257">
        <f t="shared" si="7"/>
        <v>40302.270362624549</v>
      </c>
      <c r="I159" s="257">
        <v>68354.644381060047</v>
      </c>
      <c r="J159" s="346">
        <v>75379.497746726411</v>
      </c>
      <c r="K159" s="257">
        <f t="shared" si="8"/>
        <v>7024.853365666364</v>
      </c>
    </row>
    <row r="160" spans="1:11" x14ac:dyDescent="0.25">
      <c r="A160" s="245">
        <f>'B) D RI'!A161</f>
        <v>5653</v>
      </c>
      <c r="B160" s="246" t="str">
        <f>'B) D RI'!B161</f>
        <v>Vufflens-le-Château</v>
      </c>
      <c r="C160" s="407">
        <v>1017619.0917816006</v>
      </c>
      <c r="D160" s="346">
        <v>1170851.3113537156</v>
      </c>
      <c r="E160" s="257">
        <f t="shared" si="6"/>
        <v>153232.21957211499</v>
      </c>
      <c r="F160" s="257">
        <v>880803.73031150002</v>
      </c>
      <c r="G160" s="346">
        <v>920876.06111567025</v>
      </c>
      <c r="H160" s="257">
        <f t="shared" si="7"/>
        <v>40072.330804170226</v>
      </c>
      <c r="I160" s="257">
        <v>141552.13838507788</v>
      </c>
      <c r="J160" s="346">
        <v>140403.7275158499</v>
      </c>
      <c r="K160" s="257">
        <f t="shared" si="8"/>
        <v>-1148.4108692279842</v>
      </c>
    </row>
    <row r="161" spans="1:11" x14ac:dyDescent="0.25">
      <c r="A161" s="245">
        <f>'B) D RI'!A162</f>
        <v>5654</v>
      </c>
      <c r="B161" s="246" t="str">
        <f>'B) D RI'!B162</f>
        <v>Vullierens</v>
      </c>
      <c r="C161" s="407">
        <v>273715.40475904976</v>
      </c>
      <c r="D161" s="346">
        <v>311092.47214375285</v>
      </c>
      <c r="E161" s="257">
        <f t="shared" si="6"/>
        <v>37377.067384703085</v>
      </c>
      <c r="F161" s="257">
        <v>255456.48461552954</v>
      </c>
      <c r="G161" s="346">
        <v>79344.086294363631</v>
      </c>
      <c r="H161" s="257">
        <f t="shared" si="7"/>
        <v>-176112.39832116591</v>
      </c>
      <c r="I161" s="257">
        <v>63103.132274670708</v>
      </c>
      <c r="J161" s="346">
        <v>53690.483007799587</v>
      </c>
      <c r="K161" s="257">
        <f t="shared" si="8"/>
        <v>-9412.6492668711217</v>
      </c>
    </row>
    <row r="162" spans="1:11" x14ac:dyDescent="0.25">
      <c r="A162" s="245">
        <f>'B) D RI'!A163</f>
        <v>5655</v>
      </c>
      <c r="B162" s="246" t="str">
        <f>'B) D RI'!B163</f>
        <v>Yens</v>
      </c>
      <c r="C162" s="407">
        <v>1121876.4335508407</v>
      </c>
      <c r="D162" s="346">
        <v>1394993.2755942824</v>
      </c>
      <c r="E162" s="257">
        <f t="shared" si="6"/>
        <v>273116.84204344172</v>
      </c>
      <c r="F162" s="257">
        <v>998539.27905775001</v>
      </c>
      <c r="G162" s="346">
        <v>1020019.4922744336</v>
      </c>
      <c r="H162" s="257">
        <f t="shared" si="7"/>
        <v>21480.213216683595</v>
      </c>
      <c r="I162" s="257">
        <v>194781.90009887592</v>
      </c>
      <c r="J162" s="346">
        <v>208334.69099009724</v>
      </c>
      <c r="K162" s="257">
        <f t="shared" si="8"/>
        <v>13552.790891221317</v>
      </c>
    </row>
    <row r="163" spans="1:11" x14ac:dyDescent="0.25">
      <c r="A163" s="245">
        <f>'B) D RI'!A164</f>
        <v>5661</v>
      </c>
      <c r="B163" s="246" t="str">
        <f>'B) D RI'!B164</f>
        <v>Boulens</v>
      </c>
      <c r="C163" s="407">
        <v>96471.395886208076</v>
      </c>
      <c r="D163" s="346">
        <v>123485.89310898649</v>
      </c>
      <c r="E163" s="257">
        <f t="shared" si="6"/>
        <v>27014.497222778416</v>
      </c>
      <c r="F163" s="257">
        <v>-144789.16479953344</v>
      </c>
      <c r="G163" s="346">
        <v>-113933.24416204776</v>
      </c>
      <c r="H163" s="257">
        <f t="shared" si="7"/>
        <v>30855.920637485673</v>
      </c>
      <c r="I163" s="257">
        <v>20091.287187075708</v>
      </c>
      <c r="J163" s="346">
        <v>22966.039140314722</v>
      </c>
      <c r="K163" s="257">
        <f t="shared" si="8"/>
        <v>2874.7519532390143</v>
      </c>
    </row>
    <row r="164" spans="1:11" x14ac:dyDescent="0.25">
      <c r="A164" s="245">
        <f>'B) D RI'!A165</f>
        <v>5662</v>
      </c>
      <c r="B164" s="246" t="str">
        <f>'B) D RI'!B165</f>
        <v>Brenles</v>
      </c>
      <c r="C164" s="407">
        <v>79959.668326206855</v>
      </c>
      <c r="D164" s="346">
        <v>75841.021938145583</v>
      </c>
      <c r="E164" s="257">
        <f t="shared" si="6"/>
        <v>-4118.6463880612719</v>
      </c>
      <c r="F164" s="257">
        <v>-31560.354271897635</v>
      </c>
      <c r="G164" s="346">
        <v>26848.149242315158</v>
      </c>
      <c r="H164" s="257">
        <f t="shared" si="7"/>
        <v>58408.503514212789</v>
      </c>
      <c r="I164" s="257">
        <v>14490.453977104975</v>
      </c>
      <c r="J164" s="346">
        <v>14966.837059756384</v>
      </c>
      <c r="K164" s="257">
        <f t="shared" si="8"/>
        <v>476.3830826514095</v>
      </c>
    </row>
    <row r="165" spans="1:11" x14ac:dyDescent="0.25">
      <c r="A165" s="245">
        <f>'B) D RI'!A166</f>
        <v>5663</v>
      </c>
      <c r="B165" s="246" t="str">
        <f>'B) D RI'!B166</f>
        <v>Bussy-sur-Moudon</v>
      </c>
      <c r="C165" s="407">
        <v>81950.123784677286</v>
      </c>
      <c r="D165" s="346">
        <v>102601.60540948319</v>
      </c>
      <c r="E165" s="257">
        <f t="shared" si="6"/>
        <v>20651.481624805907</v>
      </c>
      <c r="F165" s="257">
        <v>-83061.962877120153</v>
      </c>
      <c r="G165" s="346">
        <v>-53654.684155427545</v>
      </c>
      <c r="H165" s="257">
        <f t="shared" si="7"/>
        <v>29407.278721692608</v>
      </c>
      <c r="I165" s="257">
        <v>15131.142222191362</v>
      </c>
      <c r="J165" s="346">
        <v>15941.12189929204</v>
      </c>
      <c r="K165" s="257">
        <f t="shared" si="8"/>
        <v>809.9796771006786</v>
      </c>
    </row>
    <row r="166" spans="1:11" x14ac:dyDescent="0.25">
      <c r="A166" s="245">
        <f>'B) D RI'!A167</f>
        <v>5665</v>
      </c>
      <c r="B166" s="246" t="str">
        <f>'B) D RI'!B167</f>
        <v>Chavannes-sur-Moudon</v>
      </c>
      <c r="C166" s="407">
        <v>65514.749895706496</v>
      </c>
      <c r="D166" s="346">
        <v>69472.796097348735</v>
      </c>
      <c r="E166" s="257">
        <f t="shared" si="6"/>
        <v>3958.0462016422389</v>
      </c>
      <c r="F166" s="257">
        <v>-63901.149383447831</v>
      </c>
      <c r="G166" s="346">
        <v>-53317.348913769267</v>
      </c>
      <c r="H166" s="257">
        <f t="shared" si="7"/>
        <v>10583.800469678565</v>
      </c>
      <c r="I166" s="257">
        <v>14366.012341890964</v>
      </c>
      <c r="J166" s="346">
        <v>15307.873144443973</v>
      </c>
      <c r="K166" s="257">
        <f t="shared" si="8"/>
        <v>941.8608025530084</v>
      </c>
    </row>
    <row r="167" spans="1:11" x14ac:dyDescent="0.25">
      <c r="A167" s="245">
        <f>'B) D RI'!A168</f>
        <v>5666</v>
      </c>
      <c r="B167" s="246" t="str">
        <f>'B) D RI'!B168</f>
        <v>Chesalles-sur-Moudon</v>
      </c>
      <c r="C167" s="407">
        <v>47846.007968851016</v>
      </c>
      <c r="D167" s="346">
        <v>53565.091930635463</v>
      </c>
      <c r="E167" s="257">
        <f t="shared" si="6"/>
        <v>5719.0839617844467</v>
      </c>
      <c r="F167" s="257">
        <v>-42317.281113152945</v>
      </c>
      <c r="G167" s="346">
        <v>-36159.223681026546</v>
      </c>
      <c r="H167" s="257">
        <f t="shared" si="7"/>
        <v>6158.0574321263994</v>
      </c>
      <c r="I167" s="257">
        <v>9871.0716303103</v>
      </c>
      <c r="J167" s="346">
        <v>11120.297984607258</v>
      </c>
      <c r="K167" s="257">
        <f t="shared" si="8"/>
        <v>1249.2263542969577</v>
      </c>
    </row>
    <row r="168" spans="1:11" x14ac:dyDescent="0.25">
      <c r="A168" s="245">
        <f>'B) D RI'!A169</f>
        <v>5668</v>
      </c>
      <c r="B168" s="246" t="str">
        <f>'B) D RI'!B169</f>
        <v>Cremin</v>
      </c>
      <c r="C168" s="407">
        <v>11712.308347234168</v>
      </c>
      <c r="D168" s="346">
        <v>12975.802860199876</v>
      </c>
      <c r="E168" s="257">
        <f t="shared" si="6"/>
        <v>1263.4945129657081</v>
      </c>
      <c r="F168" s="257">
        <v>-17837.44334723417</v>
      </c>
      <c r="G168" s="346">
        <v>-17942.127860199875</v>
      </c>
      <c r="H168" s="257">
        <f t="shared" si="7"/>
        <v>-104.68451296570493</v>
      </c>
      <c r="I168" s="257">
        <v>2607.3416747157398</v>
      </c>
      <c r="J168" s="346">
        <v>2826.9448679803982</v>
      </c>
      <c r="K168" s="257">
        <f t="shared" si="8"/>
        <v>219.60319326465833</v>
      </c>
    </row>
    <row r="169" spans="1:11" x14ac:dyDescent="0.25">
      <c r="A169" s="245">
        <f>'B) D RI'!A170</f>
        <v>5669</v>
      </c>
      <c r="B169" s="246" t="str">
        <f>'B) D RI'!B170</f>
        <v>Curtilles</v>
      </c>
      <c r="C169" s="407">
        <v>122250.05576954316</v>
      </c>
      <c r="D169" s="346">
        <v>168180.05637706353</v>
      </c>
      <c r="E169" s="257">
        <f t="shared" si="6"/>
        <v>45930.000607520371</v>
      </c>
      <c r="F169" s="257">
        <v>-78936.978038386442</v>
      </c>
      <c r="G169" s="346">
        <v>20373.61629964333</v>
      </c>
      <c r="H169" s="257">
        <f t="shared" si="7"/>
        <v>99310.594338029769</v>
      </c>
      <c r="I169" s="257">
        <v>24819.697873880661</v>
      </c>
      <c r="J169" s="346">
        <v>27522.785980539542</v>
      </c>
      <c r="K169" s="257">
        <f t="shared" si="8"/>
        <v>2703.0881066588809</v>
      </c>
    </row>
    <row r="170" spans="1:11" x14ac:dyDescent="0.25">
      <c r="A170" s="245">
        <f>'B) D RI'!A171</f>
        <v>5671</v>
      </c>
      <c r="B170" s="246" t="str">
        <f>'B) D RI'!B171</f>
        <v>Dompierre</v>
      </c>
      <c r="C170" s="407">
        <v>100591.43732745125</v>
      </c>
      <c r="D170" s="346">
        <v>120332.78853181752</v>
      </c>
      <c r="E170" s="257">
        <f t="shared" si="6"/>
        <v>19741.351204366278</v>
      </c>
      <c r="F170" s="257">
        <v>-151840.35846298613</v>
      </c>
      <c r="G170" s="346">
        <v>-91245.462875457088</v>
      </c>
      <c r="H170" s="257">
        <f t="shared" si="7"/>
        <v>60594.895587529041</v>
      </c>
      <c r="I170" s="257">
        <v>17286.680715533385</v>
      </c>
      <c r="J170" s="346">
        <v>19722.726039624158</v>
      </c>
      <c r="K170" s="257">
        <f t="shared" si="8"/>
        <v>2436.0453240907736</v>
      </c>
    </row>
    <row r="171" spans="1:11" x14ac:dyDescent="0.25">
      <c r="A171" s="245">
        <f>'B) D RI'!A172</f>
        <v>5672</v>
      </c>
      <c r="B171" s="246" t="str">
        <f>'B) D RI'!B172</f>
        <v>Forel-sur-Lucens</v>
      </c>
      <c r="C171" s="407">
        <v>58130.571692593563</v>
      </c>
      <c r="D171" s="346">
        <v>62149.820227540586</v>
      </c>
      <c r="E171" s="257">
        <f t="shared" si="6"/>
        <v>4019.2485349470226</v>
      </c>
      <c r="F171" s="257">
        <v>-2320.3164765537076</v>
      </c>
      <c r="G171" s="346">
        <v>11177.856325915942</v>
      </c>
      <c r="H171" s="257">
        <f t="shared" si="7"/>
        <v>13498.172802469649</v>
      </c>
      <c r="I171" s="257">
        <v>12763.961615224118</v>
      </c>
      <c r="J171" s="346">
        <v>13857.424348637727</v>
      </c>
      <c r="K171" s="257">
        <f t="shared" si="8"/>
        <v>1093.4627334136094</v>
      </c>
    </row>
    <row r="172" spans="1:11" x14ac:dyDescent="0.25">
      <c r="A172" s="245">
        <f>'B) D RI'!A173</f>
        <v>5673</v>
      </c>
      <c r="B172" s="246" t="str">
        <f>'B) D RI'!B173</f>
        <v>Hermenches</v>
      </c>
      <c r="C172" s="407">
        <v>117129.44016276547</v>
      </c>
      <c r="D172" s="346">
        <v>157908.85852793476</v>
      </c>
      <c r="E172" s="257">
        <f t="shared" si="6"/>
        <v>40779.418365169287</v>
      </c>
      <c r="F172" s="257">
        <v>-73918.405240189575</v>
      </c>
      <c r="G172" s="346">
        <v>-108589.84726968265</v>
      </c>
      <c r="H172" s="257">
        <f t="shared" si="7"/>
        <v>-34671.442029493075</v>
      </c>
      <c r="I172" s="257">
        <v>25700.880855099051</v>
      </c>
      <c r="J172" s="346">
        <v>28019.140372436421</v>
      </c>
      <c r="K172" s="257">
        <f t="shared" si="8"/>
        <v>2318.2595173373702</v>
      </c>
    </row>
    <row r="173" spans="1:11" x14ac:dyDescent="0.25">
      <c r="A173" s="245">
        <f>'B) D RI'!A174</f>
        <v>5674</v>
      </c>
      <c r="B173" s="246" t="str">
        <f>'B) D RI'!B174</f>
        <v>Lovatens</v>
      </c>
      <c r="C173" s="407">
        <v>56618.978986752343</v>
      </c>
      <c r="D173" s="346">
        <v>49201.650403650136</v>
      </c>
      <c r="E173" s="257">
        <f t="shared" si="6"/>
        <v>-7417.3285831022076</v>
      </c>
      <c r="F173" s="257">
        <v>3739.545311411508</v>
      </c>
      <c r="G173" s="346">
        <v>-37645.694815945972</v>
      </c>
      <c r="H173" s="257">
        <f t="shared" si="7"/>
        <v>-41385.24012735748</v>
      </c>
      <c r="I173" s="257">
        <v>11385.026981379044</v>
      </c>
      <c r="J173" s="346">
        <v>10589.647554291019</v>
      </c>
      <c r="K173" s="257">
        <f t="shared" si="8"/>
        <v>-795.37942708802439</v>
      </c>
    </row>
    <row r="174" spans="1:11" x14ac:dyDescent="0.25">
      <c r="A174" s="245">
        <f>'B) D RI'!A175</f>
        <v>5675</v>
      </c>
      <c r="B174" s="246" t="str">
        <f>'B) D RI'!B175</f>
        <v>Lucens</v>
      </c>
      <c r="C174" s="407">
        <v>1144375.4114423161</v>
      </c>
      <c r="D174" s="346">
        <v>1539960.1860216153</v>
      </c>
      <c r="E174" s="257">
        <f t="shared" si="6"/>
        <v>395584.77457929915</v>
      </c>
      <c r="F174" s="257">
        <v>-1124779.3760010137</v>
      </c>
      <c r="G174" s="346">
        <v>-983007.37964586541</v>
      </c>
      <c r="H174" s="257">
        <f t="shared" si="7"/>
        <v>141771.99635514827</v>
      </c>
      <c r="I174" s="257">
        <v>209718.66149589408</v>
      </c>
      <c r="J174" s="346">
        <v>237674.0448926939</v>
      </c>
      <c r="K174" s="257">
        <f t="shared" si="8"/>
        <v>27955.383396799822</v>
      </c>
    </row>
    <row r="175" spans="1:11" x14ac:dyDescent="0.25">
      <c r="A175" s="245">
        <f>'B) D RI'!A176</f>
        <v>5678</v>
      </c>
      <c r="B175" s="246" t="str">
        <f>'B) D RI'!B176</f>
        <v>Moudon</v>
      </c>
      <c r="C175" s="407">
        <v>2017345.3475200795</v>
      </c>
      <c r="D175" s="346">
        <v>2147363.801830065</v>
      </c>
      <c r="E175" s="257">
        <f t="shared" si="6"/>
        <v>130018.45430998551</v>
      </c>
      <c r="F175" s="257">
        <v>-3442053.2628593296</v>
      </c>
      <c r="G175" s="346">
        <v>-3986423.1665808633</v>
      </c>
      <c r="H175" s="257">
        <f t="shared" si="7"/>
        <v>-544369.90372153372</v>
      </c>
      <c r="I175" s="257">
        <v>373262.68471597484</v>
      </c>
      <c r="J175" s="346">
        <v>381506.90035712824</v>
      </c>
      <c r="K175" s="257">
        <f t="shared" si="8"/>
        <v>8244.2156411533942</v>
      </c>
    </row>
    <row r="176" spans="1:11" x14ac:dyDescent="0.25">
      <c r="A176" s="245">
        <f>'B) D RI'!A177</f>
        <v>5680</v>
      </c>
      <c r="B176" s="246" t="str">
        <f>'B) D RI'!B177</f>
        <v>Ogens</v>
      </c>
      <c r="C176" s="407">
        <v>118811.30103629016</v>
      </c>
      <c r="D176" s="346">
        <v>123959.76842737428</v>
      </c>
      <c r="E176" s="257">
        <f t="shared" si="6"/>
        <v>5148.4673910841229</v>
      </c>
      <c r="F176" s="257">
        <v>-142435.41244426667</v>
      </c>
      <c r="G176" s="346">
        <v>21619.708341481208</v>
      </c>
      <c r="H176" s="257">
        <f t="shared" si="7"/>
        <v>164055.12078574789</v>
      </c>
      <c r="I176" s="257">
        <v>21150.321639159007</v>
      </c>
      <c r="J176" s="346">
        <v>25976.68335975958</v>
      </c>
      <c r="K176" s="257">
        <f t="shared" si="8"/>
        <v>4826.3617206005729</v>
      </c>
    </row>
    <row r="177" spans="1:11" x14ac:dyDescent="0.25">
      <c r="A177" s="245">
        <f>'B) D RI'!A178</f>
        <v>5683</v>
      </c>
      <c r="B177" s="246" t="str">
        <f>'B) D RI'!B178</f>
        <v>Prévonloup</v>
      </c>
      <c r="C177" s="407">
        <v>51324.169039313718</v>
      </c>
      <c r="D177" s="346">
        <v>59657.023638248036</v>
      </c>
      <c r="E177" s="257">
        <f t="shared" si="6"/>
        <v>8332.8545989343183</v>
      </c>
      <c r="F177" s="257">
        <v>-19817.544875922249</v>
      </c>
      <c r="G177" s="346">
        <v>-51928.029419355109</v>
      </c>
      <c r="H177" s="257">
        <f t="shared" si="7"/>
        <v>-32110.48454343286</v>
      </c>
      <c r="I177" s="257">
        <v>10992.445920049286</v>
      </c>
      <c r="J177" s="346">
        <v>11402.998009606557</v>
      </c>
      <c r="K177" s="257">
        <f t="shared" si="8"/>
        <v>410.55208955727176</v>
      </c>
    </row>
    <row r="178" spans="1:11" x14ac:dyDescent="0.25">
      <c r="A178" s="245">
        <f>'B) D RI'!A179</f>
        <v>5684</v>
      </c>
      <c r="B178" s="246" t="str">
        <f>'B) D RI'!B179</f>
        <v>Rossenges</v>
      </c>
      <c r="C178" s="407">
        <v>34357.662256660406</v>
      </c>
      <c r="D178" s="346">
        <v>37531.133122091174</v>
      </c>
      <c r="E178" s="257">
        <f t="shared" si="6"/>
        <v>3173.4708654307688</v>
      </c>
      <c r="F178" s="257">
        <v>-11113.171966673015</v>
      </c>
      <c r="G178" s="346">
        <v>38652.384252008298</v>
      </c>
      <c r="H178" s="257">
        <f t="shared" si="7"/>
        <v>49765.556218681311</v>
      </c>
      <c r="I178" s="257">
        <v>4589.5520789311468</v>
      </c>
      <c r="J178" s="346">
        <v>8358.7354646805434</v>
      </c>
      <c r="K178" s="257">
        <f t="shared" si="8"/>
        <v>3769.1833857493966</v>
      </c>
    </row>
    <row r="179" spans="1:11" x14ac:dyDescent="0.25">
      <c r="A179" s="245">
        <f>'B) D RI'!A180</f>
        <v>5686</v>
      </c>
      <c r="B179" s="246" t="str">
        <f>'B) D RI'!B180</f>
        <v>Sarzens</v>
      </c>
      <c r="C179" s="407">
        <v>17812.681539816844</v>
      </c>
      <c r="D179" s="346">
        <v>35511.81434805398</v>
      </c>
      <c r="E179" s="257">
        <f t="shared" si="6"/>
        <v>17699.132808237136</v>
      </c>
      <c r="F179" s="257">
        <v>-24665.84364508</v>
      </c>
      <c r="G179" s="346">
        <v>-9139.6532248801013</v>
      </c>
      <c r="H179" s="257">
        <f t="shared" si="7"/>
        <v>15526.190420199899</v>
      </c>
      <c r="I179" s="257">
        <v>3960.4701981409253</v>
      </c>
      <c r="J179" s="346">
        <v>5849.8564920277304</v>
      </c>
      <c r="K179" s="257">
        <f t="shared" si="8"/>
        <v>1889.3862938868051</v>
      </c>
    </row>
    <row r="180" spans="1:11" x14ac:dyDescent="0.25">
      <c r="A180" s="245">
        <f>'B) D RI'!A181</f>
        <v>5688</v>
      </c>
      <c r="B180" s="246" t="str">
        <f>'B) D RI'!B181</f>
        <v>Syens</v>
      </c>
      <c r="C180" s="407">
        <v>62605.821395766208</v>
      </c>
      <c r="D180" s="346">
        <v>91529.120597926725</v>
      </c>
      <c r="E180" s="257">
        <f t="shared" si="6"/>
        <v>28923.299202160517</v>
      </c>
      <c r="F180" s="257">
        <v>48.017622014871449</v>
      </c>
      <c r="G180" s="346">
        <v>62990.970875571082</v>
      </c>
      <c r="H180" s="257">
        <f t="shared" si="7"/>
        <v>62942.95325355621</v>
      </c>
      <c r="I180" s="257">
        <v>12452.28840812632</v>
      </c>
      <c r="J180" s="346">
        <v>17250.450743551075</v>
      </c>
      <c r="K180" s="257">
        <f t="shared" si="8"/>
        <v>4798.1623354247549</v>
      </c>
    </row>
    <row r="181" spans="1:11" x14ac:dyDescent="0.25">
      <c r="A181" s="245">
        <f>'B) D RI'!A182</f>
        <v>5690</v>
      </c>
      <c r="B181" s="246" t="str">
        <f>'B) D RI'!B182</f>
        <v>Villars-le-Comte</v>
      </c>
      <c r="C181" s="407">
        <v>51941.742919309967</v>
      </c>
      <c r="D181" s="346">
        <v>56552.619782335001</v>
      </c>
      <c r="E181" s="257">
        <f t="shared" si="6"/>
        <v>4610.8768630250343</v>
      </c>
      <c r="F181" s="257">
        <v>-41324.156770764355</v>
      </c>
      <c r="G181" s="346">
        <v>-22997.997303675053</v>
      </c>
      <c r="H181" s="257">
        <f t="shared" si="7"/>
        <v>18326.159467089303</v>
      </c>
      <c r="I181" s="257">
        <v>10205.94678976159</v>
      </c>
      <c r="J181" s="346">
        <v>10929.73883572969</v>
      </c>
      <c r="K181" s="257">
        <f t="shared" si="8"/>
        <v>723.79204596809905</v>
      </c>
    </row>
    <row r="182" spans="1:11" x14ac:dyDescent="0.25">
      <c r="A182" s="245">
        <f>'B) D RI'!A183</f>
        <v>5692</v>
      </c>
      <c r="B182" s="246" t="str">
        <f>'B) D RI'!B183</f>
        <v>Vucherens</v>
      </c>
      <c r="C182" s="407">
        <v>287117.67346689873</v>
      </c>
      <c r="D182" s="346">
        <v>257937.91481302067</v>
      </c>
      <c r="E182" s="257">
        <f t="shared" si="6"/>
        <v>-29179.75865387806</v>
      </c>
      <c r="F182" s="257">
        <v>29904.44943939941</v>
      </c>
      <c r="G182" s="346">
        <v>-50765.2568132425</v>
      </c>
      <c r="H182" s="257">
        <f t="shared" si="7"/>
        <v>-80669.706252641918</v>
      </c>
      <c r="I182" s="257">
        <v>49178.843464085636</v>
      </c>
      <c r="J182" s="346">
        <v>47843.101554038672</v>
      </c>
      <c r="K182" s="257">
        <f t="shared" si="8"/>
        <v>-1335.7419100469633</v>
      </c>
    </row>
    <row r="183" spans="1:11" x14ac:dyDescent="0.25">
      <c r="A183" s="245">
        <f>'B) D RI'!A184</f>
        <v>5693</v>
      </c>
      <c r="B183" s="246" t="str">
        <f>'B) D RI'!B184</f>
        <v>Montanaire</v>
      </c>
      <c r="C183" s="407">
        <v>949734.61254013155</v>
      </c>
      <c r="D183" s="346">
        <v>1097256.9766927601</v>
      </c>
      <c r="E183" s="257">
        <f t="shared" si="6"/>
        <v>147522.36415262858</v>
      </c>
      <c r="F183" s="257">
        <v>-1073061.2784396396</v>
      </c>
      <c r="G183" s="346">
        <v>-740663.86302038457</v>
      </c>
      <c r="H183" s="257">
        <f t="shared" si="7"/>
        <v>332397.41541925503</v>
      </c>
      <c r="I183" s="257">
        <v>182853.29153223592</v>
      </c>
      <c r="J183" s="346">
        <v>199076.35578246671</v>
      </c>
      <c r="K183" s="257">
        <f t="shared" si="8"/>
        <v>16223.064250230789</v>
      </c>
    </row>
    <row r="184" spans="1:11" x14ac:dyDescent="0.25">
      <c r="A184" s="245">
        <f>'B) D RI'!A185</f>
        <v>5701</v>
      </c>
      <c r="B184" s="246" t="str">
        <f>'B) D RI'!B185</f>
        <v>Arnex-sur-Nyon</v>
      </c>
      <c r="C184" s="407">
        <v>349723.59269737347</v>
      </c>
      <c r="D184" s="346">
        <v>284666.89367290231</v>
      </c>
      <c r="E184" s="257">
        <f t="shared" si="6"/>
        <v>-65056.699024471163</v>
      </c>
      <c r="F184" s="257">
        <v>215723.625765</v>
      </c>
      <c r="G184" s="346">
        <v>225651.44698148966</v>
      </c>
      <c r="H184" s="257">
        <f t="shared" si="7"/>
        <v>9927.821216489654</v>
      </c>
      <c r="I184" s="257">
        <v>33461.929984942893</v>
      </c>
      <c r="J184" s="346">
        <v>35034.817640706897</v>
      </c>
      <c r="K184" s="257">
        <f t="shared" si="8"/>
        <v>1572.8876557640033</v>
      </c>
    </row>
    <row r="185" spans="1:11" x14ac:dyDescent="0.25">
      <c r="A185" s="245">
        <f>'B) D RI'!A186</f>
        <v>5702</v>
      </c>
      <c r="B185" s="246" t="str">
        <f>'B) D RI'!B186</f>
        <v>Arzier-Le Muids</v>
      </c>
      <c r="C185" s="407">
        <v>2613685.5425346391</v>
      </c>
      <c r="D185" s="346">
        <v>2413236.951417489</v>
      </c>
      <c r="E185" s="257">
        <f t="shared" si="6"/>
        <v>-200448.59111715015</v>
      </c>
      <c r="F185" s="257">
        <v>1363378.2702684999</v>
      </c>
      <c r="G185" s="346">
        <v>1652463.9730213915</v>
      </c>
      <c r="H185" s="257">
        <f t="shared" si="7"/>
        <v>289085.7027528917</v>
      </c>
      <c r="I185" s="257">
        <v>371678.20370776404</v>
      </c>
      <c r="J185" s="346">
        <v>392147.27129656984</v>
      </c>
      <c r="K185" s="257">
        <f t="shared" si="8"/>
        <v>20469.067588805803</v>
      </c>
    </row>
    <row r="186" spans="1:11" x14ac:dyDescent="0.25">
      <c r="A186" s="245">
        <f>'B) D RI'!A187</f>
        <v>5703</v>
      </c>
      <c r="B186" s="246" t="str">
        <f>'B) D RI'!B187</f>
        <v>Bassins</v>
      </c>
      <c r="C186" s="407">
        <v>1060437.8113341997</v>
      </c>
      <c r="D186" s="346">
        <v>857890.61777944979</v>
      </c>
      <c r="E186" s="257">
        <f t="shared" si="6"/>
        <v>-202547.19355474995</v>
      </c>
      <c r="F186" s="257">
        <v>493583.01185881812</v>
      </c>
      <c r="G186" s="346">
        <v>287621.26635223097</v>
      </c>
      <c r="H186" s="257">
        <f t="shared" si="7"/>
        <v>-205961.74550658715</v>
      </c>
      <c r="I186" s="257">
        <v>173157.24215393799</v>
      </c>
      <c r="J186" s="346">
        <v>162095.47198204737</v>
      </c>
      <c r="K186" s="257">
        <f t="shared" si="8"/>
        <v>-11061.770171890617</v>
      </c>
    </row>
    <row r="187" spans="1:11" x14ac:dyDescent="0.25">
      <c r="A187" s="245">
        <f>'B) D RI'!A188</f>
        <v>5704</v>
      </c>
      <c r="B187" s="246" t="str">
        <f>'B) D RI'!B188</f>
        <v>Begnins</v>
      </c>
      <c r="C187" s="407">
        <v>2280390.5327500203</v>
      </c>
      <c r="D187" s="346">
        <v>3725919.5580999944</v>
      </c>
      <c r="E187" s="257">
        <f t="shared" si="6"/>
        <v>1445529.0253499742</v>
      </c>
      <c r="F187" s="257">
        <v>1485424.6133037498</v>
      </c>
      <c r="G187" s="346">
        <v>1575055.07647678</v>
      </c>
      <c r="H187" s="257">
        <f t="shared" si="7"/>
        <v>89630.463173030177</v>
      </c>
      <c r="I187" s="257">
        <v>272332.83500563051</v>
      </c>
      <c r="J187" s="346">
        <v>290807.94476510014</v>
      </c>
      <c r="K187" s="257">
        <f t="shared" si="8"/>
        <v>18475.109759469633</v>
      </c>
    </row>
    <row r="188" spans="1:11" x14ac:dyDescent="0.25">
      <c r="A188" s="245">
        <f>'B) D RI'!A189</f>
        <v>5705</v>
      </c>
      <c r="B188" s="246" t="str">
        <f>'B) D RI'!B189</f>
        <v>Bogis-Bossey</v>
      </c>
      <c r="C188" s="407">
        <v>914232.76230488403</v>
      </c>
      <c r="D188" s="346">
        <v>957427.40065341198</v>
      </c>
      <c r="E188" s="257">
        <f t="shared" si="6"/>
        <v>43194.638348527951</v>
      </c>
      <c r="F188" s="257">
        <v>774764.67102849996</v>
      </c>
      <c r="G188" s="346">
        <v>806238.52370640589</v>
      </c>
      <c r="H188" s="257">
        <f t="shared" si="7"/>
        <v>31473.852677905932</v>
      </c>
      <c r="I188" s="257">
        <v>132082.35014097151</v>
      </c>
      <c r="J188" s="346">
        <v>133199.22466555002</v>
      </c>
      <c r="K188" s="257">
        <f t="shared" si="8"/>
        <v>1116.8745245785103</v>
      </c>
    </row>
    <row r="189" spans="1:11" x14ac:dyDescent="0.25">
      <c r="A189" s="245">
        <f>'B) D RI'!A190</f>
        <v>5706</v>
      </c>
      <c r="B189" s="246" t="str">
        <f>'B) D RI'!B190</f>
        <v>Borex</v>
      </c>
      <c r="C189" s="407">
        <v>1285954.8531716426</v>
      </c>
      <c r="D189" s="346">
        <v>1305639.6636925736</v>
      </c>
      <c r="E189" s="257">
        <f t="shared" si="6"/>
        <v>19684.810520930914</v>
      </c>
      <c r="F189" s="257">
        <v>968852.96085649997</v>
      </c>
      <c r="G189" s="346">
        <v>990613.17940938997</v>
      </c>
      <c r="H189" s="257">
        <f t="shared" si="7"/>
        <v>21760.218552890001</v>
      </c>
      <c r="I189" s="257">
        <v>154511.05826671293</v>
      </c>
      <c r="J189" s="346">
        <v>167214.9143014627</v>
      </c>
      <c r="K189" s="257">
        <f t="shared" si="8"/>
        <v>12703.85603474977</v>
      </c>
    </row>
    <row r="190" spans="1:11" x14ac:dyDescent="0.25">
      <c r="A190" s="245">
        <f>'B) D RI'!A191</f>
        <v>5707</v>
      </c>
      <c r="B190" s="246" t="str">
        <f>'B) D RI'!B191</f>
        <v>Chavannes-de-Bogis</v>
      </c>
      <c r="C190" s="407">
        <v>1962602.7993081138</v>
      </c>
      <c r="D190" s="346">
        <v>1956761.6123919846</v>
      </c>
      <c r="E190" s="257">
        <f t="shared" si="6"/>
        <v>-5841.1869161291979</v>
      </c>
      <c r="F190" s="257">
        <v>1233856.18109825</v>
      </c>
      <c r="G190" s="346">
        <v>1316630.1203572731</v>
      </c>
      <c r="H190" s="257">
        <f t="shared" si="7"/>
        <v>82773.939259023173</v>
      </c>
      <c r="I190" s="257">
        <v>191905.4770264024</v>
      </c>
      <c r="J190" s="346">
        <v>201692.58457574673</v>
      </c>
      <c r="K190" s="257">
        <f t="shared" si="8"/>
        <v>9787.107549344335</v>
      </c>
    </row>
    <row r="191" spans="1:11" x14ac:dyDescent="0.25">
      <c r="A191" s="245">
        <f>'B) D RI'!A192</f>
        <v>5708</v>
      </c>
      <c r="B191" s="246" t="str">
        <f>'B) D RI'!B192</f>
        <v>Chavannes-des-Bois</v>
      </c>
      <c r="C191" s="407">
        <v>1384666.4439018141</v>
      </c>
      <c r="D191" s="346">
        <v>1432857.5884036571</v>
      </c>
      <c r="E191" s="257">
        <f t="shared" si="6"/>
        <v>48191.144501843024</v>
      </c>
      <c r="F191" s="257">
        <v>924019.53928849997</v>
      </c>
      <c r="G191" s="346">
        <v>936786.65440512565</v>
      </c>
      <c r="H191" s="257">
        <f t="shared" si="7"/>
        <v>12767.115116625675</v>
      </c>
      <c r="I191" s="257">
        <v>139364.12846819434</v>
      </c>
      <c r="J191" s="346">
        <v>140225.74715692323</v>
      </c>
      <c r="K191" s="257">
        <f t="shared" si="8"/>
        <v>861.61868872889318</v>
      </c>
    </row>
    <row r="192" spans="1:11" x14ac:dyDescent="0.25">
      <c r="A192" s="245">
        <f>'B) D RI'!A193</f>
        <v>5709</v>
      </c>
      <c r="B192" s="246" t="str">
        <f>'B) D RI'!B193</f>
        <v>Chéserex</v>
      </c>
      <c r="C192" s="407">
        <v>4730302.3413827624</v>
      </c>
      <c r="D192" s="346">
        <v>3423290.3485874534</v>
      </c>
      <c r="E192" s="257">
        <f t="shared" si="6"/>
        <v>-1307011.9927953091</v>
      </c>
      <c r="F192" s="257">
        <v>2038140.8064405001</v>
      </c>
      <c r="G192" s="346">
        <v>1751453.4949319393</v>
      </c>
      <c r="H192" s="257">
        <f t="shared" si="7"/>
        <v>-286687.31150856079</v>
      </c>
      <c r="I192" s="257">
        <v>266739.9699907591</v>
      </c>
      <c r="J192" s="346">
        <v>234258.43283712128</v>
      </c>
      <c r="K192" s="257">
        <f t="shared" si="8"/>
        <v>-32481.537153637822</v>
      </c>
    </row>
    <row r="193" spans="1:11" x14ac:dyDescent="0.25">
      <c r="A193" s="245">
        <f>'B) D RI'!A194</f>
        <v>5710</v>
      </c>
      <c r="B193" s="246" t="str">
        <f>'B) D RI'!B194</f>
        <v>Coinsins</v>
      </c>
      <c r="C193" s="407">
        <v>3431998.4797811932</v>
      </c>
      <c r="D193" s="346">
        <v>3160041.1183181778</v>
      </c>
      <c r="E193" s="257">
        <f t="shared" si="6"/>
        <v>-271957.36146301543</v>
      </c>
      <c r="F193" s="257">
        <v>1123812.297639</v>
      </c>
      <c r="G193" s="346">
        <v>1064594.0282249227</v>
      </c>
      <c r="H193" s="257">
        <f t="shared" si="7"/>
        <v>-59218.26941407728</v>
      </c>
      <c r="I193" s="257">
        <v>119172.75753198915</v>
      </c>
      <c r="J193" s="346">
        <v>114816.24023255543</v>
      </c>
      <c r="K193" s="257">
        <f t="shared" si="8"/>
        <v>-4356.517299433719</v>
      </c>
    </row>
    <row r="194" spans="1:11" x14ac:dyDescent="0.25">
      <c r="A194" s="245">
        <f>'B) D RI'!A195</f>
        <v>5711</v>
      </c>
      <c r="B194" s="246" t="str">
        <f>'B) D RI'!B195</f>
        <v>Commugny</v>
      </c>
      <c r="C194" s="407">
        <v>4641808.7155186813</v>
      </c>
      <c r="D194" s="346">
        <v>5626537.9113930464</v>
      </c>
      <c r="E194" s="257">
        <f t="shared" si="6"/>
        <v>984729.19587436505</v>
      </c>
      <c r="F194" s="257">
        <v>2688285.6765930001</v>
      </c>
      <c r="G194" s="346">
        <v>2993306.9431208256</v>
      </c>
      <c r="H194" s="257">
        <f t="shared" si="7"/>
        <v>305021.2665278255</v>
      </c>
      <c r="I194" s="257">
        <v>457719.77238718281</v>
      </c>
      <c r="J194" s="346">
        <v>476808.84877196338</v>
      </c>
      <c r="K194" s="257">
        <f t="shared" si="8"/>
        <v>19089.076384780579</v>
      </c>
    </row>
    <row r="195" spans="1:11" x14ac:dyDescent="0.25">
      <c r="A195" s="245">
        <f>'B) D RI'!A196</f>
        <v>5712</v>
      </c>
      <c r="B195" s="246" t="str">
        <f>'B) D RI'!B196</f>
        <v>Coppet</v>
      </c>
      <c r="C195" s="407">
        <v>8061606.2924456634</v>
      </c>
      <c r="D195" s="346">
        <v>8282413.399475812</v>
      </c>
      <c r="E195" s="257">
        <f t="shared" si="6"/>
        <v>220807.10703014862</v>
      </c>
      <c r="F195" s="257">
        <v>3625099.04542075</v>
      </c>
      <c r="G195" s="346">
        <v>3695241.2705696197</v>
      </c>
      <c r="H195" s="257">
        <f t="shared" si="7"/>
        <v>70142.225148869678</v>
      </c>
      <c r="I195" s="257">
        <v>568715.0936530917</v>
      </c>
      <c r="J195" s="346">
        <v>563873.25839489396</v>
      </c>
      <c r="K195" s="257">
        <f t="shared" si="8"/>
        <v>-4841.8352581977379</v>
      </c>
    </row>
    <row r="196" spans="1:11" x14ac:dyDescent="0.25">
      <c r="A196" s="245">
        <f>'B) D RI'!A197</f>
        <v>5713</v>
      </c>
      <c r="B196" s="246" t="str">
        <f>'B) D RI'!B197</f>
        <v>Crans-près-Céligny</v>
      </c>
      <c r="C196" s="407">
        <v>8446553.4013615306</v>
      </c>
      <c r="D196" s="346">
        <v>7154119.0583429513</v>
      </c>
      <c r="E196" s="257">
        <f t="shared" si="6"/>
        <v>-1292434.3430185793</v>
      </c>
      <c r="F196" s="257">
        <v>3279348.31642175</v>
      </c>
      <c r="G196" s="346">
        <v>3003810.6437104596</v>
      </c>
      <c r="H196" s="257">
        <f t="shared" si="7"/>
        <v>-275537.67271129042</v>
      </c>
      <c r="I196" s="257">
        <v>275560.02288454719</v>
      </c>
      <c r="J196" s="346">
        <v>242860.83991434786</v>
      </c>
      <c r="K196" s="257">
        <f t="shared" si="8"/>
        <v>-32699.182970199327</v>
      </c>
    </row>
    <row r="197" spans="1:11" x14ac:dyDescent="0.25">
      <c r="A197" s="245">
        <f>'B) D RI'!A198</f>
        <v>5714</v>
      </c>
      <c r="B197" s="246" t="str">
        <f>'B) D RI'!B198</f>
        <v>Crassier</v>
      </c>
      <c r="C197" s="407">
        <v>1064847.4551891617</v>
      </c>
      <c r="D197" s="346">
        <v>1469797.8760524006</v>
      </c>
      <c r="E197" s="257">
        <f t="shared" si="6"/>
        <v>404950.42086323886</v>
      </c>
      <c r="F197" s="257">
        <v>981011.20415274997</v>
      </c>
      <c r="G197" s="346">
        <v>1157328.0274103258</v>
      </c>
      <c r="H197" s="257">
        <f t="shared" si="7"/>
        <v>176316.82325757586</v>
      </c>
      <c r="I197" s="257">
        <v>173519.78078034607</v>
      </c>
      <c r="J197" s="346">
        <v>188989.38503782661</v>
      </c>
      <c r="K197" s="257">
        <f t="shared" si="8"/>
        <v>15469.604257480532</v>
      </c>
    </row>
    <row r="198" spans="1:11" x14ac:dyDescent="0.25">
      <c r="A198" s="245">
        <f>'B) D RI'!A199</f>
        <v>5715</v>
      </c>
      <c r="B198" s="246" t="str">
        <f>'B) D RI'!B199</f>
        <v>Duillier</v>
      </c>
      <c r="C198" s="407">
        <v>1055289.0723155374</v>
      </c>
      <c r="D198" s="346">
        <v>1208935.703071679</v>
      </c>
      <c r="E198" s="257">
        <f t="shared" si="6"/>
        <v>153646.63075614162</v>
      </c>
      <c r="F198" s="257">
        <v>961117.385718</v>
      </c>
      <c r="G198" s="346">
        <v>956667.52794518846</v>
      </c>
      <c r="H198" s="257">
        <f t="shared" si="7"/>
        <v>-4449.8577728115488</v>
      </c>
      <c r="I198" s="257">
        <v>164177.87739557301</v>
      </c>
      <c r="J198" s="346">
        <v>159265.46450193849</v>
      </c>
      <c r="K198" s="257">
        <f t="shared" si="8"/>
        <v>-4912.4128936345223</v>
      </c>
    </row>
    <row r="199" spans="1:11" x14ac:dyDescent="0.25">
      <c r="A199" s="245">
        <f>'B) D RI'!A200</f>
        <v>5716</v>
      </c>
      <c r="B199" s="246" t="str">
        <f>'B) D RI'!B200</f>
        <v>Eysins</v>
      </c>
      <c r="C199" s="407">
        <v>4335447.610720044</v>
      </c>
      <c r="D199" s="346">
        <v>3005473.8530145027</v>
      </c>
      <c r="E199" s="257">
        <f t="shared" ref="E199:E262" si="9">D199-C199</f>
        <v>-1329973.7577055413</v>
      </c>
      <c r="F199" s="257">
        <v>1779525.4778917499</v>
      </c>
      <c r="G199" s="346">
        <v>1704809.2553541656</v>
      </c>
      <c r="H199" s="257">
        <f t="shared" ref="H199:H262" si="10">G199-F199</f>
        <v>-74716.22253758437</v>
      </c>
      <c r="I199" s="257">
        <v>263796.40080580034</v>
      </c>
      <c r="J199" s="346">
        <v>263361.15420306998</v>
      </c>
      <c r="K199" s="257">
        <f t="shared" ref="K199:K262" si="11">J199-I199</f>
        <v>-435.24660273035988</v>
      </c>
    </row>
    <row r="200" spans="1:11" x14ac:dyDescent="0.25">
      <c r="A200" s="245">
        <f>'B) D RI'!A201</f>
        <v>5717</v>
      </c>
      <c r="B200" s="246" t="str">
        <f>'B) D RI'!B201</f>
        <v>Founex</v>
      </c>
      <c r="C200" s="407">
        <v>11000697.474599414</v>
      </c>
      <c r="D200" s="346">
        <v>9256486.2716516964</v>
      </c>
      <c r="E200" s="257">
        <f t="shared" si="9"/>
        <v>-1744211.2029477172</v>
      </c>
      <c r="F200" s="257">
        <v>4071043.806175</v>
      </c>
      <c r="G200" s="346">
        <v>4070405.3453674288</v>
      </c>
      <c r="H200" s="257">
        <f t="shared" si="10"/>
        <v>-638.46080757118762</v>
      </c>
      <c r="I200" s="257">
        <v>639690.51847353694</v>
      </c>
      <c r="J200" s="346">
        <v>641889.52337419451</v>
      </c>
      <c r="K200" s="257">
        <f t="shared" si="11"/>
        <v>2199.0049006575719</v>
      </c>
    </row>
    <row r="201" spans="1:11" x14ac:dyDescent="0.25">
      <c r="A201" s="245">
        <f>'B) D RI'!A202</f>
        <v>5718</v>
      </c>
      <c r="B201" s="246" t="str">
        <f>'B) D RI'!B202</f>
        <v>Genolier</v>
      </c>
      <c r="C201" s="407">
        <v>3267079.1665735999</v>
      </c>
      <c r="D201" s="346">
        <v>3399907.5276329815</v>
      </c>
      <c r="E201" s="257">
        <f t="shared" si="9"/>
        <v>132828.36105938163</v>
      </c>
      <c r="F201" s="257">
        <v>1960935.06573725</v>
      </c>
      <c r="G201" s="346">
        <v>1996424.8490317946</v>
      </c>
      <c r="H201" s="257">
        <f t="shared" si="10"/>
        <v>35489.783294544555</v>
      </c>
      <c r="I201" s="257">
        <v>321307.48550755647</v>
      </c>
      <c r="J201" s="346">
        <v>330132.58022411191</v>
      </c>
      <c r="K201" s="257">
        <f t="shared" si="11"/>
        <v>8825.0947165554389</v>
      </c>
    </row>
    <row r="202" spans="1:11" x14ac:dyDescent="0.25">
      <c r="A202" s="245">
        <f>'B) D RI'!A203</f>
        <v>5719</v>
      </c>
      <c r="B202" s="246" t="str">
        <f>'B) D RI'!B203</f>
        <v>Gingins</v>
      </c>
      <c r="C202" s="407">
        <v>1962685.2574172141</v>
      </c>
      <c r="D202" s="346">
        <v>2250771.2913923273</v>
      </c>
      <c r="E202" s="257">
        <f t="shared" si="9"/>
        <v>288086.03397511318</v>
      </c>
      <c r="F202" s="257">
        <v>1298115.3799322499</v>
      </c>
      <c r="G202" s="346">
        <v>1387879.2297796409</v>
      </c>
      <c r="H202" s="257">
        <f t="shared" si="10"/>
        <v>89763.849847391015</v>
      </c>
      <c r="I202" s="257">
        <v>208174.01009966014</v>
      </c>
      <c r="J202" s="346">
        <v>212064.27872372762</v>
      </c>
      <c r="K202" s="257">
        <f t="shared" si="11"/>
        <v>3890.2686240674811</v>
      </c>
    </row>
    <row r="203" spans="1:11" x14ac:dyDescent="0.25">
      <c r="A203" s="245">
        <f>'B) D RI'!A204</f>
        <v>5720</v>
      </c>
      <c r="B203" s="246" t="str">
        <f>'B) D RI'!B204</f>
        <v>Givrins</v>
      </c>
      <c r="C203" s="407">
        <v>1653523.9662212154</v>
      </c>
      <c r="D203" s="346">
        <v>2102975.1582956249</v>
      </c>
      <c r="E203" s="257">
        <f t="shared" si="9"/>
        <v>449451.19207440945</v>
      </c>
      <c r="F203" s="257">
        <v>1112503.1650534999</v>
      </c>
      <c r="G203" s="346">
        <v>1161352.8119679017</v>
      </c>
      <c r="H203" s="257">
        <f t="shared" si="10"/>
        <v>48849.64691440179</v>
      </c>
      <c r="I203" s="257">
        <v>172433.57833911042</v>
      </c>
      <c r="J203" s="346">
        <v>173265.61749779739</v>
      </c>
      <c r="K203" s="257">
        <f t="shared" si="11"/>
        <v>832.0391586869664</v>
      </c>
    </row>
    <row r="204" spans="1:11" x14ac:dyDescent="0.25">
      <c r="A204" s="245">
        <f>'B) D RI'!A205</f>
        <v>5721</v>
      </c>
      <c r="B204" s="246" t="str">
        <f>'B) D RI'!B205</f>
        <v>Gland</v>
      </c>
      <c r="C204" s="407">
        <v>9840757.2639540844</v>
      </c>
      <c r="D204" s="346">
        <v>12305305.004147794</v>
      </c>
      <c r="E204" s="257">
        <f t="shared" si="9"/>
        <v>2464547.7401937097</v>
      </c>
      <c r="F204" s="257">
        <v>3551635.8275282495</v>
      </c>
      <c r="G204" s="346">
        <v>2952917.3256302057</v>
      </c>
      <c r="H204" s="257">
        <f t="shared" si="10"/>
        <v>-598718.50189804379</v>
      </c>
      <c r="I204" s="257">
        <v>1772676.9995635976</v>
      </c>
      <c r="J204" s="346">
        <v>1757218.6329501607</v>
      </c>
      <c r="K204" s="257">
        <f t="shared" si="11"/>
        <v>-15458.366613436956</v>
      </c>
    </row>
    <row r="205" spans="1:11" x14ac:dyDescent="0.25">
      <c r="A205" s="245">
        <f>'B) D RI'!A206</f>
        <v>5722</v>
      </c>
      <c r="B205" s="246" t="str">
        <f>'B) D RI'!B206</f>
        <v>Grens</v>
      </c>
      <c r="C205" s="407">
        <v>300711.14404851058</v>
      </c>
      <c r="D205" s="346">
        <v>443165.46910325345</v>
      </c>
      <c r="E205" s="257">
        <f t="shared" si="9"/>
        <v>142454.32505474286</v>
      </c>
      <c r="F205" s="257">
        <v>312548.20212749997</v>
      </c>
      <c r="G205" s="346">
        <v>397482.00065741746</v>
      </c>
      <c r="H205" s="257">
        <f t="shared" si="10"/>
        <v>84933.798529917491</v>
      </c>
      <c r="I205" s="257">
        <v>56785.317428745882</v>
      </c>
      <c r="J205" s="346">
        <v>62970.84352573353</v>
      </c>
      <c r="K205" s="257">
        <f t="shared" si="11"/>
        <v>6185.5260969876472</v>
      </c>
    </row>
    <row r="206" spans="1:11" x14ac:dyDescent="0.25">
      <c r="A206" s="245">
        <f>'B) D RI'!A207</f>
        <v>5723</v>
      </c>
      <c r="B206" s="246" t="str">
        <f>'B) D RI'!B207</f>
        <v>Mies</v>
      </c>
      <c r="C206" s="407">
        <v>6346004.8068747409</v>
      </c>
      <c r="D206" s="346">
        <v>7385229.3945953809</v>
      </c>
      <c r="E206" s="257">
        <f t="shared" si="9"/>
        <v>1039224.58772064</v>
      </c>
      <c r="F206" s="257">
        <v>2659746.0542099997</v>
      </c>
      <c r="G206" s="346">
        <v>2933135.1568680559</v>
      </c>
      <c r="H206" s="257">
        <f t="shared" si="10"/>
        <v>273389.10265805619</v>
      </c>
      <c r="I206" s="257">
        <v>372624.127959162</v>
      </c>
      <c r="J206" s="346">
        <v>383374.49809244368</v>
      </c>
      <c r="K206" s="257">
        <f t="shared" si="11"/>
        <v>10750.370133281685</v>
      </c>
    </row>
    <row r="207" spans="1:11" x14ac:dyDescent="0.25">
      <c r="A207" s="245">
        <f>'B) D RI'!A208</f>
        <v>5724</v>
      </c>
      <c r="B207" s="246" t="str">
        <f>'B) D RI'!B208</f>
        <v>Nyon</v>
      </c>
      <c r="C207" s="407">
        <v>25253930.351326589</v>
      </c>
      <c r="D207" s="346">
        <v>28694629.343380153</v>
      </c>
      <c r="E207" s="257">
        <f t="shared" si="9"/>
        <v>3440698.9920535646</v>
      </c>
      <c r="F207" s="257">
        <v>7403000.9965579994</v>
      </c>
      <c r="G207" s="346">
        <v>8488678.0317938533</v>
      </c>
      <c r="H207" s="257">
        <f t="shared" si="10"/>
        <v>1085677.0352358539</v>
      </c>
      <c r="I207" s="257">
        <v>1572631.7747809619</v>
      </c>
      <c r="J207" s="346">
        <v>1648036.8254652501</v>
      </c>
      <c r="K207" s="257">
        <f t="shared" si="11"/>
        <v>75405.050684288144</v>
      </c>
    </row>
    <row r="208" spans="1:11" x14ac:dyDescent="0.25">
      <c r="A208" s="245">
        <f>'B) D RI'!A209</f>
        <v>5725</v>
      </c>
      <c r="B208" s="246" t="str">
        <f>'B) D RI'!B209</f>
        <v>Prangins</v>
      </c>
      <c r="C208" s="407">
        <v>8363669.1708009504</v>
      </c>
      <c r="D208" s="346">
        <v>6125698.4024784844</v>
      </c>
      <c r="E208" s="257">
        <f t="shared" si="9"/>
        <v>-2237970.7683224659</v>
      </c>
      <c r="F208" s="257">
        <v>4178322.3169574998</v>
      </c>
      <c r="G208" s="346">
        <v>3472594.0036132196</v>
      </c>
      <c r="H208" s="257">
        <f t="shared" si="10"/>
        <v>-705728.31334428024</v>
      </c>
      <c r="I208" s="257">
        <v>399814.08224793233</v>
      </c>
      <c r="J208" s="346">
        <v>332805.67098844168</v>
      </c>
      <c r="K208" s="257">
        <f t="shared" si="11"/>
        <v>-67008.411259490647</v>
      </c>
    </row>
    <row r="209" spans="1:11" x14ac:dyDescent="0.25">
      <c r="A209" s="245">
        <f>'B) D RI'!A210</f>
        <v>5726</v>
      </c>
      <c r="B209" s="246" t="str">
        <f>'B) D RI'!B210</f>
        <v>La Rippe</v>
      </c>
      <c r="C209" s="407">
        <v>885859.34580324381</v>
      </c>
      <c r="D209" s="346">
        <v>1067949.5788599667</v>
      </c>
      <c r="E209" s="257">
        <f t="shared" si="9"/>
        <v>182090.23305672291</v>
      </c>
      <c r="F209" s="257">
        <v>765831.67389924999</v>
      </c>
      <c r="G209" s="346">
        <v>981700.43767202855</v>
      </c>
      <c r="H209" s="257">
        <f t="shared" si="10"/>
        <v>215868.76377277856</v>
      </c>
      <c r="I209" s="257">
        <v>157482.36243031855</v>
      </c>
      <c r="J209" s="346">
        <v>172663.52021954424</v>
      </c>
      <c r="K209" s="257">
        <f t="shared" si="11"/>
        <v>15181.15778922569</v>
      </c>
    </row>
    <row r="210" spans="1:11" x14ac:dyDescent="0.25">
      <c r="A210" s="245">
        <f>'B) D RI'!A211</f>
        <v>5727</v>
      </c>
      <c r="B210" s="246" t="str">
        <f>'B) D RI'!B211</f>
        <v>Saint-Cergue</v>
      </c>
      <c r="C210" s="407">
        <v>1601503.2048890656</v>
      </c>
      <c r="D210" s="346">
        <v>1680502.4691630988</v>
      </c>
      <c r="E210" s="257">
        <f t="shared" si="9"/>
        <v>78999.264274033252</v>
      </c>
      <c r="F210" s="257">
        <v>627095.98756927997</v>
      </c>
      <c r="G210" s="346">
        <v>734428.02149642678</v>
      </c>
      <c r="H210" s="257">
        <f t="shared" si="10"/>
        <v>107332.03392714681</v>
      </c>
      <c r="I210" s="257">
        <v>271009.86048775399</v>
      </c>
      <c r="J210" s="346">
        <v>290770.10721611272</v>
      </c>
      <c r="K210" s="257">
        <f t="shared" si="11"/>
        <v>19760.246728358732</v>
      </c>
    </row>
    <row r="211" spans="1:11" x14ac:dyDescent="0.25">
      <c r="A211" s="245">
        <f>'B) D RI'!A212</f>
        <v>5728</v>
      </c>
      <c r="B211" s="246" t="str">
        <f>'B) D RI'!B212</f>
        <v>Signy-Avenex</v>
      </c>
      <c r="C211" s="407">
        <v>946762.17924606311</v>
      </c>
      <c r="D211" s="346">
        <v>672328.98188325576</v>
      </c>
      <c r="E211" s="257">
        <f t="shared" si="9"/>
        <v>-274433.19736280735</v>
      </c>
      <c r="F211" s="257">
        <v>565187.46560749994</v>
      </c>
      <c r="G211" s="346">
        <v>497531.65896501543</v>
      </c>
      <c r="H211" s="257">
        <f t="shared" si="10"/>
        <v>-67655.806642484502</v>
      </c>
      <c r="I211" s="257">
        <v>82782.450799634287</v>
      </c>
      <c r="J211" s="346">
        <v>79315.564599870471</v>
      </c>
      <c r="K211" s="257">
        <f t="shared" si="11"/>
        <v>-3466.886199763816</v>
      </c>
    </row>
    <row r="212" spans="1:11" x14ac:dyDescent="0.25">
      <c r="A212" s="245">
        <f>'B) D RI'!A213</f>
        <v>5729</v>
      </c>
      <c r="B212" s="246" t="str">
        <f>'B) D RI'!B213</f>
        <v>Tannay</v>
      </c>
      <c r="C212" s="407">
        <v>4296892.373543933</v>
      </c>
      <c r="D212" s="346">
        <v>3466694.5307623954</v>
      </c>
      <c r="E212" s="257">
        <f t="shared" si="9"/>
        <v>-830197.84278153768</v>
      </c>
      <c r="F212" s="257">
        <v>2011310.319381</v>
      </c>
      <c r="G212" s="346">
        <v>1831747.6837476715</v>
      </c>
      <c r="H212" s="257">
        <f t="shared" si="10"/>
        <v>-179562.63563332846</v>
      </c>
      <c r="I212" s="257">
        <v>288953.97556404368</v>
      </c>
      <c r="J212" s="346">
        <v>269954.95803983381</v>
      </c>
      <c r="K212" s="257">
        <f t="shared" si="11"/>
        <v>-18999.017524209863</v>
      </c>
    </row>
    <row r="213" spans="1:11" x14ac:dyDescent="0.25">
      <c r="A213" s="245">
        <f>'B) D RI'!A214</f>
        <v>5730</v>
      </c>
      <c r="B213" s="246" t="str">
        <f>'B) D RI'!B214</f>
        <v>Trélex</v>
      </c>
      <c r="C213" s="407">
        <v>3245306.0812187335</v>
      </c>
      <c r="D213" s="346">
        <v>3604526.4969806736</v>
      </c>
      <c r="E213" s="257">
        <f t="shared" si="9"/>
        <v>359220.41576194018</v>
      </c>
      <c r="F213" s="257">
        <v>1788969.7891275</v>
      </c>
      <c r="G213" s="346">
        <v>1900779.5490353552</v>
      </c>
      <c r="H213" s="257">
        <f t="shared" si="10"/>
        <v>111809.75990785519</v>
      </c>
      <c r="I213" s="257">
        <v>267487.23447289917</v>
      </c>
      <c r="J213" s="346">
        <v>268868.23338216258</v>
      </c>
      <c r="K213" s="257">
        <f t="shared" si="11"/>
        <v>1380.9989092634059</v>
      </c>
    </row>
    <row r="214" spans="1:11" x14ac:dyDescent="0.25">
      <c r="A214" s="245">
        <f>'B) D RI'!A215</f>
        <v>5731</v>
      </c>
      <c r="B214" s="246" t="str">
        <f>'B) D RI'!B215</f>
        <v>Le Vaud</v>
      </c>
      <c r="C214" s="407">
        <v>699281.57780593366</v>
      </c>
      <c r="D214" s="346">
        <v>818707.28653497109</v>
      </c>
      <c r="E214" s="257">
        <f t="shared" si="9"/>
        <v>119425.70872903743</v>
      </c>
      <c r="F214" s="257">
        <v>253370.83934680716</v>
      </c>
      <c r="G214" s="346">
        <v>341610.56969324709</v>
      </c>
      <c r="H214" s="257">
        <f t="shared" si="10"/>
        <v>88239.73034643993</v>
      </c>
      <c r="I214" s="257">
        <v>137467.18363420723</v>
      </c>
      <c r="J214" s="346">
        <v>146957.19955055643</v>
      </c>
      <c r="K214" s="257">
        <f t="shared" si="11"/>
        <v>9490.0159163491917</v>
      </c>
    </row>
    <row r="215" spans="1:11" x14ac:dyDescent="0.25">
      <c r="A215" s="245">
        <f>'B) D RI'!A216</f>
        <v>5732</v>
      </c>
      <c r="B215" s="246" t="str">
        <f>'B) D RI'!B216</f>
        <v>Vich</v>
      </c>
      <c r="C215" s="407">
        <v>840500.20478148665</v>
      </c>
      <c r="D215" s="346">
        <v>1358489.4189557168</v>
      </c>
      <c r="E215" s="257">
        <f t="shared" si="9"/>
        <v>517989.21417423012</v>
      </c>
      <c r="F215" s="257">
        <v>738326.46353800001</v>
      </c>
      <c r="G215" s="346">
        <v>913605.69994541886</v>
      </c>
      <c r="H215" s="257">
        <f t="shared" si="10"/>
        <v>175279.23640741885</v>
      </c>
      <c r="I215" s="257">
        <v>123569.54186467157</v>
      </c>
      <c r="J215" s="346">
        <v>145529.78605099846</v>
      </c>
      <c r="K215" s="257">
        <f t="shared" si="11"/>
        <v>21960.24418632689</v>
      </c>
    </row>
    <row r="216" spans="1:11" x14ac:dyDescent="0.25">
      <c r="A216" s="245">
        <f>'B) D RI'!A217</f>
        <v>5741</v>
      </c>
      <c r="B216" s="246" t="str">
        <f>'B) D RI'!B217</f>
        <v>L'Abergement</v>
      </c>
      <c r="C216" s="407">
        <v>115528.29655929646</v>
      </c>
      <c r="D216" s="346">
        <v>116690.0374719761</v>
      </c>
      <c r="E216" s="257">
        <f t="shared" si="9"/>
        <v>1161.740912679641</v>
      </c>
      <c r="F216" s="257">
        <v>-111646.92128408072</v>
      </c>
      <c r="G216" s="346">
        <v>-79829.067653442631</v>
      </c>
      <c r="H216" s="257">
        <f t="shared" si="10"/>
        <v>31817.853630638085</v>
      </c>
      <c r="I216" s="257">
        <v>19263.012172862909</v>
      </c>
      <c r="J216" s="346">
        <v>22185.905556349891</v>
      </c>
      <c r="K216" s="257">
        <f t="shared" si="11"/>
        <v>2922.8933834869822</v>
      </c>
    </row>
    <row r="217" spans="1:11" x14ac:dyDescent="0.25">
      <c r="A217" s="245">
        <f>'B) D RI'!A218</f>
        <v>5742</v>
      </c>
      <c r="B217" s="246" t="str">
        <f>'B) D RI'!B218</f>
        <v>Agiez</v>
      </c>
      <c r="C217" s="407">
        <v>144008.41952752846</v>
      </c>
      <c r="D217" s="346">
        <v>137162.98977954895</v>
      </c>
      <c r="E217" s="257">
        <f t="shared" si="9"/>
        <v>-6845.4297479795059</v>
      </c>
      <c r="F217" s="257">
        <v>-23222.709582665557</v>
      </c>
      <c r="G217" s="346">
        <v>16970.452953762084</v>
      </c>
      <c r="H217" s="257">
        <f t="shared" si="10"/>
        <v>40193.162536427641</v>
      </c>
      <c r="I217" s="257">
        <v>23812.529214473125</v>
      </c>
      <c r="J217" s="346">
        <v>29328.066254383113</v>
      </c>
      <c r="K217" s="257">
        <f t="shared" si="11"/>
        <v>5515.5370399099884</v>
      </c>
    </row>
    <row r="218" spans="1:11" x14ac:dyDescent="0.25">
      <c r="A218" s="245">
        <f>'B) D RI'!A219</f>
        <v>5743</v>
      </c>
      <c r="B218" s="246" t="str">
        <f>'B) D RI'!B219</f>
        <v>Arnex-sur-Orbe</v>
      </c>
      <c r="C218" s="407">
        <v>242312.20204899719</v>
      </c>
      <c r="D218" s="346">
        <v>291366.5682479993</v>
      </c>
      <c r="E218" s="257">
        <f t="shared" si="9"/>
        <v>49054.366199002106</v>
      </c>
      <c r="F218" s="257">
        <v>-115999.71975018957</v>
      </c>
      <c r="G218" s="346">
        <v>-3641.3889278030256</v>
      </c>
      <c r="H218" s="257">
        <f t="shared" si="10"/>
        <v>112358.33082238655</v>
      </c>
      <c r="I218" s="257">
        <v>48837.373095010524</v>
      </c>
      <c r="J218" s="346">
        <v>55169.822743270932</v>
      </c>
      <c r="K218" s="257">
        <f t="shared" si="11"/>
        <v>6332.4496482604081</v>
      </c>
    </row>
    <row r="219" spans="1:11" x14ac:dyDescent="0.25">
      <c r="A219" s="245">
        <f>'B) D RI'!A220</f>
        <v>5744</v>
      </c>
      <c r="B219" s="246" t="str">
        <f>'B) D RI'!B220</f>
        <v>Ballaigues</v>
      </c>
      <c r="C219" s="407">
        <v>2181120.8958487809</v>
      </c>
      <c r="D219" s="346">
        <v>1037551.9759950788</v>
      </c>
      <c r="E219" s="257">
        <f t="shared" si="9"/>
        <v>-1143568.9198537022</v>
      </c>
      <c r="F219" s="257">
        <v>1047784.207869</v>
      </c>
      <c r="G219" s="346">
        <v>454167.33657000819</v>
      </c>
      <c r="H219" s="257">
        <f t="shared" si="10"/>
        <v>-593616.87129899184</v>
      </c>
      <c r="I219" s="257">
        <v>179415.75961983897</v>
      </c>
      <c r="J219" s="346">
        <v>160317.54681993651</v>
      </c>
      <c r="K219" s="257">
        <f t="shared" si="11"/>
        <v>-19098.212799902452</v>
      </c>
    </row>
    <row r="220" spans="1:11" x14ac:dyDescent="0.25">
      <c r="A220" s="245">
        <f>'B) D RI'!A221</f>
        <v>5745</v>
      </c>
      <c r="B220" s="246" t="str">
        <f>'B) D RI'!B221</f>
        <v>Baulmes</v>
      </c>
      <c r="C220" s="407">
        <v>488180.3868604867</v>
      </c>
      <c r="D220" s="346">
        <v>488219.58406322286</v>
      </c>
      <c r="E220" s="257">
        <f t="shared" si="9"/>
        <v>39.197202736162581</v>
      </c>
      <c r="F220" s="257">
        <v>-445121.38098523044</v>
      </c>
      <c r="G220" s="346">
        <v>-329397.13376258512</v>
      </c>
      <c r="H220" s="257">
        <f t="shared" si="10"/>
        <v>115724.24722264532</v>
      </c>
      <c r="I220" s="257">
        <v>78768.805976186166</v>
      </c>
      <c r="J220" s="346">
        <v>87646.685118168534</v>
      </c>
      <c r="K220" s="257">
        <f t="shared" si="11"/>
        <v>8877.8791419823683</v>
      </c>
    </row>
    <row r="221" spans="1:11" x14ac:dyDescent="0.25">
      <c r="A221" s="245">
        <f>'B) D RI'!A222</f>
        <v>5746</v>
      </c>
      <c r="B221" s="246" t="str">
        <f>'B) D RI'!B222</f>
        <v>Bavois</v>
      </c>
      <c r="C221" s="407">
        <v>421884.34792978573</v>
      </c>
      <c r="D221" s="346">
        <v>411778.61366407911</v>
      </c>
      <c r="E221" s="257">
        <f t="shared" si="9"/>
        <v>-10105.734265706618</v>
      </c>
      <c r="F221" s="257">
        <v>-126501.42771548778</v>
      </c>
      <c r="G221" s="346">
        <v>-189338.98835506444</v>
      </c>
      <c r="H221" s="257">
        <f t="shared" si="10"/>
        <v>-62837.560639576666</v>
      </c>
      <c r="I221" s="257">
        <v>70755.640683771941</v>
      </c>
      <c r="J221" s="346">
        <v>74591.079265793494</v>
      </c>
      <c r="K221" s="257">
        <f t="shared" si="11"/>
        <v>3835.4385820215539</v>
      </c>
    </row>
    <row r="222" spans="1:11" x14ac:dyDescent="0.25">
      <c r="A222" s="245">
        <f>'B) D RI'!A223</f>
        <v>5747</v>
      </c>
      <c r="B222" s="246" t="str">
        <f>'B) D RI'!B223</f>
        <v>Bofflens</v>
      </c>
      <c r="C222" s="407">
        <v>84490.168649086758</v>
      </c>
      <c r="D222" s="346">
        <v>81351.471443243441</v>
      </c>
      <c r="E222" s="257">
        <f t="shared" si="9"/>
        <v>-3138.6972058433166</v>
      </c>
      <c r="F222" s="257">
        <v>-11832.830740232224</v>
      </c>
      <c r="G222" s="346">
        <v>12958.672452335224</v>
      </c>
      <c r="H222" s="257">
        <f t="shared" si="10"/>
        <v>24791.503192567448</v>
      </c>
      <c r="I222" s="257">
        <v>14386.204070227208</v>
      </c>
      <c r="J222" s="346">
        <v>16334.200728084457</v>
      </c>
      <c r="K222" s="257">
        <f t="shared" si="11"/>
        <v>1947.9966578572494</v>
      </c>
    </row>
    <row r="223" spans="1:11" x14ac:dyDescent="0.25">
      <c r="A223" s="245">
        <f>'B) D RI'!A224</f>
        <v>5748</v>
      </c>
      <c r="B223" s="246" t="str">
        <f>'B) D RI'!B224</f>
        <v>Bretonnières</v>
      </c>
      <c r="C223" s="407">
        <v>86047.048129924733</v>
      </c>
      <c r="D223" s="346">
        <v>114296.48808540995</v>
      </c>
      <c r="E223" s="257">
        <f t="shared" si="9"/>
        <v>28249.439955485213</v>
      </c>
      <c r="F223" s="257">
        <v>-53039.724201073332</v>
      </c>
      <c r="G223" s="346">
        <v>-57629.061425105596</v>
      </c>
      <c r="H223" s="257">
        <f t="shared" si="10"/>
        <v>-4589.3372240322642</v>
      </c>
      <c r="I223" s="257">
        <v>16372.700583124797</v>
      </c>
      <c r="J223" s="346">
        <v>19353.765229740042</v>
      </c>
      <c r="K223" s="257">
        <f t="shared" si="11"/>
        <v>2981.0646466152448</v>
      </c>
    </row>
    <row r="224" spans="1:11" x14ac:dyDescent="0.25">
      <c r="A224" s="245">
        <f>'B) D RI'!A225</f>
        <v>5749</v>
      </c>
      <c r="B224" s="246" t="str">
        <f>'B) D RI'!B225</f>
        <v>Chavornay</v>
      </c>
      <c r="C224" s="407">
        <v>1795149.9983355887</v>
      </c>
      <c r="D224" s="346">
        <v>1873706.2232551237</v>
      </c>
      <c r="E224" s="257">
        <f t="shared" si="9"/>
        <v>78556.224919534987</v>
      </c>
      <c r="F224" s="257">
        <v>-1268632.4363837121</v>
      </c>
      <c r="G224" s="346">
        <v>-1197359.4039525478</v>
      </c>
      <c r="H224" s="257">
        <f t="shared" si="10"/>
        <v>71273.032431164291</v>
      </c>
      <c r="I224" s="257">
        <v>304554.92165429599</v>
      </c>
      <c r="J224" s="346">
        <v>346255.27464520815</v>
      </c>
      <c r="K224" s="257">
        <f t="shared" si="11"/>
        <v>41700.352990912157</v>
      </c>
    </row>
    <row r="225" spans="1:11" x14ac:dyDescent="0.25">
      <c r="A225" s="245">
        <f>'B) D RI'!A226</f>
        <v>5750</v>
      </c>
      <c r="B225" s="246" t="str">
        <f>'B) D RI'!B226</f>
        <v>Les Clées</v>
      </c>
      <c r="C225" s="407">
        <v>121433.18156090903</v>
      </c>
      <c r="D225" s="346">
        <v>68544.883476729141</v>
      </c>
      <c r="E225" s="257">
        <f t="shared" si="9"/>
        <v>-52888.298084179885</v>
      </c>
      <c r="F225" s="257">
        <v>-196.58231478174639</v>
      </c>
      <c r="G225" s="346">
        <v>-62645.37524555259</v>
      </c>
      <c r="H225" s="257">
        <f t="shared" si="10"/>
        <v>-62448.79293077084</v>
      </c>
      <c r="I225" s="257">
        <v>17380.686568851263</v>
      </c>
      <c r="J225" s="346">
        <v>13871.024964322976</v>
      </c>
      <c r="K225" s="257">
        <f t="shared" si="11"/>
        <v>-3509.6616045282863</v>
      </c>
    </row>
    <row r="226" spans="1:11" x14ac:dyDescent="0.25">
      <c r="A226" s="245">
        <f>'B) D RI'!A227</f>
        <v>5751</v>
      </c>
      <c r="B226" s="246" t="str">
        <f>'B) D RI'!B227</f>
        <v>Corcelles-sur-Chavornay</v>
      </c>
      <c r="C226" s="407">
        <v>125390.14904855724</v>
      </c>
      <c r="D226" s="346">
        <v>164021.74865514983</v>
      </c>
      <c r="E226" s="257">
        <f t="shared" si="9"/>
        <v>38631.599606592586</v>
      </c>
      <c r="F226" s="257">
        <v>-139718.04907853832</v>
      </c>
      <c r="G226" s="346">
        <v>-86522.790999776043</v>
      </c>
      <c r="H226" s="257">
        <f t="shared" si="10"/>
        <v>53195.258078762272</v>
      </c>
      <c r="I226" s="257">
        <v>10160.907967571697</v>
      </c>
      <c r="J226" s="346">
        <v>11411.596846166323</v>
      </c>
      <c r="K226" s="257">
        <f t="shared" si="11"/>
        <v>1250.6888785946267</v>
      </c>
    </row>
    <row r="227" spans="1:11" x14ac:dyDescent="0.25">
      <c r="A227" s="245">
        <f>'B) D RI'!A228</f>
        <v>5752</v>
      </c>
      <c r="B227" s="246" t="str">
        <f>'B) D RI'!B228</f>
        <v>Croy</v>
      </c>
      <c r="C227" s="407">
        <v>131175.41100652862</v>
      </c>
      <c r="D227" s="346">
        <v>248718.14064441656</v>
      </c>
      <c r="E227" s="257">
        <f t="shared" si="9"/>
        <v>117542.72963788794</v>
      </c>
      <c r="F227" s="257">
        <v>-72707.7348474217</v>
      </c>
      <c r="G227" s="346">
        <v>-62674.666082102689</v>
      </c>
      <c r="H227" s="257">
        <f t="shared" si="10"/>
        <v>10033.068765319011</v>
      </c>
      <c r="I227" s="257">
        <v>25093.033087344607</v>
      </c>
      <c r="J227" s="346">
        <v>45972.274170230769</v>
      </c>
      <c r="K227" s="257">
        <f t="shared" si="11"/>
        <v>20879.241082886161</v>
      </c>
    </row>
    <row r="228" spans="1:11" x14ac:dyDescent="0.25">
      <c r="A228" s="245">
        <f>'B) D RI'!A229</f>
        <v>5754</v>
      </c>
      <c r="B228" s="246" t="str">
        <f>'B) D RI'!B229</f>
        <v>Juriens</v>
      </c>
      <c r="C228" s="407">
        <v>135593.9320644573</v>
      </c>
      <c r="D228" s="346">
        <v>111919.04790927938</v>
      </c>
      <c r="E228" s="257">
        <f t="shared" si="9"/>
        <v>-23674.884155177919</v>
      </c>
      <c r="F228" s="257">
        <v>-123560.03624603563</v>
      </c>
      <c r="G228" s="346">
        <v>-109462.20834136204</v>
      </c>
      <c r="H228" s="257">
        <f t="shared" si="10"/>
        <v>14097.827904673584</v>
      </c>
      <c r="I228" s="257">
        <v>25230.928465636069</v>
      </c>
      <c r="J228" s="346">
        <v>20402.875853345387</v>
      </c>
      <c r="K228" s="257">
        <f t="shared" si="11"/>
        <v>-4828.0526122906813</v>
      </c>
    </row>
    <row r="229" spans="1:11" x14ac:dyDescent="0.25">
      <c r="A229" s="245">
        <f>'B) D RI'!A230</f>
        <v>5755</v>
      </c>
      <c r="B229" s="246" t="str">
        <f>'B) D RI'!B230</f>
        <v>Lignerolle</v>
      </c>
      <c r="C229" s="407">
        <v>148934.90074292297</v>
      </c>
      <c r="D229" s="346">
        <v>169248.81525812214</v>
      </c>
      <c r="E229" s="257">
        <f t="shared" si="9"/>
        <v>20313.914515199169</v>
      </c>
      <c r="F229" s="257">
        <v>-356847.77708703472</v>
      </c>
      <c r="G229" s="346">
        <v>-378845.82911008911</v>
      </c>
      <c r="H229" s="257">
        <f t="shared" si="10"/>
        <v>-21998.052023054392</v>
      </c>
      <c r="I229" s="257">
        <v>29346.405356029445</v>
      </c>
      <c r="J229" s="346">
        <v>28037.201023669208</v>
      </c>
      <c r="K229" s="257">
        <f t="shared" si="11"/>
        <v>-1309.2043323602375</v>
      </c>
    </row>
    <row r="230" spans="1:11" x14ac:dyDescent="0.25">
      <c r="A230" s="245">
        <f>'B) D RI'!A231</f>
        <v>5756</v>
      </c>
      <c r="B230" s="246" t="str">
        <f>'B) D RI'!B231</f>
        <v>Montcherand</v>
      </c>
      <c r="C230" s="407">
        <v>274561.80860907497</v>
      </c>
      <c r="D230" s="346">
        <v>246451.63444228738</v>
      </c>
      <c r="E230" s="257">
        <f t="shared" si="9"/>
        <v>-28110.17416678759</v>
      </c>
      <c r="F230" s="257">
        <v>56646.586640533758</v>
      </c>
      <c r="G230" s="346">
        <v>57357.576252451952</v>
      </c>
      <c r="H230" s="257">
        <f t="shared" si="10"/>
        <v>710.98961191819399</v>
      </c>
      <c r="I230" s="257">
        <v>20650.064916560073</v>
      </c>
      <c r="J230" s="346">
        <v>19193.989122624895</v>
      </c>
      <c r="K230" s="257">
        <f t="shared" si="11"/>
        <v>-1456.0757939351788</v>
      </c>
    </row>
    <row r="231" spans="1:11" x14ac:dyDescent="0.25">
      <c r="A231" s="245">
        <f>'B) D RI'!A232</f>
        <v>5757</v>
      </c>
      <c r="B231" s="246" t="str">
        <f>'B) D RI'!B232</f>
        <v>Orbe</v>
      </c>
      <c r="C231" s="407">
        <v>4001843.8022850938</v>
      </c>
      <c r="D231" s="346">
        <v>4257401.3613795061</v>
      </c>
      <c r="E231" s="257">
        <f t="shared" si="9"/>
        <v>255557.55909441225</v>
      </c>
      <c r="F231" s="257">
        <v>-1764966.5216054674</v>
      </c>
      <c r="G231" s="346">
        <v>-2386563.386904221</v>
      </c>
      <c r="H231" s="257">
        <f t="shared" si="10"/>
        <v>-621596.8652987536</v>
      </c>
      <c r="I231" s="257">
        <v>277046.61014676851</v>
      </c>
      <c r="J231" s="346">
        <v>272753.34860154532</v>
      </c>
      <c r="K231" s="257">
        <f t="shared" si="11"/>
        <v>-4293.2615452231839</v>
      </c>
    </row>
    <row r="232" spans="1:11" x14ac:dyDescent="0.25">
      <c r="A232" s="245">
        <f>'B) D RI'!A233</f>
        <v>5758</v>
      </c>
      <c r="B232" s="246" t="str">
        <f>'B) D RI'!B233</f>
        <v>La Praz</v>
      </c>
      <c r="C232" s="407">
        <v>56436.881728013112</v>
      </c>
      <c r="D232" s="346">
        <v>61854.99152295466</v>
      </c>
      <c r="E232" s="257">
        <f t="shared" si="9"/>
        <v>5418.1097949415489</v>
      </c>
      <c r="F232" s="257">
        <v>-110388.04077408946</v>
      </c>
      <c r="G232" s="346">
        <v>-62886.460874661978</v>
      </c>
      <c r="H232" s="257">
        <f t="shared" si="10"/>
        <v>47501.579899427481</v>
      </c>
      <c r="I232" s="257">
        <v>9271.4024093556236</v>
      </c>
      <c r="J232" s="346">
        <v>12209.374529669363</v>
      </c>
      <c r="K232" s="257">
        <f t="shared" si="11"/>
        <v>2937.9721203137397</v>
      </c>
    </row>
    <row r="233" spans="1:11" x14ac:dyDescent="0.25">
      <c r="A233" s="245">
        <f>'B) D RI'!A234</f>
        <v>5759</v>
      </c>
      <c r="B233" s="246" t="str">
        <f>'B) D RI'!B234</f>
        <v>Premier</v>
      </c>
      <c r="C233" s="407">
        <v>72440.045392246786</v>
      </c>
      <c r="D233" s="346">
        <v>75950.39186863444</v>
      </c>
      <c r="E233" s="257">
        <f t="shared" si="9"/>
        <v>3510.3464763876545</v>
      </c>
      <c r="F233" s="257">
        <v>-86808.741431921313</v>
      </c>
      <c r="G233" s="346">
        <v>-68750.229772468156</v>
      </c>
      <c r="H233" s="257">
        <f t="shared" si="10"/>
        <v>18058.511659453157</v>
      </c>
      <c r="I233" s="257">
        <v>13635.979422482289</v>
      </c>
      <c r="J233" s="346">
        <v>14396.222298373319</v>
      </c>
      <c r="K233" s="257">
        <f t="shared" si="11"/>
        <v>760.24287589103005</v>
      </c>
    </row>
    <row r="234" spans="1:11" x14ac:dyDescent="0.25">
      <c r="A234" s="245">
        <f>'B) D RI'!A235</f>
        <v>5760</v>
      </c>
      <c r="B234" s="246" t="str">
        <f>'B) D RI'!B235</f>
        <v>Rances</v>
      </c>
      <c r="C234" s="407">
        <v>152016.33534861755</v>
      </c>
      <c r="D234" s="346">
        <v>190051.65144725845</v>
      </c>
      <c r="E234" s="257">
        <f t="shared" si="9"/>
        <v>38035.316098640906</v>
      </c>
      <c r="F234" s="257">
        <v>-150968.20873783634</v>
      </c>
      <c r="G234" s="346">
        <v>-200282.53280302143</v>
      </c>
      <c r="H234" s="257">
        <f t="shared" si="10"/>
        <v>-49314.324065185094</v>
      </c>
      <c r="I234" s="257">
        <v>32866.838179174447</v>
      </c>
      <c r="J234" s="346">
        <v>36281.60352739862</v>
      </c>
      <c r="K234" s="257">
        <f t="shared" si="11"/>
        <v>3414.7653482241731</v>
      </c>
    </row>
    <row r="235" spans="1:11" x14ac:dyDescent="0.25">
      <c r="A235" s="245">
        <f>'B) D RI'!A236</f>
        <v>5761</v>
      </c>
      <c r="B235" s="246" t="str">
        <f>'B) D RI'!B236</f>
        <v>Romainmôtier-Envy</v>
      </c>
      <c r="C235" s="407">
        <v>258696.73302335566</v>
      </c>
      <c r="D235" s="346">
        <v>205795.93285781814</v>
      </c>
      <c r="E235" s="257">
        <f t="shared" si="9"/>
        <v>-52900.800165537512</v>
      </c>
      <c r="F235" s="257">
        <v>-120336.97533981735</v>
      </c>
      <c r="G235" s="346">
        <v>-178654.75558560441</v>
      </c>
      <c r="H235" s="257">
        <f t="shared" si="10"/>
        <v>-58317.780245787057</v>
      </c>
      <c r="I235" s="257">
        <v>38215.874973769198</v>
      </c>
      <c r="J235" s="346">
        <v>35441.417905372255</v>
      </c>
      <c r="K235" s="257">
        <f t="shared" si="11"/>
        <v>-2774.4570683969432</v>
      </c>
    </row>
    <row r="236" spans="1:11" x14ac:dyDescent="0.25">
      <c r="A236" s="245">
        <f>'B) D RI'!A237</f>
        <v>5762</v>
      </c>
      <c r="B236" s="246" t="str">
        <f>'B) D RI'!B237</f>
        <v>Sergey</v>
      </c>
      <c r="C236" s="407">
        <v>51019.74893544089</v>
      </c>
      <c r="D236" s="346">
        <v>45861.685123545576</v>
      </c>
      <c r="E236" s="257">
        <f t="shared" si="9"/>
        <v>-5158.0638118953138</v>
      </c>
      <c r="F236" s="257">
        <v>-133311.36327527085</v>
      </c>
      <c r="G236" s="346">
        <v>-46951.293402739262</v>
      </c>
      <c r="H236" s="257">
        <f t="shared" si="10"/>
        <v>86360.069872531589</v>
      </c>
      <c r="I236" s="257">
        <v>9372.2067060892114</v>
      </c>
      <c r="J236" s="346">
        <v>9786.2206413779495</v>
      </c>
      <c r="K236" s="257">
        <f t="shared" si="11"/>
        <v>414.01393528873814</v>
      </c>
    </row>
    <row r="237" spans="1:11" x14ac:dyDescent="0.25">
      <c r="A237" s="245">
        <f>'B) D RI'!A238</f>
        <v>5763</v>
      </c>
      <c r="B237" s="246" t="str">
        <f>'B) D RI'!B238</f>
        <v>Valeyres-sous-Rances</v>
      </c>
      <c r="C237" s="407">
        <v>237823.21136962171</v>
      </c>
      <c r="D237" s="346">
        <v>289147.13177679206</v>
      </c>
      <c r="E237" s="257">
        <f t="shared" si="9"/>
        <v>51323.920407170343</v>
      </c>
      <c r="F237" s="257">
        <v>-115665.79453674195</v>
      </c>
      <c r="G237" s="346">
        <v>-61307.789195681151</v>
      </c>
      <c r="H237" s="257">
        <f t="shared" si="10"/>
        <v>54358.005341060794</v>
      </c>
      <c r="I237" s="257">
        <v>45750.949128727611</v>
      </c>
      <c r="J237" s="346">
        <v>50789.788844830211</v>
      </c>
      <c r="K237" s="257">
        <f t="shared" si="11"/>
        <v>5038.8397161026005</v>
      </c>
    </row>
    <row r="238" spans="1:11" x14ac:dyDescent="0.25">
      <c r="A238" s="245">
        <f>'B) D RI'!A239</f>
        <v>5764</v>
      </c>
      <c r="B238" s="246" t="str">
        <f>'B) D RI'!B239</f>
        <v>Vallorbe</v>
      </c>
      <c r="C238" s="407">
        <v>1959445.7859566743</v>
      </c>
      <c r="D238" s="346">
        <v>2127608.1993944189</v>
      </c>
      <c r="E238" s="257">
        <f t="shared" si="9"/>
        <v>168162.4134377446</v>
      </c>
      <c r="F238" s="257">
        <v>-2547138.3481965377</v>
      </c>
      <c r="G238" s="346">
        <v>-2685481.4167736508</v>
      </c>
      <c r="H238" s="257">
        <f t="shared" si="10"/>
        <v>-138343.0685771131</v>
      </c>
      <c r="I238" s="257">
        <v>253806.59174681548</v>
      </c>
      <c r="J238" s="346">
        <v>267400.61970809754</v>
      </c>
      <c r="K238" s="257">
        <f t="shared" si="11"/>
        <v>13594.02796128206</v>
      </c>
    </row>
    <row r="239" spans="1:11" x14ac:dyDescent="0.25">
      <c r="A239" s="245">
        <f>'B) D RI'!A240</f>
        <v>5765</v>
      </c>
      <c r="B239" s="246" t="str">
        <f>'B) D RI'!B240</f>
        <v>Vaulion</v>
      </c>
      <c r="C239" s="407">
        <v>153928.71756218653</v>
      </c>
      <c r="D239" s="346">
        <v>191285.21925229012</v>
      </c>
      <c r="E239" s="257">
        <f t="shared" si="9"/>
        <v>37356.501690103585</v>
      </c>
      <c r="F239" s="257">
        <v>-304064.31904564472</v>
      </c>
      <c r="G239" s="346">
        <v>-358083.04735075298</v>
      </c>
      <c r="H239" s="257">
        <f t="shared" si="10"/>
        <v>-54018.728305108263</v>
      </c>
      <c r="I239" s="257">
        <v>30026.59601751712</v>
      </c>
      <c r="J239" s="346">
        <v>29278.593944081244</v>
      </c>
      <c r="K239" s="257">
        <f t="shared" si="11"/>
        <v>-748.00207343587681</v>
      </c>
    </row>
    <row r="240" spans="1:11" x14ac:dyDescent="0.25">
      <c r="A240" s="245">
        <f>'B) D RI'!A241</f>
        <v>5766</v>
      </c>
      <c r="B240" s="246" t="str">
        <f>'B) D RI'!B241</f>
        <v>Vuiteboeuf</v>
      </c>
      <c r="C240" s="407">
        <v>194964.76512244964</v>
      </c>
      <c r="D240" s="346">
        <v>206828.38556981809</v>
      </c>
      <c r="E240" s="257">
        <f t="shared" si="9"/>
        <v>11863.620447368448</v>
      </c>
      <c r="F240" s="257">
        <v>-175869.12436630664</v>
      </c>
      <c r="G240" s="346">
        <v>-207782.00891948896</v>
      </c>
      <c r="H240" s="257">
        <f t="shared" si="10"/>
        <v>-31912.884553182317</v>
      </c>
      <c r="I240" s="257">
        <v>38048.175547934195</v>
      </c>
      <c r="J240" s="346">
        <v>36426.301173269036</v>
      </c>
      <c r="K240" s="257">
        <f t="shared" si="11"/>
        <v>-1621.8743746651598</v>
      </c>
    </row>
    <row r="241" spans="1:11" x14ac:dyDescent="0.25">
      <c r="A241" s="245">
        <f>'B) D RI'!A242</f>
        <v>5782</v>
      </c>
      <c r="B241" s="246" t="str">
        <f>'B) D RI'!B242</f>
        <v>Carrouge</v>
      </c>
      <c r="C241" s="407">
        <v>485986.08191504382</v>
      </c>
      <c r="D241" s="346">
        <v>547468.27215599851</v>
      </c>
      <c r="E241" s="257">
        <f t="shared" si="9"/>
        <v>61482.190240954689</v>
      </c>
      <c r="F241" s="257">
        <v>-138037.68183142779</v>
      </c>
      <c r="G241" s="346">
        <v>-507686.93660263182</v>
      </c>
      <c r="H241" s="257">
        <f t="shared" si="10"/>
        <v>-369649.25477120403</v>
      </c>
      <c r="I241" s="257">
        <v>97372.89759844802</v>
      </c>
      <c r="J241" s="346">
        <v>94275.577398454785</v>
      </c>
      <c r="K241" s="257">
        <f t="shared" si="11"/>
        <v>-3097.3201999932353</v>
      </c>
    </row>
    <row r="242" spans="1:11" x14ac:dyDescent="0.25">
      <c r="A242" s="245">
        <f>'B) D RI'!A243</f>
        <v>5785</v>
      </c>
      <c r="B242" s="246" t="str">
        <f>'B) D RI'!B243</f>
        <v>Corcelles-le-Jorat</v>
      </c>
      <c r="C242" s="407">
        <v>232188.81869573373</v>
      </c>
      <c r="D242" s="346">
        <v>196992.7918522488</v>
      </c>
      <c r="E242" s="257">
        <f t="shared" si="9"/>
        <v>-35196.026843484928</v>
      </c>
      <c r="F242" s="257">
        <v>-80086.479563730041</v>
      </c>
      <c r="G242" s="346">
        <v>-67837.037703615264</v>
      </c>
      <c r="H242" s="257">
        <f t="shared" si="10"/>
        <v>12249.441860114777</v>
      </c>
      <c r="I242" s="257">
        <v>39419.061018773529</v>
      </c>
      <c r="J242" s="346">
        <v>38876.722569566045</v>
      </c>
      <c r="K242" s="257">
        <f t="shared" si="11"/>
        <v>-542.33844920748379</v>
      </c>
    </row>
    <row r="243" spans="1:11" x14ac:dyDescent="0.25">
      <c r="A243" s="245">
        <f>'B) D RI'!A244</f>
        <v>5788</v>
      </c>
      <c r="B243" s="246" t="str">
        <f>'B) D RI'!B244</f>
        <v>Essertes</v>
      </c>
      <c r="C243" s="407">
        <v>181742.18353900331</v>
      </c>
      <c r="D243" s="346">
        <v>171345.24203799421</v>
      </c>
      <c r="E243" s="257">
        <f t="shared" si="9"/>
        <v>-10396.941501009103</v>
      </c>
      <c r="F243" s="257">
        <v>103289.38881406476</v>
      </c>
      <c r="G243" s="346">
        <v>40164.381957666956</v>
      </c>
      <c r="H243" s="257">
        <f t="shared" si="10"/>
        <v>-63125.006856397806</v>
      </c>
      <c r="I243" s="257">
        <v>35171.476251604166</v>
      </c>
      <c r="J243" s="346">
        <v>32751.669343867667</v>
      </c>
      <c r="K243" s="257">
        <f t="shared" si="11"/>
        <v>-2419.8069077364999</v>
      </c>
    </row>
    <row r="244" spans="1:11" x14ac:dyDescent="0.25">
      <c r="A244" s="245">
        <f>'B) D RI'!A245</f>
        <v>5789</v>
      </c>
      <c r="B244" s="246" t="str">
        <f>'B) D RI'!B245</f>
        <v>Ferlens</v>
      </c>
      <c r="C244" s="407">
        <v>136316.09564211502</v>
      </c>
      <c r="D244" s="346">
        <v>176576.563618477</v>
      </c>
      <c r="E244" s="257">
        <f t="shared" si="9"/>
        <v>40260.467976361979</v>
      </c>
      <c r="F244" s="257">
        <v>-4473.32570977055</v>
      </c>
      <c r="G244" s="346">
        <v>37305.322134983609</v>
      </c>
      <c r="H244" s="257">
        <f t="shared" si="10"/>
        <v>41778.647844754159</v>
      </c>
      <c r="I244" s="257">
        <v>29190.537969648514</v>
      </c>
      <c r="J244" s="346">
        <v>31937.20788598634</v>
      </c>
      <c r="K244" s="257">
        <f t="shared" si="11"/>
        <v>2746.6699163378253</v>
      </c>
    </row>
    <row r="245" spans="1:11" x14ac:dyDescent="0.25">
      <c r="A245" s="245">
        <f>'B) D RI'!A246</f>
        <v>5790</v>
      </c>
      <c r="B245" s="246" t="str">
        <f>'B) D RI'!B246</f>
        <v>Maracon</v>
      </c>
      <c r="C245" s="407">
        <v>200148.1382783564</v>
      </c>
      <c r="D245" s="346">
        <v>281646.16695560154</v>
      </c>
      <c r="E245" s="257">
        <f t="shared" si="9"/>
        <v>81498.028677245136</v>
      </c>
      <c r="F245" s="257">
        <v>-47826.13017367135</v>
      </c>
      <c r="G245" s="346">
        <v>-95937.190455818069</v>
      </c>
      <c r="H245" s="257">
        <f t="shared" si="10"/>
        <v>-48111.060282146718</v>
      </c>
      <c r="I245" s="257">
        <v>37696.641953855316</v>
      </c>
      <c r="J245" s="346">
        <v>38082.12570986677</v>
      </c>
      <c r="K245" s="257">
        <f t="shared" si="11"/>
        <v>385.48375601145381</v>
      </c>
    </row>
    <row r="246" spans="1:11" x14ac:dyDescent="0.25">
      <c r="A246" s="245">
        <f>'B) D RI'!A247</f>
        <v>5791</v>
      </c>
      <c r="B246" s="246" t="str">
        <f>'B) D RI'!B247</f>
        <v>Mézières</v>
      </c>
      <c r="C246" s="407">
        <v>625344.53382136638</v>
      </c>
      <c r="D246" s="346">
        <v>688734.72359084419</v>
      </c>
      <c r="E246" s="257">
        <f t="shared" si="9"/>
        <v>63390.189769477816</v>
      </c>
      <c r="F246" s="257">
        <v>-12274.526197437663</v>
      </c>
      <c r="G246" s="346">
        <v>97451.59636449453</v>
      </c>
      <c r="H246" s="257">
        <f t="shared" si="10"/>
        <v>109726.12256193219</v>
      </c>
      <c r="I246" s="257">
        <v>126508.74497709563</v>
      </c>
      <c r="J246" s="346">
        <v>135951.29990695618</v>
      </c>
      <c r="K246" s="257">
        <f t="shared" si="11"/>
        <v>9442.5549298605474</v>
      </c>
    </row>
    <row r="247" spans="1:11" x14ac:dyDescent="0.25">
      <c r="A247" s="245">
        <f>'B) D RI'!A248</f>
        <v>5792</v>
      </c>
      <c r="B247" s="246" t="str">
        <f>'B) D RI'!B248</f>
        <v>Montpreveyres</v>
      </c>
      <c r="C247" s="407">
        <v>380553.67223380174</v>
      </c>
      <c r="D247" s="346">
        <v>303361.52382656437</v>
      </c>
      <c r="E247" s="257">
        <f t="shared" si="9"/>
        <v>-77192.148407237371</v>
      </c>
      <c r="F247" s="257">
        <v>-80760.026175938518</v>
      </c>
      <c r="G247" s="346">
        <v>-13748.288640195038</v>
      </c>
      <c r="H247" s="257">
        <f t="shared" si="10"/>
        <v>67011.737535743479</v>
      </c>
      <c r="I247" s="257">
        <v>50956.003970717858</v>
      </c>
      <c r="J247" s="346">
        <v>60311.846568741574</v>
      </c>
      <c r="K247" s="257">
        <f t="shared" si="11"/>
        <v>9355.8425980237153</v>
      </c>
    </row>
    <row r="248" spans="1:11" x14ac:dyDescent="0.25">
      <c r="A248" s="245">
        <f>'B) D RI'!A249</f>
        <v>5798</v>
      </c>
      <c r="B248" s="246" t="str">
        <f>'B) D RI'!B249</f>
        <v>Ropraz</v>
      </c>
      <c r="C248" s="407">
        <v>199936.16105129529</v>
      </c>
      <c r="D248" s="346">
        <v>180721.7311585377</v>
      </c>
      <c r="E248" s="257">
        <f t="shared" si="9"/>
        <v>-19214.429892757587</v>
      </c>
      <c r="F248" s="257">
        <v>-120509.27498972049</v>
      </c>
      <c r="G248" s="346">
        <v>-143393.87853924205</v>
      </c>
      <c r="H248" s="257">
        <f t="shared" si="10"/>
        <v>-22884.603549521562</v>
      </c>
      <c r="I248" s="257">
        <v>30771.625979069715</v>
      </c>
      <c r="J248" s="346">
        <v>30468.832198247677</v>
      </c>
      <c r="K248" s="257">
        <f t="shared" si="11"/>
        <v>-302.79378082203766</v>
      </c>
    </row>
    <row r="249" spans="1:11" x14ac:dyDescent="0.25">
      <c r="A249" s="245">
        <f>'B) D RI'!A250</f>
        <v>5799</v>
      </c>
      <c r="B249" s="246" t="str">
        <f>'B) D RI'!B250</f>
        <v>Servion</v>
      </c>
      <c r="C249" s="407">
        <v>1083379.3256924213</v>
      </c>
      <c r="D249" s="346">
        <v>982080.4271924058</v>
      </c>
      <c r="E249" s="257">
        <f t="shared" si="9"/>
        <v>-101298.89850001549</v>
      </c>
      <c r="F249" s="257">
        <v>88526.738730160287</v>
      </c>
      <c r="G249" s="346">
        <v>-293267.06830936635</v>
      </c>
      <c r="H249" s="257">
        <f t="shared" si="10"/>
        <v>-381793.80703952664</v>
      </c>
      <c r="I249" s="257">
        <v>200141.94816799607</v>
      </c>
      <c r="J249" s="346">
        <v>159314.85643121402</v>
      </c>
      <c r="K249" s="257">
        <f t="shared" si="11"/>
        <v>-40827.091736782051</v>
      </c>
    </row>
    <row r="250" spans="1:11" x14ac:dyDescent="0.25">
      <c r="A250" s="245">
        <f>'B) D RI'!A251</f>
        <v>5803</v>
      </c>
      <c r="B250" s="246" t="str">
        <f>'B) D RI'!B251</f>
        <v>Vulliens</v>
      </c>
      <c r="C250" s="407">
        <v>173484.5515307457</v>
      </c>
      <c r="D250" s="346">
        <v>267454.91914368619</v>
      </c>
      <c r="E250" s="257">
        <f t="shared" si="9"/>
        <v>93970.367612940492</v>
      </c>
      <c r="F250" s="257">
        <v>-180066.60228100602</v>
      </c>
      <c r="G250" s="346">
        <v>-82245.502269525416</v>
      </c>
      <c r="H250" s="257">
        <f t="shared" si="10"/>
        <v>97821.100011480608</v>
      </c>
      <c r="I250" s="257">
        <v>34313.180262723879</v>
      </c>
      <c r="J250" s="346">
        <v>39820.736208282033</v>
      </c>
      <c r="K250" s="257">
        <f t="shared" si="11"/>
        <v>5507.5559455581533</v>
      </c>
    </row>
    <row r="251" spans="1:11" x14ac:dyDescent="0.25">
      <c r="A251" s="245">
        <f>'B) D RI'!A252</f>
        <v>5804</v>
      </c>
      <c r="B251" s="246" t="str">
        <f>'B) D RI'!B252</f>
        <v>Jorat-Menthue</v>
      </c>
      <c r="C251" s="407">
        <v>693474.91357382387</v>
      </c>
      <c r="D251" s="346">
        <v>708121.51603866159</v>
      </c>
      <c r="E251" s="257">
        <f t="shared" si="9"/>
        <v>14646.602464837721</v>
      </c>
      <c r="F251" s="257">
        <v>-437716.81012220262</v>
      </c>
      <c r="G251" s="346">
        <v>-444242.3227135787</v>
      </c>
      <c r="H251" s="257">
        <f t="shared" si="10"/>
        <v>-6525.5125913760858</v>
      </c>
      <c r="I251" s="257">
        <v>121954.28703875333</v>
      </c>
      <c r="J251" s="346">
        <v>129318.87593813144</v>
      </c>
      <c r="K251" s="257">
        <f t="shared" si="11"/>
        <v>7364.5888993781118</v>
      </c>
    </row>
    <row r="252" spans="1:11" x14ac:dyDescent="0.25">
      <c r="A252" s="245">
        <f>'B) D RI'!A253</f>
        <v>5805</v>
      </c>
      <c r="B252" s="246" t="str">
        <f>'B) D RI'!B253</f>
        <v>Oron</v>
      </c>
      <c r="C252" s="407">
        <v>2860807.2216809373</v>
      </c>
      <c r="D252" s="346">
        <v>2566560.5731538143</v>
      </c>
      <c r="E252" s="257">
        <f t="shared" si="9"/>
        <v>-294246.64852712303</v>
      </c>
      <c r="F252" s="257">
        <v>-1753368.9113232456</v>
      </c>
      <c r="G252" s="346">
        <v>-1799785.3914173462</v>
      </c>
      <c r="H252" s="257">
        <f t="shared" si="10"/>
        <v>-46416.480094100581</v>
      </c>
      <c r="I252" s="257">
        <v>450180.72702488129</v>
      </c>
      <c r="J252" s="346">
        <v>458517.91882435977</v>
      </c>
      <c r="K252" s="257">
        <f t="shared" si="11"/>
        <v>8337.191799478489</v>
      </c>
    </row>
    <row r="253" spans="1:11" x14ac:dyDescent="0.25">
      <c r="A253" s="245">
        <f>'B) D RI'!A254</f>
        <v>5812</v>
      </c>
      <c r="B253" s="246" t="str">
        <f>'B) D RI'!B254</f>
        <v>Champtauroz</v>
      </c>
      <c r="C253" s="407">
        <v>44647.415149845947</v>
      </c>
      <c r="D253" s="346">
        <v>52316.803646574626</v>
      </c>
      <c r="E253" s="257">
        <f t="shared" si="9"/>
        <v>7669.3884967286795</v>
      </c>
      <c r="F253" s="257">
        <v>-91836.309789390216</v>
      </c>
      <c r="G253" s="346">
        <v>-83254.252179769275</v>
      </c>
      <c r="H253" s="257">
        <f t="shared" si="10"/>
        <v>8582.0576096209406</v>
      </c>
      <c r="I253" s="257">
        <v>7928.2699094864547</v>
      </c>
      <c r="J253" s="346">
        <v>7599.76108375068</v>
      </c>
      <c r="K253" s="257">
        <f t="shared" si="11"/>
        <v>-328.50882573577474</v>
      </c>
    </row>
    <row r="254" spans="1:11" x14ac:dyDescent="0.25">
      <c r="A254" s="245">
        <f>'B) D RI'!A255</f>
        <v>5813</v>
      </c>
      <c r="B254" s="246" t="str">
        <f>'B) D RI'!B255</f>
        <v>Chevroux</v>
      </c>
      <c r="C254" s="407">
        <v>193690.1980662125</v>
      </c>
      <c r="D254" s="346">
        <v>199772.11696081588</v>
      </c>
      <c r="E254" s="257">
        <f t="shared" si="9"/>
        <v>6081.9188946033828</v>
      </c>
      <c r="F254" s="257">
        <v>53348.209186966909</v>
      </c>
      <c r="G254" s="346">
        <v>23182.398550655373</v>
      </c>
      <c r="H254" s="257">
        <f t="shared" si="10"/>
        <v>-30165.810636311537</v>
      </c>
      <c r="I254" s="257">
        <v>34879.477740120899</v>
      </c>
      <c r="J254" s="346">
        <v>36214.604898833095</v>
      </c>
      <c r="K254" s="257">
        <f t="shared" si="11"/>
        <v>1335.1271587121955</v>
      </c>
    </row>
    <row r="255" spans="1:11" x14ac:dyDescent="0.25">
      <c r="A255" s="245">
        <f>'B) D RI'!A256</f>
        <v>5816</v>
      </c>
      <c r="B255" s="246" t="str">
        <f>'B) D RI'!B256</f>
        <v>Corcelles-près-Payerne</v>
      </c>
      <c r="C255" s="407">
        <v>886126.76530730515</v>
      </c>
      <c r="D255" s="346">
        <v>1001510.7759040482</v>
      </c>
      <c r="E255" s="257">
        <f t="shared" si="9"/>
        <v>115384.01059674309</v>
      </c>
      <c r="F255" s="257">
        <v>-602811.3177916822</v>
      </c>
      <c r="G255" s="346">
        <v>-708195.50424322532</v>
      </c>
      <c r="H255" s="257">
        <f t="shared" si="10"/>
        <v>-105384.18645154312</v>
      </c>
      <c r="I255" s="257">
        <v>158408.36219879807</v>
      </c>
      <c r="J255" s="346">
        <v>166769.15954246011</v>
      </c>
      <c r="K255" s="257">
        <f t="shared" si="11"/>
        <v>8360.7973436620377</v>
      </c>
    </row>
    <row r="256" spans="1:11" x14ac:dyDescent="0.25">
      <c r="A256" s="245">
        <f>'B) D RI'!A257</f>
        <v>5817</v>
      </c>
      <c r="B256" s="246" t="str">
        <f>'B) D RI'!B257</f>
        <v>Grandcour</v>
      </c>
      <c r="C256" s="407">
        <v>311312.68206435943</v>
      </c>
      <c r="D256" s="346">
        <v>340345.4959890758</v>
      </c>
      <c r="E256" s="257">
        <f t="shared" si="9"/>
        <v>29032.813924716378</v>
      </c>
      <c r="F256" s="257">
        <v>-162034.87080203637</v>
      </c>
      <c r="G256" s="346">
        <v>-214157.86847624538</v>
      </c>
      <c r="H256" s="257">
        <f t="shared" si="10"/>
        <v>-52122.997674209008</v>
      </c>
      <c r="I256" s="257">
        <v>65247.215899789589</v>
      </c>
      <c r="J256" s="346">
        <v>66195.693042676168</v>
      </c>
      <c r="K256" s="257">
        <f t="shared" si="11"/>
        <v>948.4771428865788</v>
      </c>
    </row>
    <row r="257" spans="1:11" x14ac:dyDescent="0.25">
      <c r="A257" s="245">
        <f>'B) D RI'!A258</f>
        <v>5819</v>
      </c>
      <c r="B257" s="246" t="str">
        <f>'B) D RI'!B258</f>
        <v>Henniez</v>
      </c>
      <c r="C257" s="407">
        <v>229473.72934235071</v>
      </c>
      <c r="D257" s="346">
        <v>213422.94260642238</v>
      </c>
      <c r="E257" s="257">
        <f t="shared" si="9"/>
        <v>-16050.786735928326</v>
      </c>
      <c r="F257" s="257">
        <v>212967.87607100001</v>
      </c>
      <c r="G257" s="346">
        <v>108018.1706443095</v>
      </c>
      <c r="H257" s="257">
        <f t="shared" si="10"/>
        <v>-104949.7054266905</v>
      </c>
      <c r="I257" s="257">
        <v>42094.25965121037</v>
      </c>
      <c r="J257" s="346">
        <v>40996.397502991866</v>
      </c>
      <c r="K257" s="257">
        <f t="shared" si="11"/>
        <v>-1097.8621482185044</v>
      </c>
    </row>
    <row r="258" spans="1:11" x14ac:dyDescent="0.25">
      <c r="A258" s="245">
        <f>'B) D RI'!A259</f>
        <v>5821</v>
      </c>
      <c r="B258" s="246" t="str">
        <f>'B) D RI'!B259</f>
        <v>Missy</v>
      </c>
      <c r="C258" s="407">
        <v>133303.64537039201</v>
      </c>
      <c r="D258" s="346">
        <v>153671.77345693595</v>
      </c>
      <c r="E258" s="257">
        <f t="shared" si="9"/>
        <v>20368.128086543933</v>
      </c>
      <c r="F258" s="257">
        <v>-57725.555335033074</v>
      </c>
      <c r="G258" s="346">
        <v>-134471.85428031647</v>
      </c>
      <c r="H258" s="257">
        <f t="shared" si="10"/>
        <v>-76746.298945283401</v>
      </c>
      <c r="I258" s="257">
        <v>22852.888242283767</v>
      </c>
      <c r="J258" s="346">
        <v>22940.466792497835</v>
      </c>
      <c r="K258" s="257">
        <f t="shared" si="11"/>
        <v>87.578550214067945</v>
      </c>
    </row>
    <row r="259" spans="1:11" x14ac:dyDescent="0.25">
      <c r="A259" s="245">
        <f>'B) D RI'!A260</f>
        <v>5822</v>
      </c>
      <c r="B259" s="246" t="str">
        <f>'B) D RI'!B260</f>
        <v>Payerne</v>
      </c>
      <c r="C259" s="407">
        <v>3843379.0374510498</v>
      </c>
      <c r="D259" s="346">
        <v>3910232.4839873817</v>
      </c>
      <c r="E259" s="257">
        <f t="shared" si="9"/>
        <v>66853.446536331903</v>
      </c>
      <c r="F259" s="257">
        <v>-4633943.1802505478</v>
      </c>
      <c r="G259" s="346">
        <v>-5446870.0291927326</v>
      </c>
      <c r="H259" s="257">
        <f t="shared" si="10"/>
        <v>-812926.84894218482</v>
      </c>
      <c r="I259" s="257">
        <v>727882.42885118071</v>
      </c>
      <c r="J259" s="346">
        <v>704207.97805826482</v>
      </c>
      <c r="K259" s="257">
        <f t="shared" si="11"/>
        <v>-23674.450792915886</v>
      </c>
    </row>
    <row r="260" spans="1:11" x14ac:dyDescent="0.25">
      <c r="A260" s="245">
        <f>'B) D RI'!A261</f>
        <v>5827</v>
      </c>
      <c r="B260" s="246" t="str">
        <f>'B) D RI'!B261</f>
        <v>Trey</v>
      </c>
      <c r="C260" s="407">
        <v>109953.79362233255</v>
      </c>
      <c r="D260" s="346">
        <v>120048.08196212993</v>
      </c>
      <c r="E260" s="257">
        <f t="shared" si="9"/>
        <v>10094.288339797378</v>
      </c>
      <c r="F260" s="257">
        <v>-94707.357489087211</v>
      </c>
      <c r="G260" s="346">
        <v>-66091.944119930937</v>
      </c>
      <c r="H260" s="257">
        <f t="shared" si="10"/>
        <v>28615.413369156275</v>
      </c>
      <c r="I260" s="257">
        <v>19672.873121649165</v>
      </c>
      <c r="J260" s="346">
        <v>20729.956219540953</v>
      </c>
      <c r="K260" s="257">
        <f t="shared" si="11"/>
        <v>1057.0830978917875</v>
      </c>
    </row>
    <row r="261" spans="1:11" x14ac:dyDescent="0.25">
      <c r="A261" s="245">
        <f>'B) D RI'!A262</f>
        <v>5828</v>
      </c>
      <c r="B261" s="246" t="str">
        <f>'B) D RI'!B262</f>
        <v>Treytorrens (Payerne)</v>
      </c>
      <c r="C261" s="407">
        <v>52225.208203302376</v>
      </c>
      <c r="D261" s="346">
        <v>38851.227473799358</v>
      </c>
      <c r="E261" s="257">
        <f t="shared" si="9"/>
        <v>-13373.980729503019</v>
      </c>
      <c r="F261" s="257">
        <v>-82976.067954537604</v>
      </c>
      <c r="G261" s="346">
        <v>-103897.02349658258</v>
      </c>
      <c r="H261" s="257">
        <f t="shared" si="10"/>
        <v>-20920.955542044976</v>
      </c>
      <c r="I261" s="257">
        <v>7709.3026190397632</v>
      </c>
      <c r="J261" s="346">
        <v>6717.3120424821482</v>
      </c>
      <c r="K261" s="257">
        <f t="shared" si="11"/>
        <v>-991.99057655761499</v>
      </c>
    </row>
    <row r="262" spans="1:11" x14ac:dyDescent="0.25">
      <c r="A262" s="245">
        <f>'B) D RI'!A263</f>
        <v>5830</v>
      </c>
      <c r="B262" s="246" t="str">
        <f>'B) D RI'!B263</f>
        <v>Villarzel</v>
      </c>
      <c r="C262" s="407">
        <v>145627.52985145606</v>
      </c>
      <c r="D262" s="346">
        <v>162836.65097471786</v>
      </c>
      <c r="E262" s="257">
        <f t="shared" si="9"/>
        <v>17209.121123261808</v>
      </c>
      <c r="F262" s="257">
        <v>-165442.72161094917</v>
      </c>
      <c r="G262" s="346">
        <v>-151655.53811770768</v>
      </c>
      <c r="H262" s="257">
        <f t="shared" si="10"/>
        <v>13787.183493241493</v>
      </c>
      <c r="I262" s="257">
        <v>30596.049726752193</v>
      </c>
      <c r="J262" s="346">
        <v>32368.853328199915</v>
      </c>
      <c r="K262" s="257">
        <f t="shared" si="11"/>
        <v>1772.803601447722</v>
      </c>
    </row>
    <row r="263" spans="1:11" x14ac:dyDescent="0.25">
      <c r="A263" s="245">
        <f>'B) D RI'!A264</f>
        <v>5831</v>
      </c>
      <c r="B263" s="246" t="str">
        <f>'B) D RI'!B264</f>
        <v>Valbroye</v>
      </c>
      <c r="C263" s="407">
        <v>1291006.6449231093</v>
      </c>
      <c r="D263" s="346">
        <v>1230847.3813114758</v>
      </c>
      <c r="E263" s="257">
        <f t="shared" ref="E263:E323" si="12">D263-C263</f>
        <v>-60159.263611633563</v>
      </c>
      <c r="F263" s="257">
        <v>-1092476.360384909</v>
      </c>
      <c r="G263" s="346">
        <v>-1028831.4645810983</v>
      </c>
      <c r="H263" s="257">
        <f t="shared" ref="H263:H323" si="13">G263-F263</f>
        <v>63644.895803810679</v>
      </c>
      <c r="I263" s="257">
        <v>244048.71141164869</v>
      </c>
      <c r="J263" s="346">
        <v>246448.64290472964</v>
      </c>
      <c r="K263" s="257">
        <f t="shared" ref="K263:K323" si="14">J263-I263</f>
        <v>2399.9314930809487</v>
      </c>
    </row>
    <row r="264" spans="1:11" x14ac:dyDescent="0.25">
      <c r="A264" s="245">
        <f>'B) D RI'!A265</f>
        <v>5841</v>
      </c>
      <c r="B264" s="246" t="str">
        <f>'B) D RI'!B265</f>
        <v>Château-d'Oex</v>
      </c>
      <c r="C264" s="407">
        <v>1978147.013757572</v>
      </c>
      <c r="D264" s="346">
        <v>2140660.0200900575</v>
      </c>
      <c r="E264" s="257">
        <f t="shared" si="12"/>
        <v>162513.00633248547</v>
      </c>
      <c r="F264" s="257">
        <v>-2206568.133057429</v>
      </c>
      <c r="G264" s="346">
        <v>-1874423.8659978146</v>
      </c>
      <c r="H264" s="257">
        <f t="shared" si="13"/>
        <v>332144.26705961442</v>
      </c>
      <c r="I264" s="257">
        <v>319978.00893623341</v>
      </c>
      <c r="J264" s="346">
        <v>332720.01544637728</v>
      </c>
      <c r="K264" s="257">
        <f t="shared" si="14"/>
        <v>12742.006510143867</v>
      </c>
    </row>
    <row r="265" spans="1:11" x14ac:dyDescent="0.25">
      <c r="A265" s="245">
        <f>'B) D RI'!A266</f>
        <v>5842</v>
      </c>
      <c r="B265" s="246" t="str">
        <f>'B) D RI'!B266</f>
        <v>Rossinière</v>
      </c>
      <c r="C265" s="407">
        <v>236665.2705718028</v>
      </c>
      <c r="D265" s="346">
        <v>270933.70783178619</v>
      </c>
      <c r="E265" s="257">
        <f t="shared" si="12"/>
        <v>34268.437259983388</v>
      </c>
      <c r="F265" s="257">
        <v>-533254.68379817833</v>
      </c>
      <c r="G265" s="346">
        <v>-230049.87608939997</v>
      </c>
      <c r="H265" s="257">
        <f t="shared" si="13"/>
        <v>303204.80770877836</v>
      </c>
      <c r="I265" s="257">
        <v>40335.765036816461</v>
      </c>
      <c r="J265" s="346">
        <v>52500.982514590076</v>
      </c>
      <c r="K265" s="257">
        <f t="shared" si="14"/>
        <v>12165.217477773615</v>
      </c>
    </row>
    <row r="266" spans="1:11" x14ac:dyDescent="0.25">
      <c r="A266" s="245">
        <f>'B) D RI'!A267</f>
        <v>5843</v>
      </c>
      <c r="B266" s="246" t="str">
        <f>'B) D RI'!B267</f>
        <v>Rougemont</v>
      </c>
      <c r="C266" s="407">
        <v>3634231.8358762953</v>
      </c>
      <c r="D266" s="346">
        <v>3487336.4327212004</v>
      </c>
      <c r="E266" s="257">
        <f t="shared" si="12"/>
        <v>-146895.40315509494</v>
      </c>
      <c r="F266" s="257">
        <v>127096.01355249994</v>
      </c>
      <c r="G266" s="346">
        <v>242466.07548465324</v>
      </c>
      <c r="H266" s="257">
        <f t="shared" si="13"/>
        <v>115370.0619321533</v>
      </c>
      <c r="I266" s="257">
        <v>176940.19986493854</v>
      </c>
      <c r="J266" s="346">
        <v>168848.87492779127</v>
      </c>
      <c r="K266" s="257">
        <f t="shared" si="14"/>
        <v>-8091.324937147263</v>
      </c>
    </row>
    <row r="267" spans="1:11" x14ac:dyDescent="0.25">
      <c r="A267" s="245">
        <f>'B) D RI'!A268</f>
        <v>5851</v>
      </c>
      <c r="B267" s="246" t="str">
        <f>'B) D RI'!B268</f>
        <v>Allaman</v>
      </c>
      <c r="C267" s="407">
        <v>445408.64420708956</v>
      </c>
      <c r="D267" s="346">
        <v>218391.02214127441</v>
      </c>
      <c r="E267" s="257">
        <f t="shared" si="12"/>
        <v>-227017.62206581514</v>
      </c>
      <c r="F267" s="257">
        <v>387161.3602155</v>
      </c>
      <c r="G267" s="346">
        <v>415663.26922192296</v>
      </c>
      <c r="H267" s="257">
        <f t="shared" si="13"/>
        <v>28501.909006422968</v>
      </c>
      <c r="I267" s="257">
        <v>67491.384725102544</v>
      </c>
      <c r="J267" s="346">
        <v>65494.796398796359</v>
      </c>
      <c r="K267" s="257">
        <f t="shared" si="14"/>
        <v>-1996.5883263061842</v>
      </c>
    </row>
    <row r="268" spans="1:11" x14ac:dyDescent="0.25">
      <c r="A268" s="245">
        <f>'B) D RI'!A269</f>
        <v>5852</v>
      </c>
      <c r="B268" s="246" t="str">
        <f>'B) D RI'!B269</f>
        <v>Bursinel</v>
      </c>
      <c r="C268" s="407">
        <v>929144.61745014251</v>
      </c>
      <c r="D268" s="346">
        <v>670430.24205130665</v>
      </c>
      <c r="E268" s="257">
        <f t="shared" si="12"/>
        <v>-258714.37539883587</v>
      </c>
      <c r="F268" s="257">
        <v>554291.59405399999</v>
      </c>
      <c r="G268" s="346">
        <v>480611.32742061437</v>
      </c>
      <c r="H268" s="257">
        <f t="shared" si="13"/>
        <v>-73680.266633385618</v>
      </c>
      <c r="I268" s="257">
        <v>86135.782810519799</v>
      </c>
      <c r="J268" s="346">
        <v>79242.110662626699</v>
      </c>
      <c r="K268" s="257">
        <f t="shared" si="14"/>
        <v>-6893.6721478930995</v>
      </c>
    </row>
    <row r="269" spans="1:11" x14ac:dyDescent="0.25">
      <c r="A269" s="245">
        <f>'B) D RI'!A270</f>
        <v>5853</v>
      </c>
      <c r="B269" s="246" t="str">
        <f>'B) D RI'!B270</f>
        <v>Bursins</v>
      </c>
      <c r="C269" s="407">
        <v>620823.45961757703</v>
      </c>
      <c r="D269" s="346">
        <v>683091.44255801919</v>
      </c>
      <c r="E269" s="257">
        <f t="shared" si="12"/>
        <v>62267.982940442162</v>
      </c>
      <c r="F269" s="257">
        <v>523434.53599500004</v>
      </c>
      <c r="G269" s="346">
        <v>608296.65493522014</v>
      </c>
      <c r="H269" s="257">
        <f t="shared" si="13"/>
        <v>84862.118940220098</v>
      </c>
      <c r="I269" s="257">
        <v>115256.30579439542</v>
      </c>
      <c r="J269" s="346">
        <v>114078.94460570827</v>
      </c>
      <c r="K269" s="257">
        <f t="shared" si="14"/>
        <v>-1177.3611886871513</v>
      </c>
    </row>
    <row r="270" spans="1:11" x14ac:dyDescent="0.25">
      <c r="A270" s="245">
        <f>'B) D RI'!A271</f>
        <v>5854</v>
      </c>
      <c r="B270" s="246" t="str">
        <f>'B) D RI'!B271</f>
        <v>Burtigny</v>
      </c>
      <c r="C270" s="407">
        <v>188150.65015900455</v>
      </c>
      <c r="D270" s="346">
        <v>158315.08501946772</v>
      </c>
      <c r="E270" s="257">
        <f t="shared" si="12"/>
        <v>-29835.565139536833</v>
      </c>
      <c r="F270" s="257">
        <v>-2559.9753340505122</v>
      </c>
      <c r="G270" s="346">
        <v>267.00410114117039</v>
      </c>
      <c r="H270" s="257">
        <f t="shared" si="13"/>
        <v>2826.9794351916826</v>
      </c>
      <c r="I270" s="257">
        <v>35017.961907228702</v>
      </c>
      <c r="J270" s="346">
        <v>32207.540658277569</v>
      </c>
      <c r="K270" s="257">
        <f t="shared" si="14"/>
        <v>-2810.4212489511337</v>
      </c>
    </row>
    <row r="271" spans="1:11" x14ac:dyDescent="0.25">
      <c r="A271" s="245">
        <f>'B) D RI'!A272</f>
        <v>5855</v>
      </c>
      <c r="B271" s="246" t="str">
        <f>'B) D RI'!B272</f>
        <v>Dully</v>
      </c>
      <c r="C271" s="407">
        <v>1855383.5589478584</v>
      </c>
      <c r="D271" s="346">
        <v>1874748.2212884882</v>
      </c>
      <c r="E271" s="257">
        <f t="shared" si="12"/>
        <v>19364.662340629846</v>
      </c>
      <c r="F271" s="257">
        <v>905086.84106649994</v>
      </c>
      <c r="G271" s="346">
        <v>890248.73025878705</v>
      </c>
      <c r="H271" s="257">
        <f t="shared" si="13"/>
        <v>-14838.110807712888</v>
      </c>
      <c r="I271" s="257">
        <v>118348.30037434408</v>
      </c>
      <c r="J271" s="346">
        <v>121164.8834970257</v>
      </c>
      <c r="K271" s="257">
        <f t="shared" si="14"/>
        <v>2816.5831226816226</v>
      </c>
    </row>
    <row r="272" spans="1:11" x14ac:dyDescent="0.25">
      <c r="A272" s="245">
        <f>'B) D RI'!A273</f>
        <v>5856</v>
      </c>
      <c r="B272" s="246" t="str">
        <f>'B) D RI'!B273</f>
        <v>Essertines-sur-Rolle</v>
      </c>
      <c r="C272" s="407">
        <v>408227.67156822246</v>
      </c>
      <c r="D272" s="346">
        <v>432316.68590995425</v>
      </c>
      <c r="E272" s="257">
        <f t="shared" si="12"/>
        <v>24089.014341731789</v>
      </c>
      <c r="F272" s="257">
        <v>301467.96954015072</v>
      </c>
      <c r="G272" s="346">
        <v>373476.63756009616</v>
      </c>
      <c r="H272" s="257">
        <f t="shared" si="13"/>
        <v>72008.668019945442</v>
      </c>
      <c r="I272" s="257">
        <v>85658.263473723593</v>
      </c>
      <c r="J272" s="346">
        <v>89832.426035892422</v>
      </c>
      <c r="K272" s="257">
        <f t="shared" si="14"/>
        <v>4174.162562168829</v>
      </c>
    </row>
    <row r="273" spans="1:11" x14ac:dyDescent="0.25">
      <c r="A273" s="245">
        <f>'B) D RI'!A274</f>
        <v>5857</v>
      </c>
      <c r="B273" s="246" t="str">
        <f>'B) D RI'!B274</f>
        <v>Gilly</v>
      </c>
      <c r="C273" s="407">
        <v>1124580.5470748041</v>
      </c>
      <c r="D273" s="346">
        <v>1150979.9403507556</v>
      </c>
      <c r="E273" s="257">
        <f t="shared" si="12"/>
        <v>26399.393275951501</v>
      </c>
      <c r="F273" s="257">
        <v>897239.57015399996</v>
      </c>
      <c r="G273" s="346">
        <v>885443.95299670426</v>
      </c>
      <c r="H273" s="257">
        <f t="shared" si="13"/>
        <v>-11795.617157295696</v>
      </c>
      <c r="I273" s="257">
        <v>163786.9266021415</v>
      </c>
      <c r="J273" s="346">
        <v>168833.08623324701</v>
      </c>
      <c r="K273" s="257">
        <f t="shared" si="14"/>
        <v>5046.1596311055182</v>
      </c>
    </row>
    <row r="274" spans="1:11" x14ac:dyDescent="0.25">
      <c r="A274" s="245">
        <f>'B) D RI'!A275</f>
        <v>5858</v>
      </c>
      <c r="B274" s="246" t="str">
        <f>'B) D RI'!B275</f>
        <v>Luins</v>
      </c>
      <c r="C274" s="407">
        <v>657336.6759674456</v>
      </c>
      <c r="D274" s="346">
        <v>512624.71799631492</v>
      </c>
      <c r="E274" s="257">
        <f t="shared" si="12"/>
        <v>-144711.95797113067</v>
      </c>
      <c r="F274" s="257">
        <v>576082.96292600001</v>
      </c>
      <c r="G274" s="346">
        <v>558516.09851001692</v>
      </c>
      <c r="H274" s="257">
        <f t="shared" si="13"/>
        <v>-17566.864415983087</v>
      </c>
      <c r="I274" s="257">
        <v>97560.674396723654</v>
      </c>
      <c r="J274" s="346">
        <v>97633.593767490893</v>
      </c>
      <c r="K274" s="257">
        <f t="shared" si="14"/>
        <v>72.919370767238433</v>
      </c>
    </row>
    <row r="275" spans="1:11" x14ac:dyDescent="0.25">
      <c r="A275" s="245">
        <f>'B) D RI'!A276</f>
        <v>5859</v>
      </c>
      <c r="B275" s="246" t="str">
        <f>'B) D RI'!B276</f>
        <v>Mont-sur-Rolle</v>
      </c>
      <c r="C275" s="407">
        <v>2530923.0289021963</v>
      </c>
      <c r="D275" s="346">
        <v>2494242.7386656124</v>
      </c>
      <c r="E275" s="257">
        <f t="shared" si="12"/>
        <v>-36680.290236583911</v>
      </c>
      <c r="F275" s="257">
        <v>1965106.2644827501</v>
      </c>
      <c r="G275" s="346">
        <v>2045449.0874643838</v>
      </c>
      <c r="H275" s="257">
        <f t="shared" si="13"/>
        <v>80342.822981633712</v>
      </c>
      <c r="I275" s="257">
        <v>410157.67563192104</v>
      </c>
      <c r="J275" s="346">
        <v>410693.97724183882</v>
      </c>
      <c r="K275" s="257">
        <f t="shared" si="14"/>
        <v>536.30160991777666</v>
      </c>
    </row>
    <row r="276" spans="1:11" x14ac:dyDescent="0.25">
      <c r="A276" s="245">
        <f>'B) D RI'!A277</f>
        <v>5860</v>
      </c>
      <c r="B276" s="246" t="str">
        <f>'B) D RI'!B277</f>
        <v>Perroy</v>
      </c>
      <c r="C276" s="407">
        <v>1452629.0127993561</v>
      </c>
      <c r="D276" s="346">
        <v>1773992.813277914</v>
      </c>
      <c r="E276" s="257">
        <f t="shared" si="12"/>
        <v>321363.80047855782</v>
      </c>
      <c r="F276" s="257">
        <v>1256654.8006547499</v>
      </c>
      <c r="G276" s="346">
        <v>1320485.7948880286</v>
      </c>
      <c r="H276" s="257">
        <f t="shared" si="13"/>
        <v>63830.99423327879</v>
      </c>
      <c r="I276" s="257">
        <v>228423.59143206853</v>
      </c>
      <c r="J276" s="346">
        <v>235871.69935815712</v>
      </c>
      <c r="K276" s="257">
        <f t="shared" si="14"/>
        <v>7448.107926088589</v>
      </c>
    </row>
    <row r="277" spans="1:11" x14ac:dyDescent="0.25">
      <c r="A277" s="245">
        <f>'B) D RI'!A278</f>
        <v>5861</v>
      </c>
      <c r="B277" s="246" t="str">
        <f>'B) D RI'!B278</f>
        <v>Rolle</v>
      </c>
      <c r="C277" s="407">
        <v>7869083.6392376209</v>
      </c>
      <c r="D277" s="346">
        <v>16951639.559979185</v>
      </c>
      <c r="E277" s="257">
        <f t="shared" si="12"/>
        <v>9082555.9207415655</v>
      </c>
      <c r="F277" s="257">
        <v>4226774.9888559999</v>
      </c>
      <c r="G277" s="346">
        <v>6788139.1473193588</v>
      </c>
      <c r="H277" s="257">
        <f t="shared" si="13"/>
        <v>2561364.1584633589</v>
      </c>
      <c r="I277" s="257">
        <v>985423.45106480515</v>
      </c>
      <c r="J277" s="346">
        <v>1163287.6315928218</v>
      </c>
      <c r="K277" s="257">
        <f t="shared" si="14"/>
        <v>177864.18052801664</v>
      </c>
    </row>
    <row r="278" spans="1:11" x14ac:dyDescent="0.25">
      <c r="A278" s="245">
        <f>'B) D RI'!A279</f>
        <v>5862</v>
      </c>
      <c r="B278" s="246" t="str">
        <f>'B) D RI'!B279</f>
        <v>Tartegnin</v>
      </c>
      <c r="C278" s="407">
        <v>135416.64354020759</v>
      </c>
      <c r="D278" s="346">
        <v>158277.17507676414</v>
      </c>
      <c r="E278" s="257">
        <f t="shared" si="12"/>
        <v>22860.531536556548</v>
      </c>
      <c r="F278" s="257">
        <v>44249.518774063748</v>
      </c>
      <c r="G278" s="346">
        <v>160770.42980487214</v>
      </c>
      <c r="H278" s="257">
        <f t="shared" si="13"/>
        <v>116520.91103080839</v>
      </c>
      <c r="I278" s="257">
        <v>25874.4035129119</v>
      </c>
      <c r="J278" s="346">
        <v>31863.993206596257</v>
      </c>
      <c r="K278" s="257">
        <f t="shared" si="14"/>
        <v>5989.5896936843565</v>
      </c>
    </row>
    <row r="279" spans="1:11" x14ac:dyDescent="0.25">
      <c r="A279" s="245">
        <f>'B) D RI'!A280</f>
        <v>5863</v>
      </c>
      <c r="B279" s="246" t="str">
        <f>'B) D RI'!B280</f>
        <v>Vinzel</v>
      </c>
      <c r="C279" s="407">
        <v>456988.90141058795</v>
      </c>
      <c r="D279" s="346">
        <v>534711.90461403923</v>
      </c>
      <c r="E279" s="257">
        <f t="shared" si="12"/>
        <v>77723.003203451284</v>
      </c>
      <c r="F279" s="257">
        <v>366174.1494315</v>
      </c>
      <c r="G279" s="346">
        <v>393813.86161543115</v>
      </c>
      <c r="H279" s="257">
        <f t="shared" si="13"/>
        <v>27639.712183931144</v>
      </c>
      <c r="I279" s="257">
        <v>59250.806309836953</v>
      </c>
      <c r="J279" s="346">
        <v>59849.663049075309</v>
      </c>
      <c r="K279" s="257">
        <f t="shared" si="14"/>
        <v>598.85673923835566</v>
      </c>
    </row>
    <row r="280" spans="1:11" x14ac:dyDescent="0.25">
      <c r="A280" s="245">
        <f>'B) D RI'!A281</f>
        <v>5871</v>
      </c>
      <c r="B280" s="246" t="str">
        <f>'B) D RI'!B281</f>
        <v>L'Abbaye</v>
      </c>
      <c r="C280" s="407">
        <v>1137922.1723160977</v>
      </c>
      <c r="D280" s="346">
        <v>964842.59287786041</v>
      </c>
      <c r="E280" s="257">
        <f t="shared" si="12"/>
        <v>-173079.57943823724</v>
      </c>
      <c r="F280" s="257">
        <v>460506.60139395471</v>
      </c>
      <c r="G280" s="346">
        <v>58308.449846677599</v>
      </c>
      <c r="H280" s="257">
        <f t="shared" si="13"/>
        <v>-402198.15154727711</v>
      </c>
      <c r="I280" s="257">
        <v>181065.35974613269</v>
      </c>
      <c r="J280" s="346">
        <v>156430.77783362451</v>
      </c>
      <c r="K280" s="257">
        <f t="shared" si="14"/>
        <v>-24634.581912508176</v>
      </c>
    </row>
    <row r="281" spans="1:11" x14ac:dyDescent="0.25">
      <c r="A281" s="245">
        <f>'B) D RI'!A282</f>
        <v>5872</v>
      </c>
      <c r="B281" s="246" t="str">
        <f>'B) D RI'!B282</f>
        <v>Le Chenit</v>
      </c>
      <c r="C281" s="407">
        <v>4932452.4245835952</v>
      </c>
      <c r="D281" s="346">
        <v>7244306.0301612634</v>
      </c>
      <c r="E281" s="257">
        <f t="shared" si="12"/>
        <v>2311853.6055776682</v>
      </c>
      <c r="F281" s="257">
        <v>-346611.50171305053</v>
      </c>
      <c r="G281" s="346">
        <v>2492116.0431837067</v>
      </c>
      <c r="H281" s="257">
        <f t="shared" si="13"/>
        <v>2838727.5448967572</v>
      </c>
      <c r="I281" s="257">
        <v>598494.56966397353</v>
      </c>
      <c r="J281" s="346">
        <v>771968.23387585115</v>
      </c>
      <c r="K281" s="257">
        <f t="shared" si="14"/>
        <v>173473.66421187762</v>
      </c>
    </row>
    <row r="282" spans="1:11" x14ac:dyDescent="0.25">
      <c r="A282" s="245">
        <f>'B) D RI'!A283</f>
        <v>5873</v>
      </c>
      <c r="B282" s="246" t="str">
        <f>'B) D RI'!B283</f>
        <v>Le Lieu</v>
      </c>
      <c r="C282" s="407">
        <v>698061.87204396212</v>
      </c>
      <c r="D282" s="346">
        <v>857767.17832542816</v>
      </c>
      <c r="E282" s="257">
        <f t="shared" si="12"/>
        <v>159705.30628146604</v>
      </c>
      <c r="F282" s="257">
        <v>-478931.55010976485</v>
      </c>
      <c r="G282" s="346">
        <v>-188157.57807918428</v>
      </c>
      <c r="H282" s="257">
        <f t="shared" si="13"/>
        <v>290773.97203058057</v>
      </c>
      <c r="I282" s="257">
        <v>85068.445948463734</v>
      </c>
      <c r="J282" s="346">
        <v>111635.07142870969</v>
      </c>
      <c r="K282" s="257">
        <f t="shared" si="14"/>
        <v>26566.625480245959</v>
      </c>
    </row>
    <row r="283" spans="1:11" x14ac:dyDescent="0.25">
      <c r="A283" s="245">
        <f>'B) D RI'!A284</f>
        <v>5881</v>
      </c>
      <c r="B283" s="246" t="str">
        <f>'B) D RI'!B284</f>
        <v>Blonay</v>
      </c>
      <c r="C283" s="407">
        <v>5618163.4431639509</v>
      </c>
      <c r="D283" s="346">
        <v>6265681.9104724666</v>
      </c>
      <c r="E283" s="257">
        <f t="shared" si="12"/>
        <v>647518.46730851568</v>
      </c>
      <c r="F283" s="257">
        <v>3098018.0122889997</v>
      </c>
      <c r="G283" s="346">
        <v>3150201.4955278863</v>
      </c>
      <c r="H283" s="257">
        <f t="shared" si="13"/>
        <v>52183.483238886576</v>
      </c>
      <c r="I283" s="257">
        <v>436327.35192798416</v>
      </c>
      <c r="J283" s="346">
        <v>447969.5789366535</v>
      </c>
      <c r="K283" s="257">
        <f t="shared" si="14"/>
        <v>11642.227008669346</v>
      </c>
    </row>
    <row r="284" spans="1:11" x14ac:dyDescent="0.25">
      <c r="A284" s="245">
        <f>'B) D RI'!A285</f>
        <v>5882</v>
      </c>
      <c r="B284" s="246" t="str">
        <f>'B) D RI'!B285</f>
        <v>Chardonne</v>
      </c>
      <c r="C284" s="407">
        <v>2739107.7406183961</v>
      </c>
      <c r="D284" s="346">
        <v>3141150.6451142225</v>
      </c>
      <c r="E284" s="257">
        <f t="shared" si="12"/>
        <v>402042.90449582646</v>
      </c>
      <c r="F284" s="257">
        <v>1704384.2500405</v>
      </c>
      <c r="G284" s="346">
        <v>1938706.5270150283</v>
      </c>
      <c r="H284" s="257">
        <f t="shared" si="13"/>
        <v>234322.27697452833</v>
      </c>
      <c r="I284" s="257">
        <v>201252.95750654384</v>
      </c>
      <c r="J284" s="346">
        <v>209257.6851941059</v>
      </c>
      <c r="K284" s="257">
        <f t="shared" si="14"/>
        <v>8004.7276875620591</v>
      </c>
    </row>
    <row r="285" spans="1:11" x14ac:dyDescent="0.25">
      <c r="A285" s="245">
        <f>'B) D RI'!A286</f>
        <v>5883</v>
      </c>
      <c r="B285" s="246" t="str">
        <f>'B) D RI'!B286</f>
        <v>Corseaux</v>
      </c>
      <c r="C285" s="407">
        <v>3340617.0893860925</v>
      </c>
      <c r="D285" s="346">
        <v>3083495.1809364734</v>
      </c>
      <c r="E285" s="257">
        <f t="shared" si="12"/>
        <v>-257121.90844961908</v>
      </c>
      <c r="F285" s="257">
        <v>2095115.33081975</v>
      </c>
      <c r="G285" s="346">
        <v>1999178.5925533855</v>
      </c>
      <c r="H285" s="257">
        <f t="shared" si="13"/>
        <v>-95936.738266364438</v>
      </c>
      <c r="I285" s="257">
        <v>190675.45651964293</v>
      </c>
      <c r="J285" s="346">
        <v>175545.71137246714</v>
      </c>
      <c r="K285" s="257">
        <f t="shared" si="14"/>
        <v>-15129.745147175796</v>
      </c>
    </row>
    <row r="286" spans="1:11" x14ac:dyDescent="0.25">
      <c r="A286" s="245">
        <f>'B) D RI'!A287</f>
        <v>5884</v>
      </c>
      <c r="B286" s="246" t="str">
        <f>'B) D RI'!B287</f>
        <v>Corsier-sur-Vevey</v>
      </c>
      <c r="C286" s="407">
        <v>2179649.7356826966</v>
      </c>
      <c r="D286" s="346">
        <v>2245086.7026375411</v>
      </c>
      <c r="E286" s="257">
        <f t="shared" si="12"/>
        <v>65436.966954844538</v>
      </c>
      <c r="F286" s="257">
        <v>-209935.19178064913</v>
      </c>
      <c r="G286" s="346">
        <v>473992.64487674774</v>
      </c>
      <c r="H286" s="257">
        <f t="shared" si="13"/>
        <v>683927.83665739687</v>
      </c>
      <c r="I286" s="257">
        <v>152396.34927852458</v>
      </c>
      <c r="J286" s="346">
        <v>171586.77215147545</v>
      </c>
      <c r="K286" s="257">
        <f t="shared" si="14"/>
        <v>19190.422872950876</v>
      </c>
    </row>
    <row r="287" spans="1:11" x14ac:dyDescent="0.25">
      <c r="A287" s="245">
        <f>'B) D RI'!A288</f>
        <v>5885</v>
      </c>
      <c r="B287" s="246" t="str">
        <f>'B) D RI'!B288</f>
        <v>Jongny</v>
      </c>
      <c r="C287" s="407">
        <v>1219915.3009314961</v>
      </c>
      <c r="D287" s="346">
        <v>6147256.4146442283</v>
      </c>
      <c r="E287" s="257">
        <f t="shared" si="12"/>
        <v>4927341.1137127317</v>
      </c>
      <c r="F287" s="257">
        <v>1080239.503817</v>
      </c>
      <c r="G287" s="346">
        <v>2326292.2588328221</v>
      </c>
      <c r="H287" s="257">
        <f t="shared" si="13"/>
        <v>1246052.7550158221</v>
      </c>
      <c r="I287" s="257">
        <v>101748.54456320668</v>
      </c>
      <c r="J287" s="346">
        <v>181985.34065422058</v>
      </c>
      <c r="K287" s="257">
        <f t="shared" si="14"/>
        <v>80236.796091013894</v>
      </c>
    </row>
    <row r="288" spans="1:11" x14ac:dyDescent="0.25">
      <c r="A288" s="245">
        <f>'B) D RI'!A289</f>
        <v>5886</v>
      </c>
      <c r="B288" s="246" t="str">
        <f>'B) D RI'!B289</f>
        <v>Montreux</v>
      </c>
      <c r="C288" s="407">
        <v>26320365.246424209</v>
      </c>
      <c r="D288" s="346">
        <v>22934834.543012403</v>
      </c>
      <c r="E288" s="257">
        <f t="shared" si="12"/>
        <v>-3385530.7034118064</v>
      </c>
      <c r="F288" s="257">
        <v>-4664926.8502800055</v>
      </c>
      <c r="G288" s="346">
        <v>-5856108.3061740026</v>
      </c>
      <c r="H288" s="257">
        <f t="shared" si="13"/>
        <v>-1191181.4558939971</v>
      </c>
      <c r="I288" s="257">
        <v>1530117.7492860775</v>
      </c>
      <c r="J288" s="346">
        <v>1442824.5415918468</v>
      </c>
      <c r="K288" s="257">
        <f t="shared" si="14"/>
        <v>-87293.207694230601</v>
      </c>
    </row>
    <row r="289" spans="1:11" x14ac:dyDescent="0.25">
      <c r="A289" s="245">
        <f>'B) D RI'!A290</f>
        <v>5888</v>
      </c>
      <c r="B289" s="246" t="str">
        <f>'B) D RI'!B290</f>
        <v>Saint-Légier-La Chiésaz</v>
      </c>
      <c r="C289" s="407">
        <v>6300037.9022082668</v>
      </c>
      <c r="D289" s="346">
        <v>5820231.1462040497</v>
      </c>
      <c r="E289" s="257">
        <f t="shared" si="12"/>
        <v>-479806.75600421708</v>
      </c>
      <c r="F289" s="257">
        <v>3257724.2590999999</v>
      </c>
      <c r="G289" s="346">
        <v>2004607.589086531</v>
      </c>
      <c r="H289" s="257">
        <f t="shared" si="13"/>
        <v>-1253116.6700134689</v>
      </c>
      <c r="I289" s="257">
        <v>418253.08418250282</v>
      </c>
      <c r="J289" s="346">
        <v>390084.24170047132</v>
      </c>
      <c r="K289" s="257">
        <f t="shared" si="14"/>
        <v>-28168.842482031498</v>
      </c>
    </row>
    <row r="290" spans="1:11" x14ac:dyDescent="0.25">
      <c r="A290" s="245">
        <f>'B) D RI'!A291</f>
        <v>5889</v>
      </c>
      <c r="B290" s="246" t="str">
        <f>'B) D RI'!B291</f>
        <v>La Tour-de-Peilz</v>
      </c>
      <c r="C290" s="407">
        <v>11609434.112041116</v>
      </c>
      <c r="D290" s="346">
        <v>9560136.4253832698</v>
      </c>
      <c r="E290" s="257">
        <f t="shared" si="12"/>
        <v>-2049297.686657846</v>
      </c>
      <c r="F290" s="257">
        <v>5426518.5886364989</v>
      </c>
      <c r="G290" s="346">
        <v>4717109.2633267082</v>
      </c>
      <c r="H290" s="257">
        <f t="shared" si="13"/>
        <v>-709409.32530979067</v>
      </c>
      <c r="I290" s="257">
        <v>831910.69128626899</v>
      </c>
      <c r="J290" s="346">
        <v>764923.09569592902</v>
      </c>
      <c r="K290" s="257">
        <f t="shared" si="14"/>
        <v>-66987.595590339974</v>
      </c>
    </row>
    <row r="291" spans="1:11" x14ac:dyDescent="0.25">
      <c r="A291" s="245">
        <f>'B) D RI'!A292</f>
        <v>5890</v>
      </c>
      <c r="B291" s="246" t="str">
        <f>'B) D RI'!B292</f>
        <v>Vevey</v>
      </c>
      <c r="C291" s="407">
        <v>14950049.13966937</v>
      </c>
      <c r="D291" s="346">
        <v>15595360.695266016</v>
      </c>
      <c r="E291" s="257">
        <f t="shared" si="12"/>
        <v>645311.55559664592</v>
      </c>
      <c r="F291" s="257">
        <v>1004934.3943144977</v>
      </c>
      <c r="G291" s="346">
        <v>2078261.3373368343</v>
      </c>
      <c r="H291" s="257">
        <f t="shared" si="13"/>
        <v>1073326.9430223366</v>
      </c>
      <c r="I291" s="257">
        <v>1177975.1689002786</v>
      </c>
      <c r="J291" s="346">
        <v>1195269.6721013263</v>
      </c>
      <c r="K291" s="257">
        <f t="shared" si="14"/>
        <v>17294.503201047657</v>
      </c>
    </row>
    <row r="292" spans="1:11" x14ac:dyDescent="0.25">
      <c r="A292" s="245">
        <f>'B) D RI'!A293</f>
        <v>5891</v>
      </c>
      <c r="B292" s="246" t="str">
        <f>'B) D RI'!B293</f>
        <v>Veytaux</v>
      </c>
      <c r="C292" s="407">
        <v>685958.37504069728</v>
      </c>
      <c r="D292" s="346">
        <v>648091.36601855257</v>
      </c>
      <c r="E292" s="257">
        <f t="shared" si="12"/>
        <v>-37867.009022144717</v>
      </c>
      <c r="F292" s="257">
        <v>208456.77642050001</v>
      </c>
      <c r="G292" s="346">
        <v>278096.95768794318</v>
      </c>
      <c r="H292" s="257">
        <f t="shared" si="13"/>
        <v>69640.181267443171</v>
      </c>
      <c r="I292" s="257">
        <v>56848.600792907295</v>
      </c>
      <c r="J292" s="346">
        <v>48294.539397557419</v>
      </c>
      <c r="K292" s="257">
        <f t="shared" si="14"/>
        <v>-8554.061395349876</v>
      </c>
    </row>
    <row r="293" spans="1:11" x14ac:dyDescent="0.25">
      <c r="A293" s="245">
        <f>'B) D RI'!A294</f>
        <v>5902</v>
      </c>
      <c r="B293" s="246" t="str">
        <f>'B) D RI'!B294</f>
        <v>Belmont-sur-Yverdon</v>
      </c>
      <c r="C293" s="407">
        <v>156293.16168893984</v>
      </c>
      <c r="D293" s="346">
        <v>180855.01594170392</v>
      </c>
      <c r="E293" s="257">
        <f t="shared" si="12"/>
        <v>24561.854252764082</v>
      </c>
      <c r="F293" s="257">
        <v>-17263.003206802678</v>
      </c>
      <c r="G293" s="346">
        <v>-201852.56416097336</v>
      </c>
      <c r="H293" s="257">
        <f t="shared" si="13"/>
        <v>-184589.56095417068</v>
      </c>
      <c r="I293" s="257">
        <v>30070.146250867296</v>
      </c>
      <c r="J293" s="346">
        <v>27205.528466540833</v>
      </c>
      <c r="K293" s="257">
        <f t="shared" si="14"/>
        <v>-2864.6177843264632</v>
      </c>
    </row>
    <row r="294" spans="1:11" x14ac:dyDescent="0.25">
      <c r="A294" s="245">
        <f>'B) D RI'!A295</f>
        <v>5903</v>
      </c>
      <c r="B294" s="246" t="str">
        <f>'B) D RI'!B295</f>
        <v>Bioley-Magnoux</v>
      </c>
      <c r="C294" s="407">
        <v>89221.969023547776</v>
      </c>
      <c r="D294" s="346">
        <v>132378.11034790921</v>
      </c>
      <c r="E294" s="257">
        <f t="shared" si="12"/>
        <v>43156.141324361437</v>
      </c>
      <c r="F294" s="257">
        <v>-38809.992397920199</v>
      </c>
      <c r="G294" s="346">
        <v>-129146.47980118034</v>
      </c>
      <c r="H294" s="257">
        <f t="shared" si="13"/>
        <v>-90336.487403260136</v>
      </c>
      <c r="I294" s="257">
        <v>15974.411339542567</v>
      </c>
      <c r="J294" s="346">
        <v>19123.794631094781</v>
      </c>
      <c r="K294" s="257">
        <f t="shared" si="14"/>
        <v>3149.3832915522144</v>
      </c>
    </row>
    <row r="295" spans="1:11" x14ac:dyDescent="0.25">
      <c r="A295" s="245">
        <f>'B) D RI'!A296</f>
        <v>5904</v>
      </c>
      <c r="B295" s="246" t="str">
        <f>'B) D RI'!B296</f>
        <v>Chamblon</v>
      </c>
      <c r="C295" s="407">
        <v>306071.31890872796</v>
      </c>
      <c r="D295" s="346">
        <v>365507.52206072584</v>
      </c>
      <c r="E295" s="257">
        <f t="shared" si="12"/>
        <v>59436.203151997877</v>
      </c>
      <c r="F295" s="257">
        <v>135032.88834037047</v>
      </c>
      <c r="G295" s="346">
        <v>236900.70731369761</v>
      </c>
      <c r="H295" s="257">
        <f t="shared" si="13"/>
        <v>101867.81897332714</v>
      </c>
      <c r="I295" s="257">
        <v>58764.248680375262</v>
      </c>
      <c r="J295" s="346">
        <v>26144.293050495809</v>
      </c>
      <c r="K295" s="257">
        <f t="shared" si="14"/>
        <v>-32619.955629879452</v>
      </c>
    </row>
    <row r="296" spans="1:11" x14ac:dyDescent="0.25">
      <c r="A296" s="245">
        <f>'B) D RI'!A297</f>
        <v>5905</v>
      </c>
      <c r="B296" s="246" t="str">
        <f>'B) D RI'!B297</f>
        <v>Champvent</v>
      </c>
      <c r="C296" s="407">
        <v>359660.82767380524</v>
      </c>
      <c r="D296" s="346">
        <v>309779.26073474169</v>
      </c>
      <c r="E296" s="257">
        <f t="shared" si="12"/>
        <v>-49881.566939063545</v>
      </c>
      <c r="F296" s="257">
        <v>294444.88936626434</v>
      </c>
      <c r="G296" s="346">
        <v>12055.451266042175</v>
      </c>
      <c r="H296" s="257">
        <f t="shared" si="13"/>
        <v>-282389.43810022215</v>
      </c>
      <c r="I296" s="257">
        <v>73705.005428679069</v>
      </c>
      <c r="J296" s="346">
        <v>57639.588599266892</v>
      </c>
      <c r="K296" s="257">
        <f t="shared" si="14"/>
        <v>-16065.416829412177</v>
      </c>
    </row>
    <row r="297" spans="1:11" x14ac:dyDescent="0.25">
      <c r="A297" s="245">
        <f>'B) D RI'!A298</f>
        <v>5907</v>
      </c>
      <c r="B297" s="246" t="str">
        <f>'B) D RI'!B298</f>
        <v>Chavannes-le-Chêne</v>
      </c>
      <c r="C297" s="407">
        <v>112760.82473916281</v>
      </c>
      <c r="D297" s="346">
        <v>120123.30167027769</v>
      </c>
      <c r="E297" s="257">
        <f t="shared" si="12"/>
        <v>7362.4769311148848</v>
      </c>
      <c r="F297" s="257">
        <v>-30592.202526676439</v>
      </c>
      <c r="G297" s="346">
        <v>-111887.75866930067</v>
      </c>
      <c r="H297" s="257">
        <f t="shared" si="13"/>
        <v>-81295.556142624235</v>
      </c>
      <c r="I297" s="257">
        <v>23706.970094796881</v>
      </c>
      <c r="J297" s="346">
        <v>21954.018083968971</v>
      </c>
      <c r="K297" s="257">
        <f t="shared" si="14"/>
        <v>-1752.9520108279103</v>
      </c>
    </row>
    <row r="298" spans="1:11" x14ac:dyDescent="0.25">
      <c r="A298" s="245">
        <f>'B) D RI'!A299</f>
        <v>5908</v>
      </c>
      <c r="B298" s="246" t="str">
        <f>'B) D RI'!B299</f>
        <v>Chêne-Pâquier</v>
      </c>
      <c r="C298" s="407">
        <v>66867.194191254821</v>
      </c>
      <c r="D298" s="346">
        <v>48611.137325380878</v>
      </c>
      <c r="E298" s="257">
        <f t="shared" si="12"/>
        <v>-18256.056865873943</v>
      </c>
      <c r="F298" s="257">
        <v>2085.9014183982727</v>
      </c>
      <c r="G298" s="346">
        <v>-52027.222551194754</v>
      </c>
      <c r="H298" s="257">
        <f t="shared" si="13"/>
        <v>-54113.123969593027</v>
      </c>
      <c r="I298" s="257">
        <v>12095.676834880349</v>
      </c>
      <c r="J298" s="346">
        <v>9160.6758763490143</v>
      </c>
      <c r="K298" s="257">
        <f t="shared" si="14"/>
        <v>-2935.0009585313346</v>
      </c>
    </row>
    <row r="299" spans="1:11" x14ac:dyDescent="0.25">
      <c r="A299" s="245">
        <f>'B) D RI'!A300</f>
        <v>5909</v>
      </c>
      <c r="B299" s="246" t="str">
        <f>'B) D RI'!B300</f>
        <v>Cheseaux-Noréaz</v>
      </c>
      <c r="C299" s="407">
        <v>481568.925405338</v>
      </c>
      <c r="D299" s="346">
        <v>380222.19403860386</v>
      </c>
      <c r="E299" s="257">
        <f t="shared" si="12"/>
        <v>-101346.73136673414</v>
      </c>
      <c r="F299" s="257">
        <v>419416.17371</v>
      </c>
      <c r="G299" s="346">
        <v>102325.96283682775</v>
      </c>
      <c r="H299" s="257">
        <f t="shared" si="13"/>
        <v>-317090.21087317227</v>
      </c>
      <c r="I299" s="257">
        <v>96838.575305717502</v>
      </c>
      <c r="J299" s="346">
        <v>29373.584402881283</v>
      </c>
      <c r="K299" s="257">
        <f t="shared" si="14"/>
        <v>-67464.990902836216</v>
      </c>
    </row>
    <row r="300" spans="1:11" x14ac:dyDescent="0.25">
      <c r="A300" s="245">
        <f>'B) D RI'!A301</f>
        <v>5910</v>
      </c>
      <c r="B300" s="246" t="str">
        <f>'B) D RI'!B301</f>
        <v>Cronay</v>
      </c>
      <c r="C300" s="407">
        <v>132419.51768867284</v>
      </c>
      <c r="D300" s="346">
        <v>201161.23389016025</v>
      </c>
      <c r="E300" s="257">
        <f t="shared" si="12"/>
        <v>68741.716201487405</v>
      </c>
      <c r="F300" s="257">
        <v>-122345.62444922235</v>
      </c>
      <c r="G300" s="346">
        <v>-83346.842296982475</v>
      </c>
      <c r="H300" s="257">
        <f t="shared" si="13"/>
        <v>38998.782152239874</v>
      </c>
      <c r="I300" s="257">
        <v>27368.329894629729</v>
      </c>
      <c r="J300" s="346">
        <v>33101.689099484101</v>
      </c>
      <c r="K300" s="257">
        <f t="shared" si="14"/>
        <v>5733.3592048543724</v>
      </c>
    </row>
    <row r="301" spans="1:11" x14ac:dyDescent="0.25">
      <c r="A301" s="245">
        <f>'B) D RI'!A302</f>
        <v>5911</v>
      </c>
      <c r="B301" s="246" t="str">
        <f>'B) D RI'!B302</f>
        <v>Cuarny</v>
      </c>
      <c r="C301" s="407">
        <v>108420.20658168737</v>
      </c>
      <c r="D301" s="346">
        <v>97827.612260176684</v>
      </c>
      <c r="E301" s="257">
        <f t="shared" si="12"/>
        <v>-10592.594321510682</v>
      </c>
      <c r="F301" s="257">
        <v>-32569.455908292759</v>
      </c>
      <c r="G301" s="346">
        <v>28967.896327406088</v>
      </c>
      <c r="H301" s="257">
        <f t="shared" si="13"/>
        <v>61537.352235698847</v>
      </c>
      <c r="I301" s="257">
        <v>16621.661665968808</v>
      </c>
      <c r="J301" s="346">
        <v>21733.852665678798</v>
      </c>
      <c r="K301" s="257">
        <f t="shared" si="14"/>
        <v>5112.1909997099901</v>
      </c>
    </row>
    <row r="302" spans="1:11" x14ac:dyDescent="0.25">
      <c r="A302" s="245">
        <f>'B) D RI'!A303</f>
        <v>5912</v>
      </c>
      <c r="B302" s="246" t="str">
        <f>'B) D RI'!B303</f>
        <v>Démoret</v>
      </c>
      <c r="C302" s="407">
        <v>46268.62931057471</v>
      </c>
      <c r="D302" s="346">
        <v>95409.602270253003</v>
      </c>
      <c r="E302" s="257">
        <f t="shared" si="12"/>
        <v>49140.972959678293</v>
      </c>
      <c r="F302" s="257">
        <v>-21096.654961296888</v>
      </c>
      <c r="G302" s="346">
        <v>-40670.373294580138</v>
      </c>
      <c r="H302" s="257">
        <f t="shared" si="13"/>
        <v>-19573.71833328325</v>
      </c>
      <c r="I302" s="257">
        <v>10275.7331612815</v>
      </c>
      <c r="J302" s="346">
        <v>9988.556311125516</v>
      </c>
      <c r="K302" s="257">
        <f t="shared" si="14"/>
        <v>-287.17685015598363</v>
      </c>
    </row>
    <row r="303" spans="1:11" x14ac:dyDescent="0.25">
      <c r="A303" s="245">
        <f>'B) D RI'!A304</f>
        <v>5913</v>
      </c>
      <c r="B303" s="246" t="str">
        <f>'B) D RI'!B304</f>
        <v>Donneloye</v>
      </c>
      <c r="C303" s="407">
        <v>342765.95404532016</v>
      </c>
      <c r="D303" s="346">
        <v>395851.01336496481</v>
      </c>
      <c r="E303" s="257">
        <f t="shared" si="12"/>
        <v>53085.059319644643</v>
      </c>
      <c r="F303" s="257">
        <v>5968.4611067249207</v>
      </c>
      <c r="G303" s="346">
        <v>107492.56803931145</v>
      </c>
      <c r="H303" s="257">
        <f t="shared" si="13"/>
        <v>101524.10693258652</v>
      </c>
      <c r="I303" s="257">
        <v>69305.136713910382</v>
      </c>
      <c r="J303" s="346">
        <v>73614.737703420411</v>
      </c>
      <c r="K303" s="257">
        <f t="shared" si="14"/>
        <v>4309.6009895100287</v>
      </c>
    </row>
    <row r="304" spans="1:11" x14ac:dyDescent="0.25">
      <c r="A304" s="245">
        <f>'B) D RI'!A305</f>
        <v>5914</v>
      </c>
      <c r="B304" s="246" t="str">
        <f>'B) D RI'!B305</f>
        <v>Ependes</v>
      </c>
      <c r="C304" s="407">
        <v>143475.74085938226</v>
      </c>
      <c r="D304" s="346">
        <v>134011.35622382321</v>
      </c>
      <c r="E304" s="257">
        <f t="shared" si="12"/>
        <v>-9464.3846355590504</v>
      </c>
      <c r="F304" s="257">
        <v>-17925.401787409821</v>
      </c>
      <c r="G304" s="346">
        <v>-42718.896587714305</v>
      </c>
      <c r="H304" s="257">
        <f t="shared" si="13"/>
        <v>-24793.494800304485</v>
      </c>
      <c r="I304" s="257">
        <v>11422.542784918664</v>
      </c>
      <c r="J304" s="346">
        <v>11341.85821666793</v>
      </c>
      <c r="K304" s="257">
        <f t="shared" si="14"/>
        <v>-80.684568250733719</v>
      </c>
    </row>
    <row r="305" spans="1:11" x14ac:dyDescent="0.25">
      <c r="A305" s="245">
        <f>'B) D RI'!A306</f>
        <v>5915</v>
      </c>
      <c r="B305" s="246" t="str">
        <f>'B) D RI'!B306</f>
        <v>Essert-Pittet</v>
      </c>
      <c r="C305" s="407">
        <v>62133.842845256047</v>
      </c>
      <c r="D305" s="346">
        <v>81381.550824556121</v>
      </c>
      <c r="E305" s="257">
        <f t="shared" si="12"/>
        <v>19247.707979300074</v>
      </c>
      <c r="F305" s="257">
        <v>-33522.466691746435</v>
      </c>
      <c r="G305" s="346">
        <v>18205.160194926808</v>
      </c>
      <c r="H305" s="257">
        <f t="shared" si="13"/>
        <v>51727.626886673243</v>
      </c>
      <c r="I305" s="257">
        <v>4558.5355102208496</v>
      </c>
      <c r="J305" s="346">
        <v>6716.3668997761733</v>
      </c>
      <c r="K305" s="257">
        <f t="shared" si="14"/>
        <v>2157.8313895553238</v>
      </c>
    </row>
    <row r="306" spans="1:11" x14ac:dyDescent="0.25">
      <c r="A306" s="245">
        <f>'B) D RI'!A307</f>
        <v>5919</v>
      </c>
      <c r="B306" s="246" t="str">
        <f>'B) D RI'!B307</f>
        <v>Mathod</v>
      </c>
      <c r="C306" s="407">
        <v>218255.8282607453</v>
      </c>
      <c r="D306" s="346">
        <v>239855.2295312316</v>
      </c>
      <c r="E306" s="257">
        <f t="shared" si="12"/>
        <v>21599.401270486298</v>
      </c>
      <c r="F306" s="257">
        <v>-54017.370599710848</v>
      </c>
      <c r="G306" s="346">
        <v>-29962.475178853463</v>
      </c>
      <c r="H306" s="257">
        <f t="shared" si="13"/>
        <v>24054.895420857385</v>
      </c>
      <c r="I306" s="257">
        <v>45333.627797787885</v>
      </c>
      <c r="J306" s="346">
        <v>21076.647041236876</v>
      </c>
      <c r="K306" s="257">
        <f t="shared" si="14"/>
        <v>-24256.980756551009</v>
      </c>
    </row>
    <row r="307" spans="1:11" x14ac:dyDescent="0.25">
      <c r="A307" s="245">
        <f>'B) D RI'!A308</f>
        <v>5921</v>
      </c>
      <c r="B307" s="246" t="str">
        <f>'B) D RI'!B308</f>
        <v>Molondin</v>
      </c>
      <c r="C307" s="407">
        <v>116193.63578838317</v>
      </c>
      <c r="D307" s="346">
        <v>103087.24403915138</v>
      </c>
      <c r="E307" s="257">
        <f t="shared" si="12"/>
        <v>-13106.391749231785</v>
      </c>
      <c r="F307" s="257">
        <v>-90669.83088272858</v>
      </c>
      <c r="G307" s="346">
        <v>-111786.22435002981</v>
      </c>
      <c r="H307" s="257">
        <f t="shared" si="13"/>
        <v>-21116.393467301226</v>
      </c>
      <c r="I307" s="257">
        <v>16669.418281009534</v>
      </c>
      <c r="J307" s="346">
        <v>15581.808939062437</v>
      </c>
      <c r="K307" s="257">
        <f t="shared" si="14"/>
        <v>-1087.6093419470963</v>
      </c>
    </row>
    <row r="308" spans="1:11" x14ac:dyDescent="0.25">
      <c r="A308" s="245">
        <f>'B) D RI'!A309</f>
        <v>5922</v>
      </c>
      <c r="B308" s="246" t="str">
        <f>'B) D RI'!B309</f>
        <v>Montagny-près-Yverdon</v>
      </c>
      <c r="C308" s="407">
        <v>750236.08816981176</v>
      </c>
      <c r="D308" s="346">
        <v>1156341.1723408001</v>
      </c>
      <c r="E308" s="257">
        <f t="shared" si="12"/>
        <v>406105.0841709883</v>
      </c>
      <c r="F308" s="257">
        <v>535420.35155899997</v>
      </c>
      <c r="G308" s="346">
        <v>751297.05238878215</v>
      </c>
      <c r="H308" s="257">
        <f t="shared" si="13"/>
        <v>215876.70082978217</v>
      </c>
      <c r="I308" s="257">
        <v>115819.82149052154</v>
      </c>
      <c r="J308" s="346">
        <v>123566.31939255437</v>
      </c>
      <c r="K308" s="257">
        <f t="shared" si="14"/>
        <v>7746.4979020328319</v>
      </c>
    </row>
    <row r="309" spans="1:11" x14ac:dyDescent="0.25">
      <c r="A309" s="245">
        <f>'B) D RI'!A310</f>
        <v>5923</v>
      </c>
      <c r="B309" s="246" t="str">
        <f>'B) D RI'!B310</f>
        <v>Oppens</v>
      </c>
      <c r="C309" s="407">
        <v>66463.566235937004</v>
      </c>
      <c r="D309" s="346">
        <v>97527.700654897111</v>
      </c>
      <c r="E309" s="257">
        <f t="shared" si="12"/>
        <v>31064.134418960108</v>
      </c>
      <c r="F309" s="257">
        <v>-76714.278973537148</v>
      </c>
      <c r="G309" s="346">
        <v>-40281.649642077071</v>
      </c>
      <c r="H309" s="257">
        <f t="shared" si="13"/>
        <v>36432.629331460077</v>
      </c>
      <c r="I309" s="257">
        <v>13434.701960357575</v>
      </c>
      <c r="J309" s="346">
        <v>15616.462878110959</v>
      </c>
      <c r="K309" s="257">
        <f t="shared" si="14"/>
        <v>2181.7609177533832</v>
      </c>
    </row>
    <row r="310" spans="1:11" x14ac:dyDescent="0.25">
      <c r="A310" s="245">
        <f>'B) D RI'!A311</f>
        <v>5924</v>
      </c>
      <c r="B310" s="246" t="str">
        <f>'B) D RI'!B311</f>
        <v>Orges</v>
      </c>
      <c r="C310" s="407">
        <v>167007.67669695898</v>
      </c>
      <c r="D310" s="346">
        <v>174118.01053334557</v>
      </c>
      <c r="E310" s="257">
        <f t="shared" si="12"/>
        <v>7110.3338363865914</v>
      </c>
      <c r="F310" s="257">
        <v>41908.969184490707</v>
      </c>
      <c r="G310" s="346">
        <v>74037.896432674548</v>
      </c>
      <c r="H310" s="257">
        <f t="shared" si="13"/>
        <v>32128.927248183842</v>
      </c>
      <c r="I310" s="257">
        <v>26876.772284876228</v>
      </c>
      <c r="J310" s="346">
        <v>28560.060851562273</v>
      </c>
      <c r="K310" s="257">
        <f t="shared" si="14"/>
        <v>1683.2885666860457</v>
      </c>
    </row>
    <row r="311" spans="1:11" x14ac:dyDescent="0.25">
      <c r="A311" s="245">
        <f>'B) D RI'!A312</f>
        <v>5925</v>
      </c>
      <c r="B311" s="246" t="str">
        <f>'B) D RI'!B312</f>
        <v>Orzens</v>
      </c>
      <c r="C311" s="407">
        <v>160886.22900312091</v>
      </c>
      <c r="D311" s="346">
        <v>76795.647530689777</v>
      </c>
      <c r="E311" s="257">
        <f t="shared" si="12"/>
        <v>-84090.581472431135</v>
      </c>
      <c r="F311" s="257">
        <v>-62972.232212895338</v>
      </c>
      <c r="G311" s="346">
        <v>-41009.518757413738</v>
      </c>
      <c r="H311" s="257">
        <f t="shared" si="13"/>
        <v>21962.7134554816</v>
      </c>
      <c r="I311" s="257">
        <v>14439.193107636815</v>
      </c>
      <c r="J311" s="346">
        <v>15962.360241447273</v>
      </c>
      <c r="K311" s="257">
        <f t="shared" si="14"/>
        <v>1523.1671338104588</v>
      </c>
    </row>
    <row r="312" spans="1:11" x14ac:dyDescent="0.25">
      <c r="A312" s="245">
        <f>'B) D RI'!A313</f>
        <v>5926</v>
      </c>
      <c r="B312" s="246" t="str">
        <f>'B) D RI'!B313</f>
        <v>Pomy</v>
      </c>
      <c r="C312" s="407">
        <v>390555.07880444953</v>
      </c>
      <c r="D312" s="346">
        <v>352881.32382408413</v>
      </c>
      <c r="E312" s="257">
        <f t="shared" si="12"/>
        <v>-37673.754980365396</v>
      </c>
      <c r="F312" s="257">
        <v>-91335.759824747336</v>
      </c>
      <c r="G312" s="346">
        <v>-174563.99031819974</v>
      </c>
      <c r="H312" s="257">
        <f t="shared" si="13"/>
        <v>-83228.2304934524</v>
      </c>
      <c r="I312" s="257">
        <v>41546.359721560235</v>
      </c>
      <c r="J312" s="346">
        <v>46777.586539500713</v>
      </c>
      <c r="K312" s="257">
        <f t="shared" si="14"/>
        <v>5231.2268179404782</v>
      </c>
    </row>
    <row r="313" spans="1:11" x14ac:dyDescent="0.25">
      <c r="A313" s="245">
        <f>'B) D RI'!A314</f>
        <v>5928</v>
      </c>
      <c r="B313" s="246" t="str">
        <f>'B) D RI'!B314</f>
        <v>Rovray</v>
      </c>
      <c r="C313" s="407">
        <v>53494.757303419639</v>
      </c>
      <c r="D313" s="346">
        <v>84131.8481704203</v>
      </c>
      <c r="E313" s="257">
        <f t="shared" si="12"/>
        <v>30637.090867000661</v>
      </c>
      <c r="F313" s="257">
        <v>-72516.431454211372</v>
      </c>
      <c r="G313" s="346">
        <v>4469.0529433053844</v>
      </c>
      <c r="H313" s="257">
        <f t="shared" si="13"/>
        <v>76985.484397516761</v>
      </c>
      <c r="I313" s="257">
        <v>9768.2424708376129</v>
      </c>
      <c r="J313" s="346">
        <v>15622.412215971883</v>
      </c>
      <c r="K313" s="257">
        <f t="shared" si="14"/>
        <v>5854.1697451342698</v>
      </c>
    </row>
    <row r="314" spans="1:11" x14ac:dyDescent="0.25">
      <c r="A314" s="245">
        <f>'B) D RI'!A315</f>
        <v>5929</v>
      </c>
      <c r="B314" s="246" t="str">
        <f>'B) D RI'!B315</f>
        <v>Suchy</v>
      </c>
      <c r="C314" s="407">
        <v>266635.12821297685</v>
      </c>
      <c r="D314" s="346">
        <v>249294.63729421192</v>
      </c>
      <c r="E314" s="257">
        <f t="shared" si="12"/>
        <v>-17340.490918764932</v>
      </c>
      <c r="F314" s="257">
        <v>151448.14984735471</v>
      </c>
      <c r="G314" s="346">
        <v>89255.400227540464</v>
      </c>
      <c r="H314" s="257">
        <f t="shared" si="13"/>
        <v>-62192.749619814247</v>
      </c>
      <c r="I314" s="257">
        <v>22354.924548874111</v>
      </c>
      <c r="J314" s="346">
        <v>20847.470655936955</v>
      </c>
      <c r="K314" s="257">
        <f t="shared" si="14"/>
        <v>-1507.4538929371556</v>
      </c>
    </row>
    <row r="315" spans="1:11" x14ac:dyDescent="0.25">
      <c r="A315" s="245">
        <f>'B) D RI'!A316</f>
        <v>5930</v>
      </c>
      <c r="B315" s="246" t="str">
        <f>'B) D RI'!B316</f>
        <v>Suscévaz</v>
      </c>
      <c r="C315" s="407">
        <v>87310.048527099658</v>
      </c>
      <c r="D315" s="346">
        <v>79565.479697019429</v>
      </c>
      <c r="E315" s="257">
        <f t="shared" si="12"/>
        <v>-7744.5688300802285</v>
      </c>
      <c r="F315" s="257">
        <v>-10742.391412751414</v>
      </c>
      <c r="G315" s="346">
        <v>16412.644107208267</v>
      </c>
      <c r="H315" s="257">
        <f t="shared" si="13"/>
        <v>27155.035519959682</v>
      </c>
      <c r="I315" s="257">
        <v>13803.252667544584</v>
      </c>
      <c r="J315" s="346">
        <v>6750.5570331167519</v>
      </c>
      <c r="K315" s="257">
        <f t="shared" si="14"/>
        <v>-7052.6956344278324</v>
      </c>
    </row>
    <row r="316" spans="1:11" x14ac:dyDescent="0.25">
      <c r="A316" s="245">
        <f>'B) D RI'!A317</f>
        <v>5931</v>
      </c>
      <c r="B316" s="246" t="str">
        <f>'B) D RI'!B317</f>
        <v>Treycovagnes</v>
      </c>
      <c r="C316" s="407">
        <v>215527.83037909883</v>
      </c>
      <c r="D316" s="346">
        <v>241638.79468653796</v>
      </c>
      <c r="E316" s="257">
        <f t="shared" si="12"/>
        <v>26110.964307439135</v>
      </c>
      <c r="F316" s="257">
        <v>13916.759244442568</v>
      </c>
      <c r="G316" s="346">
        <v>64684.081799987034</v>
      </c>
      <c r="H316" s="257">
        <f t="shared" si="13"/>
        <v>50767.322555544466</v>
      </c>
      <c r="I316" s="257">
        <v>42962.759092281252</v>
      </c>
      <c r="J316" s="346">
        <v>18045.361679287573</v>
      </c>
      <c r="K316" s="257">
        <f t="shared" si="14"/>
        <v>-24917.39741299368</v>
      </c>
    </row>
    <row r="317" spans="1:11" x14ac:dyDescent="0.25">
      <c r="A317" s="245">
        <f>'B) D RI'!A318</f>
        <v>5932</v>
      </c>
      <c r="B317" s="246" t="str">
        <f>'B) D RI'!B318</f>
        <v>Ursins</v>
      </c>
      <c r="C317" s="407">
        <v>131167.81801318636</v>
      </c>
      <c r="D317" s="346">
        <v>78300.542920571039</v>
      </c>
      <c r="E317" s="257">
        <f t="shared" si="12"/>
        <v>-52867.275092615324</v>
      </c>
      <c r="F317" s="257">
        <v>33262.473931906279</v>
      </c>
      <c r="G317" s="346">
        <v>-24158.613903623562</v>
      </c>
      <c r="H317" s="257">
        <f t="shared" si="13"/>
        <v>-57421.087835529841</v>
      </c>
      <c r="I317" s="257">
        <v>20813.397072870801</v>
      </c>
      <c r="J317" s="346">
        <v>17153.767307153943</v>
      </c>
      <c r="K317" s="257">
        <f t="shared" si="14"/>
        <v>-3659.6297657168579</v>
      </c>
    </row>
    <row r="318" spans="1:11" x14ac:dyDescent="0.25">
      <c r="A318" s="245">
        <f>'B) D RI'!A319</f>
        <v>5933</v>
      </c>
      <c r="B318" s="246" t="str">
        <f>'B) D RI'!B319</f>
        <v>Valeyres-sous-Montagny</v>
      </c>
      <c r="C318" s="407">
        <v>298234.15868246014</v>
      </c>
      <c r="D318" s="346">
        <v>298704.40312027052</v>
      </c>
      <c r="E318" s="257">
        <f t="shared" si="12"/>
        <v>470.24443781038281</v>
      </c>
      <c r="F318" s="257">
        <v>-8767.4030452518491</v>
      </c>
      <c r="G318" s="346">
        <v>-150472.36828164393</v>
      </c>
      <c r="H318" s="257">
        <f t="shared" si="13"/>
        <v>-141704.96523639208</v>
      </c>
      <c r="I318" s="257">
        <v>62707.326734377581</v>
      </c>
      <c r="J318" s="346">
        <v>53826.713580525437</v>
      </c>
      <c r="K318" s="257">
        <f t="shared" si="14"/>
        <v>-8880.613153852144</v>
      </c>
    </row>
    <row r="319" spans="1:11" x14ac:dyDescent="0.25">
      <c r="A319" s="245">
        <f>'B) D RI'!A320</f>
        <v>5934</v>
      </c>
      <c r="B319" s="246" t="str">
        <f>'B) D RI'!B320</f>
        <v>Valeyres-sous-Ursins</v>
      </c>
      <c r="C319" s="407">
        <v>97295.640794229723</v>
      </c>
      <c r="D319" s="346">
        <v>116818.25380344206</v>
      </c>
      <c r="E319" s="257">
        <f t="shared" si="12"/>
        <v>19522.613009212335</v>
      </c>
      <c r="F319" s="257">
        <v>-11052.066076607749</v>
      </c>
      <c r="G319" s="346">
        <v>-10263.698700167583</v>
      </c>
      <c r="H319" s="257">
        <f t="shared" si="13"/>
        <v>788.36737644016648</v>
      </c>
      <c r="I319" s="257">
        <v>21597.5451026632</v>
      </c>
      <c r="J319" s="346">
        <v>21091.230909342637</v>
      </c>
      <c r="K319" s="257">
        <f t="shared" si="14"/>
        <v>-506.31419332056248</v>
      </c>
    </row>
    <row r="320" spans="1:11" x14ac:dyDescent="0.25">
      <c r="A320" s="245">
        <f>'B) D RI'!A321</f>
        <v>5935</v>
      </c>
      <c r="B320" s="246" t="str">
        <f>'B) D RI'!B321</f>
        <v>Villars-Epeney</v>
      </c>
      <c r="C320" s="407">
        <v>67866.940358173626</v>
      </c>
      <c r="D320" s="346">
        <v>156877.73775299921</v>
      </c>
      <c r="E320" s="257">
        <f t="shared" si="12"/>
        <v>89010.797394825582</v>
      </c>
      <c r="F320" s="257">
        <v>58599.273360499996</v>
      </c>
      <c r="G320" s="346">
        <v>69314.773350241696</v>
      </c>
      <c r="H320" s="257">
        <f t="shared" si="13"/>
        <v>10715.4999897417</v>
      </c>
      <c r="I320" s="257">
        <v>12858.572651183949</v>
      </c>
      <c r="J320" s="346">
        <v>16060.822890853316</v>
      </c>
      <c r="K320" s="257">
        <f t="shared" si="14"/>
        <v>3202.2502396693671</v>
      </c>
    </row>
    <row r="321" spans="1:11" x14ac:dyDescent="0.25">
      <c r="A321" s="245">
        <f>'B) D RI'!A322</f>
        <v>5937</v>
      </c>
      <c r="B321" s="246" t="str">
        <f>'B) D RI'!B322</f>
        <v>Vugelles-La Mothe</v>
      </c>
      <c r="C321" s="407">
        <v>50174.076675029093</v>
      </c>
      <c r="D321" s="346">
        <v>30593.76860933737</v>
      </c>
      <c r="E321" s="257">
        <f t="shared" si="12"/>
        <v>-19580.308065691723</v>
      </c>
      <c r="F321" s="257">
        <v>-67897.574697348464</v>
      </c>
      <c r="G321" s="346">
        <v>-84258.615724221614</v>
      </c>
      <c r="H321" s="257">
        <f t="shared" si="13"/>
        <v>-16361.04102687315</v>
      </c>
      <c r="I321" s="257">
        <v>6967.6988190496668</v>
      </c>
      <c r="J321" s="346">
        <v>6601.9654782261605</v>
      </c>
      <c r="K321" s="257">
        <f t="shared" si="14"/>
        <v>-365.7333408235063</v>
      </c>
    </row>
    <row r="322" spans="1:11" x14ac:dyDescent="0.25">
      <c r="A322" s="245">
        <f>'B) D RI'!A323</f>
        <v>5938</v>
      </c>
      <c r="B322" s="246" t="str">
        <f>'B) D RI'!B323</f>
        <v>Yverdon-les-Bains</v>
      </c>
      <c r="C322" s="407">
        <v>13836795.308515996</v>
      </c>
      <c r="D322" s="346">
        <v>14006583.905158136</v>
      </c>
      <c r="E322" s="257">
        <f t="shared" si="12"/>
        <v>169788.5966421403</v>
      </c>
      <c r="F322" s="257">
        <v>-24054426.002960443</v>
      </c>
      <c r="G322" s="346">
        <v>-25057811.838380042</v>
      </c>
      <c r="H322" s="257">
        <f t="shared" si="13"/>
        <v>-1003385.835419599</v>
      </c>
      <c r="I322" s="257">
        <v>1025819.4563579692</v>
      </c>
      <c r="J322" s="346">
        <v>999787.07336367026</v>
      </c>
      <c r="K322" s="257">
        <f t="shared" si="14"/>
        <v>-26032.38299429894</v>
      </c>
    </row>
    <row r="323" spans="1:11" x14ac:dyDescent="0.25">
      <c r="A323" s="249">
        <f>'B) D RI'!A324</f>
        <v>5939</v>
      </c>
      <c r="B323" s="246" t="str">
        <f>'B) D RI'!B324</f>
        <v>Yvonand</v>
      </c>
      <c r="C323" s="407">
        <v>1643164.3385683182</v>
      </c>
      <c r="D323" s="346">
        <v>1546739.5348643661</v>
      </c>
      <c r="E323" s="257">
        <f t="shared" si="12"/>
        <v>-96424.803703952115</v>
      </c>
      <c r="F323" s="257">
        <v>-411337.74943644507</v>
      </c>
      <c r="G323" s="346">
        <v>-506526.83049223432</v>
      </c>
      <c r="H323" s="257">
        <f t="shared" si="13"/>
        <v>-95189.081055789255</v>
      </c>
      <c r="I323" s="257">
        <v>256490.60296621668</v>
      </c>
      <c r="J323" s="348">
        <v>277873.75064009707</v>
      </c>
      <c r="K323" s="257">
        <f t="shared" si="14"/>
        <v>21383.14767388039</v>
      </c>
    </row>
    <row r="324" spans="1:11" x14ac:dyDescent="0.25">
      <c r="B324" s="34">
        <f>COUNTA(B6:B323)</f>
        <v>318</v>
      </c>
      <c r="C324" s="232">
        <f t="shared" ref="C324:J324" si="15">SUM(C6:C323)</f>
        <v>675983500</v>
      </c>
      <c r="D324" s="347">
        <f t="shared" si="15"/>
        <v>710289734.00000072</v>
      </c>
      <c r="E324" s="232">
        <f t="shared" si="15"/>
        <v>34306234.000000313</v>
      </c>
      <c r="F324" s="232">
        <f t="shared" si="15"/>
        <v>449996.78730838792</v>
      </c>
      <c r="G324" s="347">
        <f t="shared" si="15"/>
        <v>249745.94689072063</v>
      </c>
      <c r="H324" s="232">
        <f t="shared" si="15"/>
        <v>-200250.84041763877</v>
      </c>
      <c r="I324" s="232">
        <f t="shared" si="15"/>
        <v>63979035.557464704</v>
      </c>
      <c r="J324" s="347">
        <f t="shared" si="15"/>
        <v>63995825.999999955</v>
      </c>
      <c r="K324" s="232">
        <f>J324-I324</f>
        <v>16790.442535251379</v>
      </c>
    </row>
    <row r="325" spans="1:11" x14ac:dyDescent="0.25">
      <c r="I325" s="8">
        <v>63995826</v>
      </c>
      <c r="J325" s="8"/>
    </row>
    <row r="326" spans="1:11" x14ac:dyDescent="0.25">
      <c r="I326" s="8">
        <f>I325-I324</f>
        <v>16790.442535296082</v>
      </c>
      <c r="J326" s="8"/>
    </row>
    <row r="327" spans="1:11" x14ac:dyDescent="0.25">
      <c r="I327" s="8">
        <f>I326*2</f>
        <v>33580.885070592165</v>
      </c>
    </row>
  </sheetData>
  <sheetProtection sheet="1" objects="1" scenarios="1"/>
  <mergeCells count="6">
    <mergeCell ref="A1:E1"/>
    <mergeCell ref="I4:K4"/>
    <mergeCell ref="C4:E4"/>
    <mergeCell ref="F4:H4"/>
    <mergeCell ref="A4:A5"/>
    <mergeCell ref="B4:B5"/>
  </mergeCells>
  <pageMargins left="0.70866141732283472" right="0.70866141732283472" top="0.74803149606299213" bottom="0.74803149606299213" header="0.31496062992125984" footer="0.31496062992125984"/>
  <pageSetup paperSize="9" fitToHeight="11" orientation="landscape" r:id="rId1"/>
  <headerFooter>
    <oddFooter>&amp;LSCL - division finances communales&amp;R&amp;P/&amp;N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1:F70"/>
  <sheetViews>
    <sheetView tabSelected="1" workbookViewId="0">
      <selection activeCell="C3" sqref="C3:E3"/>
    </sheetView>
  </sheetViews>
  <sheetFormatPr baseColWidth="10" defaultColWidth="10.875" defaultRowHeight="15" x14ac:dyDescent="0.25"/>
  <cols>
    <col min="1" max="1" width="3.375" style="258" customWidth="1"/>
    <col min="2" max="2" width="17.125" style="258" customWidth="1"/>
    <col min="3" max="4" width="12.75" style="258" customWidth="1"/>
    <col min="5" max="6" width="12.75" style="314" customWidth="1"/>
    <col min="7" max="16384" width="10.875" style="258"/>
  </cols>
  <sheetData>
    <row r="1" spans="2:6" ht="31.5" x14ac:dyDescent="0.5">
      <c r="B1" s="300" t="s">
        <v>551</v>
      </c>
    </row>
    <row r="3" spans="2:6" s="315" customFormat="1" ht="26.25" x14ac:dyDescent="0.4">
      <c r="B3" s="318"/>
      <c r="C3" s="469"/>
      <c r="D3" s="469"/>
      <c r="E3" s="469"/>
      <c r="F3" s="316"/>
    </row>
    <row r="6" spans="2:6" ht="18.75" x14ac:dyDescent="0.3">
      <c r="B6" s="468" t="str">
        <f>CONCATENATE("Péréquation, ",Paramètres!B5)</f>
        <v>Péréquation, décompte 2015</v>
      </c>
      <c r="C6" s="468"/>
      <c r="D6" s="468"/>
      <c r="E6" s="468"/>
      <c r="F6" s="468"/>
    </row>
    <row r="7" spans="2:6" s="415" customFormat="1" ht="18.75" x14ac:dyDescent="0.3">
      <c r="B7" s="468">
        <f>C3</f>
        <v>0</v>
      </c>
      <c r="C7" s="468"/>
      <c r="D7" s="468"/>
      <c r="E7" s="468"/>
      <c r="F7" s="468"/>
    </row>
    <row r="8" spans="2:6" s="415" customFormat="1" ht="12.75" x14ac:dyDescent="0.2">
      <c r="B8" s="422" t="e">
        <f>CONCATENATE("Population : ",VLOOKUP($B$7,'A) Base RI'!$B$7:$AN$324,39,FALSE))</f>
        <v>#N/A</v>
      </c>
      <c r="C8" s="413"/>
      <c r="D8" s="413"/>
      <c r="E8" s="414"/>
      <c r="F8" s="421" t="e">
        <f>CONCATENATE("N° OFS : ",VLOOKUP($B$7,Paramètres!$A$65:$B$382,2,FALSE))</f>
        <v>#N/A</v>
      </c>
    </row>
    <row r="9" spans="2:6" s="415" customFormat="1" ht="12.75" x14ac:dyDescent="0.2">
      <c r="B9" s="422" t="e">
        <f>CONCATENATE("Taux : ",VLOOKUP($B$7,'A) Base RI'!$B$7:$AN$324,38,FALSE))</f>
        <v>#N/A</v>
      </c>
      <c r="C9" s="413"/>
      <c r="D9" s="413"/>
      <c r="E9" s="414"/>
      <c r="F9" s="413"/>
    </row>
    <row r="10" spans="2:6" s="415" customFormat="1" ht="12.75" x14ac:dyDescent="0.2">
      <c r="B10" s="413"/>
      <c r="C10" s="413"/>
      <c r="D10" s="413"/>
      <c r="E10" s="414"/>
      <c r="F10" s="413"/>
    </row>
    <row r="11" spans="2:6" ht="18" x14ac:dyDescent="0.35">
      <c r="B11" s="360" t="s">
        <v>634</v>
      </c>
      <c r="C11" s="151"/>
      <c r="D11" s="151"/>
      <c r="E11" s="317"/>
      <c r="F11" s="317"/>
    </row>
    <row r="12" spans="2:6" s="415" customFormat="1" ht="12.75" x14ac:dyDescent="0.2">
      <c r="B12" s="413"/>
      <c r="C12" s="413"/>
      <c r="D12" s="413"/>
      <c r="E12" s="414"/>
      <c r="F12" s="414"/>
    </row>
    <row r="13" spans="2:6" s="415" customFormat="1" ht="12.75" x14ac:dyDescent="0.2">
      <c r="B13" s="420" t="s">
        <v>495</v>
      </c>
      <c r="C13" s="413"/>
      <c r="D13" s="413"/>
      <c r="E13" s="414"/>
      <c r="F13" s="414"/>
    </row>
    <row r="14" spans="2:6" s="415" customFormat="1" ht="12.75" x14ac:dyDescent="0.2">
      <c r="B14" s="413" t="s">
        <v>539</v>
      </c>
      <c r="C14" s="413"/>
      <c r="D14" s="413"/>
      <c r="E14" s="416" t="e">
        <f>VLOOKUP($C$3,'C) Prél. conj.'!$B$3:$E$400,2,FALSE)*0.5</f>
        <v>#N/A</v>
      </c>
      <c r="F14" s="414"/>
    </row>
    <row r="15" spans="2:6" s="415" customFormat="1" ht="12.75" x14ac:dyDescent="0.2">
      <c r="B15" s="413" t="s">
        <v>228</v>
      </c>
      <c r="C15" s="413"/>
      <c r="D15" s="413"/>
      <c r="E15" s="416" t="e">
        <f>VLOOKUP($C$3,'C) Prél. conj.'!$B$3:$E$400,3,FALSE)*0.3</f>
        <v>#N/A</v>
      </c>
      <c r="F15" s="414" t="e">
        <f>E14+E15</f>
        <v>#N/A</v>
      </c>
    </row>
    <row r="16" spans="2:6" s="415" customFormat="1" ht="12.75" x14ac:dyDescent="0.2">
      <c r="B16" s="413"/>
      <c r="C16" s="413"/>
      <c r="D16" s="413"/>
      <c r="E16" s="414"/>
      <c r="F16" s="414"/>
    </row>
    <row r="17" spans="2:6" s="415" customFormat="1" ht="12.75" x14ac:dyDescent="0.2">
      <c r="B17" s="420" t="s">
        <v>537</v>
      </c>
      <c r="C17" s="413"/>
      <c r="D17" s="413"/>
      <c r="E17" s="414"/>
      <c r="F17" s="414"/>
    </row>
    <row r="18" spans="2:6" s="415" customFormat="1" ht="12.75" x14ac:dyDescent="0.2">
      <c r="B18" s="413" t="s">
        <v>541</v>
      </c>
      <c r="C18" s="413"/>
      <c r="D18" s="417" t="e">
        <f>VLOOKUP($C$3,'D) Ecrêtage'!$B$3:$L$400,10,FALSE)</f>
        <v>#N/A</v>
      </c>
      <c r="E18" s="414"/>
      <c r="F18" s="414" t="e">
        <f>VLOOKUP($C$3,'D) Ecrêtage'!$B$3:$L$400,11,FALSE)</f>
        <v>#N/A</v>
      </c>
    </row>
    <row r="19" spans="2:6" s="415" customFormat="1" ht="12.75" x14ac:dyDescent="0.2">
      <c r="B19" s="413"/>
      <c r="C19" s="413"/>
      <c r="D19" s="413"/>
      <c r="E19" s="414"/>
      <c r="F19" s="414"/>
    </row>
    <row r="20" spans="2:6" s="415" customFormat="1" ht="12.75" x14ac:dyDescent="0.2">
      <c r="B20" s="420" t="s">
        <v>540</v>
      </c>
      <c r="C20" s="413"/>
      <c r="D20" s="413"/>
      <c r="E20" s="414"/>
      <c r="F20" s="414"/>
    </row>
    <row r="21" spans="2:6" s="415" customFormat="1" ht="12.75" x14ac:dyDescent="0.2">
      <c r="B21" s="413" t="str">
        <f>CONCATENATE("Nombre de points écrêtés à répartir ",ROUND('E) Fact soc'!D7,2))</f>
        <v>Nombre de points écrêtés à répartir 14.37</v>
      </c>
      <c r="C21" s="413"/>
      <c r="D21" s="413"/>
      <c r="E21" s="414"/>
      <c r="F21" s="414"/>
    </row>
    <row r="22" spans="2:6" s="415" customFormat="1" ht="12.75" x14ac:dyDescent="0.2">
      <c r="B22" s="413" t="s">
        <v>550</v>
      </c>
      <c r="C22" s="413"/>
      <c r="D22" s="413"/>
      <c r="E22" s="414"/>
      <c r="F22" s="414" t="e">
        <f>VLOOKUP($C$3,'E) Fact soc'!$B$9:$G$400,5,FALSE)</f>
        <v>#N/A</v>
      </c>
    </row>
    <row r="23" spans="2:6" s="415" customFormat="1" ht="12.75" x14ac:dyDescent="0.2">
      <c r="B23" s="413"/>
      <c r="C23" s="413"/>
      <c r="D23" s="413"/>
      <c r="E23" s="414"/>
      <c r="F23" s="418"/>
    </row>
    <row r="24" spans="2:6" s="415" customFormat="1" ht="12.75" x14ac:dyDescent="0.2">
      <c r="B24" s="420" t="s">
        <v>542</v>
      </c>
      <c r="C24" s="413"/>
      <c r="D24" s="413"/>
      <c r="E24" s="414"/>
      <c r="F24" s="419" t="e">
        <f>F15+F18+F22</f>
        <v>#N/A</v>
      </c>
    </row>
    <row r="25" spans="2:6" s="415" customFormat="1" ht="12.75" x14ac:dyDescent="0.2">
      <c r="B25" s="413"/>
      <c r="C25" s="413"/>
      <c r="D25" s="413"/>
      <c r="E25" s="414"/>
      <c r="F25" s="414"/>
    </row>
    <row r="26" spans="2:6" ht="18" x14ac:dyDescent="0.35">
      <c r="B26" s="360" t="s">
        <v>635</v>
      </c>
      <c r="C26" s="151"/>
      <c r="D26" s="151"/>
      <c r="E26" s="317"/>
      <c r="F26" s="317"/>
    </row>
    <row r="27" spans="2:6" s="415" customFormat="1" ht="12.75" x14ac:dyDescent="0.2">
      <c r="B27" s="413"/>
      <c r="C27" s="413"/>
      <c r="D27" s="413"/>
      <c r="E27" s="414"/>
      <c r="F27" s="414"/>
    </row>
    <row r="28" spans="2:6" s="415" customFormat="1" ht="12.75" x14ac:dyDescent="0.2">
      <c r="B28" s="420" t="s">
        <v>348</v>
      </c>
      <c r="C28" s="413"/>
      <c r="D28" s="413"/>
      <c r="E28" s="414"/>
      <c r="F28" s="414" t="e">
        <f>-VLOOKUP($C$3,'F) Population'!$B$8:$K$400,10,FALSE)</f>
        <v>#N/A</v>
      </c>
    </row>
    <row r="29" spans="2:6" s="415" customFormat="1" ht="12.75" x14ac:dyDescent="0.2">
      <c r="B29" s="413"/>
      <c r="C29" s="413"/>
      <c r="D29" s="413"/>
      <c r="E29" s="414"/>
      <c r="F29" s="414"/>
    </row>
    <row r="30" spans="2:6" s="415" customFormat="1" ht="12.75" x14ac:dyDescent="0.2">
      <c r="B30" s="420" t="s">
        <v>543</v>
      </c>
      <c r="C30" s="413"/>
      <c r="D30" s="413"/>
      <c r="E30" s="414"/>
      <c r="F30" s="414" t="e">
        <f>-VLOOKUP($C$3,'G) Solidarité'!$B$5:$I$400,8,FALSE)</f>
        <v>#N/A</v>
      </c>
    </row>
    <row r="31" spans="2:6" s="415" customFormat="1" ht="12.75" x14ac:dyDescent="0.2">
      <c r="B31" s="413"/>
      <c r="C31" s="413"/>
      <c r="D31" s="413"/>
      <c r="E31" s="414"/>
      <c r="F31" s="414"/>
    </row>
    <row r="32" spans="2:6" s="415" customFormat="1" ht="12.75" x14ac:dyDescent="0.2">
      <c r="B32" s="420" t="s">
        <v>173</v>
      </c>
      <c r="C32" s="413"/>
      <c r="D32" s="413"/>
      <c r="E32" s="414"/>
      <c r="F32" s="414"/>
    </row>
    <row r="33" spans="2:6" s="415" customFormat="1" ht="12.75" x14ac:dyDescent="0.2">
      <c r="B33" s="413" t="s">
        <v>544</v>
      </c>
      <c r="C33" s="413"/>
      <c r="D33" s="413"/>
      <c r="E33" s="416" t="e">
        <f>VLOOKUP($C$3,'I) Dépenses thématiques'!$B$5:$O$400,9,FALSE)</f>
        <v>#N/A</v>
      </c>
      <c r="F33" s="414"/>
    </row>
    <row r="34" spans="2:6" s="415" customFormat="1" ht="12.75" x14ac:dyDescent="0.2">
      <c r="B34" s="413" t="s">
        <v>250</v>
      </c>
      <c r="C34" s="413"/>
      <c r="D34" s="413"/>
      <c r="E34" s="416" t="e">
        <f>VLOOKUP($C$3,'I) Dépenses thématiques'!$B$5:$O$400,13,FALSE)</f>
        <v>#N/A</v>
      </c>
      <c r="F34" s="414" t="e">
        <f>E33+E34</f>
        <v>#N/A</v>
      </c>
    </row>
    <row r="35" spans="2:6" s="415" customFormat="1" ht="12.75" x14ac:dyDescent="0.2">
      <c r="B35" s="413"/>
      <c r="C35" s="413"/>
      <c r="D35" s="413"/>
      <c r="E35" s="414"/>
      <c r="F35" s="414"/>
    </row>
    <row r="36" spans="2:6" s="415" customFormat="1" ht="12.75" x14ac:dyDescent="0.2">
      <c r="B36" s="420" t="s">
        <v>545</v>
      </c>
      <c r="C36" s="413"/>
      <c r="D36" s="413"/>
      <c r="E36" s="414"/>
      <c r="F36" s="414"/>
    </row>
    <row r="37" spans="2:6" s="415" customFormat="1" ht="12.75" x14ac:dyDescent="0.2">
      <c r="B37" s="413" t="s">
        <v>546</v>
      </c>
      <c r="C37" s="413"/>
      <c r="D37" s="413"/>
      <c r="E37" s="416" t="e">
        <f>VLOOKUP($C$3,'J) Plafonnement effort'!$B$5:$I$400,8,FALSE)</f>
        <v>#N/A</v>
      </c>
      <c r="F37" s="414"/>
    </row>
    <row r="38" spans="2:6" s="415" customFormat="1" ht="12.75" x14ac:dyDescent="0.2">
      <c r="B38" s="413" t="s">
        <v>547</v>
      </c>
      <c r="C38" s="413"/>
      <c r="D38" s="413"/>
      <c r="E38" s="416" t="e">
        <f>VLOOKUP($C$3,'K) Plafonnement aide'!$B$5:$J$400,9,FALSE)</f>
        <v>#N/A</v>
      </c>
      <c r="F38" s="414"/>
    </row>
    <row r="39" spans="2:6" s="415" customFormat="1" ht="12.75" x14ac:dyDescent="0.2">
      <c r="B39" s="413" t="s">
        <v>548</v>
      </c>
      <c r="C39" s="413"/>
      <c r="D39" s="413"/>
      <c r="E39" s="416" t="e">
        <f>VLOOKUP($C$3,'L) Plafonnement taux'!$B$6:$Q$400,16,FALSE)</f>
        <v>#N/A</v>
      </c>
      <c r="F39" s="414" t="e">
        <f>SUM(E37:E39)</f>
        <v>#N/A</v>
      </c>
    </row>
    <row r="40" spans="2:6" s="415" customFormat="1" ht="12.75" x14ac:dyDescent="0.2">
      <c r="B40" s="413"/>
      <c r="C40" s="413"/>
      <c r="D40" s="413"/>
      <c r="E40" s="414"/>
      <c r="F40" s="414"/>
    </row>
    <row r="41" spans="2:6" s="415" customFormat="1" ht="12.75" x14ac:dyDescent="0.2">
      <c r="B41" s="420" t="s">
        <v>119</v>
      </c>
      <c r="C41" s="413"/>
      <c r="D41" s="413"/>
      <c r="E41" s="414"/>
      <c r="F41" s="414" t="e">
        <f>VLOOKUP($C$3,'H) Péréquation directe'!$B$16:$I$400,4,FALSE)</f>
        <v>#N/A</v>
      </c>
    </row>
    <row r="42" spans="2:6" s="415" customFormat="1" ht="12.75" x14ac:dyDescent="0.2">
      <c r="B42" s="413"/>
      <c r="C42" s="413"/>
      <c r="D42" s="413"/>
      <c r="E42" s="414"/>
      <c r="F42" s="418"/>
    </row>
    <row r="43" spans="2:6" s="415" customFormat="1" ht="12.75" x14ac:dyDescent="0.2">
      <c r="B43" s="420" t="s">
        <v>549</v>
      </c>
      <c r="C43" s="413"/>
      <c r="D43" s="413"/>
      <c r="E43" s="414"/>
      <c r="F43" s="419" t="e">
        <f>F28+F30+F34+F39+F41</f>
        <v>#N/A</v>
      </c>
    </row>
    <row r="44" spans="2:6" s="415" customFormat="1" ht="12.75" x14ac:dyDescent="0.2">
      <c r="B44" s="413"/>
      <c r="C44" s="413"/>
      <c r="D44" s="413"/>
      <c r="E44" s="414"/>
      <c r="F44" s="414"/>
    </row>
    <row r="45" spans="2:6" ht="18" x14ac:dyDescent="0.35">
      <c r="B45" s="360" t="s">
        <v>636</v>
      </c>
      <c r="C45" s="151"/>
      <c r="D45" s="151"/>
      <c r="E45" s="317"/>
      <c r="F45" s="317"/>
    </row>
    <row r="46" spans="2:6" s="415" customFormat="1" ht="12.75" x14ac:dyDescent="0.2">
      <c r="B46" s="413"/>
      <c r="C46" s="413"/>
      <c r="D46" s="413"/>
      <c r="E46" s="414"/>
      <c r="F46" s="414"/>
    </row>
    <row r="47" spans="2:6" s="415" customFormat="1" ht="12.75" x14ac:dyDescent="0.2">
      <c r="B47" s="413" t="s">
        <v>565</v>
      </c>
      <c r="C47" s="413"/>
      <c r="D47" s="413"/>
      <c r="E47" s="416" t="e">
        <f>VLOOKUP($C$3,'M) Police'!$B$6:$N$405,10,FALSE)</f>
        <v>#N/A</v>
      </c>
      <c r="F47" s="414"/>
    </row>
    <row r="48" spans="2:6" s="415" customFormat="1" ht="12.75" x14ac:dyDescent="0.2">
      <c r="B48" s="413" t="s">
        <v>566</v>
      </c>
      <c r="C48" s="413"/>
      <c r="D48" s="413"/>
      <c r="E48" s="416" t="e">
        <f>VLOOKUP($C$3,'M) Police'!$B$6:$N$405,13,FALSE)</f>
        <v>#N/A</v>
      </c>
      <c r="F48" s="414" t="e">
        <f>E47+E48</f>
        <v>#N/A</v>
      </c>
    </row>
    <row r="49" spans="2:6" s="415" customFormat="1" ht="12.75" x14ac:dyDescent="0.2">
      <c r="B49" s="413"/>
      <c r="C49" s="413"/>
      <c r="D49" s="413"/>
      <c r="E49" s="414"/>
      <c r="F49" s="418"/>
    </row>
    <row r="50" spans="2:6" s="415" customFormat="1" ht="12.75" x14ac:dyDescent="0.2">
      <c r="B50" s="420" t="s">
        <v>572</v>
      </c>
      <c r="C50" s="413"/>
      <c r="D50" s="413"/>
      <c r="E50" s="414"/>
      <c r="F50" s="419" t="e">
        <f>F48</f>
        <v>#N/A</v>
      </c>
    </row>
    <row r="51" spans="2:6" s="415" customFormat="1" ht="12.75" x14ac:dyDescent="0.2">
      <c r="B51" s="413"/>
      <c r="C51" s="413"/>
      <c r="D51" s="413"/>
      <c r="E51" s="414"/>
      <c r="F51" s="414"/>
    </row>
    <row r="52" spans="2:6" ht="18" x14ac:dyDescent="0.35">
      <c r="B52" s="360" t="s">
        <v>637</v>
      </c>
      <c r="C52" s="151"/>
      <c r="D52" s="151"/>
      <c r="E52" s="317"/>
      <c r="F52" s="317"/>
    </row>
    <row r="53" spans="2:6" s="415" customFormat="1" ht="12.75" x14ac:dyDescent="0.2">
      <c r="B53" s="413"/>
      <c r="C53" s="413"/>
      <c r="D53" s="413"/>
      <c r="E53" s="414"/>
      <c r="F53" s="414"/>
    </row>
    <row r="54" spans="2:6" s="415" customFormat="1" ht="12.75" x14ac:dyDescent="0.2">
      <c r="B54" s="413" t="s">
        <v>633</v>
      </c>
      <c r="C54" s="413"/>
      <c r="D54" s="413"/>
      <c r="E54" s="414"/>
      <c r="F54" s="414" t="e">
        <f>VLOOKUP($C$3,Synthèse!$B$6:$Q$323,15,FALSE)</f>
        <v>#N/A</v>
      </c>
    </row>
    <row r="55" spans="2:6" s="415" customFormat="1" ht="12.75" x14ac:dyDescent="0.2">
      <c r="B55" s="413"/>
      <c r="C55" s="413"/>
      <c r="D55" s="413"/>
      <c r="E55" s="414"/>
      <c r="F55" s="414"/>
    </row>
    <row r="56" spans="2:6" s="415" customFormat="1" ht="12.75" x14ac:dyDescent="0.2">
      <c r="B56" s="420" t="s">
        <v>567</v>
      </c>
      <c r="C56" s="413"/>
      <c r="D56" s="413"/>
      <c r="E56" s="414"/>
      <c r="F56" s="419" t="e">
        <f>F24+F43+F50+F54</f>
        <v>#N/A</v>
      </c>
    </row>
    <row r="57" spans="2:6" s="415" customFormat="1" ht="12.75" x14ac:dyDescent="0.2">
      <c r="B57" s="413"/>
      <c r="C57" s="413"/>
      <c r="D57" s="413"/>
      <c r="E57" s="414"/>
      <c r="F57" s="414"/>
    </row>
    <row r="58" spans="2:6" ht="18" x14ac:dyDescent="0.35">
      <c r="B58" s="360" t="s">
        <v>654</v>
      </c>
      <c r="C58" s="151"/>
      <c r="D58" s="151"/>
      <c r="E58" s="317"/>
      <c r="F58" s="317"/>
    </row>
    <row r="59" spans="2:6" s="415" customFormat="1" ht="12.75" x14ac:dyDescent="0.2">
      <c r="B59" s="413"/>
      <c r="C59" s="413"/>
      <c r="D59" s="413"/>
      <c r="E59" s="414"/>
      <c r="F59" s="414"/>
    </row>
    <row r="60" spans="2:6" s="415" customFormat="1" ht="25.5" x14ac:dyDescent="0.2">
      <c r="B60" s="413"/>
      <c r="C60" s="467" t="s">
        <v>655</v>
      </c>
      <c r="D60" s="462" t="s">
        <v>118</v>
      </c>
      <c r="E60" s="462" t="s">
        <v>372</v>
      </c>
      <c r="F60" s="463" t="s">
        <v>558</v>
      </c>
    </row>
    <row r="61" spans="2:6" s="415" customFormat="1" ht="12.75" x14ac:dyDescent="0.2">
      <c r="B61" s="464" t="s">
        <v>657</v>
      </c>
      <c r="C61" s="465" t="e">
        <f>SUM(D61:F61)</f>
        <v>#N/A</v>
      </c>
      <c r="D61" s="458" t="e">
        <f>VLOOKUP($C$3,'Acomptes vs Décompte'!$B$6:$D$323,2,FALSE)</f>
        <v>#N/A</v>
      </c>
      <c r="E61" s="458" t="e">
        <f>VLOOKUP($C$3,'Acomptes vs Décompte'!$B$6:$J$323,5,FALSE)</f>
        <v>#N/A</v>
      </c>
      <c r="F61" s="459" t="e">
        <f>VLOOKUP($C$3,'Acomptes vs Décompte'!$B$6:$J$323,8,FALSE)</f>
        <v>#N/A</v>
      </c>
    </row>
    <row r="62" spans="2:6" s="415" customFormat="1" ht="12.75" x14ac:dyDescent="0.2">
      <c r="B62" s="464" t="s">
        <v>652</v>
      </c>
      <c r="C62" s="466" t="e">
        <f>SUM(D62:F62)</f>
        <v>#N/A</v>
      </c>
      <c r="D62" s="460" t="e">
        <f>VLOOKUP($C$3,'Acomptes vs Décompte'!$B$6:$D$323,3,FALSE)</f>
        <v>#N/A</v>
      </c>
      <c r="E62" s="460" t="e">
        <f>VLOOKUP($C$3,'Acomptes vs Décompte'!$B$6:$J$323,6,FALSE)</f>
        <v>#N/A</v>
      </c>
      <c r="F62" s="461" t="e">
        <f>VLOOKUP($C$3,'Acomptes vs Décompte'!$B$6:$J$323,9,FALSE)</f>
        <v>#N/A</v>
      </c>
    </row>
    <row r="63" spans="2:6" s="415" customFormat="1" ht="12.75" x14ac:dyDescent="0.2">
      <c r="B63" s="464" t="s">
        <v>653</v>
      </c>
      <c r="C63" s="465" t="e">
        <f>SUM(D63:F63)</f>
        <v>#N/A</v>
      </c>
      <c r="D63" s="465" t="e">
        <f>D62-D61</f>
        <v>#N/A</v>
      </c>
      <c r="E63" s="458" t="e">
        <f>E62-E61</f>
        <v>#N/A</v>
      </c>
      <c r="F63" s="459" t="e">
        <f>F62-F61</f>
        <v>#N/A</v>
      </c>
    </row>
    <row r="64" spans="2:6" x14ac:dyDescent="0.25">
      <c r="B64" s="18"/>
      <c r="C64" s="457" t="s">
        <v>656</v>
      </c>
      <c r="D64" s="18"/>
      <c r="E64" s="8"/>
      <c r="F64" s="8"/>
    </row>
    <row r="65" spans="2:6" ht="14.45" customHeight="1" x14ac:dyDescent="0.25">
      <c r="B65" s="470" t="s">
        <v>658</v>
      </c>
      <c r="C65" s="470"/>
      <c r="D65" s="470"/>
      <c r="E65" s="470"/>
      <c r="F65" s="470"/>
    </row>
    <row r="66" spans="2:6" x14ac:dyDescent="0.25">
      <c r="B66" s="470"/>
      <c r="C66" s="470"/>
      <c r="D66" s="470"/>
      <c r="E66" s="470"/>
      <c r="F66" s="470"/>
    </row>
    <row r="67" spans="2:6" x14ac:dyDescent="0.25">
      <c r="B67" s="470"/>
      <c r="C67" s="470"/>
      <c r="D67" s="470"/>
      <c r="E67" s="470"/>
      <c r="F67" s="470"/>
    </row>
    <row r="68" spans="2:6" x14ac:dyDescent="0.25">
      <c r="B68" s="470"/>
      <c r="C68" s="470"/>
      <c r="D68" s="470"/>
      <c r="E68" s="470"/>
      <c r="F68" s="470"/>
    </row>
    <row r="69" spans="2:6" x14ac:dyDescent="0.25">
      <c r="B69" s="470"/>
      <c r="C69" s="470"/>
      <c r="D69" s="470"/>
      <c r="E69" s="470"/>
      <c r="F69" s="470"/>
    </row>
    <row r="70" spans="2:6" x14ac:dyDescent="0.25">
      <c r="B70" s="470"/>
      <c r="C70" s="470"/>
      <c r="D70" s="470"/>
      <c r="E70" s="470"/>
      <c r="F70" s="470"/>
    </row>
  </sheetData>
  <sheetProtection password="B9E0" sheet="1" objects="1" scenarios="1"/>
  <protectedRanges>
    <protectedRange sqref="C3:E3" name="Plage1"/>
  </protectedRanges>
  <mergeCells count="4">
    <mergeCell ref="B6:F6"/>
    <mergeCell ref="B7:F7"/>
    <mergeCell ref="C3:E3"/>
    <mergeCell ref="B65:F70"/>
  </mergeCells>
  <printOptions horizontalCentered="1" verticalCentered="1"/>
  <pageMargins left="0.70866141732283472" right="0.70866141732283472" top="0.35433070866141736" bottom="0.35433070866141736" header="0.31496062992125984" footer="0.31496062992125984"/>
  <pageSetup paperSize="9" scale="8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Paramètres!$A$65:$A$382</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1:E74"/>
  <sheetViews>
    <sheetView workbookViewId="0">
      <selection activeCell="C3" sqref="C3:D3"/>
    </sheetView>
  </sheetViews>
  <sheetFormatPr baseColWidth="10" defaultColWidth="10.875" defaultRowHeight="15" x14ac:dyDescent="0.25"/>
  <cols>
    <col min="1" max="1" width="3.375" style="353" customWidth="1"/>
    <col min="2" max="2" width="7.75" style="353" customWidth="1"/>
    <col min="3" max="3" width="40.75" style="353" bestFit="1" customWidth="1"/>
    <col min="4" max="4" width="12.5" style="353" customWidth="1"/>
    <col min="5" max="5" width="27.125" style="353" customWidth="1"/>
    <col min="6" max="16384" width="10.875" style="353"/>
  </cols>
  <sheetData>
    <row r="1" spans="2:5" ht="31.5" x14ac:dyDescent="0.5">
      <c r="B1" s="373" t="s">
        <v>551</v>
      </c>
    </row>
    <row r="3" spans="2:5" s="355" customFormat="1" ht="26.25" x14ac:dyDescent="0.4">
      <c r="B3" s="354"/>
      <c r="C3" s="471"/>
      <c r="D3" s="471"/>
      <c r="E3" s="353"/>
    </row>
    <row r="6" spans="2:5" ht="23.25" x14ac:dyDescent="0.35">
      <c r="B6" s="472" t="s">
        <v>576</v>
      </c>
      <c r="C6" s="472"/>
      <c r="D6" s="472"/>
      <c r="E6" s="472"/>
    </row>
    <row r="7" spans="2:5" ht="23.25" x14ac:dyDescent="0.35">
      <c r="B7" s="472">
        <f>C3</f>
        <v>0</v>
      </c>
      <c r="C7" s="472"/>
      <c r="D7" s="472"/>
      <c r="E7" s="472"/>
    </row>
    <row r="8" spans="2:5" s="359" customFormat="1" ht="6" customHeight="1" x14ac:dyDescent="0.2">
      <c r="B8" s="356"/>
      <c r="C8" s="357"/>
      <c r="D8" s="358"/>
      <c r="E8" s="358"/>
    </row>
    <row r="9" spans="2:5" ht="18" x14ac:dyDescent="0.35">
      <c r="B9" s="360" t="s">
        <v>577</v>
      </c>
      <c r="C9" s="151"/>
      <c r="D9" s="361" t="s">
        <v>518</v>
      </c>
      <c r="E9" s="361" t="s">
        <v>578</v>
      </c>
    </row>
    <row r="10" spans="2:5" s="359" customFormat="1" ht="6" customHeight="1" x14ac:dyDescent="0.2">
      <c r="B10" s="358"/>
      <c r="C10" s="358"/>
      <c r="D10" s="358"/>
      <c r="E10" s="358"/>
    </row>
    <row r="11" spans="2:5" s="380" customFormat="1" ht="12.75" x14ac:dyDescent="0.2">
      <c r="B11" s="376">
        <v>4001</v>
      </c>
      <c r="C11" s="377" t="s">
        <v>579</v>
      </c>
      <c r="D11" s="378" t="e">
        <f>VLOOKUP($B$7,'A) Base RI'!$B$7:$AR$324,2,FALSE)</f>
        <v>#N/A</v>
      </c>
      <c r="E11" s="379"/>
    </row>
    <row r="12" spans="2:5" s="380" customFormat="1" ht="12.75" x14ac:dyDescent="0.2">
      <c r="B12" s="376">
        <v>4002</v>
      </c>
      <c r="C12" s="377" t="s">
        <v>580</v>
      </c>
      <c r="D12" s="378" t="e">
        <f>VLOOKUP($B$7,'A) Base RI'!$B$7:$AR$324,3,FALSE)</f>
        <v>#N/A</v>
      </c>
      <c r="E12" s="395" t="e">
        <f>VLOOKUP($B$7,'A) Base RI'!$B$7:$AR$324,44,FALSE)</f>
        <v>#N/A</v>
      </c>
    </row>
    <row r="13" spans="2:5" s="380" customFormat="1" ht="12.75" x14ac:dyDescent="0.2">
      <c r="B13" s="376"/>
      <c r="C13" s="377" t="s">
        <v>295</v>
      </c>
      <c r="D13" s="378" t="e">
        <f>VLOOKUP($B$7,'A) Base RI'!$B$7:$AR$324,4,FALSE)</f>
        <v>#N/A</v>
      </c>
      <c r="E13" s="379"/>
    </row>
    <row r="14" spans="2:5" s="380" customFormat="1" ht="12.75" x14ac:dyDescent="0.2">
      <c r="B14" s="376">
        <v>4005</v>
      </c>
      <c r="C14" s="377" t="s">
        <v>581</v>
      </c>
      <c r="D14" s="378" t="e">
        <f>VLOOKUP($B$7,'A) Base RI'!$B$7:$AR$324,5,FALSE)</f>
        <v>#N/A</v>
      </c>
      <c r="E14" s="379"/>
    </row>
    <row r="15" spans="2:5" s="380" customFormat="1" ht="12.75" x14ac:dyDescent="0.2">
      <c r="B15" s="376">
        <v>4011</v>
      </c>
      <c r="C15" s="377" t="s">
        <v>582</v>
      </c>
      <c r="D15" s="378" t="e">
        <f>VLOOKUP($B$7,'A) Base RI'!$B$7:$AR$324,6,FALSE)</f>
        <v>#N/A</v>
      </c>
      <c r="E15" s="379"/>
    </row>
    <row r="16" spans="2:5" s="380" customFormat="1" ht="12.75" x14ac:dyDescent="0.2">
      <c r="B16" s="376">
        <v>4012</v>
      </c>
      <c r="C16" s="377" t="s">
        <v>583</v>
      </c>
      <c r="D16" s="378" t="e">
        <f>VLOOKUP($B$7,'A) Base RI'!$B$7:$AR$324,7,FALSE)</f>
        <v>#N/A</v>
      </c>
      <c r="E16" s="379"/>
    </row>
    <row r="17" spans="2:5" s="380" customFormat="1" ht="12.75" x14ac:dyDescent="0.2">
      <c r="B17" s="376">
        <v>4004</v>
      </c>
      <c r="C17" s="377" t="s">
        <v>584</v>
      </c>
      <c r="D17" s="378" t="e">
        <f>VLOOKUP($B$7,'A) Base RI'!$B$7:$AR$324,8,FALSE)</f>
        <v>#N/A</v>
      </c>
      <c r="E17" s="379"/>
    </row>
    <row r="18" spans="2:5" s="380" customFormat="1" ht="12.75" x14ac:dyDescent="0.2">
      <c r="B18" s="376">
        <v>4003</v>
      </c>
      <c r="C18" s="377" t="s">
        <v>428</v>
      </c>
      <c r="D18" s="378" t="e">
        <f>VLOOKUP($B$7,'A) Base RI'!$B$7:$AR$324,9,FALSE)</f>
        <v>#N/A</v>
      </c>
      <c r="E18" s="379"/>
    </row>
    <row r="19" spans="2:5" s="380" customFormat="1" ht="12.75" x14ac:dyDescent="0.2">
      <c r="B19" s="376">
        <v>4013</v>
      </c>
      <c r="C19" s="377" t="s">
        <v>585</v>
      </c>
      <c r="D19" s="378" t="e">
        <f>VLOOKUP($B$7,'A) Base RI'!$B$7:$AR$324,10,FALSE)</f>
        <v>#N/A</v>
      </c>
      <c r="E19" s="379"/>
    </row>
    <row r="20" spans="2:5" s="380" customFormat="1" ht="12.75" x14ac:dyDescent="0.2">
      <c r="B20" s="376">
        <v>4020</v>
      </c>
      <c r="C20" s="377" t="s">
        <v>616</v>
      </c>
      <c r="D20" s="381" t="e">
        <f>VLOOKUP($B$7,'A) Base RI'!$B$7:$AR$324,11,FALSE)</f>
        <v>#N/A</v>
      </c>
      <c r="E20" s="379"/>
    </row>
    <row r="21" spans="2:5" s="380" customFormat="1" ht="12.75" x14ac:dyDescent="0.2">
      <c r="B21" s="376"/>
      <c r="C21" s="382" t="s">
        <v>586</v>
      </c>
      <c r="D21" s="383" t="e">
        <f>SUM(D11:D20)</f>
        <v>#N/A</v>
      </c>
      <c r="E21" s="383"/>
    </row>
    <row r="22" spans="2:5" s="380" customFormat="1" ht="7.15" customHeight="1" x14ac:dyDescent="0.2">
      <c r="B22" s="376"/>
      <c r="C22" s="377"/>
      <c r="D22" s="384"/>
      <c r="E22" s="384"/>
    </row>
    <row r="23" spans="2:5" s="380" customFormat="1" ht="12.75" x14ac:dyDescent="0.2">
      <c r="B23" s="376" t="s">
        <v>587</v>
      </c>
      <c r="C23" s="377" t="s">
        <v>588</v>
      </c>
      <c r="D23" s="378" t="e">
        <f>VLOOKUP($B$7,'A) Base RI'!$B$7:$AR$324,13,FALSE)</f>
        <v>#N/A</v>
      </c>
      <c r="E23" s="379"/>
    </row>
    <row r="24" spans="2:5" s="380" customFormat="1" ht="12.75" x14ac:dyDescent="0.2">
      <c r="B24" s="376">
        <v>4050</v>
      </c>
      <c r="C24" s="377" t="s">
        <v>589</v>
      </c>
      <c r="D24" s="378" t="e">
        <f>VLOOKUP($B$7,'A) Base RI'!$B$7:$AR$324,14,FALSE)</f>
        <v>#N/A</v>
      </c>
      <c r="E24" s="379"/>
    </row>
    <row r="25" spans="2:5" s="380" customFormat="1" ht="12.75" x14ac:dyDescent="0.2">
      <c r="B25" s="376">
        <v>4040</v>
      </c>
      <c r="C25" s="377" t="s">
        <v>230</v>
      </c>
      <c r="D25" s="378" t="e">
        <f>VLOOKUP($B$7,'A) Base RI'!$B$7:$AR$324,15,FALSE)</f>
        <v>#N/A</v>
      </c>
      <c r="E25" s="379"/>
    </row>
    <row r="26" spans="2:5" s="380" customFormat="1" ht="12.75" x14ac:dyDescent="0.2">
      <c r="B26" s="376">
        <v>4090</v>
      </c>
      <c r="C26" s="377" t="s">
        <v>463</v>
      </c>
      <c r="D26" s="378" t="e">
        <f>VLOOKUP($B$7,'A) Base RI'!$B$7:$AR$324,16,FALSE)</f>
        <v>#N/A</v>
      </c>
      <c r="E26" s="379"/>
    </row>
    <row r="27" spans="2:5" s="380" customFormat="1" ht="12.75" x14ac:dyDescent="0.2">
      <c r="B27" s="376">
        <v>4411</v>
      </c>
      <c r="C27" s="377" t="s">
        <v>590</v>
      </c>
      <c r="D27" s="378" t="e">
        <f>VLOOKUP($B$7,'A) Base RI'!$B$7:$AR$324,17,FALSE)</f>
        <v>#N/A</v>
      </c>
      <c r="E27" s="379"/>
    </row>
    <row r="28" spans="2:5" s="380" customFormat="1" ht="12.75" x14ac:dyDescent="0.2">
      <c r="B28" s="376">
        <v>4100</v>
      </c>
      <c r="C28" s="377" t="s">
        <v>464</v>
      </c>
      <c r="D28" s="378" t="e">
        <f>VLOOKUP($B$7,'A) Base RI'!$B$7:$AR$324,18,FALSE)</f>
        <v>#N/A</v>
      </c>
      <c r="E28" s="379"/>
    </row>
    <row r="29" spans="2:5" s="380" customFormat="1" ht="12.75" x14ac:dyDescent="0.2">
      <c r="B29" s="376">
        <v>4103</v>
      </c>
      <c r="C29" s="377" t="s">
        <v>465</v>
      </c>
      <c r="D29" s="378" t="e">
        <f>VLOOKUP($B$7,'A) Base RI'!$B$7:$AR$324,19,FALSE)</f>
        <v>#N/A</v>
      </c>
      <c r="E29" s="379"/>
    </row>
    <row r="30" spans="2:5" s="380" customFormat="1" ht="12.75" x14ac:dyDescent="0.2">
      <c r="B30" s="376">
        <v>4061</v>
      </c>
      <c r="C30" s="377" t="s">
        <v>591</v>
      </c>
      <c r="D30" s="378" t="e">
        <f>VLOOKUP($B$7,'A) Base RI'!$B$7:$AR$324,20,FALSE)</f>
        <v>#N/A</v>
      </c>
      <c r="E30" s="379"/>
    </row>
    <row r="31" spans="2:5" s="380" customFormat="1" ht="12.75" x14ac:dyDescent="0.2">
      <c r="B31" s="376">
        <v>4062</v>
      </c>
      <c r="C31" s="377" t="s">
        <v>592</v>
      </c>
      <c r="D31" s="378" t="e">
        <f>VLOOKUP($B$7,'A) Base RI'!$B$7:$AR$324,21,FALSE)</f>
        <v>#N/A</v>
      </c>
      <c r="E31" s="379"/>
    </row>
    <row r="32" spans="2:5" s="380" customFormat="1" ht="12.75" x14ac:dyDescent="0.2">
      <c r="B32" s="376">
        <v>406</v>
      </c>
      <c r="C32" s="377" t="s">
        <v>593</v>
      </c>
      <c r="D32" s="381" t="e">
        <f>VLOOKUP($B$7,'A) Base RI'!$B$7:$AR$324,22,FALSE)</f>
        <v>#N/A</v>
      </c>
      <c r="E32" s="379"/>
    </row>
    <row r="33" spans="2:5" s="380" customFormat="1" ht="12.75" x14ac:dyDescent="0.2">
      <c r="B33" s="376"/>
      <c r="C33" s="382" t="s">
        <v>227</v>
      </c>
      <c r="D33" s="383" t="e">
        <f>SUM(D23:D32)</f>
        <v>#N/A</v>
      </c>
      <c r="E33" s="383"/>
    </row>
    <row r="34" spans="2:5" s="380" customFormat="1" ht="12.75" x14ac:dyDescent="0.2">
      <c r="B34" s="376"/>
      <c r="C34" s="382" t="s">
        <v>594</v>
      </c>
      <c r="D34" s="383" t="e">
        <f>D21+D33</f>
        <v>#N/A</v>
      </c>
      <c r="E34" s="383"/>
    </row>
    <row r="35" spans="2:5" s="380" customFormat="1" ht="6" customHeight="1" x14ac:dyDescent="0.2">
      <c r="B35" s="376"/>
      <c r="C35" s="377"/>
      <c r="D35" s="378"/>
      <c r="E35" s="378"/>
    </row>
    <row r="36" spans="2:5" s="388" customFormat="1" ht="18" x14ac:dyDescent="0.2">
      <c r="B36" s="385" t="s">
        <v>595</v>
      </c>
      <c r="C36" s="386"/>
      <c r="D36" s="387" t="s">
        <v>518</v>
      </c>
      <c r="E36" s="387" t="s">
        <v>578</v>
      </c>
    </row>
    <row r="37" spans="2:5" s="380" customFormat="1" ht="6" customHeight="1" x14ac:dyDescent="0.2">
      <c r="B37" s="389"/>
      <c r="C37" s="382"/>
      <c r="D37" s="378"/>
      <c r="E37" s="378"/>
    </row>
    <row r="38" spans="2:5" s="380" customFormat="1" ht="12.75" x14ac:dyDescent="0.2">
      <c r="B38" s="376">
        <v>4341</v>
      </c>
      <c r="C38" s="377" t="s">
        <v>596</v>
      </c>
      <c r="D38" s="378" t="e">
        <f>VLOOKUP($B$7,'A) Base RI'!$B$7:$AR$324,24,FALSE)</f>
        <v>#N/A</v>
      </c>
      <c r="E38" s="379"/>
    </row>
    <row r="39" spans="2:5" s="380" customFormat="1" ht="12.75" x14ac:dyDescent="0.2">
      <c r="B39" s="376">
        <v>4341</v>
      </c>
      <c r="C39" s="377" t="s">
        <v>597</v>
      </c>
      <c r="D39" s="378" t="e">
        <f>VLOOKUP($B$7,'A) Base RI'!$B$7:$AR$324,25,FALSE)</f>
        <v>#N/A</v>
      </c>
      <c r="E39" s="379"/>
    </row>
    <row r="40" spans="2:5" s="380" customFormat="1" ht="12.75" x14ac:dyDescent="0.2">
      <c r="B40" s="376">
        <v>4342</v>
      </c>
      <c r="C40" s="377" t="s">
        <v>598</v>
      </c>
      <c r="D40" s="378" t="e">
        <f>VLOOKUP($B$7,'A) Base RI'!$B$7:$AR$324,26,FALSE)</f>
        <v>#N/A</v>
      </c>
      <c r="E40" s="379"/>
    </row>
    <row r="41" spans="2:5" s="380" customFormat="1" ht="12.75" x14ac:dyDescent="0.2">
      <c r="B41" s="376">
        <v>4342</v>
      </c>
      <c r="C41" s="377" t="s">
        <v>469</v>
      </c>
      <c r="D41" s="378" t="e">
        <f>VLOOKUP($B$7,'A) Base RI'!$B$7:$AR$324,27,FALSE)</f>
        <v>#N/A</v>
      </c>
      <c r="E41" s="379"/>
    </row>
    <row r="42" spans="2:5" s="380" customFormat="1" ht="12.75" x14ac:dyDescent="0.2">
      <c r="B42" s="376">
        <v>4342</v>
      </c>
      <c r="C42" s="377" t="s">
        <v>599</v>
      </c>
      <c r="D42" s="378" t="e">
        <f>VLOOKUP($B$7,'A) Base RI'!$B$7:$AR$324,28,FALSE)</f>
        <v>#N/A</v>
      </c>
      <c r="E42" s="379"/>
    </row>
    <row r="43" spans="2:5" s="380" customFormat="1" ht="12.75" x14ac:dyDescent="0.2">
      <c r="B43" s="376">
        <v>4341</v>
      </c>
      <c r="C43" s="377" t="s">
        <v>600</v>
      </c>
      <c r="D43" s="378" t="e">
        <f>VLOOKUP($B$7,'A) Base RI'!$B$7:$AR$324,29,FALSE)</f>
        <v>#N/A</v>
      </c>
      <c r="E43" s="379"/>
    </row>
    <row r="44" spans="2:5" s="380" customFormat="1" ht="12.75" x14ac:dyDescent="0.2">
      <c r="B44" s="376">
        <v>4341</v>
      </c>
      <c r="C44" s="377" t="s">
        <v>601</v>
      </c>
      <c r="D44" s="378" t="e">
        <f>VLOOKUP($B$7,'A) Base RI'!$B$7:$AR$324,30,FALSE)</f>
        <v>#N/A</v>
      </c>
      <c r="E44" s="379"/>
    </row>
    <row r="45" spans="2:5" s="380" customFormat="1" ht="12.75" x14ac:dyDescent="0.2">
      <c r="B45" s="376">
        <v>4301</v>
      </c>
      <c r="C45" s="377" t="s">
        <v>602</v>
      </c>
      <c r="D45" s="378" t="e">
        <f>VLOOKUP($B$7,'A) Base RI'!$B$7:$AR$324,31,FALSE)</f>
        <v>#N/A</v>
      </c>
      <c r="E45" s="379"/>
    </row>
    <row r="46" spans="2:5" s="380" customFormat="1" ht="12.75" x14ac:dyDescent="0.2">
      <c r="B46" s="376">
        <v>4066</v>
      </c>
      <c r="C46" s="377" t="s">
        <v>90</v>
      </c>
      <c r="D46" s="378" t="e">
        <f>VLOOKUP($B$7,'A) Base RI'!$B$7:$AR$324,32,FALSE)</f>
        <v>#N/A</v>
      </c>
      <c r="E46" s="379"/>
    </row>
    <row r="47" spans="2:5" s="380" customFormat="1" ht="12.75" x14ac:dyDescent="0.2">
      <c r="B47" s="376">
        <v>434</v>
      </c>
      <c r="C47" s="377" t="s">
        <v>470</v>
      </c>
      <c r="D47" s="378" t="e">
        <f>VLOOKUP($B$7,'A) Base RI'!$B$7:$AR$324,33,FALSE)</f>
        <v>#N/A</v>
      </c>
      <c r="E47" s="379"/>
    </row>
    <row r="48" spans="2:5" s="380" customFormat="1" ht="12.75" x14ac:dyDescent="0.2">
      <c r="B48" s="376">
        <v>434</v>
      </c>
      <c r="C48" s="377" t="s">
        <v>603</v>
      </c>
      <c r="D48" s="378" t="e">
        <f>VLOOKUP($B$7,'A) Base RI'!$B$7:$AR$324,34,FALSE)</f>
        <v>#N/A</v>
      </c>
      <c r="E48" s="379"/>
    </row>
    <row r="49" spans="2:5" s="380" customFormat="1" ht="12.75" x14ac:dyDescent="0.2">
      <c r="B49" s="376">
        <v>434</v>
      </c>
      <c r="C49" s="377" t="s">
        <v>472</v>
      </c>
      <c r="D49" s="378" t="e">
        <f>VLOOKUP($B$7,'A) Base RI'!$B$7:$AR$324,35,FALSE)</f>
        <v>#N/A</v>
      </c>
      <c r="E49" s="379"/>
    </row>
    <row r="50" spans="2:5" s="380" customFormat="1" ht="12.75" x14ac:dyDescent="0.2">
      <c r="B50" s="376">
        <v>434</v>
      </c>
      <c r="C50" s="377" t="s">
        <v>473</v>
      </c>
      <c r="D50" s="381" t="e">
        <f>VLOOKUP($B$7,'A) Base RI'!$B$7:$AR$324,36,FALSE)</f>
        <v>#N/A</v>
      </c>
      <c r="E50" s="379"/>
    </row>
    <row r="51" spans="2:5" s="380" customFormat="1" ht="12.75" x14ac:dyDescent="0.2">
      <c r="B51" s="376"/>
      <c r="C51" s="382" t="s">
        <v>604</v>
      </c>
      <c r="D51" s="383" t="e">
        <f>SUM(D38:D50)</f>
        <v>#N/A</v>
      </c>
      <c r="E51" s="383"/>
    </row>
    <row r="52" spans="2:5" s="380" customFormat="1" ht="7.15" customHeight="1" x14ac:dyDescent="0.2">
      <c r="B52" s="376"/>
      <c r="C52" s="382"/>
      <c r="D52" s="378"/>
      <c r="E52" s="378"/>
    </row>
    <row r="53" spans="2:5" s="380" customFormat="1" ht="12.75" x14ac:dyDescent="0.2">
      <c r="B53" s="376" t="s">
        <v>605</v>
      </c>
      <c r="C53" s="377" t="s">
        <v>606</v>
      </c>
      <c r="D53" s="378" t="e">
        <f>VLOOKUP($B$7,'A) Base RI'!$B$7:$AR$324,40,FALSE)</f>
        <v>#N/A</v>
      </c>
      <c r="E53" s="379"/>
    </row>
    <row r="54" spans="2:5" s="380" customFormat="1" ht="12.75" x14ac:dyDescent="0.2">
      <c r="B54" s="376"/>
      <c r="C54" s="377" t="s">
        <v>607</v>
      </c>
      <c r="D54" s="378" t="e">
        <f>VLOOKUP($B$7,'A) Base RI'!$B$7:$AR$324,41,FALSE)</f>
        <v>#N/A</v>
      </c>
      <c r="E54" s="379"/>
    </row>
    <row r="55" spans="2:5" s="380" customFormat="1" ht="12.75" x14ac:dyDescent="0.2">
      <c r="B55" s="376"/>
      <c r="C55" s="377" t="s">
        <v>284</v>
      </c>
      <c r="D55" s="378" t="e">
        <f>VLOOKUP($B$7,'A) Base RI'!$B$7:$AR$324,42,FALSE)</f>
        <v>#N/A</v>
      </c>
      <c r="E55" s="379"/>
    </row>
    <row r="56" spans="2:5" s="380" customFormat="1" ht="6" customHeight="1" x14ac:dyDescent="0.2">
      <c r="B56" s="376"/>
      <c r="C56" s="377"/>
      <c r="D56" s="378"/>
      <c r="E56" s="378"/>
    </row>
    <row r="57" spans="2:5" s="388" customFormat="1" ht="18" x14ac:dyDescent="0.2">
      <c r="B57" s="385" t="s">
        <v>615</v>
      </c>
      <c r="C57" s="386"/>
      <c r="D57" s="390"/>
      <c r="E57" s="390"/>
    </row>
    <row r="58" spans="2:5" s="380" customFormat="1" ht="6" customHeight="1" x14ac:dyDescent="0.2">
      <c r="B58" s="391"/>
      <c r="C58" s="392"/>
      <c r="D58" s="378"/>
      <c r="E58" s="378"/>
    </row>
    <row r="59" spans="2:5" s="380" customFormat="1" ht="13.9" customHeight="1" x14ac:dyDescent="0.2">
      <c r="B59" s="393"/>
      <c r="C59" s="393" t="s">
        <v>612</v>
      </c>
      <c r="D59" s="378" t="e">
        <f>VLOOKUP($B$7,'A) Base RI'!$B$7:$AR$324,38,FALSE)</f>
        <v>#N/A</v>
      </c>
      <c r="E59" s="379"/>
    </row>
    <row r="60" spans="2:5" s="380" customFormat="1" ht="13.9" customHeight="1" x14ac:dyDescent="0.2">
      <c r="B60" s="393"/>
      <c r="C60" s="393" t="s">
        <v>613</v>
      </c>
      <c r="D60" s="378" t="e">
        <f>VLOOKUP($B$7,'A) Base RI'!$B$7:$AR$324,43,FALSE)</f>
        <v>#N/A</v>
      </c>
      <c r="E60" s="379"/>
    </row>
    <row r="61" spans="2:5" s="380" customFormat="1" ht="13.9" customHeight="1" x14ac:dyDescent="0.2">
      <c r="B61" s="393"/>
      <c r="C61" s="393" t="s">
        <v>614</v>
      </c>
      <c r="D61" s="394" t="e">
        <f>VLOOKUP($B$7,'A) Base RI'!$B$7:$AR$324,39,FALSE)</f>
        <v>#N/A</v>
      </c>
      <c r="E61" s="379"/>
    </row>
    <row r="62" spans="2:5" s="374" customFormat="1" ht="6" customHeight="1" x14ac:dyDescent="0.2">
      <c r="B62" s="375"/>
      <c r="C62" s="375"/>
      <c r="D62" s="375"/>
      <c r="E62" s="375"/>
    </row>
    <row r="63" spans="2:5" ht="18" x14ac:dyDescent="0.35">
      <c r="B63" s="360"/>
      <c r="C63" s="363"/>
      <c r="D63" s="364"/>
      <c r="E63" s="364"/>
    </row>
    <row r="64" spans="2:5" s="374" customFormat="1" ht="6" customHeight="1" x14ac:dyDescent="0.2">
      <c r="B64" s="375"/>
      <c r="C64" s="375"/>
      <c r="D64" s="375"/>
      <c r="E64" s="375"/>
    </row>
    <row r="65" spans="2:5" ht="45.6" customHeight="1" x14ac:dyDescent="0.25">
      <c r="B65" s="473" t="s">
        <v>617</v>
      </c>
      <c r="C65" s="473"/>
      <c r="D65" s="473"/>
      <c r="E65" s="473"/>
    </row>
    <row r="66" spans="2:5" x14ac:dyDescent="0.25">
      <c r="B66" s="474" t="str">
        <f>CONCATENATE(B7,", le")</f>
        <v>0, le</v>
      </c>
      <c r="C66" s="474"/>
      <c r="D66" s="362"/>
      <c r="E66" s="362"/>
    </row>
    <row r="67" spans="2:5" x14ac:dyDescent="0.25">
      <c r="B67" s="367">
        <f ca="1">TODAY()</f>
        <v>41097</v>
      </c>
      <c r="C67" s="366"/>
      <c r="D67" s="362"/>
      <c r="E67" s="362"/>
    </row>
    <row r="68" spans="2:5" x14ac:dyDescent="0.25">
      <c r="B68" s="367"/>
      <c r="C68" s="366"/>
      <c r="D68" s="362"/>
      <c r="E68" s="362"/>
    </row>
    <row r="69" spans="2:5" x14ac:dyDescent="0.25">
      <c r="B69" s="366" t="s">
        <v>608</v>
      </c>
      <c r="C69" s="366"/>
      <c r="D69" s="362"/>
      <c r="E69" s="368" t="s">
        <v>609</v>
      </c>
    </row>
    <row r="70" spans="2:5" x14ac:dyDescent="0.25">
      <c r="B70" s="365"/>
      <c r="C70" s="366"/>
      <c r="D70" s="362"/>
      <c r="E70" s="362"/>
    </row>
    <row r="71" spans="2:5" x14ac:dyDescent="0.25">
      <c r="B71" s="369"/>
      <c r="C71" s="370"/>
      <c r="D71" s="371"/>
      <c r="E71" s="371"/>
    </row>
    <row r="72" spans="2:5" x14ac:dyDescent="0.25">
      <c r="B72" s="372" t="s">
        <v>610</v>
      </c>
      <c r="C72" s="366"/>
      <c r="D72" s="362"/>
      <c r="E72" s="362"/>
    </row>
    <row r="73" spans="2:5" x14ac:dyDescent="0.25">
      <c r="B73" s="369"/>
      <c r="C73" s="370"/>
      <c r="D73" s="371"/>
      <c r="E73" s="371"/>
    </row>
    <row r="74" spans="2:5" x14ac:dyDescent="0.25">
      <c r="B74" s="372" t="s">
        <v>611</v>
      </c>
      <c r="C74" s="366"/>
      <c r="D74" s="362"/>
      <c r="E74" s="362"/>
    </row>
  </sheetData>
  <sheetProtection sheet="1" objects="1" scenarios="1"/>
  <protectedRanges>
    <protectedRange sqref="E38:E50 E53:E55 E59:E61 E23:E32 E11 E13:E20" name="Plage2"/>
    <protectedRange sqref="C3" name="Plage1"/>
  </protectedRanges>
  <mergeCells count="5">
    <mergeCell ref="C3:D3"/>
    <mergeCell ref="B6:E6"/>
    <mergeCell ref="B7:E7"/>
    <mergeCell ref="B65:E65"/>
    <mergeCell ref="B66:C66"/>
  </mergeCells>
  <printOptions horizontalCentered="1" verticalCentered="1"/>
  <pageMargins left="0.70866141732283472" right="0.70866141732283472" top="0.35433070866141736" bottom="0.35433070866141736" header="0.31496062992125984" footer="0.31496062992125984"/>
  <pageSetup paperSize="9" scale="8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Paramètres!$A$65:$A$382</xm:f>
          </x14:formula1>
          <xm:sqref>C3:D3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R327"/>
  <sheetViews>
    <sheetView zoomScaleNormal="100" workbookViewId="0">
      <selection activeCell="C20" sqref="C20"/>
    </sheetView>
  </sheetViews>
  <sheetFormatPr baseColWidth="10" defaultColWidth="8.625" defaultRowHeight="15" x14ac:dyDescent="0.25"/>
  <cols>
    <col min="1" max="1" width="7.75" style="6" customWidth="1"/>
    <col min="2" max="2" width="20.25" style="18" bestFit="1" customWidth="1"/>
    <col min="3" max="3" width="12.125" style="8" bestFit="1" customWidth="1"/>
    <col min="4" max="4" width="11.625" style="8" bestFit="1" customWidth="1"/>
    <col min="5" max="5" width="8.75" style="8" bestFit="1" customWidth="1"/>
    <col min="6" max="6" width="7.75" style="8" bestFit="1" customWidth="1"/>
    <col min="7" max="7" width="11.75" style="8" bestFit="1" customWidth="1"/>
    <col min="8" max="8" width="11.125" style="8" bestFit="1" customWidth="1"/>
    <col min="9" max="9" width="13.875" style="8" customWidth="1"/>
    <col min="10" max="10" width="11.125" style="8" bestFit="1" customWidth="1"/>
    <col min="11" max="11" width="11.75" style="8" bestFit="1" customWidth="1"/>
    <col min="12" max="12" width="11.125" style="8" bestFit="1" customWidth="1"/>
    <col min="13" max="13" width="11.5" style="8" bestFit="1" customWidth="1"/>
    <col min="14" max="14" width="11.125" style="8" bestFit="1" customWidth="1"/>
    <col min="15" max="15" width="13.875" style="8" bestFit="1" customWidth="1"/>
    <col min="16" max="16" width="10.125" style="8" bestFit="1" customWidth="1"/>
    <col min="17" max="17" width="13.875" style="8" customWidth="1"/>
    <col min="18" max="18" width="10.125" style="8" bestFit="1" customWidth="1"/>
    <col min="19" max="19" width="9.5" style="8" bestFit="1" customWidth="1"/>
    <col min="20" max="20" width="11.75" style="8" bestFit="1" customWidth="1"/>
    <col min="21" max="21" width="8.75" style="8" bestFit="1" customWidth="1"/>
    <col min="22" max="22" width="10.125" style="8" bestFit="1" customWidth="1"/>
    <col min="23" max="23" width="8.75" style="8" bestFit="1" customWidth="1"/>
    <col min="24" max="24" width="11.5" style="8" bestFit="1" customWidth="1"/>
    <col min="25" max="25" width="10.125" style="8" bestFit="1" customWidth="1"/>
    <col min="26" max="26" width="9.5" style="8" bestFit="1" customWidth="1"/>
    <col min="27" max="27" width="11.75" style="8" bestFit="1" customWidth="1"/>
    <col min="28" max="28" width="20.625" style="8" bestFit="1" customWidth="1"/>
    <col min="29" max="29" width="11.125" style="8" bestFit="1" customWidth="1"/>
    <col min="30" max="30" width="10.125" style="8" bestFit="1" customWidth="1"/>
    <col min="31" max="32" width="8.75" style="8" bestFit="1" customWidth="1"/>
    <col min="33" max="33" width="11.75" style="8" bestFit="1" customWidth="1"/>
    <col min="34" max="34" width="10.125" style="8" bestFit="1" customWidth="1"/>
    <col min="35" max="35" width="11.75" style="8" bestFit="1" customWidth="1"/>
    <col min="36" max="37" width="10.875" style="8" customWidth="1"/>
    <col min="38" max="38" width="10.25" style="8" bestFit="1" customWidth="1"/>
    <col min="39" max="39" width="7.25" style="20" bestFit="1" customWidth="1"/>
    <col min="40" max="40" width="9.5" style="18" bestFit="1" customWidth="1"/>
    <col min="41" max="41" width="10.125" style="8" bestFit="1" customWidth="1"/>
    <col min="42" max="42" width="7.75" style="8" bestFit="1" customWidth="1"/>
    <col min="43" max="43" width="11.75" style="8" bestFit="1" customWidth="1"/>
    <col min="44" max="44" width="5.125" style="18" bestFit="1" customWidth="1"/>
    <col min="45" max="16384" width="8.625" style="18"/>
  </cols>
  <sheetData>
    <row r="1" spans="1:44" ht="21" x14ac:dyDescent="0.35">
      <c r="A1" s="35" t="s">
        <v>512</v>
      </c>
      <c r="B1" s="6"/>
      <c r="C1" s="7"/>
      <c r="D1" s="7"/>
      <c r="E1" s="7"/>
      <c r="F1" s="7"/>
      <c r="G1" s="7"/>
      <c r="H1" s="7"/>
      <c r="I1" s="7"/>
      <c r="J1" s="7"/>
      <c r="V1" s="10"/>
    </row>
    <row r="2" spans="1:44" ht="21" x14ac:dyDescent="0.35">
      <c r="A2" s="35" t="str">
        <f>Paramètres!B5</f>
        <v>décompte 2015</v>
      </c>
      <c r="C2" s="9"/>
      <c r="D2" s="9"/>
      <c r="E2" s="7"/>
      <c r="F2" s="7"/>
      <c r="G2" s="7"/>
      <c r="H2" s="7"/>
      <c r="I2" s="7"/>
      <c r="J2" s="7"/>
      <c r="V2" s="10"/>
    </row>
    <row r="3" spans="1:44" x14ac:dyDescent="0.25">
      <c r="A3" s="5"/>
      <c r="B3" s="6"/>
      <c r="C3" s="7"/>
      <c r="D3" s="7"/>
      <c r="E3" s="7"/>
      <c r="F3" s="7"/>
      <c r="G3" s="7"/>
      <c r="H3" s="7"/>
      <c r="I3" s="7"/>
      <c r="J3" s="7"/>
      <c r="L3" s="10"/>
    </row>
    <row r="4" spans="1:44" s="29" customFormat="1" ht="38.1" customHeight="1" x14ac:dyDescent="0.2">
      <c r="A4" s="484" t="s">
        <v>51</v>
      </c>
      <c r="B4" s="487" t="s">
        <v>641</v>
      </c>
      <c r="C4" s="478" t="s">
        <v>458</v>
      </c>
      <c r="D4" s="478" t="s">
        <v>459</v>
      </c>
      <c r="E4" s="478" t="s">
        <v>295</v>
      </c>
      <c r="F4" s="478" t="s">
        <v>296</v>
      </c>
      <c r="G4" s="478" t="s">
        <v>460</v>
      </c>
      <c r="H4" s="478" t="s">
        <v>461</v>
      </c>
      <c r="I4" s="478" t="s">
        <v>462</v>
      </c>
      <c r="J4" s="478" t="s">
        <v>428</v>
      </c>
      <c r="K4" s="478" t="s">
        <v>429</v>
      </c>
      <c r="L4" s="478" t="s">
        <v>430</v>
      </c>
      <c r="M4" s="478" t="s">
        <v>227</v>
      </c>
      <c r="N4" s="478" t="s">
        <v>228</v>
      </c>
      <c r="O4" s="478" t="s">
        <v>229</v>
      </c>
      <c r="P4" s="478" t="s">
        <v>230</v>
      </c>
      <c r="Q4" s="478" t="s">
        <v>463</v>
      </c>
      <c r="R4" s="478" t="s">
        <v>231</v>
      </c>
      <c r="S4" s="478" t="s">
        <v>464</v>
      </c>
      <c r="T4" s="478" t="s">
        <v>465</v>
      </c>
      <c r="U4" s="478" t="s">
        <v>122</v>
      </c>
      <c r="V4" s="478" t="s">
        <v>123</v>
      </c>
      <c r="W4" s="482" t="s">
        <v>124</v>
      </c>
      <c r="X4" s="478" t="s">
        <v>172</v>
      </c>
      <c r="Y4" s="480" t="s">
        <v>466</v>
      </c>
      <c r="Z4" s="478" t="s">
        <v>467</v>
      </c>
      <c r="AA4" s="478" t="s">
        <v>468</v>
      </c>
      <c r="AB4" s="478" t="s">
        <v>469</v>
      </c>
      <c r="AC4" s="478" t="s">
        <v>86</v>
      </c>
      <c r="AD4" s="478" t="s">
        <v>87</v>
      </c>
      <c r="AE4" s="478" t="s">
        <v>88</v>
      </c>
      <c r="AF4" s="478" t="s">
        <v>89</v>
      </c>
      <c r="AG4" s="478" t="s">
        <v>90</v>
      </c>
      <c r="AH4" s="478" t="s">
        <v>470</v>
      </c>
      <c r="AI4" s="478" t="s">
        <v>471</v>
      </c>
      <c r="AJ4" s="478" t="s">
        <v>472</v>
      </c>
      <c r="AK4" s="478" t="s">
        <v>473</v>
      </c>
      <c r="AL4" s="482" t="s">
        <v>91</v>
      </c>
      <c r="AM4" s="491" t="s">
        <v>92</v>
      </c>
      <c r="AN4" s="493" t="s">
        <v>511</v>
      </c>
      <c r="AO4" s="478" t="s">
        <v>282</v>
      </c>
      <c r="AP4" s="478" t="s">
        <v>283</v>
      </c>
      <c r="AQ4" s="478" t="s">
        <v>284</v>
      </c>
      <c r="AR4" s="475" t="s">
        <v>571</v>
      </c>
    </row>
    <row r="5" spans="1:44" s="29" customFormat="1" ht="38.1" customHeight="1" x14ac:dyDescent="0.2">
      <c r="A5" s="485"/>
      <c r="B5" s="488"/>
      <c r="C5" s="479"/>
      <c r="D5" s="479"/>
      <c r="E5" s="479"/>
      <c r="F5" s="479"/>
      <c r="G5" s="479"/>
      <c r="H5" s="479"/>
      <c r="I5" s="479"/>
      <c r="J5" s="479"/>
      <c r="K5" s="479"/>
      <c r="L5" s="479"/>
      <c r="M5" s="479"/>
      <c r="N5" s="479"/>
      <c r="O5" s="479"/>
      <c r="P5" s="479"/>
      <c r="Q5" s="490"/>
      <c r="R5" s="479"/>
      <c r="S5" s="490"/>
      <c r="T5" s="479"/>
      <c r="U5" s="479"/>
      <c r="V5" s="479"/>
      <c r="W5" s="483"/>
      <c r="X5" s="479"/>
      <c r="Y5" s="481"/>
      <c r="Z5" s="479"/>
      <c r="AA5" s="479"/>
      <c r="AB5" s="479"/>
      <c r="AC5" s="479"/>
      <c r="AD5" s="479"/>
      <c r="AE5" s="479"/>
      <c r="AF5" s="479"/>
      <c r="AG5" s="479"/>
      <c r="AH5" s="490"/>
      <c r="AI5" s="490"/>
      <c r="AJ5" s="490"/>
      <c r="AK5" s="490"/>
      <c r="AL5" s="483"/>
      <c r="AM5" s="492"/>
      <c r="AN5" s="494"/>
      <c r="AO5" s="490"/>
      <c r="AP5" s="490"/>
      <c r="AQ5" s="490"/>
      <c r="AR5" s="476"/>
    </row>
    <row r="6" spans="1:44" s="31" customFormat="1" x14ac:dyDescent="0.25">
      <c r="A6" s="486"/>
      <c r="B6" s="489"/>
      <c r="C6" s="27" t="s">
        <v>474</v>
      </c>
      <c r="D6" s="27" t="s">
        <v>475</v>
      </c>
      <c r="E6" s="27" t="s">
        <v>93</v>
      </c>
      <c r="F6" s="27" t="s">
        <v>94</v>
      </c>
      <c r="G6" s="27" t="s">
        <v>476</v>
      </c>
      <c r="H6" s="27" t="s">
        <v>477</v>
      </c>
      <c r="I6" s="27" t="s">
        <v>96</v>
      </c>
      <c r="J6" s="27" t="s">
        <v>97</v>
      </c>
      <c r="K6" s="27" t="s">
        <v>98</v>
      </c>
      <c r="L6" s="27" t="s">
        <v>99</v>
      </c>
      <c r="M6" s="27" t="s">
        <v>100</v>
      </c>
      <c r="N6" s="27" t="s">
        <v>101</v>
      </c>
      <c r="O6" s="27" t="s">
        <v>102</v>
      </c>
      <c r="P6" s="27" t="s">
        <v>103</v>
      </c>
      <c r="Q6" s="479"/>
      <c r="R6" s="27" t="s">
        <v>104</v>
      </c>
      <c r="S6" s="479"/>
      <c r="T6" s="27" t="s">
        <v>105</v>
      </c>
      <c r="U6" s="27" t="s">
        <v>106</v>
      </c>
      <c r="V6" s="27" t="s">
        <v>107</v>
      </c>
      <c r="W6" s="27" t="s">
        <v>108</v>
      </c>
      <c r="X6" s="27" t="s">
        <v>109</v>
      </c>
      <c r="Y6" s="27" t="s">
        <v>110</v>
      </c>
      <c r="Z6" s="27" t="s">
        <v>111</v>
      </c>
      <c r="AA6" s="27" t="s">
        <v>112</v>
      </c>
      <c r="AB6" s="27" t="s">
        <v>113</v>
      </c>
      <c r="AC6" s="27" t="s">
        <v>114</v>
      </c>
      <c r="AD6" s="27" t="s">
        <v>115</v>
      </c>
      <c r="AE6" s="27" t="s">
        <v>116</v>
      </c>
      <c r="AF6" s="27" t="s">
        <v>298</v>
      </c>
      <c r="AG6" s="27" t="s">
        <v>299</v>
      </c>
      <c r="AH6" s="479"/>
      <c r="AI6" s="479"/>
      <c r="AJ6" s="479"/>
      <c r="AK6" s="479"/>
      <c r="AL6" s="27" t="s">
        <v>300</v>
      </c>
      <c r="AM6" s="32">
        <f>Paramètres!B8</f>
        <v>2015</v>
      </c>
      <c r="AN6" s="33">
        <v>40907</v>
      </c>
      <c r="AO6" s="479"/>
      <c r="AP6" s="479"/>
      <c r="AQ6" s="479"/>
      <c r="AR6" s="477"/>
    </row>
    <row r="7" spans="1:44" x14ac:dyDescent="0.25">
      <c r="A7" s="12">
        <v>5401</v>
      </c>
      <c r="B7" s="13" t="s">
        <v>301</v>
      </c>
      <c r="C7" s="69">
        <v>11240673.210000001</v>
      </c>
      <c r="D7" s="69">
        <v>1457324.7</v>
      </c>
      <c r="E7" s="69"/>
      <c r="F7" s="69"/>
      <c r="G7" s="69">
        <v>2641213.5499999998</v>
      </c>
      <c r="H7" s="69">
        <v>180629.8</v>
      </c>
      <c r="I7" s="69">
        <v>-27502.85</v>
      </c>
      <c r="J7" s="69">
        <v>836253</v>
      </c>
      <c r="K7" s="69">
        <v>186509.5</v>
      </c>
      <c r="L7" s="69">
        <v>1831199.7</v>
      </c>
      <c r="M7" s="3">
        <f>SUM(C7:L7)</f>
        <v>18346300.610000003</v>
      </c>
      <c r="N7" s="69">
        <v>1028213.05</v>
      </c>
      <c r="O7" s="69">
        <v>290666.40000000002</v>
      </c>
      <c r="P7" s="69">
        <v>638931.6</v>
      </c>
      <c r="Q7" s="69">
        <v>99123.66</v>
      </c>
      <c r="R7" s="69">
        <v>159363.79999999999</v>
      </c>
      <c r="S7" s="69">
        <v>1681.25</v>
      </c>
      <c r="T7" s="69">
        <v>70033.649999999994</v>
      </c>
      <c r="U7" s="69">
        <v>37350</v>
      </c>
      <c r="V7" s="69"/>
      <c r="W7" s="69"/>
      <c r="X7" s="2">
        <f>SUM(M7:W7)</f>
        <v>20671664.020000003</v>
      </c>
      <c r="Y7" s="69">
        <v>381914.35</v>
      </c>
      <c r="Z7" s="69"/>
      <c r="AA7" s="69">
        <v>775571.75</v>
      </c>
      <c r="AB7" s="69"/>
      <c r="AC7" s="69">
        <v>1360216.85</v>
      </c>
      <c r="AD7" s="69">
        <v>306665.65000000002</v>
      </c>
      <c r="AE7" s="69"/>
      <c r="AF7" s="69">
        <v>1118.1500000000001</v>
      </c>
      <c r="AG7" s="69">
        <v>36797.25</v>
      </c>
      <c r="AH7" s="69">
        <v>373437.45</v>
      </c>
      <c r="AI7" s="69"/>
      <c r="AJ7" s="69"/>
      <c r="AK7" s="69">
        <v>212964.25</v>
      </c>
      <c r="AL7" s="48">
        <f>SUM(Y7:AK7)</f>
        <v>3448685.7</v>
      </c>
      <c r="AM7" s="22">
        <v>67.5</v>
      </c>
      <c r="AN7" s="69">
        <v>9757</v>
      </c>
      <c r="AO7" s="69">
        <v>-531955.15</v>
      </c>
      <c r="AP7" s="69"/>
      <c r="AQ7" s="69">
        <v>-1201.55</v>
      </c>
      <c r="AR7" s="44">
        <v>1.2</v>
      </c>
    </row>
    <row r="8" spans="1:44" x14ac:dyDescent="0.25">
      <c r="A8" s="12">
        <v>5402</v>
      </c>
      <c r="B8" s="13" t="s">
        <v>302</v>
      </c>
      <c r="C8" s="14">
        <v>8326857.9000000004</v>
      </c>
      <c r="D8" s="14">
        <v>997704.72</v>
      </c>
      <c r="E8" s="14"/>
      <c r="F8" s="14"/>
      <c r="G8" s="14">
        <v>1768321.05</v>
      </c>
      <c r="H8" s="14">
        <v>78972.55</v>
      </c>
      <c r="I8" s="14">
        <v>95185.75</v>
      </c>
      <c r="J8" s="14">
        <v>511249.4</v>
      </c>
      <c r="K8" s="14">
        <v>88061</v>
      </c>
      <c r="L8" s="14">
        <v>1090710.6499999999</v>
      </c>
      <c r="M8" s="3">
        <f t="shared" ref="M8:M71" si="0">SUM(C8:L8)</f>
        <v>12957063.020000003</v>
      </c>
      <c r="N8" s="14">
        <v>184714.75</v>
      </c>
      <c r="O8" s="14">
        <v>833825.1</v>
      </c>
      <c r="P8" s="14">
        <v>595457.80000000005</v>
      </c>
      <c r="Q8" s="14">
        <v>148637</v>
      </c>
      <c r="R8" s="14">
        <v>297991.05</v>
      </c>
      <c r="S8" s="14">
        <v>1356.25</v>
      </c>
      <c r="T8" s="14">
        <v>22375</v>
      </c>
      <c r="U8" s="14">
        <v>38050</v>
      </c>
      <c r="V8" s="14">
        <v>93979.15</v>
      </c>
      <c r="W8" s="14">
        <v>1766</v>
      </c>
      <c r="X8" s="2">
        <f t="shared" ref="X8:X71" si="1">SUM(M8:W8)</f>
        <v>15175215.120000005</v>
      </c>
      <c r="Y8" s="14">
        <v>41115.339999999997</v>
      </c>
      <c r="Z8" s="14">
        <v>162097.14000000001</v>
      </c>
      <c r="AA8" s="14">
        <v>1847085.15</v>
      </c>
      <c r="AB8" s="14"/>
      <c r="AC8" s="14">
        <v>925214.31</v>
      </c>
      <c r="AD8" s="14">
        <v>166822.14000000001</v>
      </c>
      <c r="AE8" s="14"/>
      <c r="AF8" s="14"/>
      <c r="AG8" s="14">
        <v>91272.7</v>
      </c>
      <c r="AH8" s="14">
        <v>242834.5</v>
      </c>
      <c r="AI8" s="14"/>
      <c r="AJ8" s="14"/>
      <c r="AK8" s="14"/>
      <c r="AL8" s="48">
        <f>SUM(Y8:AK8)</f>
        <v>3476441.2800000003</v>
      </c>
      <c r="AM8" s="22">
        <v>71</v>
      </c>
      <c r="AN8" s="14">
        <v>7236</v>
      </c>
      <c r="AO8" s="14">
        <v>-398918.89</v>
      </c>
      <c r="AP8" s="14"/>
      <c r="AQ8" s="14">
        <v>-384.93</v>
      </c>
      <c r="AR8" s="44">
        <v>1.25</v>
      </c>
    </row>
    <row r="9" spans="1:44" x14ac:dyDescent="0.25">
      <c r="A9" s="12">
        <v>5403</v>
      </c>
      <c r="B9" s="13" t="s">
        <v>146</v>
      </c>
      <c r="C9" s="14">
        <v>493842.89</v>
      </c>
      <c r="D9" s="14">
        <v>65359.21</v>
      </c>
      <c r="E9" s="14"/>
      <c r="F9" s="14"/>
      <c r="G9" s="14">
        <v>11064.55</v>
      </c>
      <c r="H9" s="14">
        <v>135.19999999999999</v>
      </c>
      <c r="I9" s="14"/>
      <c r="J9" s="14">
        <v>15318.17</v>
      </c>
      <c r="K9" s="14">
        <v>1545.5</v>
      </c>
      <c r="L9" s="14">
        <v>52317.55</v>
      </c>
      <c r="M9" s="3">
        <f t="shared" si="0"/>
        <v>639583.07000000007</v>
      </c>
      <c r="N9" s="14">
        <v>6667.2</v>
      </c>
      <c r="O9" s="14"/>
      <c r="P9" s="14">
        <v>15609.85</v>
      </c>
      <c r="Q9" s="14">
        <v>30299.040000000001</v>
      </c>
      <c r="R9" s="14">
        <v>10848.4</v>
      </c>
      <c r="S9" s="14">
        <v>43.75</v>
      </c>
      <c r="T9" s="14"/>
      <c r="U9" s="14">
        <v>4800</v>
      </c>
      <c r="V9" s="14"/>
      <c r="W9" s="14"/>
      <c r="X9" s="2">
        <f t="shared" si="1"/>
        <v>707851.31</v>
      </c>
      <c r="Y9" s="14">
        <v>139797</v>
      </c>
      <c r="Z9" s="14"/>
      <c r="AA9" s="14">
        <v>63573.4</v>
      </c>
      <c r="AB9" s="14"/>
      <c r="AC9" s="14">
        <v>33283.800000000003</v>
      </c>
      <c r="AD9" s="14"/>
      <c r="AE9" s="14">
        <v>142553</v>
      </c>
      <c r="AF9" s="14"/>
      <c r="AG9" s="14">
        <v>28349.75</v>
      </c>
      <c r="AH9" s="14"/>
      <c r="AI9" s="14"/>
      <c r="AJ9" s="14"/>
      <c r="AK9" s="14"/>
      <c r="AL9" s="48">
        <f t="shared" ref="AL9:AL71" si="2">SUM(Y9:AK9)</f>
        <v>407556.95</v>
      </c>
      <c r="AM9" s="22">
        <v>76</v>
      </c>
      <c r="AN9" s="14">
        <v>396</v>
      </c>
      <c r="AO9" s="14">
        <v>-40245.81</v>
      </c>
      <c r="AP9" s="14"/>
      <c r="AQ9" s="14">
        <v>-8.34</v>
      </c>
      <c r="AR9" s="44">
        <v>1</v>
      </c>
    </row>
    <row r="10" spans="1:44" x14ac:dyDescent="0.25">
      <c r="A10" s="12">
        <v>5404</v>
      </c>
      <c r="B10" s="13" t="s">
        <v>147</v>
      </c>
      <c r="C10" s="14">
        <v>537077.06999999995</v>
      </c>
      <c r="D10" s="14">
        <v>71769.78</v>
      </c>
      <c r="E10" s="14"/>
      <c r="F10" s="14"/>
      <c r="G10" s="14">
        <v>4034.25</v>
      </c>
      <c r="H10" s="14">
        <v>4704.8500000000004</v>
      </c>
      <c r="I10" s="14"/>
      <c r="J10" s="14">
        <v>11939.79</v>
      </c>
      <c r="K10" s="14">
        <v>389.5</v>
      </c>
      <c r="L10" s="14">
        <v>106344.6</v>
      </c>
      <c r="M10" s="3">
        <f t="shared" si="0"/>
        <v>736259.84</v>
      </c>
      <c r="N10" s="14">
        <v>11807.3</v>
      </c>
      <c r="O10" s="14">
        <v>24388.3</v>
      </c>
      <c r="P10" s="14">
        <v>44530</v>
      </c>
      <c r="Q10" s="14">
        <v>5538.33</v>
      </c>
      <c r="R10" s="14">
        <v>19160.2</v>
      </c>
      <c r="S10" s="14">
        <v>0</v>
      </c>
      <c r="T10" s="14"/>
      <c r="U10" s="14">
        <v>5800</v>
      </c>
      <c r="V10" s="14"/>
      <c r="W10" s="14"/>
      <c r="X10" s="2">
        <f t="shared" si="1"/>
        <v>847483.97</v>
      </c>
      <c r="Y10" s="14">
        <v>13682</v>
      </c>
      <c r="Z10" s="14">
        <v>1875</v>
      </c>
      <c r="AA10" s="14">
        <v>109974.75</v>
      </c>
      <c r="AB10" s="14"/>
      <c r="AC10" s="14">
        <v>32424.5</v>
      </c>
      <c r="AD10" s="14">
        <v>9121</v>
      </c>
      <c r="AE10" s="14">
        <v>1312.95</v>
      </c>
      <c r="AF10" s="14"/>
      <c r="AG10" s="14">
        <v>6091.2</v>
      </c>
      <c r="AH10" s="14">
        <v>11636.6</v>
      </c>
      <c r="AI10" s="14"/>
      <c r="AJ10" s="14"/>
      <c r="AK10" s="14"/>
      <c r="AL10" s="48">
        <f t="shared" si="2"/>
        <v>186118.00000000003</v>
      </c>
      <c r="AM10" s="22">
        <v>70</v>
      </c>
      <c r="AN10" s="14">
        <v>433</v>
      </c>
      <c r="AO10" s="14">
        <v>-8711.4599999999991</v>
      </c>
      <c r="AP10" s="14"/>
      <c r="AQ10" s="14">
        <v>-5.31</v>
      </c>
      <c r="AR10" s="44">
        <v>1.5</v>
      </c>
    </row>
    <row r="11" spans="1:44" x14ac:dyDescent="0.25">
      <c r="A11" s="12">
        <v>5405</v>
      </c>
      <c r="B11" s="13" t="s">
        <v>148</v>
      </c>
      <c r="C11" s="14">
        <v>3185727.49</v>
      </c>
      <c r="D11" s="14">
        <v>1187079.57</v>
      </c>
      <c r="E11" s="14"/>
      <c r="F11" s="14"/>
      <c r="G11" s="14">
        <v>44623.65</v>
      </c>
      <c r="H11" s="14">
        <v>5517.2</v>
      </c>
      <c r="I11" s="14">
        <v>212553.56</v>
      </c>
      <c r="J11" s="14">
        <v>122272.39</v>
      </c>
      <c r="K11" s="14">
        <v>13950</v>
      </c>
      <c r="L11" s="14">
        <v>717273</v>
      </c>
      <c r="M11" s="3">
        <f t="shared" si="0"/>
        <v>5488996.8600000003</v>
      </c>
      <c r="N11" s="14"/>
      <c r="O11" s="14">
        <v>95035</v>
      </c>
      <c r="P11" s="14">
        <v>349245</v>
      </c>
      <c r="Q11" s="14">
        <v>227424.25</v>
      </c>
      <c r="R11" s="14">
        <v>240426.45</v>
      </c>
      <c r="S11" s="14">
        <v>100</v>
      </c>
      <c r="T11" s="14">
        <v>5487</v>
      </c>
      <c r="U11" s="14">
        <v>9110</v>
      </c>
      <c r="V11" s="14">
        <v>942</v>
      </c>
      <c r="W11" s="14"/>
      <c r="X11" s="2">
        <f t="shared" si="1"/>
        <v>6416766.5600000005</v>
      </c>
      <c r="Y11" s="14">
        <v>49704.5</v>
      </c>
      <c r="Z11" s="14"/>
      <c r="AA11" s="14">
        <v>170093.6</v>
      </c>
      <c r="AB11" s="14"/>
      <c r="AC11" s="14">
        <v>405997.45</v>
      </c>
      <c r="AD11" s="14">
        <v>144147.29999999999</v>
      </c>
      <c r="AE11" s="14"/>
      <c r="AF11" s="14"/>
      <c r="AG11" s="14"/>
      <c r="AH11" s="14"/>
      <c r="AI11" s="14"/>
      <c r="AJ11" s="14"/>
      <c r="AK11" s="14"/>
      <c r="AL11" s="48">
        <f t="shared" si="2"/>
        <v>769942.85000000009</v>
      </c>
      <c r="AM11" s="22">
        <v>75</v>
      </c>
      <c r="AN11" s="14">
        <v>1265</v>
      </c>
      <c r="AO11" s="14">
        <v>-62900</v>
      </c>
      <c r="AP11" s="14"/>
      <c r="AQ11" s="14">
        <v>-244.57</v>
      </c>
      <c r="AR11" s="44">
        <v>1.5</v>
      </c>
    </row>
    <row r="12" spans="1:44" x14ac:dyDescent="0.25">
      <c r="A12" s="12">
        <v>5406</v>
      </c>
      <c r="B12" s="13" t="s">
        <v>149</v>
      </c>
      <c r="C12" s="14">
        <v>996597.21</v>
      </c>
      <c r="D12" s="14">
        <v>110411.84</v>
      </c>
      <c r="E12" s="14"/>
      <c r="F12" s="14"/>
      <c r="G12" s="14">
        <v>125063.2</v>
      </c>
      <c r="H12" s="14">
        <v>3310.05</v>
      </c>
      <c r="I12" s="14"/>
      <c r="J12" s="14">
        <v>53715.4</v>
      </c>
      <c r="K12" s="14">
        <v>3797</v>
      </c>
      <c r="L12" s="14">
        <v>171998.5</v>
      </c>
      <c r="M12" s="3">
        <f t="shared" si="0"/>
        <v>1464893.2</v>
      </c>
      <c r="N12" s="14"/>
      <c r="O12" s="14">
        <v>2376.5</v>
      </c>
      <c r="P12" s="14">
        <v>43542.8</v>
      </c>
      <c r="Q12" s="14">
        <v>3110.77</v>
      </c>
      <c r="R12" s="14">
        <v>38223.85</v>
      </c>
      <c r="S12" s="14">
        <v>156.25</v>
      </c>
      <c r="T12" s="14"/>
      <c r="U12" s="14">
        <v>6830</v>
      </c>
      <c r="V12" s="14">
        <v>208959</v>
      </c>
      <c r="W12" s="14"/>
      <c r="X12" s="2">
        <f t="shared" si="1"/>
        <v>1768092.37</v>
      </c>
      <c r="Y12" s="14">
        <v>17706.599999999999</v>
      </c>
      <c r="Z12" s="14"/>
      <c r="AA12" s="14">
        <v>246822.8</v>
      </c>
      <c r="AB12" s="14"/>
      <c r="AC12" s="14">
        <v>145184.95000000001</v>
      </c>
      <c r="AD12" s="14">
        <v>10280.65</v>
      </c>
      <c r="AE12" s="14">
        <v>3976.15</v>
      </c>
      <c r="AF12" s="14"/>
      <c r="AG12" s="14">
        <v>38785</v>
      </c>
      <c r="AH12" s="14">
        <v>63645.09</v>
      </c>
      <c r="AI12" s="14"/>
      <c r="AJ12" s="14"/>
      <c r="AK12" s="14"/>
      <c r="AL12" s="48">
        <f t="shared" si="2"/>
        <v>526401.24</v>
      </c>
      <c r="AM12" s="22">
        <v>71</v>
      </c>
      <c r="AN12" s="14">
        <v>907</v>
      </c>
      <c r="AO12" s="14">
        <v>-20255.080000000002</v>
      </c>
      <c r="AP12" s="14"/>
      <c r="AQ12" s="14">
        <v>-24.06</v>
      </c>
      <c r="AR12" s="44">
        <v>1.3</v>
      </c>
    </row>
    <row r="13" spans="1:44" x14ac:dyDescent="0.25">
      <c r="A13" s="12">
        <v>5407</v>
      </c>
      <c r="B13" s="13" t="s">
        <v>150</v>
      </c>
      <c r="C13" s="14">
        <v>3715897.25</v>
      </c>
      <c r="D13" s="14">
        <v>785665.05</v>
      </c>
      <c r="E13" s="14"/>
      <c r="F13" s="14"/>
      <c r="G13" s="14">
        <v>1692676.67</v>
      </c>
      <c r="H13" s="14">
        <v>91674.55</v>
      </c>
      <c r="I13" s="14">
        <v>98001.08</v>
      </c>
      <c r="J13" s="14">
        <v>923055.47</v>
      </c>
      <c r="K13" s="14">
        <v>26714</v>
      </c>
      <c r="L13" s="14">
        <v>1132877.55</v>
      </c>
      <c r="M13" s="3">
        <f t="shared" si="0"/>
        <v>8466561.6199999992</v>
      </c>
      <c r="N13" s="14">
        <v>27734</v>
      </c>
      <c r="O13" s="14">
        <v>56827.5</v>
      </c>
      <c r="P13" s="14">
        <v>361831.05</v>
      </c>
      <c r="Q13" s="14">
        <v>15048.95</v>
      </c>
      <c r="R13" s="14">
        <v>350162.75</v>
      </c>
      <c r="S13" s="14">
        <v>625</v>
      </c>
      <c r="T13" s="14"/>
      <c r="U13" s="14">
        <v>22150</v>
      </c>
      <c r="V13" s="14">
        <v>12625.6</v>
      </c>
      <c r="W13" s="14">
        <v>540</v>
      </c>
      <c r="X13" s="2">
        <f t="shared" si="1"/>
        <v>9314106.4699999988</v>
      </c>
      <c r="Y13" s="14">
        <v>362745.2</v>
      </c>
      <c r="Z13" s="14"/>
      <c r="AA13" s="14">
        <v>469808.25</v>
      </c>
      <c r="AB13" s="14"/>
      <c r="AC13" s="14">
        <v>508038.65</v>
      </c>
      <c r="AD13" s="14">
        <v>365553.15</v>
      </c>
      <c r="AE13" s="14"/>
      <c r="AF13" s="14"/>
      <c r="AG13" s="14"/>
      <c r="AH13" s="14"/>
      <c r="AI13" s="14">
        <v>61747.75</v>
      </c>
      <c r="AJ13" s="14"/>
      <c r="AK13" s="14"/>
      <c r="AL13" s="48">
        <f t="shared" si="2"/>
        <v>1767893</v>
      </c>
      <c r="AM13" s="22">
        <v>78</v>
      </c>
      <c r="AN13" s="14">
        <v>4148</v>
      </c>
      <c r="AO13" s="14">
        <v>-85383.679999999993</v>
      </c>
      <c r="AP13" s="14"/>
      <c r="AQ13" s="14">
        <v>-271.95</v>
      </c>
      <c r="AR13" s="44">
        <v>1.5</v>
      </c>
    </row>
    <row r="14" spans="1:44" x14ac:dyDescent="0.25">
      <c r="A14" s="12">
        <v>5408</v>
      </c>
      <c r="B14" s="13" t="s">
        <v>151</v>
      </c>
      <c r="C14" s="14">
        <v>1596409.12</v>
      </c>
      <c r="D14" s="14">
        <v>563470.81000000006</v>
      </c>
      <c r="E14" s="14"/>
      <c r="F14" s="14"/>
      <c r="G14" s="14">
        <v>375494.95</v>
      </c>
      <c r="H14" s="14">
        <v>7481.45</v>
      </c>
      <c r="I14" s="14"/>
      <c r="J14" s="14">
        <v>51833.27</v>
      </c>
      <c r="K14" s="14">
        <v>9338</v>
      </c>
      <c r="L14" s="14">
        <v>206020.3</v>
      </c>
      <c r="M14" s="3">
        <f t="shared" si="0"/>
        <v>2810047.9000000004</v>
      </c>
      <c r="N14" s="14">
        <v>71128.55</v>
      </c>
      <c r="O14" s="14"/>
      <c r="P14" s="14">
        <v>170666.15</v>
      </c>
      <c r="Q14" s="14">
        <v>9494.74</v>
      </c>
      <c r="R14" s="14">
        <v>72440.100000000006</v>
      </c>
      <c r="S14" s="14">
        <v>250</v>
      </c>
      <c r="T14" s="14"/>
      <c r="U14" s="14">
        <v>7250</v>
      </c>
      <c r="V14" s="14"/>
      <c r="W14" s="14"/>
      <c r="X14" s="2">
        <f t="shared" si="1"/>
        <v>3141277.4400000004</v>
      </c>
      <c r="Y14" s="14">
        <v>130251.6</v>
      </c>
      <c r="Z14" s="14"/>
      <c r="AA14" s="14">
        <v>67897.75</v>
      </c>
      <c r="AB14" s="14"/>
      <c r="AC14" s="14">
        <v>95586.95</v>
      </c>
      <c r="AD14" s="14">
        <v>93036.85</v>
      </c>
      <c r="AE14" s="14"/>
      <c r="AF14" s="14"/>
      <c r="AG14" s="14">
        <v>61188.5</v>
      </c>
      <c r="AH14" s="14"/>
      <c r="AI14" s="14"/>
      <c r="AJ14" s="14"/>
      <c r="AK14" s="14"/>
      <c r="AL14" s="48">
        <f t="shared" si="2"/>
        <v>447961.65</v>
      </c>
      <c r="AM14" s="22">
        <v>78.5</v>
      </c>
      <c r="AN14" s="14">
        <v>1029</v>
      </c>
      <c r="AO14" s="14">
        <v>-22116.87</v>
      </c>
      <c r="AP14" s="14"/>
      <c r="AQ14" s="14">
        <v>-1251.8399999999999</v>
      </c>
      <c r="AR14" s="44">
        <v>1.5</v>
      </c>
    </row>
    <row r="15" spans="1:44" x14ac:dyDescent="0.25">
      <c r="A15" s="12">
        <v>5409</v>
      </c>
      <c r="B15" s="13" t="s">
        <v>152</v>
      </c>
      <c r="C15" s="14">
        <v>14008991.800000001</v>
      </c>
      <c r="D15" s="14">
        <v>4320660.8</v>
      </c>
      <c r="E15" s="14"/>
      <c r="F15" s="14"/>
      <c r="G15" s="14">
        <v>1316114.5</v>
      </c>
      <c r="H15" s="14">
        <v>52590</v>
      </c>
      <c r="I15" s="14">
        <v>17167206.57</v>
      </c>
      <c r="J15" s="14">
        <v>702969.16</v>
      </c>
      <c r="K15" s="14">
        <v>107316.5</v>
      </c>
      <c r="L15" s="14">
        <v>3602565.5</v>
      </c>
      <c r="M15" s="3">
        <f t="shared" si="0"/>
        <v>41278414.829999998</v>
      </c>
      <c r="N15" s="14">
        <v>49965.8</v>
      </c>
      <c r="O15" s="14">
        <v>16169437.4</v>
      </c>
      <c r="P15" s="14">
        <v>1240857.3</v>
      </c>
      <c r="Q15" s="14">
        <v>102151.91</v>
      </c>
      <c r="R15" s="14">
        <v>1641376.3</v>
      </c>
      <c r="S15" s="14">
        <v>20688.75</v>
      </c>
      <c r="T15" s="14"/>
      <c r="U15" s="14">
        <v>43050</v>
      </c>
      <c r="V15" s="14"/>
      <c r="W15" s="14"/>
      <c r="X15" s="2">
        <f t="shared" si="1"/>
        <v>60545942.289999984</v>
      </c>
      <c r="Y15" s="14">
        <v>343761.25</v>
      </c>
      <c r="Z15" s="14">
        <v>22170</v>
      </c>
      <c r="AA15" s="14"/>
      <c r="AB15" s="14">
        <v>2364990.7999999998</v>
      </c>
      <c r="AC15" s="14">
        <v>1427342.17</v>
      </c>
      <c r="AD15" s="14">
        <v>619631.75</v>
      </c>
      <c r="AE15" s="14">
        <v>42412.1</v>
      </c>
      <c r="AF15" s="14"/>
      <c r="AG15" s="14">
        <v>2840740.54</v>
      </c>
      <c r="AH15" s="14"/>
      <c r="AI15" s="14"/>
      <c r="AJ15" s="14"/>
      <c r="AK15" s="14"/>
      <c r="AL15" s="48">
        <f t="shared" si="2"/>
        <v>7661048.6099999994</v>
      </c>
      <c r="AM15" s="22">
        <v>68</v>
      </c>
      <c r="AN15" s="14">
        <v>7419</v>
      </c>
      <c r="AO15" s="14">
        <v>-253263.89</v>
      </c>
      <c r="AP15" s="14"/>
      <c r="AQ15" s="14">
        <v>-7511.16</v>
      </c>
      <c r="AR15" s="44">
        <v>1.3</v>
      </c>
    </row>
    <row r="16" spans="1:44" x14ac:dyDescent="0.25">
      <c r="A16" s="12">
        <v>5410</v>
      </c>
      <c r="B16" s="13" t="s">
        <v>164</v>
      </c>
      <c r="C16" s="14">
        <v>1743008.7</v>
      </c>
      <c r="D16" s="14">
        <v>555829.02</v>
      </c>
      <c r="E16" s="14"/>
      <c r="F16" s="14"/>
      <c r="G16" s="14">
        <v>82858.25</v>
      </c>
      <c r="H16" s="14">
        <v>4189.3500000000004</v>
      </c>
      <c r="I16" s="14"/>
      <c r="J16" s="14">
        <v>81670.73</v>
      </c>
      <c r="K16" s="14">
        <v>4859</v>
      </c>
      <c r="L16" s="14">
        <v>503977.15</v>
      </c>
      <c r="M16" s="3">
        <f t="shared" si="0"/>
        <v>2976392.1999999997</v>
      </c>
      <c r="N16" s="14"/>
      <c r="O16" s="14">
        <v>114149.4</v>
      </c>
      <c r="P16" s="14">
        <v>91259.8</v>
      </c>
      <c r="Q16" s="14">
        <v>2828.42</v>
      </c>
      <c r="R16" s="14">
        <v>122100.6</v>
      </c>
      <c r="S16" s="14">
        <v>8406.25</v>
      </c>
      <c r="T16" s="14">
        <v>150</v>
      </c>
      <c r="U16" s="14">
        <v>18520</v>
      </c>
      <c r="V16" s="14">
        <v>3391.55</v>
      </c>
      <c r="W16" s="14"/>
      <c r="X16" s="2">
        <f t="shared" si="1"/>
        <v>3337198.2199999993</v>
      </c>
      <c r="Y16" s="14">
        <v>100957.15</v>
      </c>
      <c r="Z16" s="14"/>
      <c r="AA16" s="14">
        <v>443683.3</v>
      </c>
      <c r="AB16" s="14"/>
      <c r="AC16" s="14">
        <v>308610.98</v>
      </c>
      <c r="AD16" s="14">
        <v>39094.199999999997</v>
      </c>
      <c r="AE16" s="14"/>
      <c r="AF16" s="14"/>
      <c r="AG16" s="14">
        <v>297751.21000000002</v>
      </c>
      <c r="AH16" s="14">
        <v>62134.15</v>
      </c>
      <c r="AI16" s="14"/>
      <c r="AJ16" s="14">
        <v>35505.25</v>
      </c>
      <c r="AK16" s="14"/>
      <c r="AL16" s="48">
        <f t="shared" si="2"/>
        <v>1287736.2399999998</v>
      </c>
      <c r="AM16" s="22">
        <v>78.5</v>
      </c>
      <c r="AN16" s="14">
        <v>1119</v>
      </c>
      <c r="AO16" s="14">
        <v>-45257.27</v>
      </c>
      <c r="AP16" s="14"/>
      <c r="AQ16" s="14">
        <v>-86.41</v>
      </c>
      <c r="AR16" s="44">
        <v>1.5</v>
      </c>
    </row>
    <row r="17" spans="1:44" x14ac:dyDescent="0.25">
      <c r="A17" s="12">
        <v>5411</v>
      </c>
      <c r="B17" s="13" t="s">
        <v>165</v>
      </c>
      <c r="C17" s="14">
        <v>3081803.06</v>
      </c>
      <c r="D17" s="14">
        <v>1190650.8799999999</v>
      </c>
      <c r="E17" s="14"/>
      <c r="F17" s="14"/>
      <c r="G17" s="14">
        <v>143774</v>
      </c>
      <c r="H17" s="14">
        <v>5955.15</v>
      </c>
      <c r="I17" s="14">
        <v>141919.69</v>
      </c>
      <c r="J17" s="14">
        <v>152338.87</v>
      </c>
      <c r="K17" s="14">
        <v>22011.5</v>
      </c>
      <c r="L17" s="14">
        <v>1114705.8500000001</v>
      </c>
      <c r="M17" s="3">
        <f t="shared" si="0"/>
        <v>5853159</v>
      </c>
      <c r="N17" s="14">
        <v>4683.3</v>
      </c>
      <c r="O17" s="14">
        <v>33663.9</v>
      </c>
      <c r="P17" s="14">
        <v>259857.75</v>
      </c>
      <c r="Q17" s="14">
        <v>42592.22</v>
      </c>
      <c r="R17" s="14">
        <v>219085.3</v>
      </c>
      <c r="S17" s="14">
        <v>487.5</v>
      </c>
      <c r="T17" s="14">
        <v>1500</v>
      </c>
      <c r="U17" s="14">
        <v>8450</v>
      </c>
      <c r="V17" s="14"/>
      <c r="W17" s="14">
        <v>1676.65</v>
      </c>
      <c r="X17" s="2">
        <f t="shared" si="1"/>
        <v>6425155.6200000001</v>
      </c>
      <c r="Y17" s="14">
        <v>41202</v>
      </c>
      <c r="Z17" s="14"/>
      <c r="AA17" s="14">
        <v>365077.8</v>
      </c>
      <c r="AB17" s="14"/>
      <c r="AC17" s="14">
        <v>270447.8</v>
      </c>
      <c r="AD17" s="14">
        <v>96448</v>
      </c>
      <c r="AE17" s="14"/>
      <c r="AF17" s="14"/>
      <c r="AG17" s="14">
        <v>896544.65</v>
      </c>
      <c r="AH17" s="14">
        <v>99041.75</v>
      </c>
      <c r="AI17" s="14"/>
      <c r="AJ17" s="14"/>
      <c r="AK17" s="14">
        <v>28297.65</v>
      </c>
      <c r="AL17" s="48">
        <f t="shared" si="2"/>
        <v>1797059.65</v>
      </c>
      <c r="AM17" s="22">
        <v>76</v>
      </c>
      <c r="AN17" s="14">
        <v>1481</v>
      </c>
      <c r="AO17" s="14">
        <v>-65486.26</v>
      </c>
      <c r="AP17" s="14"/>
      <c r="AQ17" s="14">
        <v>-2640.09</v>
      </c>
      <c r="AR17" s="44">
        <v>1.5</v>
      </c>
    </row>
    <row r="18" spans="1:44" x14ac:dyDescent="0.25">
      <c r="A18" s="12">
        <v>5412</v>
      </c>
      <c r="B18" s="13" t="s">
        <v>166</v>
      </c>
      <c r="C18" s="14">
        <v>1150541.28</v>
      </c>
      <c r="D18" s="14">
        <v>130721.89</v>
      </c>
      <c r="E18" s="14"/>
      <c r="F18" s="14"/>
      <c r="G18" s="14">
        <v>237062.8</v>
      </c>
      <c r="H18" s="14">
        <v>6486.85</v>
      </c>
      <c r="I18" s="14">
        <v>21735.3</v>
      </c>
      <c r="J18" s="14">
        <v>101351.14</v>
      </c>
      <c r="K18" s="14">
        <v>15320.5</v>
      </c>
      <c r="L18" s="14">
        <v>178858.3</v>
      </c>
      <c r="M18" s="3">
        <f t="shared" si="0"/>
        <v>1842078.06</v>
      </c>
      <c r="N18" s="14">
        <v>92887.85</v>
      </c>
      <c r="O18" s="14"/>
      <c r="P18" s="14">
        <v>53190.45</v>
      </c>
      <c r="Q18" s="14">
        <v>14037.44</v>
      </c>
      <c r="R18" s="14">
        <v>75144.899999999994</v>
      </c>
      <c r="S18" s="14">
        <v>375</v>
      </c>
      <c r="T18" s="14">
        <v>60</v>
      </c>
      <c r="U18" s="14">
        <v>3900</v>
      </c>
      <c r="V18" s="14"/>
      <c r="W18" s="14"/>
      <c r="X18" s="2">
        <f t="shared" si="1"/>
        <v>2081673.7</v>
      </c>
      <c r="Y18" s="14">
        <v>772595.32</v>
      </c>
      <c r="Z18" s="14"/>
      <c r="AA18" s="14">
        <v>148729.53</v>
      </c>
      <c r="AB18" s="14"/>
      <c r="AC18" s="14">
        <v>97869.2</v>
      </c>
      <c r="AD18" s="14">
        <v>927114.29</v>
      </c>
      <c r="AE18" s="14"/>
      <c r="AF18" s="14"/>
      <c r="AG18" s="14">
        <v>643.5</v>
      </c>
      <c r="AH18" s="14">
        <v>46833.35</v>
      </c>
      <c r="AI18" s="14"/>
      <c r="AJ18" s="14"/>
      <c r="AK18" s="14"/>
      <c r="AL18" s="48">
        <f t="shared" si="2"/>
        <v>1993785.19</v>
      </c>
      <c r="AM18" s="22">
        <v>67.5</v>
      </c>
      <c r="AN18" s="14">
        <v>843</v>
      </c>
      <c r="AO18" s="14">
        <v>-67217.5</v>
      </c>
      <c r="AP18" s="14"/>
      <c r="AQ18" s="14">
        <v>-30.57</v>
      </c>
      <c r="AR18" s="44">
        <v>1</v>
      </c>
    </row>
    <row r="19" spans="1:44" x14ac:dyDescent="0.25">
      <c r="A19" s="12">
        <v>5413</v>
      </c>
      <c r="B19" s="13" t="s">
        <v>167</v>
      </c>
      <c r="C19" s="14">
        <v>1545506.56</v>
      </c>
      <c r="D19" s="14">
        <v>168616.94</v>
      </c>
      <c r="E19" s="14"/>
      <c r="F19" s="14"/>
      <c r="G19" s="14">
        <v>373711.1</v>
      </c>
      <c r="H19" s="14">
        <v>4087.3</v>
      </c>
      <c r="I19" s="14"/>
      <c r="J19" s="14">
        <v>110824.57</v>
      </c>
      <c r="K19" s="14">
        <v>15694.5</v>
      </c>
      <c r="L19" s="14">
        <v>212343.55</v>
      </c>
      <c r="M19" s="3">
        <f t="shared" si="0"/>
        <v>2430784.52</v>
      </c>
      <c r="N19" s="14">
        <v>208419.15</v>
      </c>
      <c r="O19" s="14">
        <v>12292.5</v>
      </c>
      <c r="P19" s="14">
        <v>112157.65</v>
      </c>
      <c r="Q19" s="14">
        <v>8373.2900000000009</v>
      </c>
      <c r="R19" s="14">
        <v>91841.7</v>
      </c>
      <c r="S19" s="14">
        <v>250</v>
      </c>
      <c r="T19" s="14"/>
      <c r="U19" s="14">
        <v>11100</v>
      </c>
      <c r="V19" s="14"/>
      <c r="W19" s="14"/>
      <c r="X19" s="2">
        <f t="shared" si="1"/>
        <v>2875218.81</v>
      </c>
      <c r="Y19" s="14"/>
      <c r="Z19" s="14"/>
      <c r="AA19" s="14">
        <v>146967.95000000001</v>
      </c>
      <c r="AB19" s="14"/>
      <c r="AC19" s="14">
        <v>190610.94</v>
      </c>
      <c r="AD19" s="14"/>
      <c r="AE19" s="14"/>
      <c r="AF19" s="14"/>
      <c r="AG19" s="14"/>
      <c r="AH19" s="14">
        <v>60847.9</v>
      </c>
      <c r="AI19" s="14">
        <v>17899.400000000001</v>
      </c>
      <c r="AJ19" s="14"/>
      <c r="AK19" s="14"/>
      <c r="AL19" s="48">
        <f t="shared" si="2"/>
        <v>416326.19000000006</v>
      </c>
      <c r="AM19" s="22">
        <v>68</v>
      </c>
      <c r="AN19" s="14">
        <v>1507</v>
      </c>
      <c r="AO19" s="14">
        <v>-68557.78</v>
      </c>
      <c r="AP19" s="14"/>
      <c r="AQ19" s="14">
        <v>-36.96</v>
      </c>
      <c r="AR19" s="44">
        <v>1</v>
      </c>
    </row>
    <row r="20" spans="1:44" x14ac:dyDescent="0.25">
      <c r="A20" s="12">
        <v>5414</v>
      </c>
      <c r="B20" s="13" t="s">
        <v>168</v>
      </c>
      <c r="C20" s="14">
        <v>7543729.4199999999</v>
      </c>
      <c r="D20" s="14">
        <v>882985.18</v>
      </c>
      <c r="E20" s="14"/>
      <c r="F20" s="14"/>
      <c r="G20" s="14">
        <v>1671663.95</v>
      </c>
      <c r="H20" s="14">
        <v>109662.45</v>
      </c>
      <c r="I20" s="14">
        <v>90368.1</v>
      </c>
      <c r="J20" s="14">
        <v>507884.35</v>
      </c>
      <c r="K20" s="14">
        <v>55146</v>
      </c>
      <c r="L20" s="14">
        <v>984238.5</v>
      </c>
      <c r="M20" s="3">
        <f t="shared" si="0"/>
        <v>11845677.949999997</v>
      </c>
      <c r="N20" s="14">
        <v>772343.75</v>
      </c>
      <c r="O20" s="14">
        <v>37804.9</v>
      </c>
      <c r="P20" s="14">
        <v>943115.05</v>
      </c>
      <c r="Q20" s="14">
        <v>62919.24</v>
      </c>
      <c r="R20" s="14">
        <v>403483.55</v>
      </c>
      <c r="S20" s="14">
        <v>850</v>
      </c>
      <c r="T20" s="14">
        <v>9105</v>
      </c>
      <c r="U20" s="14">
        <v>27715</v>
      </c>
      <c r="V20" s="14">
        <v>3421.2</v>
      </c>
      <c r="W20" s="14"/>
      <c r="X20" s="2">
        <f t="shared" si="1"/>
        <v>14106435.639999999</v>
      </c>
      <c r="Y20" s="14">
        <v>75759.350000000006</v>
      </c>
      <c r="Z20" s="14"/>
      <c r="AA20" s="14">
        <v>1074841.6000000001</v>
      </c>
      <c r="AB20" s="14"/>
      <c r="AC20" s="14">
        <v>865058.55</v>
      </c>
      <c r="AD20" s="14">
        <v>91217.15</v>
      </c>
      <c r="AE20" s="14"/>
      <c r="AF20" s="14"/>
      <c r="AG20" s="14">
        <v>82334</v>
      </c>
      <c r="AH20" s="14"/>
      <c r="AI20" s="14"/>
      <c r="AJ20" s="14"/>
      <c r="AK20" s="14"/>
      <c r="AL20" s="48">
        <f t="shared" si="2"/>
        <v>2189210.6500000004</v>
      </c>
      <c r="AM20" s="22">
        <v>69</v>
      </c>
      <c r="AN20" s="14">
        <v>5428</v>
      </c>
      <c r="AO20" s="14">
        <v>-314336.40999999997</v>
      </c>
      <c r="AP20" s="14"/>
      <c r="AQ20" s="14">
        <v>-1617.66</v>
      </c>
      <c r="AR20" s="44">
        <v>1</v>
      </c>
    </row>
    <row r="21" spans="1:44" x14ac:dyDescent="0.25">
      <c r="A21" s="12">
        <v>5415</v>
      </c>
      <c r="B21" s="13" t="s">
        <v>79</v>
      </c>
      <c r="C21" s="14">
        <v>2201932.19</v>
      </c>
      <c r="D21" s="14">
        <v>314619.37</v>
      </c>
      <c r="E21" s="14"/>
      <c r="F21" s="14"/>
      <c r="G21" s="14">
        <v>160593.35</v>
      </c>
      <c r="H21" s="14">
        <v>1291.3</v>
      </c>
      <c r="I21" s="14"/>
      <c r="J21" s="14">
        <v>60339.81</v>
      </c>
      <c r="K21" s="14">
        <v>8071.5</v>
      </c>
      <c r="L21" s="14">
        <v>310875</v>
      </c>
      <c r="M21" s="3">
        <f t="shared" si="0"/>
        <v>3057722.52</v>
      </c>
      <c r="N21" s="14">
        <v>38421.300000000003</v>
      </c>
      <c r="O21" s="14">
        <v>9303.7999999999993</v>
      </c>
      <c r="P21" s="14">
        <v>76988.149999999994</v>
      </c>
      <c r="Q21" s="14">
        <v>23438.63</v>
      </c>
      <c r="R21" s="14">
        <v>42763.75</v>
      </c>
      <c r="S21" s="14">
        <v>237.5</v>
      </c>
      <c r="T21" s="14"/>
      <c r="U21" s="14">
        <v>7950</v>
      </c>
      <c r="V21" s="14"/>
      <c r="W21" s="14"/>
      <c r="X21" s="2">
        <f t="shared" si="1"/>
        <v>3256825.6499999994</v>
      </c>
      <c r="Y21" s="14">
        <v>16415.7</v>
      </c>
      <c r="Z21" s="14"/>
      <c r="AA21" s="14">
        <v>130166.35</v>
      </c>
      <c r="AB21" s="14"/>
      <c r="AC21" s="14">
        <v>56476.85</v>
      </c>
      <c r="AD21" s="14">
        <v>26387.25</v>
      </c>
      <c r="AE21" s="14"/>
      <c r="AF21" s="14"/>
      <c r="AG21" s="14">
        <v>29359</v>
      </c>
      <c r="AH21" s="14">
        <v>19400</v>
      </c>
      <c r="AI21" s="14"/>
      <c r="AJ21" s="14"/>
      <c r="AK21" s="14">
        <v>19400</v>
      </c>
      <c r="AL21" s="48">
        <f t="shared" si="2"/>
        <v>297605.15000000002</v>
      </c>
      <c r="AM21" s="22">
        <v>68.5</v>
      </c>
      <c r="AN21" s="14">
        <v>1032</v>
      </c>
      <c r="AO21" s="14">
        <v>-28046.14</v>
      </c>
      <c r="AP21" s="14"/>
      <c r="AQ21" s="14">
        <v>-155.81</v>
      </c>
      <c r="AR21" s="44">
        <v>1.5</v>
      </c>
    </row>
    <row r="22" spans="1:44" x14ac:dyDescent="0.25">
      <c r="A22" s="12">
        <v>5421</v>
      </c>
      <c r="B22" s="13" t="s">
        <v>80</v>
      </c>
      <c r="C22" s="14">
        <v>2717740.38</v>
      </c>
      <c r="D22" s="14">
        <v>455574.03</v>
      </c>
      <c r="E22" s="14"/>
      <c r="F22" s="14"/>
      <c r="G22" s="14">
        <v>163050.79999999999</v>
      </c>
      <c r="H22" s="14">
        <v>73567.100000000006</v>
      </c>
      <c r="I22" s="14">
        <v>163459.46</v>
      </c>
      <c r="J22" s="14">
        <v>231686.48</v>
      </c>
      <c r="K22" s="14">
        <v>7957.5</v>
      </c>
      <c r="L22" s="14">
        <v>257587.05</v>
      </c>
      <c r="M22" s="3">
        <f t="shared" si="0"/>
        <v>4070622.8</v>
      </c>
      <c r="N22" s="14">
        <v>21306.2</v>
      </c>
      <c r="O22" s="14">
        <v>266539.5</v>
      </c>
      <c r="P22" s="14">
        <v>93963.6</v>
      </c>
      <c r="Q22" s="14">
        <v>13198.84</v>
      </c>
      <c r="R22" s="14">
        <v>232419.95</v>
      </c>
      <c r="S22" s="14">
        <v>281.25</v>
      </c>
      <c r="T22" s="14"/>
      <c r="U22" s="14">
        <v>8400</v>
      </c>
      <c r="V22" s="14"/>
      <c r="W22" s="14"/>
      <c r="X22" s="2">
        <f t="shared" si="1"/>
        <v>4706732.1399999997</v>
      </c>
      <c r="Y22" s="14">
        <v>39416</v>
      </c>
      <c r="Z22" s="14"/>
      <c r="AA22" s="14">
        <v>341863.2</v>
      </c>
      <c r="AB22" s="14"/>
      <c r="AC22" s="14">
        <v>143890.74</v>
      </c>
      <c r="AD22" s="14">
        <v>75296</v>
      </c>
      <c r="AE22" s="14"/>
      <c r="AF22" s="14"/>
      <c r="AG22" s="14"/>
      <c r="AH22" s="14"/>
      <c r="AI22" s="14"/>
      <c r="AJ22" s="14"/>
      <c r="AK22" s="14"/>
      <c r="AL22" s="48">
        <f t="shared" si="2"/>
        <v>600465.93999999994</v>
      </c>
      <c r="AM22" s="22">
        <v>71</v>
      </c>
      <c r="AN22" s="14">
        <v>1363</v>
      </c>
      <c r="AO22" s="14">
        <v>-7642.03</v>
      </c>
      <c r="AP22" s="14"/>
      <c r="AQ22" s="14">
        <v>-1369.52</v>
      </c>
      <c r="AR22" s="44">
        <v>1</v>
      </c>
    </row>
    <row r="23" spans="1:44" x14ac:dyDescent="0.25">
      <c r="A23" s="12">
        <v>5422</v>
      </c>
      <c r="B23" s="13" t="s">
        <v>81</v>
      </c>
      <c r="C23" s="14">
        <v>8696837.2799999993</v>
      </c>
      <c r="D23" s="14">
        <v>2109648.0499999998</v>
      </c>
      <c r="E23" s="14"/>
      <c r="F23" s="14"/>
      <c r="G23" s="14">
        <v>2950012.05</v>
      </c>
      <c r="H23" s="14">
        <v>99937.95</v>
      </c>
      <c r="I23" s="14">
        <v>290892.59999999998</v>
      </c>
      <c r="J23" s="14">
        <v>762070.33</v>
      </c>
      <c r="K23" s="14">
        <v>110832</v>
      </c>
      <c r="L23" s="14">
        <v>865588.33</v>
      </c>
      <c r="M23" s="3">
        <f t="shared" si="0"/>
        <v>15885818.589999998</v>
      </c>
      <c r="N23" s="14">
        <v>474225</v>
      </c>
      <c r="O23" s="14">
        <v>231155</v>
      </c>
      <c r="P23" s="14">
        <v>429140.55</v>
      </c>
      <c r="Q23" s="14">
        <v>8857.01</v>
      </c>
      <c r="R23" s="14">
        <v>492714.65</v>
      </c>
      <c r="S23" s="14"/>
      <c r="T23" s="14">
        <v>4300</v>
      </c>
      <c r="U23" s="14">
        <v>20200</v>
      </c>
      <c r="V23" s="14"/>
      <c r="W23" s="14"/>
      <c r="X23" s="2">
        <f t="shared" si="1"/>
        <v>17546410.799999997</v>
      </c>
      <c r="Y23" s="14">
        <v>214079.39</v>
      </c>
      <c r="Z23" s="14"/>
      <c r="AA23" s="14">
        <v>303572</v>
      </c>
      <c r="AB23" s="14"/>
      <c r="AC23" s="14">
        <v>242953.35</v>
      </c>
      <c r="AD23" s="14">
        <v>198405.18</v>
      </c>
      <c r="AE23" s="14"/>
      <c r="AF23" s="14"/>
      <c r="AG23" s="14"/>
      <c r="AH23" s="14">
        <v>206325.7</v>
      </c>
      <c r="AI23" s="14"/>
      <c r="AJ23" s="14"/>
      <c r="AK23" s="14"/>
      <c r="AL23" s="48">
        <f t="shared" si="2"/>
        <v>1165335.6199999999</v>
      </c>
      <c r="AM23" s="22">
        <v>68</v>
      </c>
      <c r="AN23" s="14">
        <v>3227</v>
      </c>
      <c r="AO23" s="14">
        <v>-148490.84</v>
      </c>
      <c r="AP23" s="14"/>
      <c r="AQ23" s="14">
        <v>-723.34</v>
      </c>
      <c r="AR23" s="44">
        <v>1</v>
      </c>
    </row>
    <row r="24" spans="1:44" x14ac:dyDescent="0.25">
      <c r="A24" s="12">
        <v>5423</v>
      </c>
      <c r="B24" s="13" t="s">
        <v>82</v>
      </c>
      <c r="C24" s="14">
        <v>1078064.1299999999</v>
      </c>
      <c r="D24" s="14">
        <v>114204.5</v>
      </c>
      <c r="E24" s="14"/>
      <c r="F24" s="14">
        <v>2720</v>
      </c>
      <c r="G24" s="14">
        <v>45543.05</v>
      </c>
      <c r="H24" s="14">
        <v>58.6</v>
      </c>
      <c r="I24" s="14"/>
      <c r="J24" s="14">
        <v>58066.400000000001</v>
      </c>
      <c r="K24" s="14">
        <v>1801</v>
      </c>
      <c r="L24" s="14">
        <v>35601.35</v>
      </c>
      <c r="M24" s="3">
        <f t="shared" si="0"/>
        <v>1336059.03</v>
      </c>
      <c r="N24" s="14">
        <v>13307.25</v>
      </c>
      <c r="O24" s="14">
        <v>45426.7</v>
      </c>
      <c r="P24" s="14">
        <v>37579.300000000003</v>
      </c>
      <c r="Q24" s="14">
        <v>1198.76</v>
      </c>
      <c r="R24" s="14">
        <v>19948.400000000001</v>
      </c>
      <c r="S24" s="14">
        <v>31.3</v>
      </c>
      <c r="T24" s="14">
        <v>591</v>
      </c>
      <c r="U24" s="14">
        <v>1450</v>
      </c>
      <c r="V24" s="14"/>
      <c r="W24" s="14"/>
      <c r="X24" s="2">
        <f t="shared" si="1"/>
        <v>1455591.74</v>
      </c>
      <c r="Y24" s="14">
        <v>13795.9</v>
      </c>
      <c r="Z24" s="14"/>
      <c r="AA24" s="14">
        <v>150023.4</v>
      </c>
      <c r="AB24" s="14"/>
      <c r="AC24" s="14">
        <v>27118.799999999999</v>
      </c>
      <c r="AD24" s="14"/>
      <c r="AE24" s="14"/>
      <c r="AF24" s="14"/>
      <c r="AG24" s="14"/>
      <c r="AH24" s="14">
        <v>13514.9</v>
      </c>
      <c r="AI24" s="14"/>
      <c r="AJ24" s="14"/>
      <c r="AK24" s="14"/>
      <c r="AL24" s="48">
        <f t="shared" si="2"/>
        <v>204452.99999999997</v>
      </c>
      <c r="AM24" s="22">
        <v>69</v>
      </c>
      <c r="AN24" s="14">
        <v>509</v>
      </c>
      <c r="AO24" s="14">
        <v>-9074.1</v>
      </c>
      <c r="AP24" s="14"/>
      <c r="AQ24" s="14">
        <v>-215.88</v>
      </c>
      <c r="AR24" s="44">
        <v>0.5</v>
      </c>
    </row>
    <row r="25" spans="1:44" x14ac:dyDescent="0.25">
      <c r="A25" s="12">
        <v>5424</v>
      </c>
      <c r="B25" s="13" t="s">
        <v>83</v>
      </c>
      <c r="C25" s="14">
        <v>635214.65</v>
      </c>
      <c r="D25" s="14">
        <v>41596.36</v>
      </c>
      <c r="E25" s="14"/>
      <c r="F25" s="14"/>
      <c r="G25" s="14">
        <v>1399.9</v>
      </c>
      <c r="H25" s="14">
        <v>50.8</v>
      </c>
      <c r="I25" s="14">
        <v>61279.6</v>
      </c>
      <c r="J25" s="14">
        <v>-71905.960000000006</v>
      </c>
      <c r="K25" s="14">
        <v>94.5</v>
      </c>
      <c r="L25" s="14">
        <v>47440.3</v>
      </c>
      <c r="M25" s="3">
        <f t="shared" si="0"/>
        <v>715170.15000000014</v>
      </c>
      <c r="N25" s="14"/>
      <c r="O25" s="14">
        <v>11107.8</v>
      </c>
      <c r="P25" s="14">
        <v>21070.5</v>
      </c>
      <c r="Q25" s="14">
        <v>6914.47</v>
      </c>
      <c r="R25" s="14">
        <v>19804.8</v>
      </c>
      <c r="S25" s="14"/>
      <c r="T25" s="14"/>
      <c r="U25" s="14">
        <v>1850</v>
      </c>
      <c r="V25" s="14"/>
      <c r="W25" s="14"/>
      <c r="X25" s="2">
        <f t="shared" si="1"/>
        <v>775917.7200000002</v>
      </c>
      <c r="Y25" s="14"/>
      <c r="Z25" s="14">
        <v>1150</v>
      </c>
      <c r="AA25" s="14">
        <v>42784.1</v>
      </c>
      <c r="AB25" s="14"/>
      <c r="AC25" s="14">
        <v>13348.5</v>
      </c>
      <c r="AD25" s="14"/>
      <c r="AE25" s="14">
        <v>702.25</v>
      </c>
      <c r="AF25" s="14"/>
      <c r="AG25" s="14"/>
      <c r="AH25" s="14">
        <v>7206.3</v>
      </c>
      <c r="AI25" s="14"/>
      <c r="AJ25" s="14"/>
      <c r="AK25" s="14"/>
      <c r="AL25" s="48">
        <f t="shared" si="2"/>
        <v>65191.15</v>
      </c>
      <c r="AM25" s="22">
        <v>77</v>
      </c>
      <c r="AN25" s="14">
        <v>292</v>
      </c>
      <c r="AO25" s="14">
        <v>-1354.9</v>
      </c>
      <c r="AP25" s="14"/>
      <c r="AQ25" s="14"/>
      <c r="AR25" s="44">
        <v>1</v>
      </c>
    </row>
    <row r="26" spans="1:44" x14ac:dyDescent="0.25">
      <c r="A26" s="12">
        <v>5425</v>
      </c>
      <c r="B26" s="13" t="s">
        <v>84</v>
      </c>
      <c r="C26" s="14">
        <v>2061498.77</v>
      </c>
      <c r="D26" s="14">
        <v>235465.73</v>
      </c>
      <c r="E26" s="14"/>
      <c r="F26" s="14"/>
      <c r="G26" s="14">
        <v>182194.05</v>
      </c>
      <c r="H26" s="14">
        <v>1063.45</v>
      </c>
      <c r="I26" s="14"/>
      <c r="J26" s="14">
        <v>122230.69</v>
      </c>
      <c r="K26" s="14">
        <v>13657.5</v>
      </c>
      <c r="L26" s="14">
        <v>92000.7</v>
      </c>
      <c r="M26" s="3">
        <f t="shared" si="0"/>
        <v>2708110.89</v>
      </c>
      <c r="N26" s="14">
        <v>37180.1</v>
      </c>
      <c r="O26" s="14">
        <v>18861.900000000001</v>
      </c>
      <c r="P26" s="14">
        <v>94742.35</v>
      </c>
      <c r="Q26" s="14">
        <v>37100.15</v>
      </c>
      <c r="R26" s="14">
        <v>93207.2</v>
      </c>
      <c r="S26" s="14">
        <v>620</v>
      </c>
      <c r="T26" s="14">
        <v>1375</v>
      </c>
      <c r="U26" s="14">
        <v>11950</v>
      </c>
      <c r="V26" s="14">
        <v>8621.5499999999993</v>
      </c>
      <c r="W26" s="14"/>
      <c r="X26" s="2">
        <f t="shared" si="1"/>
        <v>3011769.14</v>
      </c>
      <c r="Y26" s="14">
        <v>8184.5</v>
      </c>
      <c r="Z26" s="14"/>
      <c r="AA26" s="14">
        <v>192210.5</v>
      </c>
      <c r="AB26" s="14"/>
      <c r="AC26" s="14"/>
      <c r="AD26" s="14">
        <v>3448</v>
      </c>
      <c r="AE26" s="14"/>
      <c r="AF26" s="14"/>
      <c r="AG26" s="14"/>
      <c r="AH26" s="14">
        <v>58219.55</v>
      </c>
      <c r="AI26" s="14"/>
      <c r="AJ26" s="14"/>
      <c r="AK26" s="14"/>
      <c r="AL26" s="48">
        <f t="shared" si="2"/>
        <v>262062.55</v>
      </c>
      <c r="AM26" s="22">
        <v>68</v>
      </c>
      <c r="AN26" s="14">
        <v>1550</v>
      </c>
      <c r="AO26" s="14">
        <v>-63642.13</v>
      </c>
      <c r="AP26" s="14"/>
      <c r="AQ26" s="14">
        <v>-26.14</v>
      </c>
      <c r="AR26" s="44">
        <v>0.5</v>
      </c>
    </row>
    <row r="27" spans="1:44" x14ac:dyDescent="0.25">
      <c r="A27" s="12">
        <v>5426</v>
      </c>
      <c r="B27" s="13" t="s">
        <v>78</v>
      </c>
      <c r="C27" s="14">
        <v>1531079.27</v>
      </c>
      <c r="D27" s="14">
        <v>536321.68999999994</v>
      </c>
      <c r="E27" s="14"/>
      <c r="F27" s="14"/>
      <c r="G27" s="14">
        <v>59672.5</v>
      </c>
      <c r="H27" s="14">
        <v>1402.8</v>
      </c>
      <c r="I27" s="14">
        <v>407014.2</v>
      </c>
      <c r="J27" s="14">
        <v>-145747.32999999999</v>
      </c>
      <c r="K27" s="14">
        <v>4426</v>
      </c>
      <c r="L27" s="14">
        <v>224280.15</v>
      </c>
      <c r="M27" s="3">
        <f t="shared" si="0"/>
        <v>2618449.2799999998</v>
      </c>
      <c r="N27" s="14">
        <v>15206.55</v>
      </c>
      <c r="O27" s="14">
        <v>24603.5</v>
      </c>
      <c r="P27" s="14">
        <v>140360</v>
      </c>
      <c r="Q27" s="14">
        <v>624.28</v>
      </c>
      <c r="R27" s="14">
        <v>73711.75</v>
      </c>
      <c r="S27" s="14">
        <v>62.5</v>
      </c>
      <c r="T27" s="14">
        <v>787.5</v>
      </c>
      <c r="U27" s="14">
        <v>3160</v>
      </c>
      <c r="V27" s="14"/>
      <c r="W27" s="14"/>
      <c r="X27" s="2">
        <f t="shared" si="1"/>
        <v>2876965.3599999994</v>
      </c>
      <c r="Y27" s="14">
        <v>2131</v>
      </c>
      <c r="Z27" s="14"/>
      <c r="AA27" s="14">
        <v>167473</v>
      </c>
      <c r="AB27" s="14"/>
      <c r="AC27" s="14">
        <v>38898.5</v>
      </c>
      <c r="AD27" s="14"/>
      <c r="AE27" s="14"/>
      <c r="AF27" s="14"/>
      <c r="AG27" s="14"/>
      <c r="AH27" s="14"/>
      <c r="AI27" s="14"/>
      <c r="AJ27" s="14"/>
      <c r="AK27" s="14"/>
      <c r="AL27" s="48">
        <f t="shared" si="2"/>
        <v>208502.5</v>
      </c>
      <c r="AM27" s="22">
        <v>62</v>
      </c>
      <c r="AN27" s="14">
        <v>481</v>
      </c>
      <c r="AO27" s="14">
        <v>-7181.72</v>
      </c>
      <c r="AP27" s="14"/>
      <c r="AQ27" s="14">
        <v>-857.8</v>
      </c>
      <c r="AR27" s="44">
        <v>1</v>
      </c>
    </row>
    <row r="28" spans="1:44" x14ac:dyDescent="0.25">
      <c r="A28" s="12">
        <v>5427</v>
      </c>
      <c r="B28" s="13" t="s">
        <v>387</v>
      </c>
      <c r="C28" s="14">
        <v>2383395.7999999998</v>
      </c>
      <c r="D28" s="14">
        <v>555052.1</v>
      </c>
      <c r="E28" s="14"/>
      <c r="F28" s="14"/>
      <c r="G28" s="14">
        <v>-49684.65</v>
      </c>
      <c r="H28" s="14">
        <v>4605.6499999999996</v>
      </c>
      <c r="I28" s="14">
        <v>751196.2</v>
      </c>
      <c r="J28" s="14">
        <v>170171.57</v>
      </c>
      <c r="K28" s="14">
        <v>2502.5</v>
      </c>
      <c r="L28" s="14">
        <v>413220.35</v>
      </c>
      <c r="M28" s="3">
        <f t="shared" si="0"/>
        <v>4230459.5199999996</v>
      </c>
      <c r="N28" s="14">
        <v>8714.9</v>
      </c>
      <c r="O28" s="14">
        <v>2626.8</v>
      </c>
      <c r="P28" s="14">
        <v>138943.35</v>
      </c>
      <c r="Q28" s="14"/>
      <c r="R28" s="14">
        <v>98087.45</v>
      </c>
      <c r="S28" s="14"/>
      <c r="T28" s="14">
        <v>534</v>
      </c>
      <c r="U28" s="14">
        <v>4470</v>
      </c>
      <c r="V28" s="14"/>
      <c r="W28" s="14"/>
      <c r="X28" s="2">
        <f t="shared" si="1"/>
        <v>4483836.0199999996</v>
      </c>
      <c r="Y28" s="14">
        <v>20433.05</v>
      </c>
      <c r="Z28" s="14"/>
      <c r="AA28" s="14">
        <v>281608.65000000002</v>
      </c>
      <c r="AB28" s="14"/>
      <c r="AC28" s="14">
        <v>95061.4</v>
      </c>
      <c r="AD28" s="14"/>
      <c r="AE28" s="14"/>
      <c r="AF28" s="14"/>
      <c r="AG28" s="14"/>
      <c r="AH28" s="14"/>
      <c r="AI28" s="14"/>
      <c r="AJ28" s="14"/>
      <c r="AK28" s="14"/>
      <c r="AL28" s="48">
        <f t="shared" si="2"/>
        <v>397103.1</v>
      </c>
      <c r="AM28" s="22">
        <v>64</v>
      </c>
      <c r="AN28" s="14">
        <v>860</v>
      </c>
      <c r="AO28" s="14">
        <v>-16247.93</v>
      </c>
      <c r="AP28" s="14"/>
      <c r="AQ28" s="14"/>
      <c r="AR28" s="44">
        <v>1.3</v>
      </c>
    </row>
    <row r="29" spans="1:44" x14ac:dyDescent="0.25">
      <c r="A29" s="12">
        <v>5428</v>
      </c>
      <c r="B29" s="13" t="s">
        <v>388</v>
      </c>
      <c r="C29" s="14">
        <v>3053024.6</v>
      </c>
      <c r="D29" s="14">
        <v>363774.12</v>
      </c>
      <c r="E29" s="14"/>
      <c r="F29" s="14"/>
      <c r="G29" s="14">
        <v>195404.45</v>
      </c>
      <c r="H29" s="14">
        <v>346.15</v>
      </c>
      <c r="I29" s="14">
        <v>79183.55</v>
      </c>
      <c r="J29" s="14">
        <v>151769.79</v>
      </c>
      <c r="K29" s="14">
        <v>10539.5</v>
      </c>
      <c r="L29" s="14">
        <v>362287.3</v>
      </c>
      <c r="M29" s="3">
        <f t="shared" si="0"/>
        <v>4216329.46</v>
      </c>
      <c r="N29" s="14">
        <v>225987.15</v>
      </c>
      <c r="O29" s="14">
        <v>216014.6</v>
      </c>
      <c r="P29" s="14">
        <v>141392.1</v>
      </c>
      <c r="Q29" s="14">
        <v>19173</v>
      </c>
      <c r="R29" s="14">
        <v>47357.4</v>
      </c>
      <c r="S29" s="14">
        <v>575</v>
      </c>
      <c r="T29" s="14">
        <v>1750</v>
      </c>
      <c r="U29" s="14">
        <v>9200</v>
      </c>
      <c r="V29" s="14"/>
      <c r="W29" s="14"/>
      <c r="X29" s="2">
        <f t="shared" si="1"/>
        <v>4877778.71</v>
      </c>
      <c r="Y29" s="14">
        <v>10484.6</v>
      </c>
      <c r="Z29" s="14"/>
      <c r="AA29" s="14"/>
      <c r="AB29" s="14">
        <v>239234.66</v>
      </c>
      <c r="AC29" s="14">
        <v>184999.57</v>
      </c>
      <c r="AD29" s="14">
        <v>10484.6</v>
      </c>
      <c r="AE29" s="14"/>
      <c r="AF29" s="14"/>
      <c r="AG29" s="14"/>
      <c r="AH29" s="14"/>
      <c r="AI29" s="14">
        <v>44444.75</v>
      </c>
      <c r="AJ29" s="14"/>
      <c r="AK29" s="14"/>
      <c r="AL29" s="48">
        <f t="shared" si="2"/>
        <v>489648.18</v>
      </c>
      <c r="AM29" s="22">
        <v>71.5</v>
      </c>
      <c r="AN29" s="14">
        <v>1907</v>
      </c>
      <c r="AO29" s="14">
        <v>-60457.94</v>
      </c>
      <c r="AP29" s="14"/>
      <c r="AQ29" s="14">
        <v>-120.46</v>
      </c>
      <c r="AR29" s="44">
        <v>1.2</v>
      </c>
    </row>
    <row r="30" spans="1:44" x14ac:dyDescent="0.25">
      <c r="A30" s="12">
        <v>5429</v>
      </c>
      <c r="B30" s="13" t="s">
        <v>408</v>
      </c>
      <c r="C30" s="14">
        <v>951975.14</v>
      </c>
      <c r="D30" s="14">
        <v>96182.56</v>
      </c>
      <c r="E30" s="14"/>
      <c r="F30" s="14"/>
      <c r="G30" s="14">
        <v>15828.75</v>
      </c>
      <c r="H30" s="14">
        <v>3197.9</v>
      </c>
      <c r="I30" s="14"/>
      <c r="J30" s="14">
        <v>6865.05</v>
      </c>
      <c r="K30" s="14">
        <v>890</v>
      </c>
      <c r="L30" s="14">
        <v>83354.5</v>
      </c>
      <c r="M30" s="3">
        <f t="shared" si="0"/>
        <v>1158293.8999999999</v>
      </c>
      <c r="N30" s="14"/>
      <c r="O30" s="14"/>
      <c r="P30" s="14">
        <v>50913.65</v>
      </c>
      <c r="Q30" s="14">
        <v>26837.25</v>
      </c>
      <c r="R30" s="14">
        <v>18123.900000000001</v>
      </c>
      <c r="S30" s="14"/>
      <c r="T30" s="14"/>
      <c r="U30" s="14">
        <v>3960</v>
      </c>
      <c r="V30" s="14"/>
      <c r="W30" s="14"/>
      <c r="X30" s="2">
        <f t="shared" si="1"/>
        <v>1258128.6999999997</v>
      </c>
      <c r="Y30" s="14">
        <v>10743</v>
      </c>
      <c r="Z30" s="14"/>
      <c r="AA30" s="14">
        <v>32323.200000000001</v>
      </c>
      <c r="AB30" s="14"/>
      <c r="AC30" s="14">
        <v>57130.5</v>
      </c>
      <c r="AD30" s="14">
        <v>11668</v>
      </c>
      <c r="AE30" s="14"/>
      <c r="AF30" s="14"/>
      <c r="AG30" s="14">
        <v>3612.95</v>
      </c>
      <c r="AH30" s="14"/>
      <c r="AI30" s="14"/>
      <c r="AJ30" s="14"/>
      <c r="AK30" s="14"/>
      <c r="AL30" s="48">
        <f t="shared" si="2"/>
        <v>115477.65</v>
      </c>
      <c r="AM30" s="22">
        <v>81</v>
      </c>
      <c r="AN30" s="14">
        <v>463</v>
      </c>
      <c r="AO30" s="14">
        <v>-79874.59</v>
      </c>
      <c r="AP30" s="14"/>
      <c r="AQ30" s="14"/>
      <c r="AR30" s="44">
        <v>1</v>
      </c>
    </row>
    <row r="31" spans="1:44" x14ac:dyDescent="0.25">
      <c r="A31" s="12">
        <v>5430</v>
      </c>
      <c r="B31" s="13" t="s">
        <v>409</v>
      </c>
      <c r="C31" s="14">
        <v>854684.01</v>
      </c>
      <c r="D31" s="14">
        <v>111976.84</v>
      </c>
      <c r="E31" s="14"/>
      <c r="F31" s="14"/>
      <c r="G31" s="14">
        <v>995.1</v>
      </c>
      <c r="H31" s="14">
        <v>468.3</v>
      </c>
      <c r="I31" s="14"/>
      <c r="J31" s="14">
        <v>10124.34</v>
      </c>
      <c r="K31" s="14">
        <v>230</v>
      </c>
      <c r="L31" s="14">
        <v>75965.95</v>
      </c>
      <c r="M31" s="3">
        <f t="shared" si="0"/>
        <v>1054444.54</v>
      </c>
      <c r="N31" s="14">
        <v>14332.65</v>
      </c>
      <c r="O31" s="14"/>
      <c r="P31" s="14">
        <v>106511.6</v>
      </c>
      <c r="Q31" s="14">
        <v>3227.36</v>
      </c>
      <c r="R31" s="14">
        <v>80837.600000000006</v>
      </c>
      <c r="S31" s="14"/>
      <c r="T31" s="14"/>
      <c r="U31" s="14">
        <v>2560</v>
      </c>
      <c r="V31" s="14"/>
      <c r="W31" s="14"/>
      <c r="X31" s="2">
        <f t="shared" si="1"/>
        <v>1261913.7500000002</v>
      </c>
      <c r="Y31" s="14">
        <v>42085.1</v>
      </c>
      <c r="Z31" s="14"/>
      <c r="AA31" s="14">
        <v>36466.1</v>
      </c>
      <c r="AB31" s="14"/>
      <c r="AC31" s="14">
        <v>44667.85</v>
      </c>
      <c r="AD31" s="14">
        <v>42725.1</v>
      </c>
      <c r="AE31" s="14"/>
      <c r="AF31" s="14"/>
      <c r="AG31" s="14">
        <v>311.10000000000002</v>
      </c>
      <c r="AH31" s="14"/>
      <c r="AI31" s="14"/>
      <c r="AJ31" s="14"/>
      <c r="AK31" s="14"/>
      <c r="AL31" s="48">
        <f t="shared" si="2"/>
        <v>166255.25</v>
      </c>
      <c r="AM31" s="22">
        <v>81</v>
      </c>
      <c r="AN31" s="14">
        <v>448</v>
      </c>
      <c r="AO31" s="14">
        <v>-12611.96</v>
      </c>
      <c r="AP31" s="14"/>
      <c r="AQ31" s="14">
        <v>-23.33</v>
      </c>
      <c r="AR31" s="44">
        <v>1</v>
      </c>
    </row>
    <row r="32" spans="1:44" x14ac:dyDescent="0.25">
      <c r="A32" s="12">
        <v>5431</v>
      </c>
      <c r="B32" s="13" t="s">
        <v>410</v>
      </c>
      <c r="C32" s="14">
        <v>539794.28</v>
      </c>
      <c r="D32" s="14">
        <v>69868.539999999994</v>
      </c>
      <c r="E32" s="14"/>
      <c r="F32" s="14"/>
      <c r="G32" s="14">
        <v>470.5</v>
      </c>
      <c r="H32" s="14">
        <v>214.3</v>
      </c>
      <c r="I32" s="14"/>
      <c r="J32" s="14">
        <v>15097.47</v>
      </c>
      <c r="K32" s="14">
        <v>300.5</v>
      </c>
      <c r="L32" s="14">
        <v>46310.1</v>
      </c>
      <c r="M32" s="3">
        <f t="shared" si="0"/>
        <v>672055.69000000006</v>
      </c>
      <c r="N32" s="14"/>
      <c r="O32" s="14"/>
      <c r="P32" s="14">
        <v>14181.8</v>
      </c>
      <c r="Q32" s="14">
        <v>704.65</v>
      </c>
      <c r="R32" s="14">
        <v>23229.8</v>
      </c>
      <c r="S32" s="14"/>
      <c r="T32" s="14"/>
      <c r="U32" s="14">
        <v>1850</v>
      </c>
      <c r="V32" s="14"/>
      <c r="W32" s="14"/>
      <c r="X32" s="2">
        <f t="shared" si="1"/>
        <v>712021.94000000018</v>
      </c>
      <c r="Y32" s="14">
        <v>1372.7</v>
      </c>
      <c r="Z32" s="14"/>
      <c r="AA32" s="14">
        <v>92350</v>
      </c>
      <c r="AB32" s="14"/>
      <c r="AC32" s="14">
        <v>14950.1</v>
      </c>
      <c r="AD32" s="14">
        <v>1372.7</v>
      </c>
      <c r="AE32" s="14"/>
      <c r="AF32" s="14"/>
      <c r="AG32" s="14"/>
      <c r="AH32" s="14"/>
      <c r="AI32" s="14"/>
      <c r="AJ32" s="14"/>
      <c r="AK32" s="14"/>
      <c r="AL32" s="48">
        <f t="shared" si="2"/>
        <v>110045.5</v>
      </c>
      <c r="AM32" s="22">
        <v>74</v>
      </c>
      <c r="AN32" s="14">
        <v>294</v>
      </c>
      <c r="AO32" s="14">
        <v>-8783.07</v>
      </c>
      <c r="AP32" s="14"/>
      <c r="AQ32" s="14">
        <v>-543.92999999999995</v>
      </c>
      <c r="AR32" s="44">
        <v>1</v>
      </c>
    </row>
    <row r="33" spans="1:44" x14ac:dyDescent="0.25">
      <c r="A33" s="12">
        <v>5432</v>
      </c>
      <c r="B33" s="13" t="s">
        <v>411</v>
      </c>
      <c r="C33" s="14">
        <v>1102825.51</v>
      </c>
      <c r="D33" s="14">
        <v>120835.7</v>
      </c>
      <c r="E33" s="14"/>
      <c r="F33" s="14"/>
      <c r="G33" s="14">
        <v>53585.7</v>
      </c>
      <c r="H33" s="14">
        <v>551.54999999999995</v>
      </c>
      <c r="I33" s="14"/>
      <c r="J33" s="14">
        <v>48763.72</v>
      </c>
      <c r="K33" s="14">
        <v>2767</v>
      </c>
      <c r="L33" s="14">
        <v>85740.4</v>
      </c>
      <c r="M33" s="3">
        <f t="shared" si="0"/>
        <v>1415069.5799999998</v>
      </c>
      <c r="N33" s="14">
        <v>14943.5</v>
      </c>
      <c r="O33" s="14">
        <v>8542.9</v>
      </c>
      <c r="P33" s="14">
        <v>95590</v>
      </c>
      <c r="Q33" s="14"/>
      <c r="R33" s="14">
        <v>58006.85</v>
      </c>
      <c r="S33" s="14">
        <v>125</v>
      </c>
      <c r="T33" s="14">
        <v>280</v>
      </c>
      <c r="U33" s="14">
        <v>3920</v>
      </c>
      <c r="V33" s="14"/>
      <c r="W33" s="14"/>
      <c r="X33" s="2">
        <f t="shared" si="1"/>
        <v>1596477.8299999998</v>
      </c>
      <c r="Y33" s="14">
        <v>10526.5</v>
      </c>
      <c r="Z33" s="14"/>
      <c r="AA33" s="14">
        <v>37517.4</v>
      </c>
      <c r="AB33" s="14"/>
      <c r="AC33" s="14">
        <v>49300</v>
      </c>
      <c r="AD33" s="14">
        <v>10526.5</v>
      </c>
      <c r="AE33" s="14"/>
      <c r="AF33" s="14"/>
      <c r="AG33" s="14"/>
      <c r="AH33" s="14">
        <v>11236.45</v>
      </c>
      <c r="AI33" s="14"/>
      <c r="AJ33" s="14"/>
      <c r="AK33" s="14"/>
      <c r="AL33" s="48">
        <f t="shared" si="2"/>
        <v>119106.84999999999</v>
      </c>
      <c r="AM33" s="22">
        <v>74</v>
      </c>
      <c r="AN33" s="14">
        <v>518</v>
      </c>
      <c r="AO33" s="14">
        <v>-13300.32</v>
      </c>
      <c r="AP33" s="14"/>
      <c r="AQ33" s="14">
        <v>-307.38</v>
      </c>
      <c r="AR33" s="44">
        <v>1</v>
      </c>
    </row>
    <row r="34" spans="1:44" x14ac:dyDescent="0.25">
      <c r="A34" s="12">
        <v>5434</v>
      </c>
      <c r="B34" s="13" t="s">
        <v>412</v>
      </c>
      <c r="C34" s="14">
        <v>2004420.29</v>
      </c>
      <c r="D34" s="14"/>
      <c r="E34" s="14"/>
      <c r="F34" s="14"/>
      <c r="G34" s="14">
        <v>49240.3</v>
      </c>
      <c r="H34" s="14"/>
      <c r="I34" s="14"/>
      <c r="J34" s="14">
        <v>22132.35</v>
      </c>
      <c r="K34" s="14"/>
      <c r="L34" s="14">
        <v>194978</v>
      </c>
      <c r="M34" s="3">
        <f t="shared" si="0"/>
        <v>2270770.9400000004</v>
      </c>
      <c r="N34" s="14">
        <v>34403.599999999999</v>
      </c>
      <c r="O34" s="14">
        <v>5334.9</v>
      </c>
      <c r="P34" s="14">
        <v>108520.5</v>
      </c>
      <c r="Q34" s="14">
        <v>236.35</v>
      </c>
      <c r="R34" s="14">
        <v>136818.79999999999</v>
      </c>
      <c r="S34" s="14">
        <v>543.5</v>
      </c>
      <c r="T34" s="14"/>
      <c r="U34" s="14">
        <v>7640</v>
      </c>
      <c r="V34" s="14"/>
      <c r="W34" s="14"/>
      <c r="X34" s="2">
        <f t="shared" si="1"/>
        <v>2564268.5900000003</v>
      </c>
      <c r="Y34" s="14">
        <v>11979</v>
      </c>
      <c r="Z34" s="14"/>
      <c r="AA34" s="14">
        <v>94852.55</v>
      </c>
      <c r="AB34" s="14"/>
      <c r="AC34" s="14">
        <v>76351.05</v>
      </c>
      <c r="AD34" s="14">
        <v>46575</v>
      </c>
      <c r="AE34" s="14"/>
      <c r="AF34" s="14"/>
      <c r="AG34" s="14">
        <v>10672.1</v>
      </c>
      <c r="AH34" s="14"/>
      <c r="AI34" s="14"/>
      <c r="AJ34" s="14"/>
      <c r="AK34" s="14"/>
      <c r="AL34" s="48">
        <f t="shared" si="2"/>
        <v>240429.7</v>
      </c>
      <c r="AM34" s="22">
        <v>68.5</v>
      </c>
      <c r="AN34" s="14">
        <v>949</v>
      </c>
      <c r="AO34" s="14">
        <v>-9426.9</v>
      </c>
      <c r="AP34" s="14"/>
      <c r="AQ34" s="14"/>
      <c r="AR34" s="44">
        <v>1</v>
      </c>
    </row>
    <row r="35" spans="1:44" x14ac:dyDescent="0.25">
      <c r="A35" s="12">
        <v>5435</v>
      </c>
      <c r="B35" s="13" t="s">
        <v>389</v>
      </c>
      <c r="C35" s="14">
        <v>1320740.6499999999</v>
      </c>
      <c r="D35" s="14">
        <v>126717.03</v>
      </c>
      <c r="E35" s="14"/>
      <c r="F35" s="14"/>
      <c r="G35" s="14">
        <v>10120.15</v>
      </c>
      <c r="H35" s="14">
        <v>86.45</v>
      </c>
      <c r="I35" s="14">
        <v>83.290000000000902</v>
      </c>
      <c r="J35" s="14">
        <v>121701</v>
      </c>
      <c r="K35" s="14"/>
      <c r="L35" s="14">
        <v>111066.2</v>
      </c>
      <c r="M35" s="3">
        <f t="shared" si="0"/>
        <v>1690514.7699999998</v>
      </c>
      <c r="N35" s="14"/>
      <c r="O35" s="14">
        <v>31798.400000000001</v>
      </c>
      <c r="P35" s="14">
        <v>3231.7</v>
      </c>
      <c r="Q35" s="14">
        <v>-367.99</v>
      </c>
      <c r="R35" s="14">
        <v>-5296.05</v>
      </c>
      <c r="S35" s="14"/>
      <c r="T35" s="14">
        <v>300</v>
      </c>
      <c r="U35" s="14">
        <v>5020</v>
      </c>
      <c r="V35" s="14"/>
      <c r="W35" s="14"/>
      <c r="X35" s="2">
        <f t="shared" si="1"/>
        <v>1725200.8299999996</v>
      </c>
      <c r="Y35" s="14">
        <v>4953.1000000000004</v>
      </c>
      <c r="Z35" s="14"/>
      <c r="AA35" s="14">
        <v>89916.49</v>
      </c>
      <c r="AB35" s="14"/>
      <c r="AC35" s="14">
        <v>59650</v>
      </c>
      <c r="AD35" s="14">
        <v>22388.15</v>
      </c>
      <c r="AE35" s="14"/>
      <c r="AF35" s="14"/>
      <c r="AG35" s="14"/>
      <c r="AH35" s="14">
        <v>12320.5</v>
      </c>
      <c r="AI35" s="14"/>
      <c r="AJ35" s="14"/>
      <c r="AK35" s="14"/>
      <c r="AL35" s="48">
        <f t="shared" si="2"/>
        <v>189228.24000000002</v>
      </c>
      <c r="AM35" s="22">
        <v>69</v>
      </c>
      <c r="AN35" s="14">
        <v>713</v>
      </c>
      <c r="AO35" s="14">
        <v>-11012.75</v>
      </c>
      <c r="AP35" s="14"/>
      <c r="AQ35" s="14">
        <v>-1.4</v>
      </c>
      <c r="AR35" s="44">
        <v>1</v>
      </c>
    </row>
    <row r="36" spans="1:44" x14ac:dyDescent="0.25">
      <c r="A36" s="12">
        <v>5436</v>
      </c>
      <c r="B36" s="13" t="s">
        <v>390</v>
      </c>
      <c r="C36" s="14">
        <v>695265.63</v>
      </c>
      <c r="D36" s="14">
        <v>63437.84</v>
      </c>
      <c r="E36" s="14"/>
      <c r="F36" s="14"/>
      <c r="G36" s="14">
        <v>2182.8000000000002</v>
      </c>
      <c r="H36" s="14">
        <v>10</v>
      </c>
      <c r="I36" s="14"/>
      <c r="J36" s="14">
        <v>-14221.02</v>
      </c>
      <c r="K36" s="14"/>
      <c r="L36" s="14">
        <v>47143.7</v>
      </c>
      <c r="M36" s="3">
        <f t="shared" si="0"/>
        <v>793818.95</v>
      </c>
      <c r="N36" s="14"/>
      <c r="O36" s="14"/>
      <c r="P36" s="14">
        <v>19276.400000000001</v>
      </c>
      <c r="Q36" s="14">
        <v>1800</v>
      </c>
      <c r="R36" s="14">
        <v>57871.55</v>
      </c>
      <c r="S36" s="14"/>
      <c r="T36" s="14"/>
      <c r="U36" s="14">
        <v>2812.5</v>
      </c>
      <c r="V36" s="14"/>
      <c r="W36" s="14"/>
      <c r="X36" s="2">
        <f t="shared" si="1"/>
        <v>875579.4</v>
      </c>
      <c r="Y36" s="14">
        <v>25199</v>
      </c>
      <c r="Z36" s="14"/>
      <c r="AA36" s="14">
        <v>53223</v>
      </c>
      <c r="AB36" s="14"/>
      <c r="AC36" s="14">
        <v>27289</v>
      </c>
      <c r="AD36" s="14">
        <v>25199</v>
      </c>
      <c r="AE36" s="14"/>
      <c r="AF36" s="14"/>
      <c r="AG36" s="14"/>
      <c r="AH36" s="14">
        <v>7749</v>
      </c>
      <c r="AI36" s="14"/>
      <c r="AJ36" s="14"/>
      <c r="AK36" s="14"/>
      <c r="AL36" s="48">
        <f t="shared" si="2"/>
        <v>138659</v>
      </c>
      <c r="AM36" s="22">
        <v>81</v>
      </c>
      <c r="AN36" s="14">
        <v>345</v>
      </c>
      <c r="AO36" s="14">
        <v>-2437.77</v>
      </c>
      <c r="AP36" s="14"/>
      <c r="AQ36" s="14">
        <v>-7.91</v>
      </c>
      <c r="AR36" s="44">
        <v>0.8</v>
      </c>
    </row>
    <row r="37" spans="1:44" x14ac:dyDescent="0.25">
      <c r="A37" s="12">
        <v>5437</v>
      </c>
      <c r="B37" s="13" t="s">
        <v>391</v>
      </c>
      <c r="C37" s="14">
        <v>614642.18999999994</v>
      </c>
      <c r="D37" s="14">
        <v>60352.7</v>
      </c>
      <c r="E37" s="14"/>
      <c r="F37" s="14">
        <v>2111.1</v>
      </c>
      <c r="G37" s="14">
        <v>8407.7000000000007</v>
      </c>
      <c r="H37" s="14">
        <v>115.75</v>
      </c>
      <c r="I37" s="14"/>
      <c r="J37" s="14">
        <v>22541.86</v>
      </c>
      <c r="K37" s="14">
        <v>770</v>
      </c>
      <c r="L37" s="14">
        <v>53736.75</v>
      </c>
      <c r="M37" s="3">
        <f t="shared" si="0"/>
        <v>762678.04999999981</v>
      </c>
      <c r="N37" s="14"/>
      <c r="O37" s="14">
        <v>189220.8</v>
      </c>
      <c r="P37" s="14">
        <v>38555</v>
      </c>
      <c r="Q37" s="14"/>
      <c r="R37" s="14">
        <v>20638.349999999999</v>
      </c>
      <c r="S37" s="14"/>
      <c r="T37" s="14"/>
      <c r="U37" s="14">
        <v>1050</v>
      </c>
      <c r="V37" s="14"/>
      <c r="W37" s="14"/>
      <c r="X37" s="2">
        <f t="shared" si="1"/>
        <v>1012142.1999999998</v>
      </c>
      <c r="Y37" s="14"/>
      <c r="Z37" s="14"/>
      <c r="AA37" s="14"/>
      <c r="AB37" s="14"/>
      <c r="AC37" s="14">
        <v>39370</v>
      </c>
      <c r="AD37" s="14"/>
      <c r="AE37" s="14"/>
      <c r="AF37" s="14"/>
      <c r="AG37" s="14"/>
      <c r="AH37" s="14"/>
      <c r="AI37" s="14"/>
      <c r="AJ37" s="14"/>
      <c r="AK37" s="14"/>
      <c r="AL37" s="48">
        <f t="shared" si="2"/>
        <v>39370</v>
      </c>
      <c r="AM37" s="22">
        <v>83</v>
      </c>
      <c r="AN37" s="14">
        <v>391</v>
      </c>
      <c r="AO37" s="14">
        <v>-3649.53</v>
      </c>
      <c r="AP37" s="14"/>
      <c r="AQ37" s="14">
        <v>-22.06</v>
      </c>
      <c r="AR37" s="44">
        <v>1</v>
      </c>
    </row>
    <row r="38" spans="1:44" x14ac:dyDescent="0.25">
      <c r="A38" s="12">
        <v>5451</v>
      </c>
      <c r="B38" s="13" t="s">
        <v>392</v>
      </c>
      <c r="C38" s="14">
        <v>4622062.9800000004</v>
      </c>
      <c r="D38" s="14">
        <v>536982.05000000005</v>
      </c>
      <c r="E38" s="14"/>
      <c r="F38" s="14"/>
      <c r="G38" s="14">
        <v>652399.15</v>
      </c>
      <c r="H38" s="14">
        <v>42047.35</v>
      </c>
      <c r="I38" s="14"/>
      <c r="J38" s="14">
        <v>499497.65</v>
      </c>
      <c r="K38" s="14">
        <v>97613</v>
      </c>
      <c r="L38" s="14">
        <v>954514.7</v>
      </c>
      <c r="M38" s="3">
        <f t="shared" si="0"/>
        <v>7405116.8800000008</v>
      </c>
      <c r="N38" s="14">
        <v>596347.94999999995</v>
      </c>
      <c r="O38" s="14"/>
      <c r="P38" s="14">
        <v>273872.09999999998</v>
      </c>
      <c r="Q38" s="14">
        <v>54239.06</v>
      </c>
      <c r="R38" s="14">
        <v>251937.55</v>
      </c>
      <c r="S38" s="14">
        <v>2193.75</v>
      </c>
      <c r="T38" s="14">
        <v>32819.9</v>
      </c>
      <c r="U38" s="14">
        <v>20350</v>
      </c>
      <c r="V38" s="14"/>
      <c r="W38" s="14"/>
      <c r="X38" s="2">
        <f t="shared" si="1"/>
        <v>8636877.1900000013</v>
      </c>
      <c r="Y38" s="14">
        <v>40374.35</v>
      </c>
      <c r="Z38" s="14">
        <v>5863.2</v>
      </c>
      <c r="AA38" s="14">
        <v>816299.1</v>
      </c>
      <c r="AB38" s="14"/>
      <c r="AC38" s="14">
        <v>457584.86</v>
      </c>
      <c r="AD38" s="14">
        <v>12316.15</v>
      </c>
      <c r="AE38" s="14">
        <v>6027.4</v>
      </c>
      <c r="AF38" s="14"/>
      <c r="AG38" s="14">
        <v>243754.5</v>
      </c>
      <c r="AH38" s="14"/>
      <c r="AI38" s="14"/>
      <c r="AJ38" s="14"/>
      <c r="AK38" s="14"/>
      <c r="AL38" s="48">
        <f t="shared" si="2"/>
        <v>1582219.5599999998</v>
      </c>
      <c r="AM38" s="22">
        <v>68</v>
      </c>
      <c r="AN38" s="14">
        <v>4090</v>
      </c>
      <c r="AO38" s="14">
        <v>-202947.82</v>
      </c>
      <c r="AP38" s="14"/>
      <c r="AQ38" s="14">
        <v>-277.02999999999997</v>
      </c>
      <c r="AR38" s="44">
        <v>1.5</v>
      </c>
    </row>
    <row r="39" spans="1:44" x14ac:dyDescent="0.25">
      <c r="A39" s="12">
        <v>5456</v>
      </c>
      <c r="B39" s="13" t="s">
        <v>393</v>
      </c>
      <c r="C39" s="14">
        <v>2050569.54</v>
      </c>
      <c r="D39" s="14">
        <v>247001.68</v>
      </c>
      <c r="E39" s="14"/>
      <c r="F39" s="14"/>
      <c r="G39" s="14">
        <v>60826.85</v>
      </c>
      <c r="H39" s="14">
        <v>829.4</v>
      </c>
      <c r="I39" s="14"/>
      <c r="J39" s="14">
        <v>63787.95</v>
      </c>
      <c r="K39" s="14">
        <v>6781</v>
      </c>
      <c r="L39" s="14">
        <v>393788.25</v>
      </c>
      <c r="M39" s="3">
        <f t="shared" si="0"/>
        <v>2823584.6700000004</v>
      </c>
      <c r="N39" s="14"/>
      <c r="O39" s="14">
        <v>555258.30000000005</v>
      </c>
      <c r="P39" s="14">
        <v>174600.4</v>
      </c>
      <c r="Q39" s="14">
        <v>10185.709999999999</v>
      </c>
      <c r="R39" s="14">
        <v>38369.85</v>
      </c>
      <c r="S39" s="14">
        <v>337.5</v>
      </c>
      <c r="T39" s="14"/>
      <c r="U39" s="14">
        <v>1305</v>
      </c>
      <c r="V39" s="14"/>
      <c r="W39" s="14"/>
      <c r="X39" s="2">
        <f t="shared" si="1"/>
        <v>3603641.4300000006</v>
      </c>
      <c r="Y39" s="14">
        <v>28972.2</v>
      </c>
      <c r="Z39" s="14"/>
      <c r="AA39" s="14">
        <v>123996.5</v>
      </c>
      <c r="AB39" s="14"/>
      <c r="AC39" s="14">
        <v>231864.64</v>
      </c>
      <c r="AD39" s="14">
        <v>12724</v>
      </c>
      <c r="AE39" s="14"/>
      <c r="AF39" s="14">
        <v>121876.7</v>
      </c>
      <c r="AG39" s="14"/>
      <c r="AH39" s="14"/>
      <c r="AI39" s="14"/>
      <c r="AJ39" s="14"/>
      <c r="AK39" s="14"/>
      <c r="AL39" s="48">
        <f t="shared" si="2"/>
        <v>519434.04000000004</v>
      </c>
      <c r="AM39" s="22">
        <v>59</v>
      </c>
      <c r="AN39" s="14">
        <v>1516</v>
      </c>
      <c r="AO39" s="14">
        <v>-31417.24</v>
      </c>
      <c r="AP39" s="14"/>
      <c r="AQ39" s="14">
        <v>-20.63</v>
      </c>
      <c r="AR39" s="44">
        <v>1.5</v>
      </c>
    </row>
    <row r="40" spans="1:44" x14ac:dyDescent="0.25">
      <c r="A40" s="12">
        <v>5458</v>
      </c>
      <c r="B40" s="13" t="s">
        <v>394</v>
      </c>
      <c r="C40" s="14">
        <v>1317050.06</v>
      </c>
      <c r="D40" s="14">
        <v>224742.5</v>
      </c>
      <c r="E40" s="14"/>
      <c r="F40" s="14"/>
      <c r="G40" s="14">
        <v>761.5</v>
      </c>
      <c r="H40" s="14">
        <v>267.10000000000002</v>
      </c>
      <c r="I40" s="14"/>
      <c r="J40" s="14">
        <v>42623.3</v>
      </c>
      <c r="K40" s="14">
        <v>5851</v>
      </c>
      <c r="L40" s="14">
        <v>159703.4</v>
      </c>
      <c r="M40" s="3">
        <f t="shared" si="0"/>
        <v>1750998.86</v>
      </c>
      <c r="N40" s="14"/>
      <c r="O40" s="14">
        <v>21716.799999999999</v>
      </c>
      <c r="P40" s="14">
        <v>92781.95</v>
      </c>
      <c r="Q40" s="14"/>
      <c r="R40" s="14">
        <v>65912.149999999994</v>
      </c>
      <c r="S40" s="14">
        <v>68.75</v>
      </c>
      <c r="T40" s="14"/>
      <c r="U40" s="14">
        <v>7050</v>
      </c>
      <c r="V40" s="14"/>
      <c r="W40" s="14"/>
      <c r="X40" s="2">
        <f t="shared" si="1"/>
        <v>1938528.51</v>
      </c>
      <c r="Y40" s="14">
        <v>85350.05</v>
      </c>
      <c r="Z40" s="14">
        <v>12994.25</v>
      </c>
      <c r="AA40" s="14">
        <v>144369</v>
      </c>
      <c r="AB40" s="14"/>
      <c r="AC40" s="14">
        <v>73890</v>
      </c>
      <c r="AD40" s="14">
        <v>85350.05</v>
      </c>
      <c r="AE40" s="14">
        <v>12994.25</v>
      </c>
      <c r="AF40" s="14"/>
      <c r="AG40" s="14">
        <v>31931.9</v>
      </c>
      <c r="AH40" s="14">
        <v>24520</v>
      </c>
      <c r="AI40" s="14"/>
      <c r="AJ40" s="14"/>
      <c r="AK40" s="14"/>
      <c r="AL40" s="48">
        <f t="shared" si="2"/>
        <v>471399.5</v>
      </c>
      <c r="AM40" s="22">
        <v>61</v>
      </c>
      <c r="AN40" s="14">
        <v>853</v>
      </c>
      <c r="AO40" s="14">
        <v>-34168.080000000002</v>
      </c>
      <c r="AP40" s="14"/>
      <c r="AQ40" s="14">
        <v>-47.59</v>
      </c>
      <c r="AR40" s="44">
        <v>1</v>
      </c>
    </row>
    <row r="41" spans="1:44" x14ac:dyDescent="0.25">
      <c r="A41" s="12">
        <v>5464</v>
      </c>
      <c r="B41" s="13" t="s">
        <v>489</v>
      </c>
      <c r="C41" s="14">
        <v>5021333.95</v>
      </c>
      <c r="D41" s="14">
        <v>739667.3</v>
      </c>
      <c r="E41" s="14"/>
      <c r="F41" s="14"/>
      <c r="G41" s="14">
        <v>79109.850000000006</v>
      </c>
      <c r="H41" s="14">
        <v>2779.55</v>
      </c>
      <c r="I41" s="14"/>
      <c r="J41" s="14">
        <v>123022.92</v>
      </c>
      <c r="K41" s="14">
        <v>14847</v>
      </c>
      <c r="L41" s="14">
        <v>813017.15</v>
      </c>
      <c r="M41" s="3">
        <f t="shared" si="0"/>
        <v>6793777.7199999997</v>
      </c>
      <c r="N41" s="14"/>
      <c r="O41" s="14">
        <v>146359.70000000001</v>
      </c>
      <c r="P41" s="14">
        <v>351536.95</v>
      </c>
      <c r="Q41" s="14">
        <v>42734.7</v>
      </c>
      <c r="R41" s="14">
        <v>246865.05</v>
      </c>
      <c r="S41" s="14">
        <v>368.75</v>
      </c>
      <c r="T41" s="14">
        <v>350</v>
      </c>
      <c r="U41" s="14">
        <v>20700</v>
      </c>
      <c r="V41" s="14"/>
      <c r="W41" s="14"/>
      <c r="X41" s="2">
        <f t="shared" si="1"/>
        <v>7602692.8700000001</v>
      </c>
      <c r="Y41" s="14">
        <v>412751.15</v>
      </c>
      <c r="Z41" s="14">
        <v>208069.4</v>
      </c>
      <c r="AA41" s="14">
        <v>452988.75</v>
      </c>
      <c r="AB41" s="14"/>
      <c r="AC41" s="14">
        <v>276667.58</v>
      </c>
      <c r="AD41" s="14">
        <v>474715.6</v>
      </c>
      <c r="AE41" s="14"/>
      <c r="AF41" s="14"/>
      <c r="AG41" s="14">
        <v>150096.95000000001</v>
      </c>
      <c r="AH41" s="14"/>
      <c r="AI41" s="14">
        <v>92863.45</v>
      </c>
      <c r="AJ41" s="14"/>
      <c r="AK41" s="14"/>
      <c r="AL41" s="48">
        <f t="shared" si="2"/>
        <v>2068152.88</v>
      </c>
      <c r="AM41" s="22">
        <v>67</v>
      </c>
      <c r="AN41" s="14">
        <v>2825</v>
      </c>
      <c r="AO41" s="14">
        <v>-74180.19</v>
      </c>
      <c r="AP41" s="14"/>
      <c r="AQ41" s="14">
        <v>-1306.6199999999999</v>
      </c>
      <c r="AR41" s="44">
        <v>1.5</v>
      </c>
    </row>
    <row r="42" spans="1:44" x14ac:dyDescent="0.25">
      <c r="A42" s="12">
        <v>5471</v>
      </c>
      <c r="B42" s="13" t="s">
        <v>395</v>
      </c>
      <c r="C42" s="14">
        <v>998925.76</v>
      </c>
      <c r="D42" s="14">
        <v>83650.990000000005</v>
      </c>
      <c r="E42" s="14"/>
      <c r="F42" s="14"/>
      <c r="G42" s="14">
        <v>78675.149999999994</v>
      </c>
      <c r="H42" s="14">
        <v>275.95</v>
      </c>
      <c r="I42" s="14"/>
      <c r="J42" s="14">
        <v>28660.62</v>
      </c>
      <c r="K42" s="14">
        <v>1306.5</v>
      </c>
      <c r="L42" s="14">
        <v>76715.5</v>
      </c>
      <c r="M42" s="3">
        <f t="shared" si="0"/>
        <v>1268210.47</v>
      </c>
      <c r="N42" s="14">
        <v>2335.65</v>
      </c>
      <c r="O42" s="14"/>
      <c r="P42" s="14">
        <v>95222.65</v>
      </c>
      <c r="Q42" s="14">
        <v>13634.85</v>
      </c>
      <c r="R42" s="14">
        <v>30638.45</v>
      </c>
      <c r="S42" s="14">
        <v>31.25</v>
      </c>
      <c r="T42" s="14"/>
      <c r="U42" s="14">
        <v>4050</v>
      </c>
      <c r="V42" s="14"/>
      <c r="W42" s="14"/>
      <c r="X42" s="2">
        <f t="shared" si="1"/>
        <v>1414123.3199999998</v>
      </c>
      <c r="Y42" s="14">
        <v>95568.75</v>
      </c>
      <c r="Z42" s="14"/>
      <c r="AA42" s="14">
        <v>62076.2</v>
      </c>
      <c r="AB42" s="14"/>
      <c r="AC42" s="14">
        <v>20558.2</v>
      </c>
      <c r="AD42" s="14">
        <v>28766.45</v>
      </c>
      <c r="AE42" s="14"/>
      <c r="AF42" s="14"/>
      <c r="AG42" s="14"/>
      <c r="AH42" s="14"/>
      <c r="AI42" s="14"/>
      <c r="AJ42" s="14"/>
      <c r="AK42" s="14"/>
      <c r="AL42" s="48">
        <f t="shared" si="2"/>
        <v>206969.60000000003</v>
      </c>
      <c r="AM42" s="22">
        <v>70</v>
      </c>
      <c r="AN42" s="14">
        <v>557</v>
      </c>
      <c r="AO42" s="14">
        <v>-18160.990000000002</v>
      </c>
      <c r="AP42" s="14"/>
      <c r="AQ42" s="14">
        <v>-430.28</v>
      </c>
      <c r="AR42" s="44">
        <v>0.9</v>
      </c>
    </row>
    <row r="43" spans="1:44" x14ac:dyDescent="0.25">
      <c r="A43" s="12">
        <v>5472</v>
      </c>
      <c r="B43" s="13" t="s">
        <v>396</v>
      </c>
      <c r="C43" s="14">
        <v>893640.25</v>
      </c>
      <c r="D43" s="14">
        <v>91534.87</v>
      </c>
      <c r="E43" s="14"/>
      <c r="F43" s="14"/>
      <c r="G43" s="14">
        <v>2405.5500000000002</v>
      </c>
      <c r="H43" s="14">
        <v>152.15</v>
      </c>
      <c r="I43" s="14"/>
      <c r="J43" s="14">
        <v>11004.93</v>
      </c>
      <c r="K43" s="14">
        <v>200</v>
      </c>
      <c r="L43" s="14">
        <v>66355.649999999994</v>
      </c>
      <c r="M43" s="3">
        <f t="shared" si="0"/>
        <v>1065293.4000000001</v>
      </c>
      <c r="N43" s="14"/>
      <c r="O43" s="14"/>
      <c r="P43" s="14">
        <v>62610.85</v>
      </c>
      <c r="Q43" s="14"/>
      <c r="R43" s="14">
        <v>39290.75</v>
      </c>
      <c r="S43" s="14">
        <v>187.5</v>
      </c>
      <c r="T43" s="14"/>
      <c r="U43" s="14">
        <v>1290</v>
      </c>
      <c r="V43" s="14"/>
      <c r="W43" s="14"/>
      <c r="X43" s="2">
        <f t="shared" si="1"/>
        <v>1168672.5000000002</v>
      </c>
      <c r="Y43" s="14"/>
      <c r="Z43" s="14"/>
      <c r="AA43" s="14">
        <v>33844.400000000001</v>
      </c>
      <c r="AB43" s="14"/>
      <c r="AC43" s="14">
        <v>28900</v>
      </c>
      <c r="AD43" s="14"/>
      <c r="AE43" s="14"/>
      <c r="AF43" s="14"/>
      <c r="AG43" s="14"/>
      <c r="AH43" s="14"/>
      <c r="AI43" s="14"/>
      <c r="AJ43" s="14"/>
      <c r="AK43" s="14"/>
      <c r="AL43" s="48">
        <f t="shared" si="2"/>
        <v>62744.4</v>
      </c>
      <c r="AM43" s="22">
        <v>80</v>
      </c>
      <c r="AN43" s="14">
        <v>373</v>
      </c>
      <c r="AO43" s="14">
        <v>-8152</v>
      </c>
      <c r="AP43" s="14"/>
      <c r="AQ43" s="14">
        <v>-51.97</v>
      </c>
      <c r="AR43" s="44">
        <v>1</v>
      </c>
    </row>
    <row r="44" spans="1:44" x14ac:dyDescent="0.25">
      <c r="A44" s="12">
        <v>5473</v>
      </c>
      <c r="B44" s="13" t="s">
        <v>245</v>
      </c>
      <c r="C44" s="14">
        <v>1823643.53</v>
      </c>
      <c r="D44" s="14">
        <v>176754.61</v>
      </c>
      <c r="E44" s="14"/>
      <c r="F44" s="14"/>
      <c r="G44" s="14">
        <v>69621.25</v>
      </c>
      <c r="H44" s="14">
        <v>604.54999999999995</v>
      </c>
      <c r="I44" s="14"/>
      <c r="J44" s="14">
        <v>43679.99</v>
      </c>
      <c r="K44" s="14">
        <v>3431.5</v>
      </c>
      <c r="L44" s="14">
        <v>167866.6</v>
      </c>
      <c r="M44" s="3">
        <f t="shared" si="0"/>
        <v>2285602.0300000003</v>
      </c>
      <c r="N44" s="14"/>
      <c r="O44" s="14"/>
      <c r="P44" s="14">
        <v>19373.7</v>
      </c>
      <c r="Q44" s="14">
        <v>1819.6</v>
      </c>
      <c r="R44" s="14">
        <v>20191.650000000001</v>
      </c>
      <c r="S44" s="14"/>
      <c r="T44" s="14"/>
      <c r="U44" s="14">
        <v>5760</v>
      </c>
      <c r="V44" s="14"/>
      <c r="W44" s="14"/>
      <c r="X44" s="2">
        <f t="shared" si="1"/>
        <v>2332746.9800000004</v>
      </c>
      <c r="Y44" s="14">
        <v>5800</v>
      </c>
      <c r="Z44" s="14"/>
      <c r="AA44" s="14">
        <v>170797</v>
      </c>
      <c r="AB44" s="14"/>
      <c r="AC44" s="14">
        <v>101619</v>
      </c>
      <c r="AD44" s="14"/>
      <c r="AE44" s="14"/>
      <c r="AF44" s="14"/>
      <c r="AG44" s="14"/>
      <c r="AH44" s="14"/>
      <c r="AI44" s="14"/>
      <c r="AJ44" s="14"/>
      <c r="AK44" s="14"/>
      <c r="AL44" s="48">
        <f t="shared" si="2"/>
        <v>278216</v>
      </c>
      <c r="AM44" s="22">
        <v>69</v>
      </c>
      <c r="AN44" s="14">
        <v>958</v>
      </c>
      <c r="AO44" s="14">
        <v>-9862.41</v>
      </c>
      <c r="AP44" s="14"/>
      <c r="AQ44" s="14">
        <v>-24.43</v>
      </c>
      <c r="AR44" s="44">
        <v>1</v>
      </c>
    </row>
    <row r="45" spans="1:44" x14ac:dyDescent="0.25">
      <c r="A45" s="12">
        <v>5474</v>
      </c>
      <c r="B45" s="13" t="s">
        <v>246</v>
      </c>
      <c r="C45" s="14">
        <v>756916.53</v>
      </c>
      <c r="D45" s="14">
        <v>109851.33</v>
      </c>
      <c r="E45" s="14"/>
      <c r="F45" s="14"/>
      <c r="G45" s="14">
        <v>5950.25</v>
      </c>
      <c r="H45" s="14">
        <v>71.849999999999994</v>
      </c>
      <c r="I45" s="14">
        <v>33792.6</v>
      </c>
      <c r="J45" s="14">
        <v>8335.57</v>
      </c>
      <c r="K45" s="14">
        <v>560</v>
      </c>
      <c r="L45" s="14">
        <v>78462.850000000006</v>
      </c>
      <c r="M45" s="3">
        <f t="shared" si="0"/>
        <v>993940.97999999986</v>
      </c>
      <c r="N45" s="14"/>
      <c r="O45" s="14">
        <v>649.4</v>
      </c>
      <c r="P45" s="14"/>
      <c r="Q45" s="14"/>
      <c r="R45" s="14">
        <v>-15412.1</v>
      </c>
      <c r="S45" s="14">
        <v>75</v>
      </c>
      <c r="T45" s="14"/>
      <c r="U45" s="14">
        <v>1000</v>
      </c>
      <c r="V45" s="14"/>
      <c r="W45" s="14"/>
      <c r="X45" s="2">
        <f t="shared" si="1"/>
        <v>980253.27999999991</v>
      </c>
      <c r="Y45" s="14">
        <v>37814</v>
      </c>
      <c r="Z45" s="14">
        <v>58640.4</v>
      </c>
      <c r="AA45" s="14"/>
      <c r="AB45" s="14"/>
      <c r="AC45" s="14"/>
      <c r="AD45" s="14"/>
      <c r="AE45" s="14"/>
      <c r="AF45" s="14"/>
      <c r="AG45" s="14"/>
      <c r="AH45" s="14"/>
      <c r="AI45" s="14"/>
      <c r="AJ45" s="14"/>
      <c r="AK45" s="14"/>
      <c r="AL45" s="48">
        <f t="shared" si="2"/>
        <v>96454.399999999994</v>
      </c>
      <c r="AM45" s="22">
        <v>77</v>
      </c>
      <c r="AN45" s="14">
        <v>421</v>
      </c>
      <c r="AO45" s="14">
        <v>-3685.99</v>
      </c>
      <c r="AP45" s="14"/>
      <c r="AQ45" s="14">
        <v>-13.33</v>
      </c>
      <c r="AR45" s="44">
        <v>1.2</v>
      </c>
    </row>
    <row r="46" spans="1:44" x14ac:dyDescent="0.25">
      <c r="A46" s="12">
        <v>5475</v>
      </c>
      <c r="B46" s="13" t="s">
        <v>418</v>
      </c>
      <c r="C46" s="14">
        <v>135790.87</v>
      </c>
      <c r="D46" s="14">
        <v>48904.959999999999</v>
      </c>
      <c r="E46" s="14"/>
      <c r="F46" s="14"/>
      <c r="G46" s="14">
        <v>1151.05</v>
      </c>
      <c r="H46" s="14">
        <v>101.349999999999</v>
      </c>
      <c r="I46" s="14"/>
      <c r="J46" s="14">
        <v>9274.69</v>
      </c>
      <c r="K46" s="14"/>
      <c r="L46" s="14">
        <v>19723.8</v>
      </c>
      <c r="M46" s="3">
        <f t="shared" si="0"/>
        <v>214946.71999999997</v>
      </c>
      <c r="N46" s="14"/>
      <c r="O46" s="14"/>
      <c r="P46" s="14">
        <v>3649.25</v>
      </c>
      <c r="Q46" s="14"/>
      <c r="R46" s="14"/>
      <c r="S46" s="14"/>
      <c r="T46" s="14"/>
      <c r="U46" s="14">
        <v>420</v>
      </c>
      <c r="V46" s="14"/>
      <c r="W46" s="14"/>
      <c r="X46" s="2">
        <f t="shared" si="1"/>
        <v>219015.96999999997</v>
      </c>
      <c r="Y46" s="14"/>
      <c r="Z46" s="14"/>
      <c r="AA46" s="14">
        <v>10279.15</v>
      </c>
      <c r="AB46" s="14"/>
      <c r="AC46" s="14">
        <v>17610.150000000001</v>
      </c>
      <c r="AD46" s="14">
        <v>1242.3</v>
      </c>
      <c r="AE46" s="14"/>
      <c r="AF46" s="14"/>
      <c r="AG46" s="14"/>
      <c r="AH46" s="14"/>
      <c r="AI46" s="14"/>
      <c r="AJ46" s="14"/>
      <c r="AK46" s="14"/>
      <c r="AL46" s="48">
        <f t="shared" si="2"/>
        <v>29131.600000000002</v>
      </c>
      <c r="AM46" s="22">
        <v>77</v>
      </c>
      <c r="AN46" s="14">
        <v>120</v>
      </c>
      <c r="AO46" s="14">
        <v>-3184.57</v>
      </c>
      <c r="AP46" s="14"/>
      <c r="AQ46" s="14">
        <v>-0.25</v>
      </c>
      <c r="AR46" s="44">
        <v>1</v>
      </c>
    </row>
    <row r="47" spans="1:44" x14ac:dyDescent="0.25">
      <c r="A47" s="12">
        <v>5476</v>
      </c>
      <c r="B47" s="13" t="s">
        <v>419</v>
      </c>
      <c r="C47" s="14">
        <v>463409.77</v>
      </c>
      <c r="D47" s="14">
        <v>76346.66</v>
      </c>
      <c r="E47" s="14"/>
      <c r="F47" s="14"/>
      <c r="G47" s="14">
        <v>797.3</v>
      </c>
      <c r="H47" s="14">
        <v>2184.15</v>
      </c>
      <c r="I47" s="14"/>
      <c r="J47" s="14">
        <v>10211.75</v>
      </c>
      <c r="K47" s="14"/>
      <c r="L47" s="14">
        <v>72658.8</v>
      </c>
      <c r="M47" s="3">
        <f t="shared" si="0"/>
        <v>625608.43000000017</v>
      </c>
      <c r="N47" s="14">
        <v>2996.05</v>
      </c>
      <c r="O47" s="14"/>
      <c r="P47" s="14">
        <v>78175.5</v>
      </c>
      <c r="Q47" s="14">
        <v>3615.5</v>
      </c>
      <c r="R47" s="14">
        <v>-2881.25</v>
      </c>
      <c r="S47" s="14"/>
      <c r="T47" s="14"/>
      <c r="U47" s="14">
        <v>2700</v>
      </c>
      <c r="V47" s="14"/>
      <c r="W47" s="14"/>
      <c r="X47" s="2">
        <f t="shared" si="1"/>
        <v>710214.23000000021</v>
      </c>
      <c r="Y47" s="14">
        <v>12464.45</v>
      </c>
      <c r="Z47" s="14"/>
      <c r="AA47" s="14">
        <v>14310</v>
      </c>
      <c r="AB47" s="14"/>
      <c r="AC47" s="14">
        <v>14160</v>
      </c>
      <c r="AD47" s="14">
        <v>20774.05</v>
      </c>
      <c r="AE47" s="14"/>
      <c r="AF47" s="14"/>
      <c r="AG47" s="14"/>
      <c r="AH47" s="14"/>
      <c r="AI47" s="14"/>
      <c r="AJ47" s="14"/>
      <c r="AK47" s="14"/>
      <c r="AL47" s="48">
        <f t="shared" si="2"/>
        <v>61708.5</v>
      </c>
      <c r="AM47" s="22">
        <v>74</v>
      </c>
      <c r="AN47" s="14">
        <v>286</v>
      </c>
      <c r="AO47" s="14">
        <v>-21320.6</v>
      </c>
      <c r="AP47" s="14"/>
      <c r="AQ47" s="14"/>
      <c r="AR47" s="44">
        <v>1.5</v>
      </c>
    </row>
    <row r="48" spans="1:44" x14ac:dyDescent="0.25">
      <c r="A48" s="12">
        <v>5477</v>
      </c>
      <c r="B48" s="13" t="s">
        <v>420</v>
      </c>
      <c r="C48" s="14">
        <v>6137209.2400000002</v>
      </c>
      <c r="D48" s="14">
        <v>1010627.01</v>
      </c>
      <c r="E48" s="14"/>
      <c r="F48" s="14"/>
      <c r="G48" s="14">
        <v>486402.45</v>
      </c>
      <c r="H48" s="14">
        <v>34869</v>
      </c>
      <c r="I48" s="14"/>
      <c r="J48" s="14">
        <v>198316.48</v>
      </c>
      <c r="K48" s="14">
        <v>6142.5</v>
      </c>
      <c r="L48" s="14">
        <v>516070.75</v>
      </c>
      <c r="M48" s="3">
        <f t="shared" si="0"/>
        <v>8389637.4299999997</v>
      </c>
      <c r="N48" s="14">
        <v>78698.25</v>
      </c>
      <c r="O48" s="14">
        <v>174778.55</v>
      </c>
      <c r="P48" s="14">
        <v>337704.05</v>
      </c>
      <c r="Q48" s="14">
        <v>82027.34</v>
      </c>
      <c r="R48" s="14">
        <v>214883.6</v>
      </c>
      <c r="S48" s="14">
        <v>275</v>
      </c>
      <c r="T48" s="14"/>
      <c r="U48" s="14">
        <v>16500</v>
      </c>
      <c r="V48" s="14"/>
      <c r="W48" s="14"/>
      <c r="X48" s="2">
        <f t="shared" si="1"/>
        <v>9294504.2200000007</v>
      </c>
      <c r="Y48" s="14">
        <v>278288.45</v>
      </c>
      <c r="Z48" s="14">
        <v>29640</v>
      </c>
      <c r="AA48" s="14">
        <v>284430.40000000002</v>
      </c>
      <c r="AB48" s="14">
        <v>380096.15</v>
      </c>
      <c r="AC48" s="14">
        <v>339811.65</v>
      </c>
      <c r="AD48" s="14">
        <v>206409.35</v>
      </c>
      <c r="AE48" s="14">
        <v>60386.7</v>
      </c>
      <c r="AF48" s="14"/>
      <c r="AG48" s="14">
        <v>1275</v>
      </c>
      <c r="AH48" s="14">
        <v>74615.8</v>
      </c>
      <c r="AI48" s="14"/>
      <c r="AJ48" s="14"/>
      <c r="AK48" s="14">
        <v>2100</v>
      </c>
      <c r="AL48" s="48">
        <f t="shared" si="2"/>
        <v>1657053.5000000002</v>
      </c>
      <c r="AM48" s="22">
        <v>69.3</v>
      </c>
      <c r="AN48" s="14">
        <v>3642</v>
      </c>
      <c r="AO48" s="14">
        <v>-114717.79</v>
      </c>
      <c r="AP48" s="14"/>
      <c r="AQ48" s="14">
        <v>-77.819999999999993</v>
      </c>
      <c r="AR48" s="44">
        <v>1</v>
      </c>
    </row>
    <row r="49" spans="1:44" x14ac:dyDescent="0.25">
      <c r="A49" s="12">
        <v>5478</v>
      </c>
      <c r="B49" s="13" t="s">
        <v>277</v>
      </c>
      <c r="C49" s="14">
        <v>914048.86</v>
      </c>
      <c r="D49" s="14">
        <v>78651.58</v>
      </c>
      <c r="E49" s="14"/>
      <c r="F49" s="14"/>
      <c r="G49" s="14">
        <v>40900.85</v>
      </c>
      <c r="H49" s="14">
        <v>32.65</v>
      </c>
      <c r="I49" s="14"/>
      <c r="J49" s="14">
        <v>6542.89</v>
      </c>
      <c r="K49" s="14">
        <v>250</v>
      </c>
      <c r="L49" s="14">
        <v>72077.3</v>
      </c>
      <c r="M49" s="3">
        <f t="shared" si="0"/>
        <v>1112504.1299999999</v>
      </c>
      <c r="N49" s="14"/>
      <c r="O49" s="14">
        <v>717.8</v>
      </c>
      <c r="P49" s="14">
        <v>6600</v>
      </c>
      <c r="Q49" s="14">
        <v>6232.49</v>
      </c>
      <c r="R49" s="14">
        <v>20155.05</v>
      </c>
      <c r="S49" s="14">
        <v>31.25</v>
      </c>
      <c r="T49" s="14">
        <v>300</v>
      </c>
      <c r="U49" s="14">
        <v>1850</v>
      </c>
      <c r="V49" s="14"/>
      <c r="W49" s="14"/>
      <c r="X49" s="2">
        <f t="shared" si="1"/>
        <v>1148390.72</v>
      </c>
      <c r="Y49" s="14">
        <v>3524.05</v>
      </c>
      <c r="Z49" s="14"/>
      <c r="AA49" s="14">
        <v>29736.25</v>
      </c>
      <c r="AB49" s="14"/>
      <c r="AC49" s="14">
        <v>44694.3</v>
      </c>
      <c r="AD49" s="14">
        <v>3524.05</v>
      </c>
      <c r="AE49" s="14"/>
      <c r="AF49" s="14"/>
      <c r="AG49" s="14"/>
      <c r="AH49" s="14"/>
      <c r="AI49" s="14"/>
      <c r="AJ49" s="14"/>
      <c r="AK49" s="14"/>
      <c r="AL49" s="48">
        <f t="shared" si="2"/>
        <v>81478.650000000009</v>
      </c>
      <c r="AM49" s="22">
        <v>72</v>
      </c>
      <c r="AN49" s="14">
        <v>473</v>
      </c>
      <c r="AO49" s="14">
        <v>-5311.81</v>
      </c>
      <c r="AP49" s="14"/>
      <c r="AQ49" s="14"/>
      <c r="AR49" s="44">
        <v>1</v>
      </c>
    </row>
    <row r="50" spans="1:44" x14ac:dyDescent="0.25">
      <c r="A50" s="12">
        <v>5479</v>
      </c>
      <c r="B50" s="13" t="s">
        <v>278</v>
      </c>
      <c r="C50" s="14">
        <v>662274.72</v>
      </c>
      <c r="D50" s="14">
        <v>85106.68</v>
      </c>
      <c r="E50" s="14"/>
      <c r="F50" s="14"/>
      <c r="G50" s="14">
        <v>2712.65</v>
      </c>
      <c r="H50" s="14">
        <v>658.25</v>
      </c>
      <c r="I50" s="14">
        <v>54737.05</v>
      </c>
      <c r="J50" s="14">
        <v>10424.219999999999</v>
      </c>
      <c r="K50" s="14">
        <v>1912</v>
      </c>
      <c r="L50" s="14">
        <v>70008.800000000003</v>
      </c>
      <c r="M50" s="3">
        <f t="shared" si="0"/>
        <v>887834.37</v>
      </c>
      <c r="N50" s="14">
        <v>1482.8</v>
      </c>
      <c r="O50" s="14">
        <v>14770.7</v>
      </c>
      <c r="P50" s="14">
        <v>5106.2</v>
      </c>
      <c r="Q50" s="14">
        <v>36094.379999999997</v>
      </c>
      <c r="R50" s="14">
        <v>-4698.1499999999996</v>
      </c>
      <c r="S50" s="14"/>
      <c r="T50" s="14"/>
      <c r="U50" s="14">
        <v>1800</v>
      </c>
      <c r="V50" s="14"/>
      <c r="W50" s="14"/>
      <c r="X50" s="2">
        <f t="shared" si="1"/>
        <v>942390.29999999993</v>
      </c>
      <c r="Y50" s="14">
        <v>7135</v>
      </c>
      <c r="Z50" s="14"/>
      <c r="AA50" s="14">
        <v>51878.1</v>
      </c>
      <c r="AB50" s="14"/>
      <c r="AC50" s="14">
        <v>67382.149999999994</v>
      </c>
      <c r="AD50" s="14">
        <v>2731.75</v>
      </c>
      <c r="AE50" s="14">
        <v>10832.5</v>
      </c>
      <c r="AF50" s="14"/>
      <c r="AG50" s="14"/>
      <c r="AH50" s="14">
        <v>13202.5</v>
      </c>
      <c r="AI50" s="14"/>
      <c r="AJ50" s="14"/>
      <c r="AK50" s="14"/>
      <c r="AL50" s="48">
        <f t="shared" si="2"/>
        <v>153162</v>
      </c>
      <c r="AM50" s="22">
        <v>77</v>
      </c>
      <c r="AN50" s="14">
        <v>439</v>
      </c>
      <c r="AO50" s="14">
        <v>-14870.28</v>
      </c>
      <c r="AP50" s="14"/>
      <c r="AQ50" s="14">
        <v>-33.04</v>
      </c>
      <c r="AR50" s="44">
        <v>1</v>
      </c>
    </row>
    <row r="51" spans="1:44" x14ac:dyDescent="0.25">
      <c r="A51" s="12">
        <v>5480</v>
      </c>
      <c r="B51" s="13" t="s">
        <v>279</v>
      </c>
      <c r="C51" s="14">
        <v>2035589.32</v>
      </c>
      <c r="D51" s="14">
        <v>230745.06</v>
      </c>
      <c r="E51" s="14"/>
      <c r="F51" s="14"/>
      <c r="G51" s="14">
        <v>387309.85</v>
      </c>
      <c r="H51" s="14">
        <v>-6724.55</v>
      </c>
      <c r="I51" s="14"/>
      <c r="J51" s="14">
        <v>62991.42</v>
      </c>
      <c r="K51" s="14">
        <v>11335.5</v>
      </c>
      <c r="L51" s="14">
        <v>272339.3</v>
      </c>
      <c r="M51" s="3">
        <f t="shared" si="0"/>
        <v>2993585.9</v>
      </c>
      <c r="N51" s="14">
        <v>161064.79999999999</v>
      </c>
      <c r="O51" s="14">
        <v>10005.6</v>
      </c>
      <c r="P51" s="14">
        <v>123032.55</v>
      </c>
      <c r="Q51" s="14">
        <v>974.09</v>
      </c>
      <c r="R51" s="14">
        <v>121478.35</v>
      </c>
      <c r="S51" s="14">
        <v>1162.5</v>
      </c>
      <c r="T51" s="14"/>
      <c r="U51" s="14">
        <v>9750</v>
      </c>
      <c r="V51" s="14"/>
      <c r="W51" s="14"/>
      <c r="X51" s="2">
        <f t="shared" si="1"/>
        <v>3421053.7899999996</v>
      </c>
      <c r="Y51" s="14">
        <v>45723.15</v>
      </c>
      <c r="Z51" s="14"/>
      <c r="AA51" s="14">
        <v>146292.5</v>
      </c>
      <c r="AB51" s="14">
        <v>107789.05</v>
      </c>
      <c r="AC51" s="14">
        <v>56884.25</v>
      </c>
      <c r="AD51" s="14">
        <v>43791.8</v>
      </c>
      <c r="AE51" s="14"/>
      <c r="AF51" s="14"/>
      <c r="AG51" s="14">
        <v>4286.8999999999996</v>
      </c>
      <c r="AH51" s="14">
        <v>58285.3</v>
      </c>
      <c r="AI51" s="14"/>
      <c r="AJ51" s="14"/>
      <c r="AK51" s="14"/>
      <c r="AL51" s="48">
        <f t="shared" si="2"/>
        <v>463052.95</v>
      </c>
      <c r="AM51" s="22">
        <v>71</v>
      </c>
      <c r="AN51" s="14">
        <v>940</v>
      </c>
      <c r="AO51" s="14">
        <v>-4282.63</v>
      </c>
      <c r="AP51" s="14"/>
      <c r="AQ51" s="14">
        <v>-194.03</v>
      </c>
      <c r="AR51" s="44">
        <v>1</v>
      </c>
    </row>
    <row r="52" spans="1:44" x14ac:dyDescent="0.25">
      <c r="A52" s="12">
        <v>5481</v>
      </c>
      <c r="B52" s="13" t="s">
        <v>280</v>
      </c>
      <c r="C52" s="14">
        <v>457000.5</v>
      </c>
      <c r="D52" s="14">
        <v>87055.74</v>
      </c>
      <c r="E52" s="14"/>
      <c r="F52" s="14"/>
      <c r="G52" s="14">
        <v>27740.35</v>
      </c>
      <c r="H52" s="14">
        <v>259.8</v>
      </c>
      <c r="I52" s="14"/>
      <c r="J52" s="14">
        <v>5695.19</v>
      </c>
      <c r="K52" s="14"/>
      <c r="L52" s="14">
        <v>34309.599999999999</v>
      </c>
      <c r="M52" s="3">
        <f t="shared" si="0"/>
        <v>612061.17999999993</v>
      </c>
      <c r="N52" s="14"/>
      <c r="O52" s="14"/>
      <c r="P52" s="14">
        <v>9762.5</v>
      </c>
      <c r="Q52" s="14"/>
      <c r="R52" s="14">
        <v>13950.9</v>
      </c>
      <c r="S52" s="14"/>
      <c r="T52" s="14"/>
      <c r="U52" s="14">
        <v>750</v>
      </c>
      <c r="V52" s="14"/>
      <c r="W52" s="14"/>
      <c r="X52" s="2">
        <f t="shared" si="1"/>
        <v>636524.57999999996</v>
      </c>
      <c r="Y52" s="14">
        <v>10800</v>
      </c>
      <c r="Z52" s="14"/>
      <c r="AA52" s="14">
        <v>48620</v>
      </c>
      <c r="AB52" s="14"/>
      <c r="AC52" s="14">
        <v>14916</v>
      </c>
      <c r="AD52" s="14">
        <v>10557</v>
      </c>
      <c r="AE52" s="14"/>
      <c r="AF52" s="14"/>
      <c r="AG52" s="14"/>
      <c r="AH52" s="14"/>
      <c r="AI52" s="14"/>
      <c r="AJ52" s="14"/>
      <c r="AK52" s="14"/>
      <c r="AL52" s="48">
        <f t="shared" si="2"/>
        <v>84893</v>
      </c>
      <c r="AM52" s="22">
        <v>74</v>
      </c>
      <c r="AN52" s="14">
        <v>221</v>
      </c>
      <c r="AO52" s="14">
        <v>-2225.7800000000002</v>
      </c>
      <c r="AP52" s="14"/>
      <c r="AQ52" s="14">
        <v>-1.74</v>
      </c>
      <c r="AR52" s="44">
        <v>1</v>
      </c>
    </row>
    <row r="53" spans="1:44" x14ac:dyDescent="0.25">
      <c r="A53" s="12">
        <v>5482</v>
      </c>
      <c r="B53" s="13" t="s">
        <v>281</v>
      </c>
      <c r="C53" s="14">
        <v>1182977.71</v>
      </c>
      <c r="D53" s="14">
        <v>210026.71</v>
      </c>
      <c r="E53" s="14"/>
      <c r="F53" s="14"/>
      <c r="G53" s="14">
        <v>1078312.7</v>
      </c>
      <c r="H53" s="14">
        <v>7505.95</v>
      </c>
      <c r="I53" s="14"/>
      <c r="J53" s="14">
        <v>95486.22</v>
      </c>
      <c r="K53" s="14">
        <v>37015</v>
      </c>
      <c r="L53" s="14">
        <v>366478.1</v>
      </c>
      <c r="M53" s="3">
        <f t="shared" si="0"/>
        <v>2977802.3900000006</v>
      </c>
      <c r="N53" s="14">
        <v>152417.95000000001</v>
      </c>
      <c r="O53" s="14">
        <v>27397.599999999999</v>
      </c>
      <c r="P53" s="14">
        <v>118763.1</v>
      </c>
      <c r="Q53" s="14">
        <v>4373.59</v>
      </c>
      <c r="R53" s="14">
        <v>25876.65</v>
      </c>
      <c r="S53" s="14">
        <v>181.25</v>
      </c>
      <c r="T53" s="14"/>
      <c r="U53" s="14">
        <v>7950</v>
      </c>
      <c r="V53" s="14"/>
      <c r="W53" s="14"/>
      <c r="X53" s="2">
        <f t="shared" si="1"/>
        <v>3314762.5300000007</v>
      </c>
      <c r="Y53" s="14"/>
      <c r="Z53" s="14"/>
      <c r="AA53" s="14">
        <v>201808.8</v>
      </c>
      <c r="AB53" s="14"/>
      <c r="AC53" s="14">
        <v>98797.1</v>
      </c>
      <c r="AD53" s="14"/>
      <c r="AE53" s="14"/>
      <c r="AF53" s="14"/>
      <c r="AG53" s="14"/>
      <c r="AH53" s="14">
        <v>650245.85</v>
      </c>
      <c r="AI53" s="14"/>
      <c r="AJ53" s="14"/>
      <c r="AK53" s="14"/>
      <c r="AL53" s="48">
        <f t="shared" si="2"/>
        <v>950851.75</v>
      </c>
      <c r="AM53" s="22">
        <v>46</v>
      </c>
      <c r="AN53" s="14">
        <v>1039</v>
      </c>
      <c r="AO53" s="14">
        <v>-12760.93</v>
      </c>
      <c r="AP53" s="14"/>
      <c r="AQ53" s="14">
        <v>-26.36</v>
      </c>
      <c r="AR53" s="44">
        <v>1</v>
      </c>
    </row>
    <row r="54" spans="1:44" x14ac:dyDescent="0.25">
      <c r="A54" s="12">
        <v>5483</v>
      </c>
      <c r="B54" s="13" t="s">
        <v>174</v>
      </c>
      <c r="C54" s="14">
        <v>563289.71</v>
      </c>
      <c r="D54" s="14">
        <v>55906.080000000002</v>
      </c>
      <c r="E54" s="14"/>
      <c r="F54" s="14"/>
      <c r="G54" s="14">
        <v>28674.6</v>
      </c>
      <c r="H54" s="14">
        <v>1654.7</v>
      </c>
      <c r="I54" s="14"/>
      <c r="J54" s="14">
        <v>1203.94</v>
      </c>
      <c r="K54" s="14">
        <v>175.5</v>
      </c>
      <c r="L54" s="14">
        <v>47878.5</v>
      </c>
      <c r="M54" s="3">
        <f t="shared" si="0"/>
        <v>698783.0299999998</v>
      </c>
      <c r="N54" s="14">
        <v>171.95</v>
      </c>
      <c r="O54" s="14"/>
      <c r="P54" s="14">
        <v>15070</v>
      </c>
      <c r="Q54" s="14"/>
      <c r="R54" s="14">
        <v>11477.8</v>
      </c>
      <c r="S54" s="14">
        <v>-31.25</v>
      </c>
      <c r="T54" s="14"/>
      <c r="U54" s="14">
        <v>1440</v>
      </c>
      <c r="V54" s="14"/>
      <c r="W54" s="14"/>
      <c r="X54" s="2">
        <f t="shared" si="1"/>
        <v>726911.5299999998</v>
      </c>
      <c r="Y54" s="14"/>
      <c r="Z54" s="14"/>
      <c r="AA54" s="14">
        <v>46773.1</v>
      </c>
      <c r="AB54" s="14"/>
      <c r="AC54" s="14">
        <v>27747.45</v>
      </c>
      <c r="AD54" s="14"/>
      <c r="AE54" s="14"/>
      <c r="AF54" s="14"/>
      <c r="AG54" s="14"/>
      <c r="AH54" s="14"/>
      <c r="AI54" s="14"/>
      <c r="AJ54" s="14"/>
      <c r="AK54" s="14"/>
      <c r="AL54" s="48">
        <f t="shared" si="2"/>
        <v>74520.55</v>
      </c>
      <c r="AM54" s="22">
        <v>76</v>
      </c>
      <c r="AN54" s="14">
        <v>313</v>
      </c>
      <c r="AO54" s="14">
        <v>-7368.63</v>
      </c>
      <c r="AP54" s="14"/>
      <c r="AQ54" s="14"/>
      <c r="AR54" s="44">
        <v>1</v>
      </c>
    </row>
    <row r="55" spans="1:44" x14ac:dyDescent="0.25">
      <c r="A55" s="12">
        <v>5484</v>
      </c>
      <c r="B55" s="13" t="s">
        <v>175</v>
      </c>
      <c r="C55" s="14">
        <v>1573222.6</v>
      </c>
      <c r="D55" s="14">
        <v>135809.14000000001</v>
      </c>
      <c r="E55" s="14"/>
      <c r="F55" s="14"/>
      <c r="G55" s="14">
        <v>-54343.7</v>
      </c>
      <c r="H55" s="14">
        <v>646.5</v>
      </c>
      <c r="I55" s="14">
        <v>-50470.6</v>
      </c>
      <c r="J55" s="14">
        <v>27435.68</v>
      </c>
      <c r="K55" s="14">
        <v>3831</v>
      </c>
      <c r="L55" s="14">
        <v>129738.7</v>
      </c>
      <c r="M55" s="3">
        <f t="shared" si="0"/>
        <v>1765869.32</v>
      </c>
      <c r="N55" s="14">
        <v>9736.2999999999993</v>
      </c>
      <c r="O55" s="14">
        <v>6454.8</v>
      </c>
      <c r="P55" s="14">
        <v>193899.55</v>
      </c>
      <c r="Q55" s="14">
        <v>4704.62</v>
      </c>
      <c r="R55" s="14">
        <v>39397.25</v>
      </c>
      <c r="S55" s="14">
        <v>93.75</v>
      </c>
      <c r="T55" s="14"/>
      <c r="U55" s="14">
        <v>4080</v>
      </c>
      <c r="V55" s="14"/>
      <c r="W55" s="14"/>
      <c r="X55" s="2">
        <f t="shared" si="1"/>
        <v>2024235.5900000003</v>
      </c>
      <c r="Y55" s="14">
        <v>81310.8</v>
      </c>
      <c r="Z55" s="14"/>
      <c r="AA55" s="14">
        <v>110500.9</v>
      </c>
      <c r="AB55" s="14"/>
      <c r="AC55" s="14">
        <v>97517.05</v>
      </c>
      <c r="AD55" s="14">
        <v>41652.6</v>
      </c>
      <c r="AE55" s="14"/>
      <c r="AF55" s="14"/>
      <c r="AG55" s="14"/>
      <c r="AH55" s="14"/>
      <c r="AI55" s="14">
        <v>22878.799999999999</v>
      </c>
      <c r="AJ55" s="14"/>
      <c r="AK55" s="14"/>
      <c r="AL55" s="48">
        <f t="shared" si="2"/>
        <v>353860.14999999997</v>
      </c>
      <c r="AM55" s="22">
        <v>74</v>
      </c>
      <c r="AN55" s="14">
        <v>857</v>
      </c>
      <c r="AO55" s="14">
        <v>-56509.58</v>
      </c>
      <c r="AP55" s="14"/>
      <c r="AQ55" s="14">
        <v>-1.83</v>
      </c>
      <c r="AR55" s="44">
        <v>1</v>
      </c>
    </row>
    <row r="56" spans="1:44" x14ac:dyDescent="0.25">
      <c r="A56" s="12">
        <v>5485</v>
      </c>
      <c r="B56" s="13" t="s">
        <v>176</v>
      </c>
      <c r="C56" s="14">
        <v>1001283.14</v>
      </c>
      <c r="D56" s="14">
        <v>121547.5</v>
      </c>
      <c r="E56" s="14"/>
      <c r="F56" s="14"/>
      <c r="G56" s="14">
        <v>44099.85</v>
      </c>
      <c r="H56" s="14">
        <v>-6.8</v>
      </c>
      <c r="I56" s="14">
        <v>-42588.55</v>
      </c>
      <c r="J56" s="14">
        <v>26046.48</v>
      </c>
      <c r="K56" s="14">
        <v>225</v>
      </c>
      <c r="L56" s="14">
        <v>66947.05</v>
      </c>
      <c r="M56" s="3">
        <f t="shared" si="0"/>
        <v>1217553.6700000002</v>
      </c>
      <c r="N56" s="14">
        <v>7836.4</v>
      </c>
      <c r="O56" s="14">
        <v>10475.200000000001</v>
      </c>
      <c r="P56" s="14">
        <v>16720</v>
      </c>
      <c r="Q56" s="14">
        <v>1406.4</v>
      </c>
      <c r="R56" s="14">
        <v>32200.05</v>
      </c>
      <c r="S56" s="14"/>
      <c r="T56" s="14"/>
      <c r="U56" s="14">
        <v>1040</v>
      </c>
      <c r="V56" s="14"/>
      <c r="W56" s="14"/>
      <c r="X56" s="2">
        <f t="shared" si="1"/>
        <v>1287231.72</v>
      </c>
      <c r="Y56" s="14">
        <v>6024</v>
      </c>
      <c r="Z56" s="14"/>
      <c r="AA56" s="14">
        <v>75074</v>
      </c>
      <c r="AB56" s="14"/>
      <c r="AC56" s="14">
        <v>26670</v>
      </c>
      <c r="AD56" s="14">
        <v>3667</v>
      </c>
      <c r="AE56" s="14"/>
      <c r="AF56" s="14"/>
      <c r="AG56" s="14"/>
      <c r="AH56" s="14"/>
      <c r="AI56" s="14"/>
      <c r="AJ56" s="14"/>
      <c r="AK56" s="14"/>
      <c r="AL56" s="48">
        <f t="shared" si="2"/>
        <v>111435</v>
      </c>
      <c r="AM56" s="22">
        <v>70</v>
      </c>
      <c r="AN56" s="14">
        <v>396</v>
      </c>
      <c r="AO56" s="14">
        <v>-7887.74</v>
      </c>
      <c r="AP56" s="14"/>
      <c r="AQ56" s="14">
        <v>-187.42</v>
      </c>
      <c r="AR56" s="44">
        <v>1</v>
      </c>
    </row>
    <row r="57" spans="1:44" x14ac:dyDescent="0.25">
      <c r="A57" s="12">
        <v>5486</v>
      </c>
      <c r="B57" s="13" t="s">
        <v>6</v>
      </c>
      <c r="C57" s="14">
        <v>1582825.25</v>
      </c>
      <c r="D57" s="14">
        <v>195248.57</v>
      </c>
      <c r="E57" s="14"/>
      <c r="F57" s="14"/>
      <c r="G57" s="14">
        <v>68795.5</v>
      </c>
      <c r="H57" s="14">
        <v>2251.85</v>
      </c>
      <c r="I57" s="14">
        <v>45945.25</v>
      </c>
      <c r="J57" s="14">
        <v>43121.17</v>
      </c>
      <c r="K57" s="14">
        <v>8116.5</v>
      </c>
      <c r="L57" s="14">
        <v>168267.15</v>
      </c>
      <c r="M57" s="3">
        <f t="shared" si="0"/>
        <v>2114571.2400000002</v>
      </c>
      <c r="N57" s="14">
        <v>55291.35</v>
      </c>
      <c r="O57" s="14">
        <v>403934.5</v>
      </c>
      <c r="P57" s="14">
        <v>46604.800000000003</v>
      </c>
      <c r="Q57" s="14">
        <v>21532.38</v>
      </c>
      <c r="R57" s="14">
        <v>51579.4</v>
      </c>
      <c r="S57" s="14">
        <v>50</v>
      </c>
      <c r="T57" s="14">
        <v>1050</v>
      </c>
      <c r="U57" s="14">
        <v>8850</v>
      </c>
      <c r="V57" s="14"/>
      <c r="W57" s="14"/>
      <c r="X57" s="2">
        <f t="shared" si="1"/>
        <v>2703463.67</v>
      </c>
      <c r="Y57" s="14">
        <v>4212</v>
      </c>
      <c r="Z57" s="14">
        <v>3744</v>
      </c>
      <c r="AA57" s="14">
        <v>181682.8</v>
      </c>
      <c r="AB57" s="14"/>
      <c r="AC57" s="14">
        <v>91136</v>
      </c>
      <c r="AD57" s="14">
        <v>8424</v>
      </c>
      <c r="AE57" s="14">
        <v>3744</v>
      </c>
      <c r="AF57" s="14"/>
      <c r="AG57" s="14"/>
      <c r="AH57" s="14">
        <v>36165.449999999997</v>
      </c>
      <c r="AI57" s="14"/>
      <c r="AJ57" s="14"/>
      <c r="AK57" s="14"/>
      <c r="AL57" s="48">
        <f t="shared" si="2"/>
        <v>329108.25</v>
      </c>
      <c r="AM57" s="22">
        <v>76</v>
      </c>
      <c r="AN57" s="14">
        <v>1032</v>
      </c>
      <c r="AO57" s="14">
        <v>-67951.25</v>
      </c>
      <c r="AP57" s="14"/>
      <c r="AQ57" s="14">
        <v>-6.5</v>
      </c>
      <c r="AR57" s="44">
        <v>1</v>
      </c>
    </row>
    <row r="58" spans="1:44" x14ac:dyDescent="0.25">
      <c r="A58" s="12">
        <v>5487</v>
      </c>
      <c r="B58" s="13" t="s">
        <v>7</v>
      </c>
      <c r="C58" s="14">
        <v>729944.11</v>
      </c>
      <c r="D58" s="14">
        <v>53563.03</v>
      </c>
      <c r="E58" s="14"/>
      <c r="F58" s="14"/>
      <c r="G58" s="14">
        <v>-49620.9</v>
      </c>
      <c r="H58" s="14">
        <v>9.1999999999999993</v>
      </c>
      <c r="I58" s="14"/>
      <c r="J58" s="14">
        <v>21263.24</v>
      </c>
      <c r="K58" s="14">
        <v>158</v>
      </c>
      <c r="L58" s="14">
        <v>63866.1</v>
      </c>
      <c r="M58" s="3">
        <f t="shared" si="0"/>
        <v>819182.77999999991</v>
      </c>
      <c r="N58" s="14"/>
      <c r="O58" s="14">
        <v>1353</v>
      </c>
      <c r="P58" s="14">
        <v>24013</v>
      </c>
      <c r="Q58" s="14">
        <v>13258.31</v>
      </c>
      <c r="R58" s="14">
        <v>21653.7</v>
      </c>
      <c r="S58" s="14">
        <v>37.5</v>
      </c>
      <c r="T58" s="14"/>
      <c r="U58" s="14">
        <v>1860</v>
      </c>
      <c r="V58" s="14"/>
      <c r="W58" s="14"/>
      <c r="X58" s="2">
        <f t="shared" si="1"/>
        <v>881358.28999999992</v>
      </c>
      <c r="Y58" s="14">
        <v>5250</v>
      </c>
      <c r="Z58" s="14"/>
      <c r="AA58" s="14">
        <v>37260.5</v>
      </c>
      <c r="AB58" s="14"/>
      <c r="AC58" s="14">
        <v>36100</v>
      </c>
      <c r="AD58" s="14">
        <v>12917.7</v>
      </c>
      <c r="AE58" s="14"/>
      <c r="AF58" s="14"/>
      <c r="AG58" s="14">
        <v>191.6</v>
      </c>
      <c r="AH58" s="14">
        <v>8400</v>
      </c>
      <c r="AI58" s="14"/>
      <c r="AJ58" s="14"/>
      <c r="AK58" s="14"/>
      <c r="AL58" s="48">
        <f t="shared" si="2"/>
        <v>100119.8</v>
      </c>
      <c r="AM58" s="22">
        <v>68</v>
      </c>
      <c r="AN58" s="14">
        <v>423</v>
      </c>
      <c r="AO58" s="14">
        <v>-25090.97</v>
      </c>
      <c r="AP58" s="14"/>
      <c r="AQ58" s="14">
        <v>-6.55</v>
      </c>
      <c r="AR58" s="44">
        <v>1</v>
      </c>
    </row>
    <row r="59" spans="1:44" x14ac:dyDescent="0.25">
      <c r="A59" s="12">
        <v>5488</v>
      </c>
      <c r="B59" s="13" t="s">
        <v>8</v>
      </c>
      <c r="C59" s="14">
        <v>77851.839999999997</v>
      </c>
      <c r="D59" s="14">
        <v>14870.58</v>
      </c>
      <c r="E59" s="14"/>
      <c r="F59" s="14"/>
      <c r="G59" s="14">
        <v>3697.7</v>
      </c>
      <c r="H59" s="14">
        <v>27.1</v>
      </c>
      <c r="I59" s="14"/>
      <c r="J59" s="14">
        <v>0</v>
      </c>
      <c r="K59" s="14"/>
      <c r="L59" s="14">
        <v>8474</v>
      </c>
      <c r="M59" s="3">
        <f t="shared" si="0"/>
        <v>104921.22</v>
      </c>
      <c r="N59" s="14"/>
      <c r="O59" s="14"/>
      <c r="P59" s="14"/>
      <c r="Q59" s="14"/>
      <c r="R59" s="14"/>
      <c r="S59" s="14"/>
      <c r="T59" s="14"/>
      <c r="U59" s="14">
        <v>140</v>
      </c>
      <c r="V59" s="14"/>
      <c r="W59" s="14"/>
      <c r="X59" s="2">
        <f t="shared" si="1"/>
        <v>105061.22</v>
      </c>
      <c r="Y59" s="14"/>
      <c r="Z59" s="14"/>
      <c r="AA59" s="14">
        <v>6295.5</v>
      </c>
      <c r="AB59" s="14"/>
      <c r="AC59" s="14">
        <v>5093</v>
      </c>
      <c r="AD59" s="14"/>
      <c r="AE59" s="14"/>
      <c r="AF59" s="14"/>
      <c r="AG59" s="14"/>
      <c r="AH59" s="14">
        <v>1186.5</v>
      </c>
      <c r="AI59" s="14"/>
      <c r="AJ59" s="14"/>
      <c r="AK59" s="14"/>
      <c r="AL59" s="48">
        <f t="shared" si="2"/>
        <v>12575</v>
      </c>
      <c r="AM59" s="22">
        <v>74</v>
      </c>
      <c r="AN59" s="14">
        <v>49</v>
      </c>
      <c r="AO59" s="14">
        <v>-24.33</v>
      </c>
      <c r="AP59" s="14"/>
      <c r="AQ59" s="14"/>
      <c r="AR59" s="44">
        <v>1</v>
      </c>
    </row>
    <row r="60" spans="1:44" x14ac:dyDescent="0.25">
      <c r="A60" s="12">
        <v>5489</v>
      </c>
      <c r="B60" s="13" t="s">
        <v>9</v>
      </c>
      <c r="C60" s="14">
        <v>1541589.92</v>
      </c>
      <c r="D60" s="14">
        <v>353618.44</v>
      </c>
      <c r="E60" s="14"/>
      <c r="F60" s="14"/>
      <c r="G60" s="14">
        <v>47745.45</v>
      </c>
      <c r="H60" s="14">
        <v>78848.600000000006</v>
      </c>
      <c r="I60" s="14">
        <v>-27686.65</v>
      </c>
      <c r="J60" s="14">
        <v>31708.07</v>
      </c>
      <c r="K60" s="14">
        <v>4261</v>
      </c>
      <c r="L60" s="14">
        <v>257878.7</v>
      </c>
      <c r="M60" s="3">
        <f t="shared" si="0"/>
        <v>2287963.5300000003</v>
      </c>
      <c r="N60" s="14">
        <v>17897.2</v>
      </c>
      <c r="O60" s="14">
        <v>12177</v>
      </c>
      <c r="P60" s="14">
        <v>76505</v>
      </c>
      <c r="Q60" s="14">
        <v>3349.7</v>
      </c>
      <c r="R60" s="14">
        <v>40311</v>
      </c>
      <c r="S60" s="14">
        <v>112.5</v>
      </c>
      <c r="T60" s="14"/>
      <c r="U60" s="14">
        <v>3240</v>
      </c>
      <c r="V60" s="14"/>
      <c r="W60" s="14"/>
      <c r="X60" s="2">
        <f t="shared" si="1"/>
        <v>2441555.9300000006</v>
      </c>
      <c r="Y60" s="14">
        <v>9788.4500000000007</v>
      </c>
      <c r="Z60" s="14"/>
      <c r="AA60" s="14">
        <v>142353.79999999999</v>
      </c>
      <c r="AB60" s="14"/>
      <c r="AC60" s="14">
        <v>46360</v>
      </c>
      <c r="AD60" s="14">
        <v>3701.75</v>
      </c>
      <c r="AE60" s="14">
        <v>43061.35</v>
      </c>
      <c r="AF60" s="14"/>
      <c r="AG60" s="14"/>
      <c r="AH60" s="14"/>
      <c r="AI60" s="14"/>
      <c r="AJ60" s="14"/>
      <c r="AK60" s="14"/>
      <c r="AL60" s="48">
        <f t="shared" si="2"/>
        <v>245265.35</v>
      </c>
      <c r="AM60" s="22">
        <v>61</v>
      </c>
      <c r="AN60" s="14">
        <v>678</v>
      </c>
      <c r="AO60" s="14">
        <v>-26734.68</v>
      </c>
      <c r="AP60" s="14"/>
      <c r="AQ60" s="14">
        <v>-180.13</v>
      </c>
      <c r="AR60" s="44">
        <v>1</v>
      </c>
    </row>
    <row r="61" spans="1:44" x14ac:dyDescent="0.25">
      <c r="A61" s="12">
        <v>5490</v>
      </c>
      <c r="B61" s="13" t="s">
        <v>10</v>
      </c>
      <c r="C61" s="14">
        <v>487857.19</v>
      </c>
      <c r="D61" s="14">
        <v>62560.86</v>
      </c>
      <c r="E61" s="14"/>
      <c r="F61" s="14"/>
      <c r="G61" s="14">
        <v>4676.6499999999996</v>
      </c>
      <c r="H61" s="14">
        <v>115.5</v>
      </c>
      <c r="I61" s="14"/>
      <c r="J61" s="14">
        <v>7152.09</v>
      </c>
      <c r="K61" s="14"/>
      <c r="L61" s="14">
        <v>37975.199999999997</v>
      </c>
      <c r="M61" s="3">
        <f t="shared" si="0"/>
        <v>600337.49</v>
      </c>
      <c r="N61" s="14"/>
      <c r="O61" s="14"/>
      <c r="P61" s="14">
        <v>41435.65</v>
      </c>
      <c r="Q61" s="14">
        <v>4238.33</v>
      </c>
      <c r="R61" s="14">
        <v>10131.450000000001</v>
      </c>
      <c r="S61" s="14">
        <v>31.25</v>
      </c>
      <c r="T61" s="14"/>
      <c r="U61" s="14">
        <v>1140</v>
      </c>
      <c r="V61" s="14"/>
      <c r="W61" s="14"/>
      <c r="X61" s="2">
        <f t="shared" si="1"/>
        <v>657314.16999999993</v>
      </c>
      <c r="Y61" s="14">
        <v>786.5</v>
      </c>
      <c r="Z61" s="14"/>
      <c r="AA61" s="14">
        <v>8458.5</v>
      </c>
      <c r="AB61" s="14"/>
      <c r="AC61" s="14">
        <v>24952.25</v>
      </c>
      <c r="AD61" s="14">
        <v>3300</v>
      </c>
      <c r="AE61" s="14"/>
      <c r="AF61" s="14"/>
      <c r="AG61" s="14"/>
      <c r="AH61" s="14">
        <v>5527.05</v>
      </c>
      <c r="AI61" s="14"/>
      <c r="AJ61" s="14"/>
      <c r="AK61" s="14"/>
      <c r="AL61" s="48">
        <f t="shared" si="2"/>
        <v>43024.3</v>
      </c>
      <c r="AM61" s="22">
        <v>81</v>
      </c>
      <c r="AN61" s="14">
        <v>290</v>
      </c>
      <c r="AO61" s="14">
        <v>-11514.46</v>
      </c>
      <c r="AP61" s="14"/>
      <c r="AQ61" s="14">
        <v>-1.47</v>
      </c>
      <c r="AR61" s="44">
        <v>1</v>
      </c>
    </row>
    <row r="62" spans="1:44" x14ac:dyDescent="0.25">
      <c r="A62" s="12">
        <v>5491</v>
      </c>
      <c r="B62" s="13" t="s">
        <v>198</v>
      </c>
      <c r="C62" s="14">
        <v>524642.36</v>
      </c>
      <c r="D62" s="14">
        <v>79922.92</v>
      </c>
      <c r="E62" s="14"/>
      <c r="F62" s="14"/>
      <c r="G62" s="14">
        <v>1283.8</v>
      </c>
      <c r="H62" s="14">
        <v>1192.25</v>
      </c>
      <c r="I62" s="14"/>
      <c r="J62" s="14">
        <v>6922.65</v>
      </c>
      <c r="K62" s="14">
        <v>512.5</v>
      </c>
      <c r="L62" s="14">
        <v>61030.85</v>
      </c>
      <c r="M62" s="3">
        <f t="shared" si="0"/>
        <v>675507.33000000007</v>
      </c>
      <c r="N62" s="14"/>
      <c r="O62" s="14"/>
      <c r="P62" s="14">
        <v>38464.35</v>
      </c>
      <c r="Q62" s="14">
        <v>276.17</v>
      </c>
      <c r="R62" s="14">
        <v>38770.6</v>
      </c>
      <c r="S62" s="14">
        <v>12.5</v>
      </c>
      <c r="T62" s="14"/>
      <c r="U62" s="14">
        <v>3950</v>
      </c>
      <c r="V62" s="14"/>
      <c r="W62" s="14"/>
      <c r="X62" s="2">
        <f t="shared" si="1"/>
        <v>756980.95000000007</v>
      </c>
      <c r="Y62" s="14"/>
      <c r="Z62" s="14"/>
      <c r="AA62" s="14">
        <v>45932</v>
      </c>
      <c r="AB62" s="14"/>
      <c r="AC62" s="14">
        <v>33602</v>
      </c>
      <c r="AD62" s="14"/>
      <c r="AE62" s="14"/>
      <c r="AF62" s="14"/>
      <c r="AG62" s="14"/>
      <c r="AH62" s="14">
        <v>10757.7</v>
      </c>
      <c r="AI62" s="14"/>
      <c r="AJ62" s="14"/>
      <c r="AK62" s="14"/>
      <c r="AL62" s="48">
        <f t="shared" si="2"/>
        <v>90291.7</v>
      </c>
      <c r="AM62" s="22">
        <v>76</v>
      </c>
      <c r="AN62" s="14">
        <v>382</v>
      </c>
      <c r="AO62" s="14">
        <v>-22207.75</v>
      </c>
      <c r="AP62" s="14"/>
      <c r="AQ62" s="14"/>
      <c r="AR62" s="44">
        <v>1</v>
      </c>
    </row>
    <row r="63" spans="1:44" x14ac:dyDescent="0.25">
      <c r="A63" s="12">
        <v>5492</v>
      </c>
      <c r="B63" s="13" t="s">
        <v>199</v>
      </c>
      <c r="C63" s="14">
        <v>4842348.8099999996</v>
      </c>
      <c r="D63" s="14">
        <v>6723048.5099999998</v>
      </c>
      <c r="E63" s="14"/>
      <c r="F63" s="14"/>
      <c r="G63" s="14">
        <v>176617.5</v>
      </c>
      <c r="H63" s="14">
        <v>1555.6</v>
      </c>
      <c r="I63" s="14">
        <v>1336.95</v>
      </c>
      <c r="J63" s="14">
        <v>29378.21</v>
      </c>
      <c r="K63" s="14">
        <v>33696.5</v>
      </c>
      <c r="L63" s="14">
        <v>64056.3</v>
      </c>
      <c r="M63" s="3">
        <f t="shared" si="0"/>
        <v>11872038.380000001</v>
      </c>
      <c r="N63" s="14">
        <v>2115.35</v>
      </c>
      <c r="O63" s="14"/>
      <c r="P63" s="14">
        <v>71912.55</v>
      </c>
      <c r="Q63" s="14">
        <v>18447.689999999999</v>
      </c>
      <c r="R63" s="14">
        <v>52626.3</v>
      </c>
      <c r="S63" s="14"/>
      <c r="T63" s="14"/>
      <c r="U63" s="14">
        <v>4560</v>
      </c>
      <c r="V63" s="14"/>
      <c r="W63" s="14"/>
      <c r="X63" s="2">
        <f t="shared" si="1"/>
        <v>12021700.270000001</v>
      </c>
      <c r="Y63" s="14">
        <v>10219</v>
      </c>
      <c r="Z63" s="14"/>
      <c r="AA63" s="14">
        <v>22282.5</v>
      </c>
      <c r="AB63" s="14"/>
      <c r="AC63" s="14">
        <v>30950</v>
      </c>
      <c r="AD63" s="14">
        <v>13019</v>
      </c>
      <c r="AE63" s="14"/>
      <c r="AF63" s="14"/>
      <c r="AG63" s="14"/>
      <c r="AH63" s="14"/>
      <c r="AI63" s="14"/>
      <c r="AJ63" s="14"/>
      <c r="AK63" s="14"/>
      <c r="AL63" s="48">
        <f t="shared" si="2"/>
        <v>76470.5</v>
      </c>
      <c r="AM63" s="22">
        <v>64</v>
      </c>
      <c r="AN63" s="14">
        <v>961</v>
      </c>
      <c r="AO63" s="14">
        <v>-66685.14</v>
      </c>
      <c r="AP63" s="14"/>
      <c r="AQ63" s="14">
        <v>-3614.81</v>
      </c>
      <c r="AR63" s="44">
        <v>0.3</v>
      </c>
    </row>
    <row r="64" spans="1:44" x14ac:dyDescent="0.25">
      <c r="A64" s="12">
        <v>5493</v>
      </c>
      <c r="B64" s="13" t="s">
        <v>200</v>
      </c>
      <c r="C64" s="14">
        <v>643340.51</v>
      </c>
      <c r="D64" s="14">
        <v>76523.83</v>
      </c>
      <c r="E64" s="14"/>
      <c r="F64" s="14"/>
      <c r="G64" s="14">
        <v>745.4</v>
      </c>
      <c r="H64" s="14">
        <v>578.15</v>
      </c>
      <c r="I64" s="14"/>
      <c r="J64" s="14">
        <v>19818.59</v>
      </c>
      <c r="K64" s="14">
        <v>134.5</v>
      </c>
      <c r="L64" s="14">
        <v>33696.35</v>
      </c>
      <c r="M64" s="3">
        <f t="shared" si="0"/>
        <v>774837.33</v>
      </c>
      <c r="N64" s="14">
        <v>60612.05</v>
      </c>
      <c r="O64" s="14">
        <v>1498.5</v>
      </c>
      <c r="P64" s="14">
        <v>8670.7000000000007</v>
      </c>
      <c r="Q64" s="14">
        <v>16684.09</v>
      </c>
      <c r="R64" s="14">
        <v>7291.65</v>
      </c>
      <c r="S64" s="14"/>
      <c r="T64" s="14"/>
      <c r="U64" s="14">
        <v>1300</v>
      </c>
      <c r="V64" s="14"/>
      <c r="W64" s="14"/>
      <c r="X64" s="2">
        <f t="shared" si="1"/>
        <v>870894.32</v>
      </c>
      <c r="Y64" s="14"/>
      <c r="Z64" s="14">
        <v>625</v>
      </c>
      <c r="AA64" s="14">
        <v>52823.05</v>
      </c>
      <c r="AB64" s="14"/>
      <c r="AC64" s="14">
        <v>16701.5</v>
      </c>
      <c r="AD64" s="14"/>
      <c r="AE64" s="14"/>
      <c r="AF64" s="14"/>
      <c r="AG64" s="14"/>
      <c r="AH64" s="14"/>
      <c r="AI64" s="14"/>
      <c r="AJ64" s="14"/>
      <c r="AK64" s="14"/>
      <c r="AL64" s="48">
        <f t="shared" si="2"/>
        <v>70149.55</v>
      </c>
      <c r="AM64" s="22">
        <v>73</v>
      </c>
      <c r="AN64" s="14">
        <v>375</v>
      </c>
      <c r="AO64" s="14">
        <v>-34819.839999999997</v>
      </c>
      <c r="AP64" s="14"/>
      <c r="AQ64" s="14">
        <v>-0.06</v>
      </c>
      <c r="AR64" s="44">
        <v>0.65</v>
      </c>
    </row>
    <row r="65" spans="1:44" x14ac:dyDescent="0.25">
      <c r="A65" s="12">
        <v>5494</v>
      </c>
      <c r="B65" s="13" t="s">
        <v>201</v>
      </c>
      <c r="C65" s="14">
        <v>2058172.15</v>
      </c>
      <c r="D65" s="14">
        <v>228517.26</v>
      </c>
      <c r="E65" s="14"/>
      <c r="F65" s="14"/>
      <c r="G65" s="14">
        <v>20598.95</v>
      </c>
      <c r="H65" s="14">
        <v>729</v>
      </c>
      <c r="I65" s="14"/>
      <c r="J65" s="14">
        <v>66522.87</v>
      </c>
      <c r="K65" s="14">
        <v>1608</v>
      </c>
      <c r="L65" s="14">
        <v>201935</v>
      </c>
      <c r="M65" s="3">
        <f t="shared" si="0"/>
        <v>2578083.2300000004</v>
      </c>
      <c r="N65" s="14">
        <v>20551.3</v>
      </c>
      <c r="O65" s="14"/>
      <c r="P65" s="14">
        <v>108103.55</v>
      </c>
      <c r="Q65" s="14">
        <v>24899.25</v>
      </c>
      <c r="R65" s="14">
        <v>49622.15</v>
      </c>
      <c r="S65" s="14">
        <v>50</v>
      </c>
      <c r="T65" s="14"/>
      <c r="U65" s="14">
        <v>5600</v>
      </c>
      <c r="V65" s="14"/>
      <c r="W65" s="14"/>
      <c r="X65" s="2">
        <f t="shared" si="1"/>
        <v>2786909.48</v>
      </c>
      <c r="Y65" s="14"/>
      <c r="Z65" s="14">
        <v>7060.56</v>
      </c>
      <c r="AA65" s="14">
        <v>147079.21</v>
      </c>
      <c r="AB65" s="14"/>
      <c r="AC65" s="14">
        <v>119422.18</v>
      </c>
      <c r="AD65" s="14"/>
      <c r="AE65" s="14">
        <v>5646</v>
      </c>
      <c r="AF65" s="14"/>
      <c r="AG65" s="14"/>
      <c r="AH65" s="14"/>
      <c r="AI65" s="14"/>
      <c r="AJ65" s="14"/>
      <c r="AK65" s="14"/>
      <c r="AL65" s="48">
        <f t="shared" si="2"/>
        <v>279207.94999999995</v>
      </c>
      <c r="AM65" s="22">
        <v>75</v>
      </c>
      <c r="AN65" s="14">
        <v>1124</v>
      </c>
      <c r="AO65" s="14">
        <v>-44589.77</v>
      </c>
      <c r="AP65" s="14"/>
      <c r="AQ65" s="14">
        <v>-119.89</v>
      </c>
      <c r="AR65" s="44">
        <v>1.05</v>
      </c>
    </row>
    <row r="66" spans="1:44" x14ac:dyDescent="0.25">
      <c r="A66" s="12">
        <v>5495</v>
      </c>
      <c r="B66" s="13" t="s">
        <v>202</v>
      </c>
      <c r="C66" s="14">
        <v>5550421.4000000004</v>
      </c>
      <c r="D66" s="14">
        <v>523518.61</v>
      </c>
      <c r="E66" s="14"/>
      <c r="F66" s="14"/>
      <c r="G66" s="14">
        <v>379595.75</v>
      </c>
      <c r="H66" s="14">
        <v>5207.25</v>
      </c>
      <c r="I66" s="14">
        <v>37075.300000000003</v>
      </c>
      <c r="J66" s="14">
        <v>256310.16</v>
      </c>
      <c r="K66" s="14">
        <v>62894.5</v>
      </c>
      <c r="L66" s="14">
        <v>467218</v>
      </c>
      <c r="M66" s="3">
        <f t="shared" si="0"/>
        <v>7282240.9700000007</v>
      </c>
      <c r="N66" s="14">
        <v>212709.05</v>
      </c>
      <c r="O66" s="14">
        <v>29810.1</v>
      </c>
      <c r="P66" s="14">
        <v>119362.4</v>
      </c>
      <c r="Q66" s="14">
        <v>61929.27</v>
      </c>
      <c r="R66" s="14">
        <v>177639.5</v>
      </c>
      <c r="S66" s="14">
        <v>530</v>
      </c>
      <c r="T66" s="14"/>
      <c r="U66" s="14">
        <v>11940</v>
      </c>
      <c r="V66" s="14"/>
      <c r="W66" s="14"/>
      <c r="X66" s="2">
        <f t="shared" si="1"/>
        <v>7896161.29</v>
      </c>
      <c r="Y66" s="14">
        <v>574440</v>
      </c>
      <c r="Z66" s="14"/>
      <c r="AA66" s="14">
        <v>84799</v>
      </c>
      <c r="AB66" s="14">
        <v>332173.2</v>
      </c>
      <c r="AC66" s="14">
        <v>245339.45</v>
      </c>
      <c r="AD66" s="14">
        <v>574235.15</v>
      </c>
      <c r="AE66" s="14"/>
      <c r="AF66" s="14"/>
      <c r="AG66" s="14">
        <v>18664.5</v>
      </c>
      <c r="AH66" s="14">
        <v>115639.05</v>
      </c>
      <c r="AI66" s="14"/>
      <c r="AJ66" s="14"/>
      <c r="AK66" s="14"/>
      <c r="AL66" s="48">
        <f t="shared" si="2"/>
        <v>1945290.3499999999</v>
      </c>
      <c r="AM66" s="22">
        <v>74</v>
      </c>
      <c r="AN66" s="14">
        <v>3241</v>
      </c>
      <c r="AO66" s="14">
        <v>-227948.38</v>
      </c>
      <c r="AP66" s="14"/>
      <c r="AQ66" s="14">
        <v>-210.08</v>
      </c>
      <c r="AR66" s="44">
        <v>1</v>
      </c>
    </row>
    <row r="67" spans="1:44" x14ac:dyDescent="0.25">
      <c r="A67" s="12">
        <v>5496</v>
      </c>
      <c r="B67" s="13" t="s">
        <v>203</v>
      </c>
      <c r="C67" s="14">
        <v>2999938.5</v>
      </c>
      <c r="D67" s="14">
        <v>293069.12</v>
      </c>
      <c r="E67" s="14"/>
      <c r="F67" s="14"/>
      <c r="G67" s="14">
        <v>439509.2</v>
      </c>
      <c r="H67" s="14">
        <v>9801.2000000000007</v>
      </c>
      <c r="I67" s="14"/>
      <c r="J67" s="14">
        <v>52392.89</v>
      </c>
      <c r="K67" s="14">
        <v>14013.5</v>
      </c>
      <c r="L67" s="14">
        <v>286608.75</v>
      </c>
      <c r="M67" s="3">
        <f t="shared" si="0"/>
        <v>4095333.1600000006</v>
      </c>
      <c r="N67" s="14">
        <v>91874.9</v>
      </c>
      <c r="O67" s="14">
        <v>1162.2</v>
      </c>
      <c r="P67" s="14">
        <v>66635.8</v>
      </c>
      <c r="Q67" s="14">
        <v>746.66</v>
      </c>
      <c r="R67" s="14">
        <v>90069.8</v>
      </c>
      <c r="S67" s="14">
        <v>75</v>
      </c>
      <c r="T67" s="14"/>
      <c r="U67" s="14">
        <v>12550</v>
      </c>
      <c r="V67" s="14"/>
      <c r="W67" s="14"/>
      <c r="X67" s="2">
        <f t="shared" si="1"/>
        <v>4358447.5200000005</v>
      </c>
      <c r="Y67" s="14">
        <v>32227.599999999999</v>
      </c>
      <c r="Z67" s="14"/>
      <c r="AA67" s="14"/>
      <c r="AB67" s="14">
        <v>178549.1</v>
      </c>
      <c r="AC67" s="14">
        <v>118795.2</v>
      </c>
      <c r="AD67" s="14">
        <v>30543.599999999999</v>
      </c>
      <c r="AE67" s="14"/>
      <c r="AF67" s="14"/>
      <c r="AG67" s="14">
        <v>1354</v>
      </c>
      <c r="AH67" s="14">
        <v>47490.55</v>
      </c>
      <c r="AI67" s="14"/>
      <c r="AJ67" s="14"/>
      <c r="AK67" s="14"/>
      <c r="AL67" s="48">
        <f t="shared" si="2"/>
        <v>408960.05</v>
      </c>
      <c r="AM67" s="22">
        <v>71</v>
      </c>
      <c r="AN67" s="14">
        <v>1653</v>
      </c>
      <c r="AO67" s="14">
        <v>-55612.91</v>
      </c>
      <c r="AP67" s="14"/>
      <c r="AQ67" s="14">
        <v>-103.89</v>
      </c>
      <c r="AR67" s="44">
        <v>1</v>
      </c>
    </row>
    <row r="68" spans="1:44" x14ac:dyDescent="0.25">
      <c r="A68" s="12">
        <v>5497</v>
      </c>
      <c r="B68" s="13" t="s">
        <v>204</v>
      </c>
      <c r="C68" s="14">
        <f>1127934.03+27765</f>
        <v>1155699.03</v>
      </c>
      <c r="D68" s="14">
        <v>131112.88</v>
      </c>
      <c r="E68" s="14"/>
      <c r="F68" s="14"/>
      <c r="G68" s="14">
        <v>6536.55</v>
      </c>
      <c r="H68" s="14">
        <v>314.55</v>
      </c>
      <c r="I68" s="14"/>
      <c r="J68" s="14">
        <v>73052.28</v>
      </c>
      <c r="K68" s="14">
        <v>4836.5</v>
      </c>
      <c r="L68" s="14">
        <v>111842.7</v>
      </c>
      <c r="M68" s="3">
        <f t="shared" si="0"/>
        <v>1483394.4900000002</v>
      </c>
      <c r="N68" s="14">
        <v>249012.55</v>
      </c>
      <c r="O68" s="14">
        <v>15536</v>
      </c>
      <c r="P68" s="14">
        <v>34885.1</v>
      </c>
      <c r="Q68" s="14">
        <v>2770.66</v>
      </c>
      <c r="R68" s="14">
        <v>29457.9</v>
      </c>
      <c r="S68" s="14">
        <v>93.75</v>
      </c>
      <c r="T68" s="14"/>
      <c r="U68" s="14">
        <v>2175</v>
      </c>
      <c r="V68" s="14"/>
      <c r="W68" s="14"/>
      <c r="X68" s="2">
        <f t="shared" si="1"/>
        <v>1817325.4500000002</v>
      </c>
      <c r="Y68" s="14"/>
      <c r="Z68" s="14"/>
      <c r="AA68" s="14">
        <v>77590</v>
      </c>
      <c r="AB68" s="14"/>
      <c r="AC68" s="14">
        <v>94163.5</v>
      </c>
      <c r="AD68" s="14"/>
      <c r="AE68" s="14"/>
      <c r="AF68" s="14"/>
      <c r="AG68" s="14"/>
      <c r="AH68" s="14">
        <v>32524.95</v>
      </c>
      <c r="AI68" s="14"/>
      <c r="AJ68" s="14"/>
      <c r="AK68" s="14"/>
      <c r="AL68" s="48">
        <f t="shared" si="2"/>
        <v>204278.45</v>
      </c>
      <c r="AM68" s="22">
        <v>66</v>
      </c>
      <c r="AN68" s="14">
        <v>834</v>
      </c>
      <c r="AO68" s="14">
        <v>-19151.88</v>
      </c>
      <c r="AP68" s="14"/>
      <c r="AQ68" s="14">
        <v>-17.260000000000002</v>
      </c>
      <c r="AR68" s="44">
        <v>1</v>
      </c>
    </row>
    <row r="69" spans="1:44" x14ac:dyDescent="0.25">
      <c r="A69" s="12">
        <v>5498</v>
      </c>
      <c r="B69" s="13" t="s">
        <v>205</v>
      </c>
      <c r="C69" s="14">
        <v>3595743.91</v>
      </c>
      <c r="D69" s="14">
        <v>349405.81</v>
      </c>
      <c r="E69" s="14"/>
      <c r="F69" s="14"/>
      <c r="G69" s="14">
        <v>127347.5</v>
      </c>
      <c r="H69" s="14">
        <v>1025.1500000000001</v>
      </c>
      <c r="I69" s="14"/>
      <c r="J69" s="14">
        <v>205230.45</v>
      </c>
      <c r="K69" s="14">
        <v>18095</v>
      </c>
      <c r="L69" s="14">
        <v>358360.15</v>
      </c>
      <c r="M69" s="3">
        <f t="shared" si="0"/>
        <v>4655207.9700000007</v>
      </c>
      <c r="N69" s="14">
        <v>66079.600000000006</v>
      </c>
      <c r="O69" s="14">
        <v>80341.899999999994</v>
      </c>
      <c r="P69" s="14">
        <v>91284.4</v>
      </c>
      <c r="Q69" s="14">
        <v>4883.71</v>
      </c>
      <c r="R69" s="14">
        <v>70466.149999999994</v>
      </c>
      <c r="S69" s="14">
        <v>318.75</v>
      </c>
      <c r="T69" s="14"/>
      <c r="U69" s="14">
        <v>15335</v>
      </c>
      <c r="V69" s="14"/>
      <c r="W69" s="14"/>
      <c r="X69" s="2">
        <f t="shared" si="1"/>
        <v>4983917.4800000014</v>
      </c>
      <c r="Y69" s="14">
        <v>43282.5</v>
      </c>
      <c r="Z69" s="14"/>
      <c r="AA69" s="14">
        <v>213301.6</v>
      </c>
      <c r="AB69" s="14"/>
      <c r="AC69" s="14">
        <v>296319.90000000002</v>
      </c>
      <c r="AD69" s="14"/>
      <c r="AE69" s="14"/>
      <c r="AF69" s="14"/>
      <c r="AG69" s="14"/>
      <c r="AH69" s="14"/>
      <c r="AI69" s="14"/>
      <c r="AJ69" s="14"/>
      <c r="AK69" s="14"/>
      <c r="AL69" s="48">
        <f t="shared" si="2"/>
        <v>552904</v>
      </c>
      <c r="AM69" s="22">
        <v>64</v>
      </c>
      <c r="AN69" s="14">
        <v>2559</v>
      </c>
      <c r="AO69" s="14">
        <v>-45402.33</v>
      </c>
      <c r="AP69" s="14"/>
      <c r="AQ69" s="14">
        <v>-25.03</v>
      </c>
      <c r="AR69" s="44">
        <v>1</v>
      </c>
    </row>
    <row r="70" spans="1:44" x14ac:dyDescent="0.25">
      <c r="A70" s="12">
        <v>5499</v>
      </c>
      <c r="B70" s="13" t="s">
        <v>206</v>
      </c>
      <c r="C70" s="14">
        <v>1236059.24</v>
      </c>
      <c r="D70" s="14">
        <v>126475.77</v>
      </c>
      <c r="E70" s="14"/>
      <c r="F70" s="14"/>
      <c r="G70" s="14">
        <v>23460.75</v>
      </c>
      <c r="H70" s="14">
        <v>111.55</v>
      </c>
      <c r="I70" s="14"/>
      <c r="J70" s="14">
        <v>17401.21</v>
      </c>
      <c r="K70" s="14"/>
      <c r="L70" s="14">
        <v>84858.4</v>
      </c>
      <c r="M70" s="3">
        <f t="shared" si="0"/>
        <v>1488366.92</v>
      </c>
      <c r="N70" s="14">
        <v>15828.05</v>
      </c>
      <c r="O70" s="14">
        <v>6253.9</v>
      </c>
      <c r="P70" s="14">
        <v>46970</v>
      </c>
      <c r="Q70" s="14"/>
      <c r="R70" s="14">
        <v>57292.800000000003</v>
      </c>
      <c r="S70" s="14">
        <v>25</v>
      </c>
      <c r="T70" s="14"/>
      <c r="U70" s="14">
        <v>1250</v>
      </c>
      <c r="V70" s="14"/>
      <c r="W70" s="14"/>
      <c r="X70" s="2">
        <f t="shared" si="1"/>
        <v>1615986.67</v>
      </c>
      <c r="Y70" s="14">
        <v>20297.5</v>
      </c>
      <c r="Z70" s="14"/>
      <c r="AA70" s="14">
        <v>32580</v>
      </c>
      <c r="AB70" s="14"/>
      <c r="AC70" s="14">
        <v>32893</v>
      </c>
      <c r="AD70" s="14">
        <v>20297.5</v>
      </c>
      <c r="AE70" s="14"/>
      <c r="AF70" s="14"/>
      <c r="AG70" s="14"/>
      <c r="AH70" s="14"/>
      <c r="AI70" s="14"/>
      <c r="AJ70" s="14"/>
      <c r="AK70" s="14"/>
      <c r="AL70" s="48">
        <f t="shared" si="2"/>
        <v>106068</v>
      </c>
      <c r="AM70" s="22">
        <v>68.5</v>
      </c>
      <c r="AN70" s="14">
        <v>451</v>
      </c>
      <c r="AO70" s="14">
        <v>-2009.76</v>
      </c>
      <c r="AP70" s="14"/>
      <c r="AQ70" s="14">
        <v>-65.010000000000005</v>
      </c>
      <c r="AR70" s="44">
        <v>1</v>
      </c>
    </row>
    <row r="71" spans="1:44" x14ac:dyDescent="0.25">
      <c r="A71" s="12">
        <v>5500</v>
      </c>
      <c r="B71" s="13" t="s">
        <v>207</v>
      </c>
      <c r="C71" s="14">
        <v>394786.11</v>
      </c>
      <c r="D71" s="14">
        <v>84272.4</v>
      </c>
      <c r="E71" s="14"/>
      <c r="F71" s="14"/>
      <c r="G71" s="14">
        <v>6781.15</v>
      </c>
      <c r="H71" s="14">
        <v>119.65</v>
      </c>
      <c r="I71" s="14"/>
      <c r="J71" s="14">
        <v>5605.97</v>
      </c>
      <c r="K71" s="14">
        <v>324</v>
      </c>
      <c r="L71" s="14">
        <v>47328.15</v>
      </c>
      <c r="M71" s="3">
        <f t="shared" si="0"/>
        <v>539217.43000000005</v>
      </c>
      <c r="N71" s="14">
        <v>5291.4</v>
      </c>
      <c r="O71" s="14"/>
      <c r="P71" s="14">
        <v>25630</v>
      </c>
      <c r="Q71" s="14">
        <v>-9844.4500000000007</v>
      </c>
      <c r="R71" s="14">
        <v>13182.4</v>
      </c>
      <c r="S71" s="14"/>
      <c r="T71" s="14"/>
      <c r="U71" s="14">
        <v>1400</v>
      </c>
      <c r="V71" s="14"/>
      <c r="W71" s="14"/>
      <c r="X71" s="2">
        <f t="shared" si="1"/>
        <v>574876.78000000014</v>
      </c>
      <c r="Y71" s="14"/>
      <c r="Z71" s="14"/>
      <c r="AA71" s="14">
        <v>29383.5</v>
      </c>
      <c r="AB71" s="14"/>
      <c r="AC71" s="14">
        <v>23613.599999999999</v>
      </c>
      <c r="AD71" s="14"/>
      <c r="AE71" s="14"/>
      <c r="AF71" s="14"/>
      <c r="AG71" s="14"/>
      <c r="AH71" s="14"/>
      <c r="AI71" s="14"/>
      <c r="AJ71" s="14"/>
      <c r="AK71" s="14"/>
      <c r="AL71" s="48">
        <f t="shared" si="2"/>
        <v>52997.1</v>
      </c>
      <c r="AM71" s="22">
        <v>76</v>
      </c>
      <c r="AN71" s="14">
        <v>231</v>
      </c>
      <c r="AO71" s="14">
        <v>-7181.36</v>
      </c>
      <c r="AP71" s="14"/>
      <c r="AQ71" s="14"/>
      <c r="AR71" s="44">
        <v>1.2</v>
      </c>
    </row>
    <row r="72" spans="1:44" x14ac:dyDescent="0.25">
      <c r="A72" s="12">
        <v>5501</v>
      </c>
      <c r="B72" s="13" t="s">
        <v>208</v>
      </c>
      <c r="C72" s="14">
        <v>1916727.2</v>
      </c>
      <c r="D72" s="14">
        <v>333931.3</v>
      </c>
      <c r="E72" s="14"/>
      <c r="F72" s="14"/>
      <c r="G72" s="14">
        <v>20988.25</v>
      </c>
      <c r="H72" s="14">
        <v>375.9</v>
      </c>
      <c r="I72" s="14">
        <v>38905.75</v>
      </c>
      <c r="J72" s="14">
        <v>19937.98</v>
      </c>
      <c r="K72" s="14"/>
      <c r="L72" s="14">
        <v>178142.1</v>
      </c>
      <c r="M72" s="3">
        <f t="shared" ref="M72:M135" si="3">SUM(C72:L72)</f>
        <v>2509008.48</v>
      </c>
      <c r="N72" s="14">
        <v>8687.9</v>
      </c>
      <c r="O72" s="14"/>
      <c r="P72" s="14">
        <v>91097.5</v>
      </c>
      <c r="Q72" s="14">
        <v>8688.35</v>
      </c>
      <c r="R72" s="14">
        <v>120132.3</v>
      </c>
      <c r="S72" s="14">
        <v>93.75</v>
      </c>
      <c r="T72" s="14"/>
      <c r="U72" s="14">
        <v>3150</v>
      </c>
      <c r="V72" s="14"/>
      <c r="W72" s="14"/>
      <c r="X72" s="2">
        <f t="shared" ref="X72:X135" si="4">SUM(M72:W72)</f>
        <v>2740858.28</v>
      </c>
      <c r="Y72" s="14">
        <v>83995.8</v>
      </c>
      <c r="Z72" s="14">
        <v>15541</v>
      </c>
      <c r="AA72" s="14">
        <v>112521.60000000001</v>
      </c>
      <c r="AB72" s="14"/>
      <c r="AC72" s="14">
        <v>102438.3</v>
      </c>
      <c r="AD72" s="14">
        <v>105444</v>
      </c>
      <c r="AE72" s="14">
        <v>19652.099999999999</v>
      </c>
      <c r="AF72" s="14"/>
      <c r="AG72" s="14"/>
      <c r="AH72" s="14"/>
      <c r="AI72" s="14"/>
      <c r="AJ72" s="14"/>
      <c r="AK72" s="14"/>
      <c r="AL72" s="48">
        <f t="shared" ref="AL72:AL135" si="5">SUM(Y72:AK72)</f>
        <v>439592.8</v>
      </c>
      <c r="AM72" s="22">
        <v>70</v>
      </c>
      <c r="AN72" s="14">
        <v>925</v>
      </c>
      <c r="AO72" s="14">
        <v>-4391.01</v>
      </c>
      <c r="AP72" s="14"/>
      <c r="AQ72" s="14">
        <v>-1156.19</v>
      </c>
      <c r="AR72" s="44">
        <v>1</v>
      </c>
    </row>
    <row r="73" spans="1:44" x14ac:dyDescent="0.25">
      <c r="A73" s="12">
        <v>5503</v>
      </c>
      <c r="B73" s="13" t="s">
        <v>209</v>
      </c>
      <c r="C73" s="14">
        <v>2816380.79</v>
      </c>
      <c r="D73" s="14">
        <v>628854.18999999994</v>
      </c>
      <c r="E73" s="14"/>
      <c r="F73" s="14"/>
      <c r="G73" s="14">
        <v>375336.15</v>
      </c>
      <c r="H73" s="14">
        <v>5451.65</v>
      </c>
      <c r="I73" s="14"/>
      <c r="J73" s="14">
        <v>69844.820000000007</v>
      </c>
      <c r="K73" s="14">
        <v>-7424</v>
      </c>
      <c r="L73" s="14">
        <v>372305.5</v>
      </c>
      <c r="M73" s="3">
        <f t="shared" si="3"/>
        <v>4260749.0999999996</v>
      </c>
      <c r="N73" s="14">
        <v>56414.15</v>
      </c>
      <c r="O73" s="14">
        <v>312949.59999999998</v>
      </c>
      <c r="P73" s="14">
        <v>261495.4</v>
      </c>
      <c r="Q73" s="14">
        <v>13097.24</v>
      </c>
      <c r="R73" s="14">
        <v>26346.3</v>
      </c>
      <c r="S73" s="14"/>
      <c r="T73" s="14"/>
      <c r="U73" s="14">
        <v>5680</v>
      </c>
      <c r="V73" s="14"/>
      <c r="W73" s="14"/>
      <c r="X73" s="2">
        <f t="shared" si="4"/>
        <v>4936731.79</v>
      </c>
      <c r="Y73" s="14">
        <v>52471.8</v>
      </c>
      <c r="Z73" s="14"/>
      <c r="AA73" s="14">
        <v>186079.2</v>
      </c>
      <c r="AB73" s="14"/>
      <c r="AC73" s="14">
        <v>79120</v>
      </c>
      <c r="AD73" s="14">
        <v>166885.95000000001</v>
      </c>
      <c r="AE73" s="14"/>
      <c r="AF73" s="14"/>
      <c r="AG73" s="14"/>
      <c r="AH73" s="14"/>
      <c r="AI73" s="14"/>
      <c r="AJ73" s="14"/>
      <c r="AK73" s="14"/>
      <c r="AL73" s="48">
        <f t="shared" si="5"/>
        <v>484556.95</v>
      </c>
      <c r="AM73" s="22">
        <v>67</v>
      </c>
      <c r="AN73" s="14">
        <v>1216</v>
      </c>
      <c r="AO73" s="14">
        <v>-99215.2</v>
      </c>
      <c r="AP73" s="14"/>
      <c r="AQ73" s="14">
        <v>-157.32</v>
      </c>
      <c r="AR73" s="44">
        <v>1.2</v>
      </c>
    </row>
    <row r="74" spans="1:44" x14ac:dyDescent="0.25">
      <c r="A74" s="12">
        <v>5511</v>
      </c>
      <c r="B74" s="13" t="s">
        <v>210</v>
      </c>
      <c r="C74" s="14">
        <v>1926362.38</v>
      </c>
      <c r="D74" s="14">
        <v>243289.19</v>
      </c>
      <c r="E74" s="14"/>
      <c r="F74" s="14"/>
      <c r="G74" s="14">
        <v>504122.15</v>
      </c>
      <c r="H74" s="14">
        <v>2225.6999999999998</v>
      </c>
      <c r="I74" s="14"/>
      <c r="J74" s="14">
        <v>44336.11</v>
      </c>
      <c r="K74" s="14">
        <v>546</v>
      </c>
      <c r="L74" s="14">
        <v>207996.75</v>
      </c>
      <c r="M74" s="3">
        <f t="shared" si="3"/>
        <v>2928878.28</v>
      </c>
      <c r="N74" s="14">
        <v>9736.75</v>
      </c>
      <c r="O74" s="14">
        <v>521.70000000000005</v>
      </c>
      <c r="P74" s="14">
        <v>72270</v>
      </c>
      <c r="Q74" s="14">
        <v>6084.91</v>
      </c>
      <c r="R74" s="14">
        <v>74423.850000000006</v>
      </c>
      <c r="S74" s="14"/>
      <c r="T74" s="14">
        <v>1240</v>
      </c>
      <c r="U74" s="14">
        <v>10725</v>
      </c>
      <c r="V74" s="14"/>
      <c r="W74" s="14"/>
      <c r="X74" s="2">
        <f t="shared" si="4"/>
        <v>3103880.49</v>
      </c>
      <c r="Y74" s="14">
        <v>28204.2</v>
      </c>
      <c r="Z74" s="14"/>
      <c r="AA74" s="14">
        <v>255944.8</v>
      </c>
      <c r="AB74" s="14"/>
      <c r="AC74" s="14">
        <v>110233.05</v>
      </c>
      <c r="AD74" s="14">
        <v>55323.3</v>
      </c>
      <c r="AE74" s="14"/>
      <c r="AF74" s="14"/>
      <c r="AG74" s="14"/>
      <c r="AH74" s="14">
        <v>23530.55</v>
      </c>
      <c r="AI74" s="14"/>
      <c r="AJ74" s="14"/>
      <c r="AK74" s="14"/>
      <c r="AL74" s="48">
        <f t="shared" si="5"/>
        <v>473235.89999999997</v>
      </c>
      <c r="AM74" s="22">
        <v>70</v>
      </c>
      <c r="AN74" s="14">
        <v>1031</v>
      </c>
      <c r="AO74" s="14">
        <v>-35277.120000000003</v>
      </c>
      <c r="AP74" s="14"/>
      <c r="AQ74" s="14">
        <v>-103.19</v>
      </c>
      <c r="AR74" s="44">
        <v>1</v>
      </c>
    </row>
    <row r="75" spans="1:44" x14ac:dyDescent="0.25">
      <c r="A75" s="12">
        <v>5512</v>
      </c>
      <c r="B75" s="13" t="s">
        <v>211</v>
      </c>
      <c r="C75" s="14">
        <v>1997391.97</v>
      </c>
      <c r="D75" s="14">
        <v>283308.99</v>
      </c>
      <c r="E75" s="14"/>
      <c r="F75" s="14"/>
      <c r="G75" s="14">
        <v>74221.55</v>
      </c>
      <c r="H75" s="14">
        <v>3492.15</v>
      </c>
      <c r="I75" s="14"/>
      <c r="J75" s="14">
        <v>44343.91</v>
      </c>
      <c r="K75" s="14">
        <v>6407.5</v>
      </c>
      <c r="L75" s="14">
        <v>219276.79999999999</v>
      </c>
      <c r="M75" s="3">
        <f t="shared" si="3"/>
        <v>2628442.8699999996</v>
      </c>
      <c r="N75" s="14">
        <v>13337.05</v>
      </c>
      <c r="O75" s="14">
        <v>99852.3</v>
      </c>
      <c r="P75" s="14">
        <v>54182.65</v>
      </c>
      <c r="Q75" s="14">
        <v>5209.9799999999996</v>
      </c>
      <c r="R75" s="14">
        <v>-2990.2</v>
      </c>
      <c r="S75" s="14">
        <v>3075.2</v>
      </c>
      <c r="T75" s="14"/>
      <c r="U75" s="14">
        <v>8850</v>
      </c>
      <c r="V75" s="14"/>
      <c r="W75" s="14"/>
      <c r="X75" s="2">
        <f t="shared" si="4"/>
        <v>2809959.8499999992</v>
      </c>
      <c r="Y75" s="14"/>
      <c r="Z75" s="14"/>
      <c r="AA75" s="14">
        <v>248042.8</v>
      </c>
      <c r="AB75" s="14"/>
      <c r="AC75" s="14">
        <v>145144.29999999999</v>
      </c>
      <c r="AD75" s="14"/>
      <c r="AE75" s="14"/>
      <c r="AF75" s="14"/>
      <c r="AG75" s="14"/>
      <c r="AH75" s="14"/>
      <c r="AI75" s="14"/>
      <c r="AJ75" s="14"/>
      <c r="AK75" s="14"/>
      <c r="AL75" s="48">
        <f t="shared" si="5"/>
        <v>393187.1</v>
      </c>
      <c r="AM75" s="22">
        <v>79</v>
      </c>
      <c r="AN75" s="14">
        <v>1148</v>
      </c>
      <c r="AO75" s="14">
        <v>-99396.7</v>
      </c>
      <c r="AP75" s="14"/>
      <c r="AQ75" s="14"/>
      <c r="AR75" s="44">
        <v>1</v>
      </c>
    </row>
    <row r="76" spans="1:44" x14ac:dyDescent="0.25">
      <c r="A76" s="12">
        <v>5513</v>
      </c>
      <c r="B76" s="13" t="s">
        <v>212</v>
      </c>
      <c r="C76" s="14">
        <v>786040.68</v>
      </c>
      <c r="D76" s="14">
        <v>81315.06</v>
      </c>
      <c r="E76" s="14"/>
      <c r="F76" s="14"/>
      <c r="G76" s="14">
        <v>575239.75</v>
      </c>
      <c r="H76" s="14">
        <v>-1494.6</v>
      </c>
      <c r="I76" s="14"/>
      <c r="J76" s="14">
        <v>53261.66</v>
      </c>
      <c r="K76" s="14">
        <v>1908.5</v>
      </c>
      <c r="L76" s="14">
        <v>47686</v>
      </c>
      <c r="M76" s="3">
        <f t="shared" si="3"/>
        <v>1543957.0499999998</v>
      </c>
      <c r="N76" s="14">
        <v>33909.300000000003</v>
      </c>
      <c r="O76" s="14"/>
      <c r="P76" s="14">
        <v>87007.15</v>
      </c>
      <c r="Q76" s="14">
        <v>3392.88</v>
      </c>
      <c r="R76" s="14">
        <v>41415.949999999997</v>
      </c>
      <c r="S76" s="14"/>
      <c r="T76" s="14">
        <v>1352</v>
      </c>
      <c r="U76" s="14">
        <v>4162.5</v>
      </c>
      <c r="V76" s="14"/>
      <c r="W76" s="14"/>
      <c r="X76" s="2">
        <f t="shared" si="4"/>
        <v>1715196.8299999996</v>
      </c>
      <c r="Y76" s="14">
        <v>35322.6</v>
      </c>
      <c r="Z76" s="14"/>
      <c r="AA76" s="14">
        <v>77311</v>
      </c>
      <c r="AB76" s="14"/>
      <c r="AC76" s="14">
        <v>35098.25</v>
      </c>
      <c r="AD76" s="14">
        <v>29801.9</v>
      </c>
      <c r="AE76" s="14"/>
      <c r="AF76" s="14"/>
      <c r="AG76" s="14"/>
      <c r="AH76" s="14"/>
      <c r="AI76" s="14"/>
      <c r="AJ76" s="14"/>
      <c r="AK76" s="14"/>
      <c r="AL76" s="48">
        <f t="shared" si="5"/>
        <v>177533.75</v>
      </c>
      <c r="AM76" s="22">
        <v>66</v>
      </c>
      <c r="AN76" s="14">
        <v>471</v>
      </c>
      <c r="AO76" s="14">
        <v>-9420.77</v>
      </c>
      <c r="AP76" s="14"/>
      <c r="AQ76" s="14">
        <v>-0.04</v>
      </c>
      <c r="AR76" s="44">
        <v>0.5</v>
      </c>
    </row>
    <row r="77" spans="1:44" x14ac:dyDescent="0.25">
      <c r="A77" s="12">
        <v>5514</v>
      </c>
      <c r="B77" s="13" t="s">
        <v>213</v>
      </c>
      <c r="C77" s="14">
        <v>2005274.85</v>
      </c>
      <c r="D77" s="14">
        <v>269939.65000000002</v>
      </c>
      <c r="E77" s="14"/>
      <c r="F77" s="14"/>
      <c r="G77" s="14">
        <v>31779.4</v>
      </c>
      <c r="H77" s="14">
        <v>5097.1000000000004</v>
      </c>
      <c r="I77" s="14">
        <v>34926.15</v>
      </c>
      <c r="J77" s="14">
        <v>94068.75</v>
      </c>
      <c r="K77" s="14">
        <v>5310</v>
      </c>
      <c r="L77" s="14">
        <v>140524.65</v>
      </c>
      <c r="M77" s="3">
        <f t="shared" si="3"/>
        <v>2586920.5499999998</v>
      </c>
      <c r="N77" s="14">
        <v>10310.85</v>
      </c>
      <c r="O77" s="14">
        <v>143775.29999999999</v>
      </c>
      <c r="P77" s="14">
        <v>78589.55</v>
      </c>
      <c r="Q77" s="14">
        <v>14463.76</v>
      </c>
      <c r="R77" s="14">
        <v>73168.45</v>
      </c>
      <c r="S77" s="14"/>
      <c r="T77" s="14"/>
      <c r="U77" s="14">
        <v>8800</v>
      </c>
      <c r="V77" s="14"/>
      <c r="W77" s="14"/>
      <c r="X77" s="2">
        <f t="shared" si="4"/>
        <v>2916028.4599999995</v>
      </c>
      <c r="Y77" s="14"/>
      <c r="Z77" s="14"/>
      <c r="AA77" s="14">
        <v>249284.39</v>
      </c>
      <c r="AB77" s="14"/>
      <c r="AC77" s="14">
        <v>100465.25</v>
      </c>
      <c r="AD77" s="14">
        <v>951.2</v>
      </c>
      <c r="AE77" s="14"/>
      <c r="AF77" s="14"/>
      <c r="AG77" s="14"/>
      <c r="AH77" s="14">
        <v>22196.1</v>
      </c>
      <c r="AI77" s="14"/>
      <c r="AJ77" s="14"/>
      <c r="AK77" s="14"/>
      <c r="AL77" s="48">
        <f t="shared" si="5"/>
        <v>372896.94</v>
      </c>
      <c r="AM77" s="22">
        <v>69</v>
      </c>
      <c r="AN77" s="14">
        <v>1220</v>
      </c>
      <c r="AO77" s="14">
        <v>-15505.55</v>
      </c>
      <c r="AP77" s="14"/>
      <c r="AQ77" s="14">
        <v>-182.66</v>
      </c>
      <c r="AR77" s="44">
        <v>0.7</v>
      </c>
    </row>
    <row r="78" spans="1:44" x14ac:dyDescent="0.25">
      <c r="A78" s="12">
        <v>5515</v>
      </c>
      <c r="B78" s="13" t="s">
        <v>214</v>
      </c>
      <c r="C78" s="14">
        <v>1534217.35</v>
      </c>
      <c r="D78" s="14">
        <v>125736.08</v>
      </c>
      <c r="E78" s="14"/>
      <c r="F78" s="14"/>
      <c r="G78" s="14">
        <v>12151.75</v>
      </c>
      <c r="H78" s="14">
        <v>127.45</v>
      </c>
      <c r="I78" s="14"/>
      <c r="J78" s="14">
        <v>-720.07</v>
      </c>
      <c r="K78" s="14">
        <v>2895</v>
      </c>
      <c r="L78" s="14">
        <v>132719.85</v>
      </c>
      <c r="M78" s="3">
        <f t="shared" si="3"/>
        <v>1807127.4100000001</v>
      </c>
      <c r="N78" s="14">
        <v>13053.7</v>
      </c>
      <c r="O78" s="14"/>
      <c r="P78" s="14">
        <v>63431.5</v>
      </c>
      <c r="Q78" s="14"/>
      <c r="R78" s="14">
        <v>60106.3</v>
      </c>
      <c r="S78" s="14"/>
      <c r="T78" s="14">
        <v>712</v>
      </c>
      <c r="U78" s="14">
        <v>5220</v>
      </c>
      <c r="V78" s="14"/>
      <c r="W78" s="14"/>
      <c r="X78" s="2">
        <f t="shared" si="4"/>
        <v>1949650.9100000001</v>
      </c>
      <c r="Y78" s="14">
        <v>103075.2</v>
      </c>
      <c r="Z78" s="14"/>
      <c r="AA78" s="14">
        <v>206228.45</v>
      </c>
      <c r="AB78" s="14"/>
      <c r="AC78" s="14">
        <v>74645</v>
      </c>
      <c r="AD78" s="14">
        <v>27730.35</v>
      </c>
      <c r="AE78" s="14"/>
      <c r="AF78" s="14"/>
      <c r="AG78" s="14"/>
      <c r="AH78" s="14"/>
      <c r="AI78" s="14"/>
      <c r="AJ78" s="14"/>
      <c r="AK78" s="14"/>
      <c r="AL78" s="48">
        <f t="shared" si="5"/>
        <v>411679</v>
      </c>
      <c r="AM78" s="22">
        <v>73</v>
      </c>
      <c r="AN78" s="14">
        <v>797</v>
      </c>
      <c r="AO78" s="14">
        <v>-29915.96</v>
      </c>
      <c r="AP78" s="14"/>
      <c r="AQ78" s="14">
        <v>-1.1599999999999999</v>
      </c>
      <c r="AR78" s="44">
        <v>1</v>
      </c>
    </row>
    <row r="79" spans="1:44" x14ac:dyDescent="0.25">
      <c r="A79" s="12">
        <v>5516</v>
      </c>
      <c r="B79" s="13" t="s">
        <v>215</v>
      </c>
      <c r="C79" s="14">
        <v>5247407.2</v>
      </c>
      <c r="D79" s="14">
        <v>821280.54</v>
      </c>
      <c r="E79" s="14"/>
      <c r="F79" s="14"/>
      <c r="G79" s="14">
        <v>307788.2</v>
      </c>
      <c r="H79" s="14">
        <v>2736.7</v>
      </c>
      <c r="I79" s="14">
        <v>-1045.04</v>
      </c>
      <c r="J79" s="14">
        <v>153035.09</v>
      </c>
      <c r="K79" s="14">
        <v>31318.5</v>
      </c>
      <c r="L79" s="14">
        <v>532833.85</v>
      </c>
      <c r="M79" s="3">
        <f t="shared" si="3"/>
        <v>7095355.04</v>
      </c>
      <c r="N79" s="14">
        <v>101673.55</v>
      </c>
      <c r="O79" s="14">
        <v>242792.2</v>
      </c>
      <c r="P79" s="14">
        <v>162609.29999999999</v>
      </c>
      <c r="Q79" s="14">
        <v>38974.71</v>
      </c>
      <c r="R79" s="14">
        <v>177644</v>
      </c>
      <c r="S79" s="14">
        <v>387.5</v>
      </c>
      <c r="T79" s="14"/>
      <c r="U79" s="14">
        <v>14100</v>
      </c>
      <c r="V79" s="14"/>
      <c r="W79" s="14"/>
      <c r="X79" s="2">
        <f t="shared" si="4"/>
        <v>7833536.2999999998</v>
      </c>
      <c r="Y79" s="14">
        <v>51970.5</v>
      </c>
      <c r="Z79" s="14"/>
      <c r="AA79" s="14">
        <v>520320.95</v>
      </c>
      <c r="AB79" s="14"/>
      <c r="AC79" s="14">
        <v>272608.45</v>
      </c>
      <c r="AD79" s="14">
        <v>37203.4</v>
      </c>
      <c r="AE79" s="14"/>
      <c r="AF79" s="14"/>
      <c r="AG79" s="14"/>
      <c r="AH79" s="14">
        <v>73688.7</v>
      </c>
      <c r="AI79" s="14"/>
      <c r="AJ79" s="14"/>
      <c r="AK79" s="14"/>
      <c r="AL79" s="48">
        <f t="shared" si="5"/>
        <v>955791.99999999988</v>
      </c>
      <c r="AM79" s="22">
        <v>67</v>
      </c>
      <c r="AN79" s="14">
        <v>2755</v>
      </c>
      <c r="AO79" s="14">
        <v>-101970.17</v>
      </c>
      <c r="AP79" s="14"/>
      <c r="AQ79" s="14">
        <v>-1702.72</v>
      </c>
      <c r="AR79" s="44">
        <v>1</v>
      </c>
    </row>
    <row r="80" spans="1:44" x14ac:dyDescent="0.25">
      <c r="A80" s="12">
        <v>5518</v>
      </c>
      <c r="B80" s="13" t="s">
        <v>216</v>
      </c>
      <c r="C80" s="14">
        <v>9848242.4000000004</v>
      </c>
      <c r="D80" s="14">
        <v>1069824.78</v>
      </c>
      <c r="E80" s="14"/>
      <c r="F80" s="14"/>
      <c r="G80" s="14">
        <v>1374628.7</v>
      </c>
      <c r="H80" s="14">
        <v>94469.9</v>
      </c>
      <c r="I80" s="14"/>
      <c r="J80" s="14">
        <v>236025.66</v>
      </c>
      <c r="K80" s="14">
        <v>47213</v>
      </c>
      <c r="L80" s="14">
        <v>913665.9</v>
      </c>
      <c r="M80" s="3">
        <f t="shared" si="3"/>
        <v>13584070.34</v>
      </c>
      <c r="N80" s="14">
        <v>189303.95</v>
      </c>
      <c r="O80" s="14">
        <v>65342.7</v>
      </c>
      <c r="P80" s="14">
        <v>418221.4</v>
      </c>
      <c r="Q80" s="14">
        <v>101191.52</v>
      </c>
      <c r="R80" s="14">
        <v>96603.65</v>
      </c>
      <c r="S80" s="14">
        <v>1181.25</v>
      </c>
      <c r="T80" s="14">
        <v>3202</v>
      </c>
      <c r="U80" s="14">
        <v>18900</v>
      </c>
      <c r="V80" s="14"/>
      <c r="W80" s="14">
        <v>1324.4</v>
      </c>
      <c r="X80" s="2">
        <f t="shared" si="4"/>
        <v>14479341.209999999</v>
      </c>
      <c r="Y80" s="14">
        <v>100151.75</v>
      </c>
      <c r="Z80" s="14"/>
      <c r="AA80" s="14">
        <v>980746.2</v>
      </c>
      <c r="AB80" s="14"/>
      <c r="AC80" s="14">
        <v>331453.40000000002</v>
      </c>
      <c r="AD80" s="14">
        <v>48428.4</v>
      </c>
      <c r="AE80" s="14"/>
      <c r="AF80" s="14"/>
      <c r="AG80" s="14"/>
      <c r="AH80" s="14"/>
      <c r="AI80" s="14"/>
      <c r="AJ80" s="14"/>
      <c r="AK80" s="14"/>
      <c r="AL80" s="48">
        <f t="shared" si="5"/>
        <v>1460779.75</v>
      </c>
      <c r="AM80" s="22">
        <v>74</v>
      </c>
      <c r="AN80" s="14">
        <v>5606</v>
      </c>
      <c r="AO80" s="14">
        <v>-259839.31</v>
      </c>
      <c r="AP80" s="14"/>
      <c r="AQ80" s="14">
        <v>-108.48</v>
      </c>
      <c r="AR80" s="44">
        <v>1</v>
      </c>
    </row>
    <row r="81" spans="1:44" x14ac:dyDescent="0.25">
      <c r="A81" s="12">
        <v>5520</v>
      </c>
      <c r="B81" s="13" t="s">
        <v>217</v>
      </c>
      <c r="C81" s="14">
        <v>1610043.62</v>
      </c>
      <c r="D81" s="14">
        <v>243147.81</v>
      </c>
      <c r="E81" s="14"/>
      <c r="F81" s="14"/>
      <c r="G81" s="14">
        <v>51539.25</v>
      </c>
      <c r="H81" s="14">
        <v>1345.4</v>
      </c>
      <c r="I81" s="14"/>
      <c r="J81" s="14">
        <v>11431.8</v>
      </c>
      <c r="K81" s="14">
        <v>1478</v>
      </c>
      <c r="L81" s="14">
        <v>164102.39999999999</v>
      </c>
      <c r="M81" s="3">
        <f t="shared" si="3"/>
        <v>2083088.28</v>
      </c>
      <c r="N81" s="14">
        <v>8440.5</v>
      </c>
      <c r="O81" s="14">
        <v>3712.8</v>
      </c>
      <c r="P81" s="14">
        <v>52706.85</v>
      </c>
      <c r="Q81" s="14">
        <v>1445.03</v>
      </c>
      <c r="R81" s="14">
        <v>27426.55</v>
      </c>
      <c r="S81" s="14">
        <v>62.5</v>
      </c>
      <c r="T81" s="14">
        <v>924</v>
      </c>
      <c r="U81" s="14">
        <v>6850</v>
      </c>
      <c r="V81" s="14"/>
      <c r="W81" s="14"/>
      <c r="X81" s="2">
        <f t="shared" si="4"/>
        <v>2184656.5099999998</v>
      </c>
      <c r="Y81" s="14">
        <v>34916.65</v>
      </c>
      <c r="Z81" s="14">
        <v>61890</v>
      </c>
      <c r="AA81" s="14">
        <v>89293.45</v>
      </c>
      <c r="AB81" s="14"/>
      <c r="AC81" s="14">
        <v>36485.35</v>
      </c>
      <c r="AD81" s="14">
        <v>52382.45</v>
      </c>
      <c r="AE81" s="14">
        <v>29528.9</v>
      </c>
      <c r="AF81" s="14"/>
      <c r="AG81" s="14"/>
      <c r="AH81" s="14"/>
      <c r="AI81" s="14"/>
      <c r="AJ81" s="14"/>
      <c r="AK81" s="14"/>
      <c r="AL81" s="48">
        <f t="shared" si="5"/>
        <v>304496.8</v>
      </c>
      <c r="AM81" s="22">
        <v>73</v>
      </c>
      <c r="AN81" s="14">
        <v>945</v>
      </c>
      <c r="AO81" s="14">
        <v>-38914.35</v>
      </c>
      <c r="AP81" s="14"/>
      <c r="AQ81" s="14">
        <v>-43.65</v>
      </c>
      <c r="AR81" s="44">
        <v>1</v>
      </c>
    </row>
    <row r="82" spans="1:44" x14ac:dyDescent="0.25">
      <c r="A82" s="12">
        <v>5521</v>
      </c>
      <c r="B82" s="13" t="s">
        <v>218</v>
      </c>
      <c r="C82" s="14">
        <v>2149210.33</v>
      </c>
      <c r="D82" s="14">
        <v>199439.45</v>
      </c>
      <c r="E82" s="14"/>
      <c r="F82" s="14"/>
      <c r="G82" s="14">
        <v>452858.6</v>
      </c>
      <c r="H82" s="14">
        <v>322.7</v>
      </c>
      <c r="I82" s="14"/>
      <c r="J82" s="14">
        <v>79493.789999999994</v>
      </c>
      <c r="K82" s="14">
        <v>-8434</v>
      </c>
      <c r="L82" s="14">
        <v>221948.1</v>
      </c>
      <c r="M82" s="3">
        <f t="shared" si="3"/>
        <v>3094838.9700000007</v>
      </c>
      <c r="N82" s="14">
        <v>60233.95</v>
      </c>
      <c r="O82" s="14"/>
      <c r="P82" s="14">
        <v>41483.5</v>
      </c>
      <c r="Q82" s="14">
        <v>17952.599999999999</v>
      </c>
      <c r="R82" s="14">
        <v>5113.95</v>
      </c>
      <c r="S82" s="14">
        <v>62.5</v>
      </c>
      <c r="T82" s="14"/>
      <c r="U82" s="14">
        <v>4700</v>
      </c>
      <c r="V82" s="14"/>
      <c r="W82" s="14"/>
      <c r="X82" s="2">
        <f t="shared" si="4"/>
        <v>3224385.4700000011</v>
      </c>
      <c r="Y82" s="14">
        <v>60327.6</v>
      </c>
      <c r="Z82" s="14">
        <v>922</v>
      </c>
      <c r="AA82" s="14">
        <v>315456.78000000003</v>
      </c>
      <c r="AB82" s="14"/>
      <c r="AC82" s="14">
        <v>166182.18</v>
      </c>
      <c r="AD82" s="14"/>
      <c r="AE82" s="14"/>
      <c r="AF82" s="14"/>
      <c r="AG82" s="14"/>
      <c r="AH82" s="14">
        <v>28283.9</v>
      </c>
      <c r="AI82" s="14"/>
      <c r="AJ82" s="14"/>
      <c r="AK82" s="14"/>
      <c r="AL82" s="48">
        <f t="shared" si="5"/>
        <v>571172.46000000008</v>
      </c>
      <c r="AM82" s="22">
        <v>73</v>
      </c>
      <c r="AN82" s="14">
        <v>1146</v>
      </c>
      <c r="AO82" s="14">
        <v>-22847.43</v>
      </c>
      <c r="AP82" s="14"/>
      <c r="AQ82" s="14">
        <v>-15.9</v>
      </c>
      <c r="AR82" s="44">
        <v>1</v>
      </c>
    </row>
    <row r="83" spans="1:44" x14ac:dyDescent="0.25">
      <c r="A83" s="12">
        <v>5522</v>
      </c>
      <c r="B83" s="13" t="s">
        <v>219</v>
      </c>
      <c r="C83" s="14">
        <v>1050507.31</v>
      </c>
      <c r="D83" s="14">
        <v>156628.98000000001</v>
      </c>
      <c r="E83" s="14"/>
      <c r="F83" s="14"/>
      <c r="G83" s="14">
        <v>42204.45</v>
      </c>
      <c r="H83" s="14">
        <v>-3.6500000000000101</v>
      </c>
      <c r="I83" s="14"/>
      <c r="J83" s="14">
        <v>25734.65</v>
      </c>
      <c r="K83" s="14">
        <v>916</v>
      </c>
      <c r="L83" s="14">
        <v>108244.7</v>
      </c>
      <c r="M83" s="3">
        <f t="shared" si="3"/>
        <v>1384232.44</v>
      </c>
      <c r="N83" s="14">
        <v>7678.25</v>
      </c>
      <c r="O83" s="14">
        <v>1134.5</v>
      </c>
      <c r="P83" s="14">
        <v>54952.55</v>
      </c>
      <c r="Q83" s="14">
        <v>26498.74</v>
      </c>
      <c r="R83" s="14">
        <v>12615.65</v>
      </c>
      <c r="S83" s="14">
        <v>1112.5</v>
      </c>
      <c r="T83" s="14"/>
      <c r="U83" s="14">
        <v>3150</v>
      </c>
      <c r="V83" s="14"/>
      <c r="W83" s="14"/>
      <c r="X83" s="2">
        <f t="shared" si="4"/>
        <v>1491374.63</v>
      </c>
      <c r="Y83" s="14">
        <v>34000</v>
      </c>
      <c r="Z83" s="14"/>
      <c r="AA83" s="14">
        <v>63090</v>
      </c>
      <c r="AB83" s="14"/>
      <c r="AC83" s="14"/>
      <c r="AD83" s="14">
        <v>3250</v>
      </c>
      <c r="AE83" s="14"/>
      <c r="AF83" s="14"/>
      <c r="AG83" s="14"/>
      <c r="AH83" s="14"/>
      <c r="AI83" s="14"/>
      <c r="AJ83" s="14"/>
      <c r="AK83" s="14"/>
      <c r="AL83" s="48">
        <f t="shared" si="5"/>
        <v>100340</v>
      </c>
      <c r="AM83" s="22">
        <v>75</v>
      </c>
      <c r="AN83" s="14">
        <v>635</v>
      </c>
      <c r="AO83" s="14">
        <v>-44334.29</v>
      </c>
      <c r="AP83" s="14"/>
      <c r="AQ83" s="14">
        <v>-8.4600000000000009</v>
      </c>
      <c r="AR83" s="44">
        <v>1</v>
      </c>
    </row>
    <row r="84" spans="1:44" x14ac:dyDescent="0.25">
      <c r="A84" s="12">
        <v>5523</v>
      </c>
      <c r="B84" s="13" t="s">
        <v>220</v>
      </c>
      <c r="C84" s="14">
        <v>4760339.45</v>
      </c>
      <c r="D84" s="14">
        <v>497212.3</v>
      </c>
      <c r="E84" s="14"/>
      <c r="F84" s="14">
        <v>12930</v>
      </c>
      <c r="G84" s="14">
        <v>115648.6</v>
      </c>
      <c r="H84" s="14">
        <v>3132.1</v>
      </c>
      <c r="I84" s="14">
        <v>30937.4</v>
      </c>
      <c r="J84" s="14">
        <v>122783.6</v>
      </c>
      <c r="K84" s="14">
        <v>13603</v>
      </c>
      <c r="L84" s="14">
        <v>539543.44999999995</v>
      </c>
      <c r="M84" s="3">
        <f t="shared" si="3"/>
        <v>6096129.8999999994</v>
      </c>
      <c r="N84" s="14"/>
      <c r="O84" s="14">
        <v>181250</v>
      </c>
      <c r="P84" s="14">
        <v>189912.2</v>
      </c>
      <c r="Q84" s="14">
        <v>5089.3</v>
      </c>
      <c r="R84" s="14">
        <v>152997.35</v>
      </c>
      <c r="S84" s="14">
        <v>200</v>
      </c>
      <c r="T84" s="14">
        <v>2654</v>
      </c>
      <c r="U84" s="14">
        <v>12075</v>
      </c>
      <c r="V84" s="14"/>
      <c r="W84" s="14"/>
      <c r="X84" s="2">
        <f t="shared" si="4"/>
        <v>6640307.7499999991</v>
      </c>
      <c r="Y84" s="14">
        <v>230406.9</v>
      </c>
      <c r="Z84" s="14">
        <v>17704.599999999999</v>
      </c>
      <c r="AA84" s="14">
        <v>481347.4</v>
      </c>
      <c r="AB84" s="14"/>
      <c r="AC84" s="14">
        <v>141649.70000000001</v>
      </c>
      <c r="AD84" s="14">
        <v>198215.85</v>
      </c>
      <c r="AE84" s="14">
        <v>12053.7</v>
      </c>
      <c r="AF84" s="14"/>
      <c r="AG84" s="14"/>
      <c r="AH84" s="14">
        <v>51181.5</v>
      </c>
      <c r="AI84" s="14"/>
      <c r="AJ84" s="14"/>
      <c r="AK84" s="14"/>
      <c r="AL84" s="48">
        <f t="shared" si="5"/>
        <v>1132559.6500000001</v>
      </c>
      <c r="AM84" s="22">
        <v>76</v>
      </c>
      <c r="AN84" s="14">
        <v>2422</v>
      </c>
      <c r="AO84" s="14">
        <v>-78959.55</v>
      </c>
      <c r="AP84" s="14"/>
      <c r="AQ84" s="14">
        <v>-56.97</v>
      </c>
      <c r="AR84" s="44">
        <v>1.25</v>
      </c>
    </row>
    <row r="85" spans="1:44" x14ac:dyDescent="0.25">
      <c r="A85" s="12">
        <v>5527</v>
      </c>
      <c r="B85" s="13" t="s">
        <v>221</v>
      </c>
      <c r="C85" s="14">
        <v>2107154.89</v>
      </c>
      <c r="D85" s="14">
        <v>336513.07</v>
      </c>
      <c r="E85" s="14"/>
      <c r="F85" s="14"/>
      <c r="G85" s="14">
        <v>7240.8</v>
      </c>
      <c r="H85" s="14">
        <v>2258.25</v>
      </c>
      <c r="I85" s="14"/>
      <c r="J85" s="14">
        <v>9721.7099999999991</v>
      </c>
      <c r="K85" s="14">
        <v>1350</v>
      </c>
      <c r="L85" s="14">
        <v>192611.4</v>
      </c>
      <c r="M85" s="3">
        <f t="shared" si="3"/>
        <v>2656850.1199999996</v>
      </c>
      <c r="N85" s="14">
        <v>13054.25</v>
      </c>
      <c r="O85" s="14">
        <v>1751.8</v>
      </c>
      <c r="P85" s="14">
        <v>127739.4</v>
      </c>
      <c r="Q85" s="14">
        <v>3713.58</v>
      </c>
      <c r="R85" s="14">
        <v>117865.05</v>
      </c>
      <c r="S85" s="14"/>
      <c r="T85" s="14">
        <v>825</v>
      </c>
      <c r="U85" s="14">
        <v>10450</v>
      </c>
      <c r="V85" s="14"/>
      <c r="W85" s="14"/>
      <c r="X85" s="2">
        <f t="shared" si="4"/>
        <v>2932249.1999999993</v>
      </c>
      <c r="Y85" s="14">
        <v>52801.1</v>
      </c>
      <c r="Z85" s="14"/>
      <c r="AA85" s="14">
        <v>105170.86</v>
      </c>
      <c r="AB85" s="14"/>
      <c r="AC85" s="14">
        <v>70431.25</v>
      </c>
      <c r="AD85" s="14">
        <v>59914.55</v>
      </c>
      <c r="AE85" s="14"/>
      <c r="AF85" s="14"/>
      <c r="AG85" s="14"/>
      <c r="AH85" s="14">
        <v>28301.1</v>
      </c>
      <c r="AI85" s="14"/>
      <c r="AJ85" s="14"/>
      <c r="AK85" s="14"/>
      <c r="AL85" s="48">
        <f t="shared" si="5"/>
        <v>316618.86</v>
      </c>
      <c r="AM85" s="22">
        <v>71</v>
      </c>
      <c r="AN85" s="14">
        <v>1055</v>
      </c>
      <c r="AO85" s="14">
        <v>-31069.54</v>
      </c>
      <c r="AP85" s="14">
        <v>-2553.4</v>
      </c>
      <c r="AQ85" s="14">
        <v>-34.68</v>
      </c>
      <c r="AR85" s="44">
        <v>1</v>
      </c>
    </row>
    <row r="86" spans="1:44" x14ac:dyDescent="0.25">
      <c r="A86" s="12">
        <v>5529</v>
      </c>
      <c r="B86" s="13" t="s">
        <v>222</v>
      </c>
      <c r="C86" s="14">
        <v>950795.16</v>
      </c>
      <c r="D86" s="14">
        <v>108070.37</v>
      </c>
      <c r="E86" s="14"/>
      <c r="F86" s="14"/>
      <c r="G86" s="14">
        <v>24020.1</v>
      </c>
      <c r="H86" s="14">
        <v>433.9</v>
      </c>
      <c r="I86" s="14"/>
      <c r="J86" s="14">
        <v>22972.560000000001</v>
      </c>
      <c r="K86" s="14">
        <v>2535</v>
      </c>
      <c r="L86" s="14">
        <v>99640.4</v>
      </c>
      <c r="M86" s="3">
        <f t="shared" si="3"/>
        <v>1208467.49</v>
      </c>
      <c r="N86" s="14">
        <v>611.79999999999995</v>
      </c>
      <c r="O86" s="14">
        <v>44318.7</v>
      </c>
      <c r="P86" s="14">
        <v>66057.350000000006</v>
      </c>
      <c r="Q86" s="14"/>
      <c r="R86" s="14">
        <v>56320.7</v>
      </c>
      <c r="S86" s="14"/>
      <c r="T86" s="14">
        <v>1016.5</v>
      </c>
      <c r="U86" s="14">
        <v>2600</v>
      </c>
      <c r="V86" s="14"/>
      <c r="W86" s="14"/>
      <c r="X86" s="2">
        <f t="shared" si="4"/>
        <v>1379392.54</v>
      </c>
      <c r="Y86" s="14"/>
      <c r="Z86" s="14"/>
      <c r="AA86" s="14">
        <v>22391.5</v>
      </c>
      <c r="AB86" s="14"/>
      <c r="AC86" s="14">
        <v>39147.85</v>
      </c>
      <c r="AD86" s="14"/>
      <c r="AE86" s="14"/>
      <c r="AF86" s="14"/>
      <c r="AG86" s="14"/>
      <c r="AH86" s="14"/>
      <c r="AI86" s="14"/>
      <c r="AJ86" s="14"/>
      <c r="AK86" s="14"/>
      <c r="AL86" s="48">
        <f t="shared" si="5"/>
        <v>61539.35</v>
      </c>
      <c r="AM86" s="22">
        <v>71</v>
      </c>
      <c r="AN86" s="14">
        <v>532</v>
      </c>
      <c r="AO86" s="14">
        <v>-13464.81</v>
      </c>
      <c r="AP86" s="14"/>
      <c r="AQ86" s="14">
        <v>-5.93</v>
      </c>
      <c r="AR86" s="44">
        <v>1</v>
      </c>
    </row>
    <row r="87" spans="1:44" x14ac:dyDescent="0.25">
      <c r="A87" s="12">
        <v>5530</v>
      </c>
      <c r="B87" s="13" t="s">
        <v>223</v>
      </c>
      <c r="C87" s="14">
        <v>997260.94</v>
      </c>
      <c r="D87" s="14">
        <v>72954.73</v>
      </c>
      <c r="E87" s="14"/>
      <c r="F87" s="14"/>
      <c r="G87" s="14">
        <v>9208.6</v>
      </c>
      <c r="H87" s="14">
        <v>1323</v>
      </c>
      <c r="I87" s="14"/>
      <c r="J87" s="14">
        <v>28641.72</v>
      </c>
      <c r="K87" s="14">
        <v>37.5</v>
      </c>
      <c r="L87" s="14">
        <v>105540.4</v>
      </c>
      <c r="M87" s="3">
        <f t="shared" si="3"/>
        <v>1214966.8899999999</v>
      </c>
      <c r="N87" s="14">
        <v>3638.2</v>
      </c>
      <c r="O87" s="14">
        <v>15914.2</v>
      </c>
      <c r="P87" s="14">
        <v>11340.35</v>
      </c>
      <c r="Q87" s="14">
        <v>48366.05</v>
      </c>
      <c r="R87" s="14">
        <v>20555.150000000001</v>
      </c>
      <c r="S87" s="14"/>
      <c r="T87" s="14"/>
      <c r="U87" s="14">
        <v>2430</v>
      </c>
      <c r="V87" s="14"/>
      <c r="W87" s="14"/>
      <c r="X87" s="2">
        <f t="shared" si="4"/>
        <v>1317210.8399999999</v>
      </c>
      <c r="Y87" s="14">
        <v>7631.9</v>
      </c>
      <c r="Z87" s="14"/>
      <c r="AA87" s="14">
        <v>158254.20000000001</v>
      </c>
      <c r="AB87" s="14"/>
      <c r="AC87" s="14">
        <v>39669.9</v>
      </c>
      <c r="AD87" s="14">
        <v>3170.95</v>
      </c>
      <c r="AE87" s="14"/>
      <c r="AF87" s="14"/>
      <c r="AG87" s="14"/>
      <c r="AH87" s="14"/>
      <c r="AI87" s="14"/>
      <c r="AJ87" s="14"/>
      <c r="AK87" s="14"/>
      <c r="AL87" s="48">
        <f t="shared" si="5"/>
        <v>208726.95</v>
      </c>
      <c r="AM87" s="22">
        <v>77.5</v>
      </c>
      <c r="AN87" s="14">
        <v>533</v>
      </c>
      <c r="AO87" s="14">
        <v>-6663.55</v>
      </c>
      <c r="AP87" s="14"/>
      <c r="AQ87" s="14">
        <v>-0.32</v>
      </c>
      <c r="AR87" s="44">
        <v>1.2</v>
      </c>
    </row>
    <row r="88" spans="1:44" x14ac:dyDescent="0.25">
      <c r="A88" s="12">
        <v>5531</v>
      </c>
      <c r="B88" s="13" t="s">
        <v>224</v>
      </c>
      <c r="C88" s="14">
        <v>716451.51</v>
      </c>
      <c r="D88" s="14">
        <v>126852.53</v>
      </c>
      <c r="E88" s="14"/>
      <c r="F88" s="14"/>
      <c r="G88" s="14">
        <v>6754.6</v>
      </c>
      <c r="H88" s="14">
        <v>294.10000000000002</v>
      </c>
      <c r="I88" s="14"/>
      <c r="J88" s="14">
        <v>5118.12</v>
      </c>
      <c r="K88" s="14">
        <v>844</v>
      </c>
      <c r="L88" s="14">
        <v>67470.850000000006</v>
      </c>
      <c r="M88" s="3">
        <f t="shared" si="3"/>
        <v>923785.71</v>
      </c>
      <c r="N88" s="14">
        <v>47848.7</v>
      </c>
      <c r="O88" s="14"/>
      <c r="P88" s="14">
        <v>29139</v>
      </c>
      <c r="Q88" s="14"/>
      <c r="R88" s="14">
        <v>11219.6</v>
      </c>
      <c r="S88" s="14"/>
      <c r="T88" s="14"/>
      <c r="U88" s="14">
        <v>3750</v>
      </c>
      <c r="V88" s="14"/>
      <c r="W88" s="14"/>
      <c r="X88" s="2">
        <f t="shared" si="4"/>
        <v>1015743.0099999999</v>
      </c>
      <c r="Y88" s="14"/>
      <c r="Z88" s="14"/>
      <c r="AA88" s="14">
        <v>84659.5</v>
      </c>
      <c r="AB88" s="14"/>
      <c r="AC88" s="14">
        <v>27027.5</v>
      </c>
      <c r="AD88" s="14">
        <v>2073.9499999999998</v>
      </c>
      <c r="AE88" s="14"/>
      <c r="AF88" s="14"/>
      <c r="AG88" s="14"/>
      <c r="AH88" s="14"/>
      <c r="AI88" s="14"/>
      <c r="AJ88" s="14"/>
      <c r="AK88" s="14"/>
      <c r="AL88" s="48">
        <f t="shared" si="5"/>
        <v>113760.95</v>
      </c>
      <c r="AM88" s="22">
        <v>78</v>
      </c>
      <c r="AN88" s="14">
        <v>389</v>
      </c>
      <c r="AO88" s="14">
        <v>-16664.34</v>
      </c>
      <c r="AP88" s="14"/>
      <c r="AQ88" s="14">
        <v>-83.01</v>
      </c>
      <c r="AR88" s="44">
        <v>1</v>
      </c>
    </row>
    <row r="89" spans="1:44" x14ac:dyDescent="0.25">
      <c r="A89" s="12">
        <v>5533</v>
      </c>
      <c r="B89" s="13" t="s">
        <v>225</v>
      </c>
      <c r="C89" s="14">
        <v>1141017.8899999999</v>
      </c>
      <c r="D89" s="14">
        <v>124713.25</v>
      </c>
      <c r="E89" s="14"/>
      <c r="F89" s="14"/>
      <c r="G89" s="14">
        <v>64157.1</v>
      </c>
      <c r="H89" s="14">
        <v>224</v>
      </c>
      <c r="I89" s="14"/>
      <c r="J89" s="14">
        <v>63360.47</v>
      </c>
      <c r="K89" s="14">
        <v>4242.5</v>
      </c>
      <c r="L89" s="14">
        <v>74470.899999999994</v>
      </c>
      <c r="M89" s="3">
        <f t="shared" si="3"/>
        <v>1472186.1099999999</v>
      </c>
      <c r="N89" s="14">
        <v>5273.9</v>
      </c>
      <c r="O89" s="14"/>
      <c r="P89" s="14">
        <v>51860.25</v>
      </c>
      <c r="Q89" s="14">
        <v>2037.7</v>
      </c>
      <c r="R89" s="14">
        <v>26308.15</v>
      </c>
      <c r="S89" s="14">
        <v>75.099999999999994</v>
      </c>
      <c r="T89" s="14">
        <v>1196</v>
      </c>
      <c r="U89" s="14">
        <v>4866.6499999999996</v>
      </c>
      <c r="V89" s="14">
        <v>200</v>
      </c>
      <c r="W89" s="14"/>
      <c r="X89" s="2">
        <f t="shared" si="4"/>
        <v>1564003.8599999996</v>
      </c>
      <c r="Y89" s="14">
        <v>19523.650000000001</v>
      </c>
      <c r="Z89" s="14"/>
      <c r="AA89" s="14">
        <v>102483</v>
      </c>
      <c r="AB89" s="14"/>
      <c r="AC89" s="14">
        <v>36272.5</v>
      </c>
      <c r="AD89" s="14">
        <v>20166.150000000001</v>
      </c>
      <c r="AE89" s="14"/>
      <c r="AF89" s="14"/>
      <c r="AG89" s="14"/>
      <c r="AH89" s="14"/>
      <c r="AI89" s="14"/>
      <c r="AJ89" s="14"/>
      <c r="AK89" s="14"/>
      <c r="AL89" s="48">
        <f t="shared" si="5"/>
        <v>178445.3</v>
      </c>
      <c r="AM89" s="22">
        <v>71</v>
      </c>
      <c r="AN89" s="14">
        <v>815</v>
      </c>
      <c r="AO89" s="14">
        <v>-12492.22</v>
      </c>
      <c r="AP89" s="14"/>
      <c r="AQ89" s="14">
        <v>-7.84</v>
      </c>
      <c r="AR89" s="44">
        <v>0.6</v>
      </c>
    </row>
    <row r="90" spans="1:44" x14ac:dyDescent="0.25">
      <c r="A90" s="12">
        <v>5534</v>
      </c>
      <c r="B90" s="13" t="s">
        <v>226</v>
      </c>
      <c r="C90" s="14">
        <v>380097.47</v>
      </c>
      <c r="D90" s="14">
        <v>65846.490000000005</v>
      </c>
      <c r="E90" s="14"/>
      <c r="F90" s="14"/>
      <c r="G90" s="14">
        <v>70310.05</v>
      </c>
      <c r="H90" s="14">
        <v>2512.4499999999998</v>
      </c>
      <c r="I90" s="14"/>
      <c r="J90" s="14">
        <v>11734.95</v>
      </c>
      <c r="K90" s="14">
        <v>1598.5</v>
      </c>
      <c r="L90" s="14">
        <v>66532.399999999994</v>
      </c>
      <c r="M90" s="3">
        <f t="shared" si="3"/>
        <v>598632.30999999994</v>
      </c>
      <c r="N90" s="14">
        <v>24554.6</v>
      </c>
      <c r="O90" s="14">
        <v>89050.2</v>
      </c>
      <c r="P90" s="14">
        <v>30.8</v>
      </c>
      <c r="Q90" s="14"/>
      <c r="R90" s="14"/>
      <c r="S90" s="14"/>
      <c r="T90" s="14"/>
      <c r="U90" s="14">
        <v>691.7</v>
      </c>
      <c r="V90" s="14">
        <v>256</v>
      </c>
      <c r="W90" s="14"/>
      <c r="X90" s="2">
        <f t="shared" si="4"/>
        <v>713215.60999999987</v>
      </c>
      <c r="Y90" s="14"/>
      <c r="Z90" s="14"/>
      <c r="AA90" s="14">
        <v>12654.9</v>
      </c>
      <c r="AB90" s="14"/>
      <c r="AC90" s="14">
        <v>11521.65</v>
      </c>
      <c r="AD90" s="14"/>
      <c r="AE90" s="14"/>
      <c r="AF90" s="14"/>
      <c r="AG90" s="14"/>
      <c r="AH90" s="14"/>
      <c r="AI90" s="14"/>
      <c r="AJ90" s="14"/>
      <c r="AK90" s="14"/>
      <c r="AL90" s="48">
        <f t="shared" si="5"/>
        <v>24176.55</v>
      </c>
      <c r="AM90" s="22">
        <v>73</v>
      </c>
      <c r="AN90" s="14">
        <v>265</v>
      </c>
      <c r="AO90" s="14">
        <v>-5636</v>
      </c>
      <c r="AP90" s="14"/>
      <c r="AQ90" s="14">
        <v>-6.33</v>
      </c>
      <c r="AR90" s="44">
        <v>1</v>
      </c>
    </row>
    <row r="91" spans="1:44" x14ac:dyDescent="0.25">
      <c r="A91" s="12">
        <v>5535</v>
      </c>
      <c r="B91" s="13" t="s">
        <v>35</v>
      </c>
      <c r="C91" s="14">
        <v>1284468.68</v>
      </c>
      <c r="D91" s="14">
        <v>174381.08</v>
      </c>
      <c r="E91" s="14"/>
      <c r="F91" s="14"/>
      <c r="G91" s="14">
        <v>23235.3</v>
      </c>
      <c r="H91" s="14">
        <v>4844.7</v>
      </c>
      <c r="I91" s="14"/>
      <c r="J91" s="14">
        <v>26060.87</v>
      </c>
      <c r="K91" s="14">
        <v>1149</v>
      </c>
      <c r="L91" s="14">
        <v>128200.7</v>
      </c>
      <c r="M91" s="3">
        <f t="shared" si="3"/>
        <v>1642340.33</v>
      </c>
      <c r="N91" s="14">
        <v>24150.85</v>
      </c>
      <c r="O91" s="14"/>
      <c r="P91" s="14">
        <v>29535</v>
      </c>
      <c r="Q91" s="14">
        <v>2026.4</v>
      </c>
      <c r="R91" s="14">
        <v>-14836.8</v>
      </c>
      <c r="S91" s="14">
        <v>62.5</v>
      </c>
      <c r="T91" s="14">
        <v>780</v>
      </c>
      <c r="U91" s="14">
        <v>6450</v>
      </c>
      <c r="V91" s="14"/>
      <c r="W91" s="14"/>
      <c r="X91" s="2">
        <f t="shared" si="4"/>
        <v>1690508.28</v>
      </c>
      <c r="Y91" s="14">
        <v>12000</v>
      </c>
      <c r="Z91" s="14"/>
      <c r="AA91" s="14">
        <v>88124</v>
      </c>
      <c r="AB91" s="14"/>
      <c r="AC91" s="14">
        <v>42283.8</v>
      </c>
      <c r="AD91" s="14">
        <v>3200</v>
      </c>
      <c r="AE91" s="14"/>
      <c r="AF91" s="14"/>
      <c r="AG91" s="14"/>
      <c r="AH91" s="14"/>
      <c r="AI91" s="14"/>
      <c r="AJ91" s="14"/>
      <c r="AK91" s="14"/>
      <c r="AL91" s="48">
        <f t="shared" si="5"/>
        <v>145607.79999999999</v>
      </c>
      <c r="AM91" s="22">
        <v>75</v>
      </c>
      <c r="AN91" s="14">
        <v>782</v>
      </c>
      <c r="AO91" s="14">
        <v>-20405.38</v>
      </c>
      <c r="AP91" s="14"/>
      <c r="AQ91" s="14">
        <v>-2.87</v>
      </c>
      <c r="AR91" s="44">
        <v>1</v>
      </c>
    </row>
    <row r="92" spans="1:44" x14ac:dyDescent="0.25">
      <c r="A92" s="12">
        <v>5537</v>
      </c>
      <c r="B92" s="13" t="s">
        <v>36</v>
      </c>
      <c r="C92" s="14">
        <v>1786805.38</v>
      </c>
      <c r="D92" s="14">
        <v>76759.06</v>
      </c>
      <c r="E92" s="14"/>
      <c r="F92" s="14">
        <v>5354.75</v>
      </c>
      <c r="G92" s="14">
        <v>11062.55</v>
      </c>
      <c r="H92" s="14">
        <v>434.7</v>
      </c>
      <c r="I92" s="14"/>
      <c r="J92" s="14">
        <v>7165.56</v>
      </c>
      <c r="K92" s="14">
        <v>739.5</v>
      </c>
      <c r="L92" s="14">
        <v>138326</v>
      </c>
      <c r="M92" s="3">
        <f t="shared" si="3"/>
        <v>2026647.5</v>
      </c>
      <c r="N92" s="14"/>
      <c r="O92" s="14">
        <v>15160.6</v>
      </c>
      <c r="P92" s="14">
        <v>32420</v>
      </c>
      <c r="Q92" s="14">
        <v>1397.55</v>
      </c>
      <c r="R92" s="14">
        <v>65797.2</v>
      </c>
      <c r="S92" s="14">
        <v>1125</v>
      </c>
      <c r="T92" s="14"/>
      <c r="U92" s="14">
        <v>4400</v>
      </c>
      <c r="V92" s="14">
        <v>495</v>
      </c>
      <c r="W92" s="14"/>
      <c r="X92" s="2">
        <f t="shared" si="4"/>
        <v>2147442.85</v>
      </c>
      <c r="Y92" s="14">
        <v>23142.65</v>
      </c>
      <c r="Z92" s="14"/>
      <c r="AA92" s="14">
        <v>193629.05</v>
      </c>
      <c r="AB92" s="14"/>
      <c r="AC92" s="14">
        <v>107834.57</v>
      </c>
      <c r="AD92" s="14">
        <v>23939.93</v>
      </c>
      <c r="AE92" s="14"/>
      <c r="AF92" s="14"/>
      <c r="AG92" s="14"/>
      <c r="AH92" s="14"/>
      <c r="AI92" s="14"/>
      <c r="AJ92" s="14"/>
      <c r="AK92" s="14"/>
      <c r="AL92" s="48">
        <f t="shared" si="5"/>
        <v>348546.2</v>
      </c>
      <c r="AM92" s="22">
        <v>73</v>
      </c>
      <c r="AN92" s="14">
        <v>1033</v>
      </c>
      <c r="AO92" s="14">
        <v>-5302.52</v>
      </c>
      <c r="AP92" s="14"/>
      <c r="AQ92" s="14">
        <v>-57.83</v>
      </c>
      <c r="AR92" s="44">
        <v>0.8</v>
      </c>
    </row>
    <row r="93" spans="1:44" x14ac:dyDescent="0.25">
      <c r="A93" s="12">
        <v>5539</v>
      </c>
      <c r="B93" s="13" t="s">
        <v>37</v>
      </c>
      <c r="C93" s="14">
        <v>1397462.33</v>
      </c>
      <c r="D93" s="14">
        <v>120915.72</v>
      </c>
      <c r="E93" s="14"/>
      <c r="F93" s="14"/>
      <c r="G93" s="14">
        <v>54734.400000000001</v>
      </c>
      <c r="H93" s="14">
        <v>256.55</v>
      </c>
      <c r="I93" s="14"/>
      <c r="J93" s="14">
        <v>5927.78</v>
      </c>
      <c r="K93" s="14">
        <v>1503</v>
      </c>
      <c r="L93" s="14">
        <v>126198.39999999999</v>
      </c>
      <c r="M93" s="3">
        <f t="shared" si="3"/>
        <v>1706998.18</v>
      </c>
      <c r="N93" s="14">
        <v>25545.599999999999</v>
      </c>
      <c r="O93" s="14"/>
      <c r="P93" s="14">
        <v>42858.2</v>
      </c>
      <c r="Q93" s="14">
        <v>-4652.3</v>
      </c>
      <c r="R93" s="14">
        <v>54661.45</v>
      </c>
      <c r="S93" s="14">
        <v>125</v>
      </c>
      <c r="T93" s="14"/>
      <c r="U93" s="14">
        <v>5975</v>
      </c>
      <c r="V93" s="14"/>
      <c r="W93" s="14"/>
      <c r="X93" s="2">
        <f t="shared" si="4"/>
        <v>1831511.13</v>
      </c>
      <c r="Y93" s="14">
        <v>47125.35</v>
      </c>
      <c r="Z93" s="14"/>
      <c r="AA93" s="14">
        <v>293539.90000000002</v>
      </c>
      <c r="AB93" s="14"/>
      <c r="AC93" s="14">
        <v>57410</v>
      </c>
      <c r="AD93" s="14">
        <v>29532</v>
      </c>
      <c r="AE93" s="14"/>
      <c r="AF93" s="14"/>
      <c r="AG93" s="14"/>
      <c r="AH93" s="14">
        <v>20008</v>
      </c>
      <c r="AI93" s="14"/>
      <c r="AJ93" s="14"/>
      <c r="AK93" s="14"/>
      <c r="AL93" s="48">
        <f t="shared" si="5"/>
        <v>447615.25</v>
      </c>
      <c r="AM93" s="22">
        <v>75</v>
      </c>
      <c r="AN93" s="14">
        <v>935</v>
      </c>
      <c r="AO93" s="14">
        <v>-27148.42</v>
      </c>
      <c r="AP93" s="14"/>
      <c r="AQ93" s="14">
        <v>-34.090000000000003</v>
      </c>
      <c r="AR93" s="44">
        <v>0.8</v>
      </c>
    </row>
    <row r="94" spans="1:44" x14ac:dyDescent="0.25">
      <c r="A94" s="12">
        <v>5540</v>
      </c>
      <c r="B94" s="13" t="s">
        <v>491</v>
      </c>
      <c r="C94" s="14">
        <v>2697676.76</v>
      </c>
      <c r="D94" s="14">
        <v>374036.96</v>
      </c>
      <c r="E94" s="14"/>
      <c r="F94" s="14"/>
      <c r="G94" s="14">
        <v>122969.60000000001</v>
      </c>
      <c r="H94" s="14">
        <v>1300.55</v>
      </c>
      <c r="I94" s="14"/>
      <c r="J94" s="14">
        <v>62616.4</v>
      </c>
      <c r="K94" s="14">
        <v>4388.5</v>
      </c>
      <c r="L94" s="14">
        <v>227585.75</v>
      </c>
      <c r="M94" s="3">
        <f t="shared" si="3"/>
        <v>3490574.5199999996</v>
      </c>
      <c r="N94" s="14">
        <v>5316.15</v>
      </c>
      <c r="O94" s="14">
        <v>66326.600000000006</v>
      </c>
      <c r="P94" s="14">
        <v>82952.2</v>
      </c>
      <c r="Q94" s="14">
        <v>34786.92</v>
      </c>
      <c r="R94" s="14">
        <v>55756</v>
      </c>
      <c r="S94" s="14">
        <v>1225</v>
      </c>
      <c r="T94" s="14"/>
      <c r="U94" s="14">
        <v>11300</v>
      </c>
      <c r="V94" s="14"/>
      <c r="W94" s="14"/>
      <c r="X94" s="2">
        <f t="shared" si="4"/>
        <v>3748237.3899999997</v>
      </c>
      <c r="Y94" s="14">
        <v>5200</v>
      </c>
      <c r="Z94" s="14"/>
      <c r="AA94" s="14">
        <v>146402.6</v>
      </c>
      <c r="AB94" s="14"/>
      <c r="AC94" s="14">
        <v>112199.4</v>
      </c>
      <c r="AD94" s="14">
        <v>3724.95</v>
      </c>
      <c r="AE94" s="14"/>
      <c r="AF94" s="14"/>
      <c r="AG94" s="14"/>
      <c r="AH94" s="14"/>
      <c r="AI94" s="14"/>
      <c r="AJ94" s="14"/>
      <c r="AK94" s="14"/>
      <c r="AL94" s="48">
        <f t="shared" si="5"/>
        <v>267526.95</v>
      </c>
      <c r="AM94" s="22">
        <v>74</v>
      </c>
      <c r="AN94" s="14">
        <v>1656</v>
      </c>
      <c r="AO94" s="14">
        <v>-80490.399999999994</v>
      </c>
      <c r="AP94" s="14">
        <v>-8946.2999999999993</v>
      </c>
      <c r="AQ94" s="14">
        <v>-75.56</v>
      </c>
      <c r="AR94" s="44">
        <v>0.8</v>
      </c>
    </row>
    <row r="95" spans="1:44" x14ac:dyDescent="0.25">
      <c r="A95" s="12">
        <v>5541</v>
      </c>
      <c r="B95" s="13" t="s">
        <v>490</v>
      </c>
      <c r="C95" s="14">
        <v>2150029.1</v>
      </c>
      <c r="D95" s="14">
        <v>281263.64</v>
      </c>
      <c r="E95" s="14"/>
      <c r="F95" s="14"/>
      <c r="G95" s="14">
        <v>174038.75</v>
      </c>
      <c r="H95" s="14">
        <v>655.29999999999995</v>
      </c>
      <c r="I95" s="14"/>
      <c r="J95" s="14">
        <v>35728.639999999999</v>
      </c>
      <c r="K95" s="14">
        <v>1571.5</v>
      </c>
      <c r="L95" s="14">
        <v>163916.35</v>
      </c>
      <c r="M95" s="3">
        <f t="shared" si="3"/>
        <v>2807203.2800000003</v>
      </c>
      <c r="N95" s="14">
        <v>11381.55</v>
      </c>
      <c r="O95" s="14">
        <v>13085.2</v>
      </c>
      <c r="P95" s="14">
        <v>76253.75</v>
      </c>
      <c r="Q95" s="14">
        <v>196.74</v>
      </c>
      <c r="R95" s="14">
        <v>32912.85</v>
      </c>
      <c r="S95" s="14"/>
      <c r="T95" s="14"/>
      <c r="U95" s="14">
        <v>7050</v>
      </c>
      <c r="V95" s="14"/>
      <c r="W95" s="14"/>
      <c r="X95" s="2">
        <f t="shared" si="4"/>
        <v>2948083.3700000006</v>
      </c>
      <c r="Y95" s="14">
        <v>19145</v>
      </c>
      <c r="Z95" s="14"/>
      <c r="AA95" s="14">
        <v>57253.95</v>
      </c>
      <c r="AB95" s="14"/>
      <c r="AC95" s="14">
        <v>70552.5</v>
      </c>
      <c r="AD95" s="14">
        <v>15029.7</v>
      </c>
      <c r="AE95" s="14"/>
      <c r="AF95" s="14"/>
      <c r="AG95" s="14"/>
      <c r="AH95" s="14"/>
      <c r="AI95" s="14"/>
      <c r="AJ95" s="14"/>
      <c r="AK95" s="14"/>
      <c r="AL95" s="48">
        <f t="shared" si="5"/>
        <v>161981.15000000002</v>
      </c>
      <c r="AM95" s="22">
        <v>77</v>
      </c>
      <c r="AN95" s="14">
        <v>1055</v>
      </c>
      <c r="AO95" s="14">
        <v>-44804.53</v>
      </c>
      <c r="AP95" s="14">
        <v>-20802.150000000001</v>
      </c>
      <c r="AQ95" s="14">
        <v>-1.18</v>
      </c>
      <c r="AR95" s="44">
        <v>1</v>
      </c>
    </row>
    <row r="96" spans="1:44" x14ac:dyDescent="0.25">
      <c r="A96" s="12">
        <v>5551</v>
      </c>
      <c r="B96" s="13" t="s">
        <v>38</v>
      </c>
      <c r="C96" s="14">
        <v>660884.15</v>
      </c>
      <c r="D96" s="14">
        <v>98331.44</v>
      </c>
      <c r="E96" s="14"/>
      <c r="F96" s="14"/>
      <c r="G96" s="14">
        <v>9982.75</v>
      </c>
      <c r="H96" s="14">
        <v>-121.05</v>
      </c>
      <c r="I96" s="14"/>
      <c r="J96" s="14">
        <v>19070.64</v>
      </c>
      <c r="K96" s="14">
        <v>4464.8999999999996</v>
      </c>
      <c r="L96" s="14">
        <v>62197.85</v>
      </c>
      <c r="M96" s="3">
        <f t="shared" si="3"/>
        <v>854810.68</v>
      </c>
      <c r="N96" s="14">
        <v>7693.2</v>
      </c>
      <c r="O96" s="14">
        <v>5715</v>
      </c>
      <c r="P96" s="14">
        <v>11699.75</v>
      </c>
      <c r="Q96" s="14"/>
      <c r="R96" s="14">
        <v>19773.900000000001</v>
      </c>
      <c r="S96" s="14"/>
      <c r="T96" s="14"/>
      <c r="U96" s="14">
        <v>1675</v>
      </c>
      <c r="V96" s="14"/>
      <c r="W96" s="14"/>
      <c r="X96" s="2">
        <f t="shared" si="4"/>
        <v>901367.53</v>
      </c>
      <c r="Y96" s="14"/>
      <c r="Z96" s="14">
        <v>1872</v>
      </c>
      <c r="AA96" s="14">
        <v>76092.3</v>
      </c>
      <c r="AB96" s="14"/>
      <c r="AC96" s="14">
        <v>25122.9</v>
      </c>
      <c r="AD96" s="14">
        <v>19380</v>
      </c>
      <c r="AE96" s="14"/>
      <c r="AF96" s="14"/>
      <c r="AG96" s="14">
        <v>1960</v>
      </c>
      <c r="AH96" s="14"/>
      <c r="AI96" s="14"/>
      <c r="AJ96" s="14"/>
      <c r="AK96" s="14"/>
      <c r="AL96" s="48">
        <f t="shared" si="5"/>
        <v>124427.20000000001</v>
      </c>
      <c r="AM96" s="22">
        <v>55</v>
      </c>
      <c r="AN96" s="14">
        <v>506</v>
      </c>
      <c r="AO96" s="14">
        <v>-1577.41</v>
      </c>
      <c r="AP96" s="14"/>
      <c r="AQ96" s="14">
        <v>-525.79</v>
      </c>
      <c r="AR96" s="44">
        <v>0.7</v>
      </c>
    </row>
    <row r="97" spans="1:44" x14ac:dyDescent="0.25">
      <c r="A97" s="12">
        <v>5552</v>
      </c>
      <c r="B97" s="13" t="s">
        <v>39</v>
      </c>
      <c r="C97" s="14">
        <v>849279.13</v>
      </c>
      <c r="D97" s="14">
        <v>120008.54</v>
      </c>
      <c r="E97" s="14"/>
      <c r="F97" s="14"/>
      <c r="G97" s="14">
        <v>1172.75</v>
      </c>
      <c r="H97" s="14">
        <v>1212.4000000000001</v>
      </c>
      <c r="I97" s="14">
        <v>18371.55</v>
      </c>
      <c r="J97" s="14">
        <v>-3517.36</v>
      </c>
      <c r="K97" s="14">
        <v>1477</v>
      </c>
      <c r="L97" s="14">
        <v>105258.25</v>
      </c>
      <c r="M97" s="3">
        <f t="shared" si="3"/>
        <v>1093262.2600000002</v>
      </c>
      <c r="N97" s="14">
        <v>49622.3</v>
      </c>
      <c r="O97" s="14">
        <v>128546.6</v>
      </c>
      <c r="P97" s="14">
        <v>33532.699999999997</v>
      </c>
      <c r="Q97" s="14"/>
      <c r="R97" s="14">
        <v>37771.15</v>
      </c>
      <c r="S97" s="14">
        <v>1580</v>
      </c>
      <c r="T97" s="14"/>
      <c r="U97" s="14">
        <v>5650</v>
      </c>
      <c r="V97" s="14"/>
      <c r="W97" s="14"/>
      <c r="X97" s="2">
        <f t="shared" si="4"/>
        <v>1349965.0100000002</v>
      </c>
      <c r="Y97" s="14">
        <v>4500</v>
      </c>
      <c r="Z97" s="14"/>
      <c r="AA97" s="14">
        <v>109061</v>
      </c>
      <c r="AB97" s="14"/>
      <c r="AC97" s="14">
        <v>73352.45</v>
      </c>
      <c r="AD97" s="14">
        <v>4390.25</v>
      </c>
      <c r="AE97" s="14"/>
      <c r="AF97" s="14"/>
      <c r="AG97" s="14">
        <v>61479.83</v>
      </c>
      <c r="AH97" s="14">
        <v>21411.45</v>
      </c>
      <c r="AI97" s="14"/>
      <c r="AJ97" s="14"/>
      <c r="AK97" s="14"/>
      <c r="AL97" s="48">
        <f t="shared" si="5"/>
        <v>274194.98000000004</v>
      </c>
      <c r="AM97" s="22">
        <v>70</v>
      </c>
      <c r="AN97" s="14">
        <v>606</v>
      </c>
      <c r="AO97" s="14">
        <v>-6461.98</v>
      </c>
      <c r="AP97" s="14"/>
      <c r="AQ97" s="14">
        <v>-7.75</v>
      </c>
      <c r="AR97" s="44">
        <v>1</v>
      </c>
    </row>
    <row r="98" spans="1:44" x14ac:dyDescent="0.25">
      <c r="A98" s="12">
        <v>5553</v>
      </c>
      <c r="B98" s="13" t="s">
        <v>40</v>
      </c>
      <c r="C98" s="14">
        <v>2871496.56</v>
      </c>
      <c r="D98" s="14">
        <v>362171.28</v>
      </c>
      <c r="E98" s="14"/>
      <c r="F98" s="14"/>
      <c r="G98" s="14">
        <v>-56706.35</v>
      </c>
      <c r="H98" s="14">
        <v>24423.35</v>
      </c>
      <c r="I98" s="14"/>
      <c r="J98" s="14">
        <v>105556.78</v>
      </c>
      <c r="K98" s="14">
        <v>13468.5</v>
      </c>
      <c r="L98" s="14">
        <v>180303.2</v>
      </c>
      <c r="M98" s="3">
        <f t="shared" si="3"/>
        <v>3500713.32</v>
      </c>
      <c r="N98" s="14">
        <v>111459.85</v>
      </c>
      <c r="O98" s="14">
        <v>102500</v>
      </c>
      <c r="P98" s="14">
        <v>81584.850000000006</v>
      </c>
      <c r="Q98" s="14"/>
      <c r="R98" s="14">
        <v>51351.15</v>
      </c>
      <c r="S98" s="14">
        <v>62.5</v>
      </c>
      <c r="T98" s="14"/>
      <c r="U98" s="14">
        <v>4750</v>
      </c>
      <c r="V98" s="14">
        <v>948</v>
      </c>
      <c r="W98" s="14"/>
      <c r="X98" s="2">
        <f t="shared" si="4"/>
        <v>3853369.67</v>
      </c>
      <c r="Y98" s="14">
        <v>124001</v>
      </c>
      <c r="Z98" s="14"/>
      <c r="AA98" s="14">
        <v>51535.5</v>
      </c>
      <c r="AB98" s="14"/>
      <c r="AC98" s="14">
        <v>47182.400000000001</v>
      </c>
      <c r="AD98" s="14">
        <v>143304</v>
      </c>
      <c r="AE98" s="14"/>
      <c r="AF98" s="14"/>
      <c r="AG98" s="14"/>
      <c r="AH98" s="14"/>
      <c r="AI98" s="14"/>
      <c r="AJ98" s="14"/>
      <c r="AK98" s="14"/>
      <c r="AL98" s="48">
        <f t="shared" si="5"/>
        <v>366022.9</v>
      </c>
      <c r="AM98" s="22">
        <v>63</v>
      </c>
      <c r="AN98" s="14">
        <v>1048</v>
      </c>
      <c r="AO98" s="14">
        <v>-13846.22</v>
      </c>
      <c r="AP98" s="14"/>
      <c r="AQ98" s="14">
        <v>-801.77</v>
      </c>
      <c r="AR98" s="44">
        <v>1</v>
      </c>
    </row>
    <row r="99" spans="1:44" x14ac:dyDescent="0.25">
      <c r="A99" s="12">
        <v>5554</v>
      </c>
      <c r="B99" s="13" t="s">
        <v>41</v>
      </c>
      <c r="C99" s="14">
        <v>1643099.48</v>
      </c>
      <c r="D99" s="14">
        <v>384750.81</v>
      </c>
      <c r="E99" s="14"/>
      <c r="F99" s="14"/>
      <c r="G99" s="14">
        <v>41824.1</v>
      </c>
      <c r="H99" s="14">
        <v>-32.9</v>
      </c>
      <c r="I99" s="14"/>
      <c r="J99" s="14">
        <v>248.77</v>
      </c>
      <c r="K99" s="14">
        <v>6209.5</v>
      </c>
      <c r="L99" s="14">
        <v>154750.20000000001</v>
      </c>
      <c r="M99" s="3">
        <f t="shared" si="3"/>
        <v>2230849.9600000004</v>
      </c>
      <c r="N99" s="14"/>
      <c r="O99" s="14">
        <v>53138.8</v>
      </c>
      <c r="P99" s="14">
        <v>164108.79999999999</v>
      </c>
      <c r="Q99" s="14">
        <v>9731.92</v>
      </c>
      <c r="R99" s="14">
        <v>65468.5</v>
      </c>
      <c r="S99" s="14"/>
      <c r="T99" s="14"/>
      <c r="U99" s="14">
        <v>6150</v>
      </c>
      <c r="V99" s="14"/>
      <c r="W99" s="14"/>
      <c r="X99" s="2">
        <f t="shared" si="4"/>
        <v>2529447.98</v>
      </c>
      <c r="Y99" s="14"/>
      <c r="Z99" s="14"/>
      <c r="AA99" s="14">
        <v>108768</v>
      </c>
      <c r="AB99" s="14"/>
      <c r="AC99" s="14">
        <v>52118.2</v>
      </c>
      <c r="AD99" s="14"/>
      <c r="AE99" s="14"/>
      <c r="AF99" s="14"/>
      <c r="AG99" s="14">
        <v>18908.8</v>
      </c>
      <c r="AH99" s="14">
        <v>28605.35</v>
      </c>
      <c r="AI99" s="14"/>
      <c r="AJ99" s="14"/>
      <c r="AK99" s="14"/>
      <c r="AL99" s="48">
        <f t="shared" si="5"/>
        <v>208400.35</v>
      </c>
      <c r="AM99" s="22">
        <v>75</v>
      </c>
      <c r="AN99" s="14">
        <v>954</v>
      </c>
      <c r="AO99" s="14">
        <v>-12247.26</v>
      </c>
      <c r="AP99" s="14"/>
      <c r="AQ99" s="14">
        <v>-1502.05</v>
      </c>
      <c r="AR99" s="44">
        <v>1</v>
      </c>
    </row>
    <row r="100" spans="1:44" x14ac:dyDescent="0.25">
      <c r="A100" s="12">
        <v>5555</v>
      </c>
      <c r="B100" s="13" t="s">
        <v>42</v>
      </c>
      <c r="C100" s="14">
        <v>505470.82</v>
      </c>
      <c r="D100" s="14">
        <v>109658.95</v>
      </c>
      <c r="E100" s="14"/>
      <c r="F100" s="14"/>
      <c r="G100" s="14">
        <v>1825.2</v>
      </c>
      <c r="H100" s="14">
        <v>2005.15</v>
      </c>
      <c r="I100" s="14"/>
      <c r="J100" s="14">
        <v>10669.61</v>
      </c>
      <c r="K100" s="14">
        <v>1474.8</v>
      </c>
      <c r="L100" s="14">
        <v>63252.7</v>
      </c>
      <c r="M100" s="3">
        <f t="shared" si="3"/>
        <v>694357.23</v>
      </c>
      <c r="N100" s="14">
        <v>10192.85</v>
      </c>
      <c r="O100" s="14"/>
      <c r="P100" s="14">
        <v>32859.300000000003</v>
      </c>
      <c r="Q100" s="14">
        <v>555.95000000000005</v>
      </c>
      <c r="R100" s="14">
        <v>34194.800000000003</v>
      </c>
      <c r="S100" s="14"/>
      <c r="T100" s="14"/>
      <c r="U100" s="14">
        <v>1200</v>
      </c>
      <c r="V100" s="14"/>
      <c r="W100" s="14"/>
      <c r="X100" s="2">
        <f t="shared" si="4"/>
        <v>773360.13</v>
      </c>
      <c r="Y100" s="14">
        <v>2892</v>
      </c>
      <c r="Z100" s="14"/>
      <c r="AA100" s="14">
        <v>90423.7</v>
      </c>
      <c r="AB100" s="14"/>
      <c r="AC100" s="14">
        <v>17937.150000000001</v>
      </c>
      <c r="AD100" s="14">
        <v>56782.45</v>
      </c>
      <c r="AE100" s="14"/>
      <c r="AF100" s="14"/>
      <c r="AG100" s="14">
        <v>10124.9</v>
      </c>
      <c r="AH100" s="14"/>
      <c r="AI100" s="14"/>
      <c r="AJ100" s="14"/>
      <c r="AK100" s="14"/>
      <c r="AL100" s="48">
        <f t="shared" si="5"/>
        <v>178160.19999999998</v>
      </c>
      <c r="AM100" s="22">
        <v>71</v>
      </c>
      <c r="AN100" s="14">
        <v>337</v>
      </c>
      <c r="AO100" s="14">
        <v>-1747.62</v>
      </c>
      <c r="AP100" s="14"/>
      <c r="AQ100" s="14">
        <v>-14.8</v>
      </c>
      <c r="AR100" s="44">
        <v>1</v>
      </c>
    </row>
    <row r="101" spans="1:44" x14ac:dyDescent="0.25">
      <c r="A101" s="12">
        <v>5556</v>
      </c>
      <c r="B101" s="13" t="s">
        <v>43</v>
      </c>
      <c r="C101" s="14">
        <v>589682.69999999995</v>
      </c>
      <c r="D101" s="14">
        <v>66706.63</v>
      </c>
      <c r="E101" s="14"/>
      <c r="F101" s="14">
        <v>2170</v>
      </c>
      <c r="G101" s="14">
        <v>17442.349999999999</v>
      </c>
      <c r="H101" s="14">
        <v>17.100000000000001</v>
      </c>
      <c r="I101" s="14"/>
      <c r="J101" s="14">
        <v>11454.85</v>
      </c>
      <c r="K101" s="14">
        <v>522</v>
      </c>
      <c r="L101" s="14">
        <v>70862.149999999994</v>
      </c>
      <c r="M101" s="3">
        <f t="shared" si="3"/>
        <v>758857.77999999991</v>
      </c>
      <c r="N101" s="14">
        <v>11298.6</v>
      </c>
      <c r="O101" s="14">
        <v>2161.1999999999998</v>
      </c>
      <c r="P101" s="14">
        <v>25701.5</v>
      </c>
      <c r="Q101" s="14">
        <v>1423.1</v>
      </c>
      <c r="R101" s="14">
        <v>13162.55</v>
      </c>
      <c r="S101" s="14"/>
      <c r="T101" s="14">
        <v>200</v>
      </c>
      <c r="U101" s="14">
        <v>3290</v>
      </c>
      <c r="V101" s="14"/>
      <c r="W101" s="14"/>
      <c r="X101" s="2">
        <f t="shared" si="4"/>
        <v>816094.72999999986</v>
      </c>
      <c r="Y101" s="14">
        <v>26355</v>
      </c>
      <c r="Z101" s="14"/>
      <c r="AA101" s="14">
        <v>65923.149999999994</v>
      </c>
      <c r="AB101" s="14"/>
      <c r="AC101" s="14">
        <v>12173.55</v>
      </c>
      <c r="AD101" s="14">
        <v>15480</v>
      </c>
      <c r="AE101" s="14"/>
      <c r="AF101" s="14"/>
      <c r="AG101" s="14">
        <v>1613.35</v>
      </c>
      <c r="AH101" s="14"/>
      <c r="AI101" s="14"/>
      <c r="AJ101" s="14"/>
      <c r="AK101" s="14"/>
      <c r="AL101" s="48">
        <f t="shared" si="5"/>
        <v>121545.05</v>
      </c>
      <c r="AM101" s="22">
        <v>69</v>
      </c>
      <c r="AN101" s="14">
        <v>421</v>
      </c>
      <c r="AO101" s="14">
        <v>-3275.21</v>
      </c>
      <c r="AP101" s="14"/>
      <c r="AQ101" s="14"/>
      <c r="AR101" s="44">
        <v>1.2</v>
      </c>
    </row>
    <row r="102" spans="1:44" x14ac:dyDescent="0.25">
      <c r="A102" s="12">
        <v>5557</v>
      </c>
      <c r="B102" s="13" t="s">
        <v>44</v>
      </c>
      <c r="C102" s="14">
        <v>233524.45</v>
      </c>
      <c r="D102" s="14">
        <v>22353.86</v>
      </c>
      <c r="E102" s="14"/>
      <c r="F102" s="14">
        <v>970</v>
      </c>
      <c r="G102" s="14">
        <v>9296.5</v>
      </c>
      <c r="H102" s="14">
        <v>53.4</v>
      </c>
      <c r="I102" s="14"/>
      <c r="J102" s="14">
        <v>2349.4899999999998</v>
      </c>
      <c r="K102" s="14">
        <v>899.5</v>
      </c>
      <c r="L102" s="14">
        <v>24880.400000000001</v>
      </c>
      <c r="M102" s="3">
        <f t="shared" si="3"/>
        <v>294327.60000000003</v>
      </c>
      <c r="N102" s="14">
        <v>1075.8499999999999</v>
      </c>
      <c r="O102" s="14">
        <v>4522</v>
      </c>
      <c r="P102" s="14">
        <v>7480</v>
      </c>
      <c r="Q102" s="14"/>
      <c r="R102" s="14">
        <v>4736.3</v>
      </c>
      <c r="S102" s="14"/>
      <c r="T102" s="14">
        <v>100</v>
      </c>
      <c r="U102" s="14">
        <v>690</v>
      </c>
      <c r="V102" s="14"/>
      <c r="W102" s="14"/>
      <c r="X102" s="2">
        <f t="shared" si="4"/>
        <v>312931.75</v>
      </c>
      <c r="Y102" s="14">
        <v>6000</v>
      </c>
      <c r="Z102" s="14"/>
      <c r="AA102" s="14">
        <v>22200</v>
      </c>
      <c r="AB102" s="14"/>
      <c r="AC102" s="14">
        <v>19513.75</v>
      </c>
      <c r="AD102" s="14">
        <v>4264</v>
      </c>
      <c r="AE102" s="14"/>
      <c r="AF102" s="14"/>
      <c r="AG102" s="14"/>
      <c r="AH102" s="14"/>
      <c r="AI102" s="14"/>
      <c r="AJ102" s="14"/>
      <c r="AK102" s="14"/>
      <c r="AL102" s="48">
        <f t="shared" si="5"/>
        <v>51977.75</v>
      </c>
      <c r="AM102" s="22">
        <v>69</v>
      </c>
      <c r="AN102" s="14">
        <v>191</v>
      </c>
      <c r="AO102" s="14">
        <v>-4482.59</v>
      </c>
      <c r="AP102" s="14"/>
      <c r="AQ102" s="14"/>
      <c r="AR102" s="44">
        <v>1</v>
      </c>
    </row>
    <row r="103" spans="1:44" x14ac:dyDescent="0.25">
      <c r="A103" s="12">
        <v>5559</v>
      </c>
      <c r="B103" s="13" t="s">
        <v>45</v>
      </c>
      <c r="C103" s="14">
        <v>642193.59</v>
      </c>
      <c r="D103" s="14">
        <v>173331.48</v>
      </c>
      <c r="E103" s="14"/>
      <c r="F103" s="14"/>
      <c r="G103" s="14">
        <v>277436.90000000002</v>
      </c>
      <c r="H103" s="14">
        <v>1251.9000000000001</v>
      </c>
      <c r="I103" s="14"/>
      <c r="J103" s="14">
        <v>18855.61</v>
      </c>
      <c r="K103" s="14">
        <v>3295.5</v>
      </c>
      <c r="L103" s="14">
        <v>78697.3</v>
      </c>
      <c r="M103" s="3">
        <f t="shared" si="3"/>
        <v>1195062.28</v>
      </c>
      <c r="N103" s="14">
        <v>24437.05</v>
      </c>
      <c r="O103" s="14">
        <v>2631.5</v>
      </c>
      <c r="P103" s="14">
        <v>1540</v>
      </c>
      <c r="Q103" s="14"/>
      <c r="R103" s="14"/>
      <c r="S103" s="14"/>
      <c r="T103" s="14">
        <v>350</v>
      </c>
      <c r="U103" s="14">
        <v>960</v>
      </c>
      <c r="V103" s="14">
        <v>279.85000000000002</v>
      </c>
      <c r="W103" s="14"/>
      <c r="X103" s="2">
        <f t="shared" si="4"/>
        <v>1225260.6800000002</v>
      </c>
      <c r="Y103" s="14">
        <v>7300</v>
      </c>
      <c r="Z103" s="14"/>
      <c r="AA103" s="14">
        <v>85817.5</v>
      </c>
      <c r="AB103" s="14"/>
      <c r="AC103" s="14">
        <v>25795.15</v>
      </c>
      <c r="AD103" s="14">
        <v>10250</v>
      </c>
      <c r="AE103" s="14"/>
      <c r="AF103" s="14"/>
      <c r="AG103" s="14">
        <v>4494.2</v>
      </c>
      <c r="AH103" s="14"/>
      <c r="AI103" s="14"/>
      <c r="AJ103" s="14"/>
      <c r="AK103" s="14"/>
      <c r="AL103" s="48">
        <f t="shared" si="5"/>
        <v>133656.85</v>
      </c>
      <c r="AM103" s="22">
        <v>66</v>
      </c>
      <c r="AN103" s="14">
        <v>389</v>
      </c>
      <c r="AO103" s="14">
        <v>-7095.71</v>
      </c>
      <c r="AP103" s="14"/>
      <c r="AQ103" s="14">
        <v>-66.650000000000006</v>
      </c>
      <c r="AR103" s="44">
        <v>1</v>
      </c>
    </row>
    <row r="104" spans="1:44" x14ac:dyDescent="0.25">
      <c r="A104" s="12">
        <v>5560</v>
      </c>
      <c r="B104" s="13" t="s">
        <v>46</v>
      </c>
      <c r="C104" s="14">
        <v>365438.05</v>
      </c>
      <c r="D104" s="14">
        <v>27034.78</v>
      </c>
      <c r="E104" s="14"/>
      <c r="F104" s="14"/>
      <c r="G104" s="14">
        <v>322.60000000000002</v>
      </c>
      <c r="H104" s="14">
        <v>18.899999999999999</v>
      </c>
      <c r="I104" s="14"/>
      <c r="J104" s="14">
        <v>11176.67</v>
      </c>
      <c r="K104" s="14">
        <v>305</v>
      </c>
      <c r="L104" s="14">
        <v>37337.75</v>
      </c>
      <c r="M104" s="3">
        <f t="shared" si="3"/>
        <v>441633.74999999994</v>
      </c>
      <c r="N104" s="14"/>
      <c r="O104" s="14">
        <v>259.2</v>
      </c>
      <c r="P104" s="14">
        <v>19670.95</v>
      </c>
      <c r="Q104" s="14"/>
      <c r="R104" s="14">
        <v>11290.1</v>
      </c>
      <c r="S104" s="14"/>
      <c r="T104" s="14"/>
      <c r="U104" s="14">
        <v>1450</v>
      </c>
      <c r="V104" s="14"/>
      <c r="W104" s="14"/>
      <c r="X104" s="2">
        <f t="shared" si="4"/>
        <v>474303.99999999994</v>
      </c>
      <c r="Y104" s="14"/>
      <c r="Z104" s="14"/>
      <c r="AA104" s="14">
        <v>32143.599999999999</v>
      </c>
      <c r="AB104" s="14"/>
      <c r="AC104" s="14">
        <v>13153</v>
      </c>
      <c r="AD104" s="14"/>
      <c r="AE104" s="14"/>
      <c r="AF104" s="14"/>
      <c r="AG104" s="14">
        <v>1500.5</v>
      </c>
      <c r="AH104" s="14"/>
      <c r="AI104" s="14"/>
      <c r="AJ104" s="14"/>
      <c r="AK104" s="14"/>
      <c r="AL104" s="48">
        <f t="shared" si="5"/>
        <v>46797.1</v>
      </c>
      <c r="AM104" s="22">
        <v>68</v>
      </c>
      <c r="AN104" s="14">
        <v>232</v>
      </c>
      <c r="AO104" s="14">
        <v>-6694.16</v>
      </c>
      <c r="AP104" s="14"/>
      <c r="AQ104" s="14">
        <v>-1.77</v>
      </c>
      <c r="AR104" s="44">
        <v>1</v>
      </c>
    </row>
    <row r="105" spans="1:44" x14ac:dyDescent="0.25">
      <c r="A105" s="12">
        <v>5561</v>
      </c>
      <c r="B105" s="13" t="s">
        <v>47</v>
      </c>
      <c r="C105" s="14">
        <v>5746434.0700000003</v>
      </c>
      <c r="D105" s="14">
        <v>791083.58</v>
      </c>
      <c r="E105" s="14"/>
      <c r="F105" s="14"/>
      <c r="G105" s="14">
        <v>247410.71</v>
      </c>
      <c r="H105" s="14">
        <v>9769.65</v>
      </c>
      <c r="I105" s="14">
        <v>27733.85</v>
      </c>
      <c r="J105" s="14">
        <v>115318.48</v>
      </c>
      <c r="K105" s="14">
        <v>19132</v>
      </c>
      <c r="L105" s="14">
        <v>535221.30000000005</v>
      </c>
      <c r="M105" s="3">
        <f t="shared" si="3"/>
        <v>7492103.6400000006</v>
      </c>
      <c r="N105" s="14">
        <v>327346.25</v>
      </c>
      <c r="O105" s="14">
        <v>278768.09999999998</v>
      </c>
      <c r="P105" s="14">
        <v>243927</v>
      </c>
      <c r="Q105" s="14">
        <v>16187.98</v>
      </c>
      <c r="R105" s="14">
        <v>179464.85</v>
      </c>
      <c r="S105" s="14"/>
      <c r="T105" s="14">
        <v>17421.650000000001</v>
      </c>
      <c r="U105" s="14">
        <v>11285.45</v>
      </c>
      <c r="V105" s="14"/>
      <c r="W105" s="14"/>
      <c r="X105" s="2">
        <f t="shared" si="4"/>
        <v>8566504.9199999999</v>
      </c>
      <c r="Y105" s="14">
        <v>6223</v>
      </c>
      <c r="Z105" s="14"/>
      <c r="AA105" s="14">
        <v>551272.5</v>
      </c>
      <c r="AB105" s="14"/>
      <c r="AC105" s="14">
        <v>304399.25</v>
      </c>
      <c r="AD105" s="14">
        <v>58813.9</v>
      </c>
      <c r="AE105" s="14"/>
      <c r="AF105" s="14"/>
      <c r="AG105" s="14">
        <v>56360.6</v>
      </c>
      <c r="AH105" s="14">
        <v>93351.55</v>
      </c>
      <c r="AI105" s="14"/>
      <c r="AJ105" s="14"/>
      <c r="AK105" s="14"/>
      <c r="AL105" s="48">
        <f t="shared" si="5"/>
        <v>1070420.8</v>
      </c>
      <c r="AM105" s="22">
        <v>69</v>
      </c>
      <c r="AN105" s="14">
        <v>3303</v>
      </c>
      <c r="AO105" s="14">
        <v>-130213.23</v>
      </c>
      <c r="AP105" s="14">
        <v>-26584.85</v>
      </c>
      <c r="AQ105" s="14">
        <v>-2450.62</v>
      </c>
      <c r="AR105" s="44">
        <v>1</v>
      </c>
    </row>
    <row r="106" spans="1:44" x14ac:dyDescent="0.25">
      <c r="A106" s="12">
        <v>5562</v>
      </c>
      <c r="B106" s="13" t="s">
        <v>48</v>
      </c>
      <c r="C106" s="14">
        <v>150982.88</v>
      </c>
      <c r="D106" s="14">
        <v>100675.17</v>
      </c>
      <c r="E106" s="14"/>
      <c r="F106" s="14">
        <v>720</v>
      </c>
      <c r="G106" s="14">
        <v>1529.9</v>
      </c>
      <c r="H106" s="14">
        <v>90.55</v>
      </c>
      <c r="I106" s="14"/>
      <c r="J106" s="14">
        <v>4087.49</v>
      </c>
      <c r="K106" s="14">
        <v>1155.5</v>
      </c>
      <c r="L106" s="14">
        <v>30592.95</v>
      </c>
      <c r="M106" s="3">
        <f t="shared" si="3"/>
        <v>289834.43999999994</v>
      </c>
      <c r="N106" s="14"/>
      <c r="O106" s="14"/>
      <c r="P106" s="14">
        <v>1516</v>
      </c>
      <c r="Q106" s="14"/>
      <c r="R106" s="14">
        <v>8087.5</v>
      </c>
      <c r="S106" s="14"/>
      <c r="T106" s="14">
        <v>75</v>
      </c>
      <c r="U106" s="14">
        <v>525</v>
      </c>
      <c r="V106" s="14"/>
      <c r="W106" s="14"/>
      <c r="X106" s="2">
        <f t="shared" si="4"/>
        <v>300037.93999999994</v>
      </c>
      <c r="Y106" s="14"/>
      <c r="Z106" s="14"/>
      <c r="AA106" s="14">
        <v>39810</v>
      </c>
      <c r="AB106" s="14"/>
      <c r="AC106" s="14">
        <v>17872</v>
      </c>
      <c r="AD106" s="14"/>
      <c r="AE106" s="14"/>
      <c r="AF106" s="14"/>
      <c r="AG106" s="14">
        <v>6807.8</v>
      </c>
      <c r="AH106" s="14"/>
      <c r="AI106" s="14"/>
      <c r="AJ106" s="14"/>
      <c r="AK106" s="14"/>
      <c r="AL106" s="48">
        <f t="shared" si="5"/>
        <v>64489.8</v>
      </c>
      <c r="AM106" s="22">
        <v>70</v>
      </c>
      <c r="AN106" s="14">
        <v>119</v>
      </c>
      <c r="AO106" s="14">
        <v>-10548.13</v>
      </c>
      <c r="AP106" s="14"/>
      <c r="AQ106" s="14">
        <v>-2.25</v>
      </c>
      <c r="AR106" s="44">
        <v>1.2</v>
      </c>
    </row>
    <row r="107" spans="1:44" x14ac:dyDescent="0.25">
      <c r="A107" s="12">
        <v>5563</v>
      </c>
      <c r="B107" s="13" t="s">
        <v>328</v>
      </c>
      <c r="C107" s="14">
        <v>275221.17</v>
      </c>
      <c r="D107" s="14">
        <v>21979.56</v>
      </c>
      <c r="E107" s="14"/>
      <c r="F107" s="14">
        <v>552</v>
      </c>
      <c r="G107" s="14">
        <v>2012.55</v>
      </c>
      <c r="H107" s="14">
        <v>-1.1000000000000001</v>
      </c>
      <c r="I107" s="14"/>
      <c r="J107" s="14">
        <v>3110.75</v>
      </c>
      <c r="K107" s="14"/>
      <c r="L107" s="14">
        <v>19806.2</v>
      </c>
      <c r="M107" s="3">
        <f t="shared" si="3"/>
        <v>322681.13</v>
      </c>
      <c r="N107" s="14"/>
      <c r="O107" s="14">
        <v>153.1</v>
      </c>
      <c r="P107" s="14">
        <v>5469.25</v>
      </c>
      <c r="Q107" s="14"/>
      <c r="R107" s="14">
        <v>6949.35</v>
      </c>
      <c r="S107" s="14"/>
      <c r="T107" s="14">
        <v>200</v>
      </c>
      <c r="U107" s="14">
        <v>650</v>
      </c>
      <c r="V107" s="14"/>
      <c r="W107" s="14"/>
      <c r="X107" s="2">
        <f t="shared" si="4"/>
        <v>336102.82999999996</v>
      </c>
      <c r="Y107" s="14"/>
      <c r="Z107" s="14"/>
      <c r="AA107" s="14">
        <v>30424.5</v>
      </c>
      <c r="AB107" s="14"/>
      <c r="AC107" s="14">
        <v>10230</v>
      </c>
      <c r="AD107" s="14"/>
      <c r="AE107" s="14"/>
      <c r="AF107" s="14"/>
      <c r="AG107" s="14"/>
      <c r="AH107" s="14"/>
      <c r="AI107" s="14"/>
      <c r="AJ107" s="14"/>
      <c r="AK107" s="14"/>
      <c r="AL107" s="48">
        <f t="shared" si="5"/>
        <v>40654.5</v>
      </c>
      <c r="AM107" s="22">
        <v>78.5</v>
      </c>
      <c r="AN107" s="14">
        <v>153</v>
      </c>
      <c r="AO107" s="14">
        <v>-657.31</v>
      </c>
      <c r="AP107" s="14"/>
      <c r="AQ107" s="14"/>
      <c r="AR107" s="44">
        <v>1</v>
      </c>
    </row>
    <row r="108" spans="1:44" x14ac:dyDescent="0.25">
      <c r="A108" s="12">
        <v>5564</v>
      </c>
      <c r="B108" s="13" t="s">
        <v>329</v>
      </c>
      <c r="C108" s="14">
        <v>135586.49</v>
      </c>
      <c r="D108" s="14">
        <v>12042.06</v>
      </c>
      <c r="E108" s="14"/>
      <c r="F108" s="14"/>
      <c r="G108" s="14">
        <v>96.25</v>
      </c>
      <c r="H108" s="14">
        <v>12.05</v>
      </c>
      <c r="I108" s="14"/>
      <c r="J108" s="14">
        <v>1333.59</v>
      </c>
      <c r="K108" s="14"/>
      <c r="L108" s="14">
        <v>9702.4500000000007</v>
      </c>
      <c r="M108" s="3">
        <f t="shared" si="3"/>
        <v>158772.88999999998</v>
      </c>
      <c r="N108" s="14"/>
      <c r="O108" s="14"/>
      <c r="P108" s="14"/>
      <c r="Q108" s="14"/>
      <c r="R108" s="14"/>
      <c r="S108" s="14"/>
      <c r="T108" s="14">
        <v>300</v>
      </c>
      <c r="U108" s="14">
        <v>280</v>
      </c>
      <c r="V108" s="14"/>
      <c r="W108" s="14"/>
      <c r="X108" s="2">
        <f t="shared" si="4"/>
        <v>159352.88999999998</v>
      </c>
      <c r="Y108" s="14"/>
      <c r="Z108" s="14"/>
      <c r="AA108" s="14">
        <v>24855</v>
      </c>
      <c r="AB108" s="14"/>
      <c r="AC108" s="14">
        <v>7383.3</v>
      </c>
      <c r="AD108" s="14"/>
      <c r="AE108" s="14"/>
      <c r="AF108" s="14"/>
      <c r="AG108" s="14"/>
      <c r="AH108" s="14"/>
      <c r="AI108" s="14"/>
      <c r="AJ108" s="14"/>
      <c r="AK108" s="14"/>
      <c r="AL108" s="48">
        <f t="shared" si="5"/>
        <v>32238.3</v>
      </c>
      <c r="AM108" s="22">
        <v>76</v>
      </c>
      <c r="AN108" s="14">
        <v>102</v>
      </c>
      <c r="AO108" s="14">
        <v>-36.9</v>
      </c>
      <c r="AP108" s="14"/>
      <c r="AQ108" s="14">
        <v>-26.59</v>
      </c>
      <c r="AR108" s="44">
        <v>0.8</v>
      </c>
    </row>
    <row r="109" spans="1:44" x14ac:dyDescent="0.25">
      <c r="A109" s="12">
        <v>5565</v>
      </c>
      <c r="B109" s="13" t="s">
        <v>330</v>
      </c>
      <c r="C109" s="14">
        <v>779476.22</v>
      </c>
      <c r="D109" s="14">
        <v>75468.320000000007</v>
      </c>
      <c r="E109" s="14"/>
      <c r="F109" s="14"/>
      <c r="G109" s="14">
        <v>471062.3</v>
      </c>
      <c r="H109" s="14">
        <v>66252.7</v>
      </c>
      <c r="I109" s="14"/>
      <c r="J109" s="14">
        <v>11627.95</v>
      </c>
      <c r="K109" s="14">
        <v>-4045.5</v>
      </c>
      <c r="L109" s="14">
        <v>63117.55</v>
      </c>
      <c r="M109" s="3">
        <f t="shared" si="3"/>
        <v>1462959.54</v>
      </c>
      <c r="N109" s="14">
        <v>55616.3</v>
      </c>
      <c r="O109" s="14"/>
      <c r="P109" s="14">
        <v>10808.4</v>
      </c>
      <c r="Q109" s="14"/>
      <c r="R109" s="14">
        <v>40270.15</v>
      </c>
      <c r="S109" s="14"/>
      <c r="T109" s="14">
        <v>2339.8000000000002</v>
      </c>
      <c r="U109" s="14">
        <v>3060</v>
      </c>
      <c r="V109" s="14"/>
      <c r="W109" s="14"/>
      <c r="X109" s="2">
        <f t="shared" si="4"/>
        <v>1575054.19</v>
      </c>
      <c r="Y109" s="14">
        <v>9100</v>
      </c>
      <c r="Z109" s="14"/>
      <c r="AA109" s="14">
        <v>73354.7</v>
      </c>
      <c r="AB109" s="14"/>
      <c r="AC109" s="14">
        <v>27379.3</v>
      </c>
      <c r="AD109" s="14">
        <v>4090</v>
      </c>
      <c r="AE109" s="14"/>
      <c r="AF109" s="14"/>
      <c r="AG109" s="14">
        <v>3849.35</v>
      </c>
      <c r="AH109" s="14">
        <v>35082.25</v>
      </c>
      <c r="AI109" s="14"/>
      <c r="AJ109" s="14"/>
      <c r="AK109" s="14"/>
      <c r="AL109" s="48">
        <f t="shared" si="5"/>
        <v>152855.6</v>
      </c>
      <c r="AM109" s="22">
        <v>65</v>
      </c>
      <c r="AN109" s="14">
        <v>493</v>
      </c>
      <c r="AO109" s="14">
        <v>-66603.73</v>
      </c>
      <c r="AP109" s="14"/>
      <c r="AQ109" s="14">
        <v>-0.1</v>
      </c>
      <c r="AR109" s="44">
        <v>0.5</v>
      </c>
    </row>
    <row r="110" spans="1:44" x14ac:dyDescent="0.25">
      <c r="A110" s="12">
        <v>5566</v>
      </c>
      <c r="B110" s="13" t="s">
        <v>331</v>
      </c>
      <c r="C110" s="14">
        <v>516207.4</v>
      </c>
      <c r="D110" s="14">
        <v>51542.85</v>
      </c>
      <c r="E110" s="14"/>
      <c r="F110" s="14">
        <v>2490</v>
      </c>
      <c r="G110" s="14">
        <v>5031.95</v>
      </c>
      <c r="H110" s="14">
        <v>1621.25</v>
      </c>
      <c r="I110" s="14"/>
      <c r="J110" s="14">
        <v>10345.200000000001</v>
      </c>
      <c r="K110" s="14">
        <v>2103</v>
      </c>
      <c r="L110" s="14">
        <v>69080.850000000006</v>
      </c>
      <c r="M110" s="3">
        <f t="shared" si="3"/>
        <v>658422.49999999988</v>
      </c>
      <c r="N110" s="14">
        <v>59855.6</v>
      </c>
      <c r="O110" s="14">
        <v>3824.1</v>
      </c>
      <c r="P110" s="14">
        <v>960.45</v>
      </c>
      <c r="Q110" s="14">
        <v>268.72000000000003</v>
      </c>
      <c r="R110" s="14">
        <v>67</v>
      </c>
      <c r="S110" s="14">
        <v>187.5</v>
      </c>
      <c r="T110" s="14">
        <v>1305</v>
      </c>
      <c r="U110" s="14">
        <v>1470</v>
      </c>
      <c r="V110" s="14"/>
      <c r="W110" s="14"/>
      <c r="X110" s="2">
        <f t="shared" si="4"/>
        <v>726360.86999999976</v>
      </c>
      <c r="Y110" s="14"/>
      <c r="Z110" s="14">
        <v>34397.9</v>
      </c>
      <c r="AA110" s="14"/>
      <c r="AB110" s="14"/>
      <c r="AC110" s="14">
        <v>36810.25</v>
      </c>
      <c r="AD110" s="14"/>
      <c r="AE110" s="14"/>
      <c r="AF110" s="14"/>
      <c r="AG110" s="14"/>
      <c r="AH110" s="14"/>
      <c r="AI110" s="14"/>
      <c r="AJ110" s="14"/>
      <c r="AK110" s="14"/>
      <c r="AL110" s="48">
        <f t="shared" si="5"/>
        <v>71208.149999999994</v>
      </c>
      <c r="AM110" s="22">
        <v>81</v>
      </c>
      <c r="AN110" s="14">
        <v>385</v>
      </c>
      <c r="AO110" s="14">
        <v>-2719.58</v>
      </c>
      <c r="AP110" s="14"/>
      <c r="AQ110" s="14"/>
      <c r="AR110" s="44">
        <v>1.5</v>
      </c>
    </row>
    <row r="111" spans="1:44" x14ac:dyDescent="0.25">
      <c r="A111" s="12">
        <v>5568</v>
      </c>
      <c r="B111" s="13" t="s">
        <v>153</v>
      </c>
      <c r="C111" s="14">
        <v>4874707.46</v>
      </c>
      <c r="D111" s="14">
        <v>680818.35</v>
      </c>
      <c r="E111" s="14"/>
      <c r="F111" s="14"/>
      <c r="G111" s="14">
        <v>325588.15000000002</v>
      </c>
      <c r="H111" s="14">
        <v>40145.699999999997</v>
      </c>
      <c r="I111" s="14">
        <v>15460.9</v>
      </c>
      <c r="J111" s="14">
        <v>185243</v>
      </c>
      <c r="K111" s="14">
        <v>33497</v>
      </c>
      <c r="L111" s="14">
        <v>540209.44999999995</v>
      </c>
      <c r="M111" s="3">
        <f t="shared" si="3"/>
        <v>6695670.0100000007</v>
      </c>
      <c r="N111" s="14">
        <v>2072950.7</v>
      </c>
      <c r="O111" s="14">
        <v>172138.5</v>
      </c>
      <c r="P111" s="14">
        <v>253546.95</v>
      </c>
      <c r="Q111" s="14">
        <v>47147.74</v>
      </c>
      <c r="R111" s="14">
        <v>173208.45</v>
      </c>
      <c r="S111" s="14">
        <v>14255.1</v>
      </c>
      <c r="T111" s="14"/>
      <c r="U111" s="14">
        <v>20437.5</v>
      </c>
      <c r="V111" s="14"/>
      <c r="W111" s="14">
        <v>1128.3</v>
      </c>
      <c r="X111" s="2">
        <f t="shared" si="4"/>
        <v>9450483.25</v>
      </c>
      <c r="Y111" s="14">
        <v>27498.65</v>
      </c>
      <c r="Z111" s="14"/>
      <c r="AA111" s="14">
        <v>1397653.8</v>
      </c>
      <c r="AB111" s="14"/>
      <c r="AC111" s="14">
        <v>556370.25</v>
      </c>
      <c r="AD111" s="14">
        <v>46973.1</v>
      </c>
      <c r="AE111" s="14"/>
      <c r="AF111" s="14"/>
      <c r="AG111" s="14">
        <v>55647.55</v>
      </c>
      <c r="AH111" s="14"/>
      <c r="AI111" s="14"/>
      <c r="AJ111" s="14">
        <v>82362.2</v>
      </c>
      <c r="AK111" s="14"/>
      <c r="AL111" s="48">
        <f t="shared" si="5"/>
        <v>2166505.5500000003</v>
      </c>
      <c r="AM111" s="22">
        <v>70</v>
      </c>
      <c r="AN111" s="14">
        <v>4763</v>
      </c>
      <c r="AO111" s="14">
        <v>-201523.41</v>
      </c>
      <c r="AP111" s="14"/>
      <c r="AQ111" s="14">
        <v>-842.26</v>
      </c>
      <c r="AR111" s="44">
        <v>1</v>
      </c>
    </row>
    <row r="112" spans="1:44" x14ac:dyDescent="0.25">
      <c r="A112" s="12">
        <v>5571</v>
      </c>
      <c r="B112" s="13" t="s">
        <v>488</v>
      </c>
      <c r="C112" s="14">
        <v>1244926.46</v>
      </c>
      <c r="D112" s="14">
        <v>119172.86</v>
      </c>
      <c r="E112" s="14"/>
      <c r="F112" s="14"/>
      <c r="G112" s="14">
        <v>9608.2000000000007</v>
      </c>
      <c r="H112" s="14">
        <v>-77.75</v>
      </c>
      <c r="I112" s="14"/>
      <c r="J112" s="14">
        <v>10825.69</v>
      </c>
      <c r="K112" s="14">
        <v>3815</v>
      </c>
      <c r="L112" s="14">
        <v>154556.1</v>
      </c>
      <c r="M112" s="3">
        <f t="shared" si="3"/>
        <v>1542826.56</v>
      </c>
      <c r="N112" s="14">
        <v>61436.35</v>
      </c>
      <c r="O112" s="14"/>
      <c r="P112" s="14">
        <v>54677.599999999999</v>
      </c>
      <c r="Q112" s="14">
        <v>3256.05</v>
      </c>
      <c r="R112" s="14">
        <v>40747.1</v>
      </c>
      <c r="S112" s="14">
        <v>120</v>
      </c>
      <c r="T112" s="14"/>
      <c r="U112" s="14">
        <v>9550</v>
      </c>
      <c r="V112" s="14"/>
      <c r="W112" s="14"/>
      <c r="X112" s="2">
        <f t="shared" si="4"/>
        <v>1712613.6600000004</v>
      </c>
      <c r="Y112" s="14">
        <v>54255.1</v>
      </c>
      <c r="Z112" s="14"/>
      <c r="AA112" s="14">
        <v>111993.1</v>
      </c>
      <c r="AB112" s="14"/>
      <c r="AC112" s="14">
        <v>22256.3</v>
      </c>
      <c r="AD112" s="14">
        <v>77170</v>
      </c>
      <c r="AE112" s="14"/>
      <c r="AF112" s="14"/>
      <c r="AG112" s="14">
        <v>15737.2</v>
      </c>
      <c r="AH112" s="14">
        <v>20628.7</v>
      </c>
      <c r="AI112" s="14"/>
      <c r="AJ112" s="14"/>
      <c r="AK112" s="14"/>
      <c r="AL112" s="48">
        <f t="shared" si="5"/>
        <v>302040.40000000002</v>
      </c>
      <c r="AM112" s="22">
        <v>73</v>
      </c>
      <c r="AN112" s="14">
        <v>811</v>
      </c>
      <c r="AO112" s="14">
        <v>-4376.8999999999996</v>
      </c>
      <c r="AP112" s="14"/>
      <c r="AQ112" s="14">
        <v>-15.04</v>
      </c>
      <c r="AR112" s="44">
        <v>1.2</v>
      </c>
    </row>
    <row r="113" spans="1:44" x14ac:dyDescent="0.25">
      <c r="A113" s="12">
        <v>5581</v>
      </c>
      <c r="B113" s="13" t="s">
        <v>434</v>
      </c>
      <c r="C113" s="14">
        <v>9257364.4100000001</v>
      </c>
      <c r="D113" s="14">
        <v>1402752.89</v>
      </c>
      <c r="E113" s="14"/>
      <c r="F113" s="14"/>
      <c r="G113" s="14">
        <v>239725</v>
      </c>
      <c r="H113" s="14">
        <v>6685.5</v>
      </c>
      <c r="I113" s="14">
        <v>122551.1</v>
      </c>
      <c r="J113" s="14">
        <v>274430.56</v>
      </c>
      <c r="K113" s="14">
        <v>21875.5</v>
      </c>
      <c r="L113" s="14">
        <v>1164509.55</v>
      </c>
      <c r="M113" s="3">
        <f t="shared" si="3"/>
        <v>12489894.510000002</v>
      </c>
      <c r="N113" s="14"/>
      <c r="O113" s="14">
        <v>54877.5</v>
      </c>
      <c r="P113" s="14">
        <v>460485.8</v>
      </c>
      <c r="Q113" s="14">
        <v>15981.53</v>
      </c>
      <c r="R113" s="14">
        <v>294549.15000000002</v>
      </c>
      <c r="S113" s="14">
        <v>156.25</v>
      </c>
      <c r="T113" s="14"/>
      <c r="U113" s="14">
        <v>15330</v>
      </c>
      <c r="V113" s="14"/>
      <c r="W113" s="14"/>
      <c r="X113" s="2">
        <f t="shared" si="4"/>
        <v>13331274.740000002</v>
      </c>
      <c r="Y113" s="14">
        <v>85201.62</v>
      </c>
      <c r="Z113" s="14"/>
      <c r="AA113" s="14">
        <v>624295.92000000004</v>
      </c>
      <c r="AB113" s="14"/>
      <c r="AC113" s="14">
        <v>547267.16</v>
      </c>
      <c r="AD113" s="14">
        <v>146264.03</v>
      </c>
      <c r="AE113" s="14"/>
      <c r="AF113" s="14"/>
      <c r="AG113" s="14">
        <v>11742.1</v>
      </c>
      <c r="AH113" s="14"/>
      <c r="AI113" s="14"/>
      <c r="AJ113" s="14">
        <v>74347.25</v>
      </c>
      <c r="AK113" s="14"/>
      <c r="AL113" s="48">
        <f t="shared" si="5"/>
        <v>1489118.0800000003</v>
      </c>
      <c r="AM113" s="22">
        <v>69.5</v>
      </c>
      <c r="AN113" s="14">
        <v>3602</v>
      </c>
      <c r="AO113" s="14">
        <v>-87446.64</v>
      </c>
      <c r="AP113" s="14"/>
      <c r="AQ113" s="14">
        <v>-4372.1000000000004</v>
      </c>
      <c r="AR113" s="44">
        <v>1.5</v>
      </c>
    </row>
    <row r="114" spans="1:44" x14ac:dyDescent="0.25">
      <c r="A114" s="12">
        <v>5582</v>
      </c>
      <c r="B114" s="13" t="s">
        <v>435</v>
      </c>
      <c r="C114" s="14">
        <v>8896714.3499999996</v>
      </c>
      <c r="D114" s="14">
        <v>843758.45</v>
      </c>
      <c r="E114" s="14"/>
      <c r="F114" s="14"/>
      <c r="G114" s="14">
        <v>892162.62</v>
      </c>
      <c r="H114" s="14">
        <v>460526.45</v>
      </c>
      <c r="I114" s="14">
        <v>37580.65</v>
      </c>
      <c r="J114" s="14">
        <v>470725.42</v>
      </c>
      <c r="K114" s="14">
        <v>37413</v>
      </c>
      <c r="L114" s="14">
        <v>733987</v>
      </c>
      <c r="M114" s="3">
        <f t="shared" si="3"/>
        <v>12372867.939999998</v>
      </c>
      <c r="N114" s="14">
        <v>603734.35</v>
      </c>
      <c r="O114" s="14">
        <v>65354.5</v>
      </c>
      <c r="P114" s="14">
        <v>459236.85</v>
      </c>
      <c r="Q114" s="14">
        <v>54403.77</v>
      </c>
      <c r="R114" s="14">
        <v>236385.7</v>
      </c>
      <c r="S114" s="14">
        <v>634.4</v>
      </c>
      <c r="T114" s="14">
        <v>1442</v>
      </c>
      <c r="U114" s="14">
        <v>15150</v>
      </c>
      <c r="V114" s="14"/>
      <c r="W114" s="14"/>
      <c r="X114" s="2">
        <f t="shared" si="4"/>
        <v>13809209.509999996</v>
      </c>
      <c r="Y114" s="14">
        <v>255472.7</v>
      </c>
      <c r="Z114" s="14">
        <v>14220.15</v>
      </c>
      <c r="AA114" s="14">
        <v>571281.4</v>
      </c>
      <c r="AB114" s="14"/>
      <c r="AC114" s="14">
        <v>479097.1</v>
      </c>
      <c r="AD114" s="14"/>
      <c r="AE114" s="14"/>
      <c r="AF114" s="14"/>
      <c r="AG114" s="14"/>
      <c r="AH114" s="14">
        <v>189553.35</v>
      </c>
      <c r="AI114" s="14"/>
      <c r="AJ114" s="14"/>
      <c r="AK114" s="14"/>
      <c r="AL114" s="48">
        <f t="shared" si="5"/>
        <v>1509624.7000000002</v>
      </c>
      <c r="AM114" s="22">
        <v>74.5</v>
      </c>
      <c r="AN114" s="14">
        <v>4297</v>
      </c>
      <c r="AO114" s="14">
        <v>-107561.04</v>
      </c>
      <c r="AP114" s="14"/>
      <c r="AQ114" s="14">
        <v>-1400.24</v>
      </c>
      <c r="AR114" s="44">
        <v>1</v>
      </c>
    </row>
    <row r="115" spans="1:44" x14ac:dyDescent="0.25">
      <c r="A115" s="12">
        <v>5583</v>
      </c>
      <c r="B115" s="13" t="s">
        <v>436</v>
      </c>
      <c r="C115" s="14">
        <v>11590545.550000001</v>
      </c>
      <c r="D115" s="14">
        <v>1365761.93</v>
      </c>
      <c r="E115" s="14"/>
      <c r="F115" s="14"/>
      <c r="G115" s="14">
        <v>5092648.45</v>
      </c>
      <c r="H115" s="14">
        <v>307857.90000000002</v>
      </c>
      <c r="I115" s="14"/>
      <c r="J115" s="14">
        <v>726320.2</v>
      </c>
      <c r="K115" s="14">
        <v>159156</v>
      </c>
      <c r="L115" s="14">
        <v>2041772.75</v>
      </c>
      <c r="M115" s="3">
        <f t="shared" si="3"/>
        <v>21284062.779999997</v>
      </c>
      <c r="N115" s="14">
        <v>1552944.55</v>
      </c>
      <c r="O115" s="14">
        <v>90009.9</v>
      </c>
      <c r="P115" s="14">
        <v>804714.9</v>
      </c>
      <c r="Q115" s="14">
        <v>78063.05</v>
      </c>
      <c r="R115" s="14">
        <v>476354.15</v>
      </c>
      <c r="S115" s="14">
        <v>837.5</v>
      </c>
      <c r="T115" s="14"/>
      <c r="U115" s="14">
        <v>44737.5</v>
      </c>
      <c r="V115" s="14">
        <v>546</v>
      </c>
      <c r="W115" s="14">
        <v>130449.75</v>
      </c>
      <c r="X115" s="2">
        <f t="shared" si="4"/>
        <v>24462720.079999994</v>
      </c>
      <c r="Y115" s="14">
        <v>408284</v>
      </c>
      <c r="Z115" s="14">
        <v>106725.85</v>
      </c>
      <c r="AA115" s="14"/>
      <c r="AB115" s="14"/>
      <c r="AC115" s="14">
        <v>936630.7</v>
      </c>
      <c r="AD115" s="14">
        <v>776171.16</v>
      </c>
      <c r="AE115" s="14">
        <v>813451.61</v>
      </c>
      <c r="AF115" s="14">
        <v>-828.5</v>
      </c>
      <c r="AG115" s="14">
        <v>187842.1</v>
      </c>
      <c r="AH115" s="14">
        <v>591822.1</v>
      </c>
      <c r="AI115" s="14"/>
      <c r="AJ115" s="14">
        <v>41915.85</v>
      </c>
      <c r="AK115" s="14"/>
      <c r="AL115" s="48">
        <f t="shared" si="5"/>
        <v>3862014.87</v>
      </c>
      <c r="AM115" s="22">
        <v>65</v>
      </c>
      <c r="AN115" s="14">
        <v>7542</v>
      </c>
      <c r="AO115" s="14">
        <v>-305920.89</v>
      </c>
      <c r="AP115" s="14"/>
      <c r="AQ115" s="14">
        <v>-1033.1600000000001</v>
      </c>
      <c r="AR115" s="44">
        <v>1</v>
      </c>
    </row>
    <row r="116" spans="1:44" x14ac:dyDescent="0.25">
      <c r="A116" s="12">
        <v>5584</v>
      </c>
      <c r="B116" s="13" t="s">
        <v>437</v>
      </c>
      <c r="C116" s="14">
        <v>21958763.670000002</v>
      </c>
      <c r="D116" s="14">
        <v>3977442.25</v>
      </c>
      <c r="E116" s="14"/>
      <c r="F116" s="14"/>
      <c r="G116" s="14">
        <v>1093903.7</v>
      </c>
      <c r="H116" s="14">
        <v>43030.75</v>
      </c>
      <c r="I116" s="14">
        <v>343593.03</v>
      </c>
      <c r="J116" s="14">
        <v>768147.68</v>
      </c>
      <c r="K116" s="14">
        <v>174937</v>
      </c>
      <c r="L116" s="14">
        <v>1928223.46</v>
      </c>
      <c r="M116" s="3">
        <f t="shared" si="3"/>
        <v>30288041.540000003</v>
      </c>
      <c r="N116" s="14">
        <v>154161.45000000001</v>
      </c>
      <c r="O116" s="14">
        <v>1361273.5</v>
      </c>
      <c r="P116" s="14">
        <v>1215434</v>
      </c>
      <c r="Q116" s="14">
        <v>31028.22</v>
      </c>
      <c r="R116" s="14">
        <v>671671.65</v>
      </c>
      <c r="S116" s="14">
        <v>818.75</v>
      </c>
      <c r="T116" s="14">
        <v>29241</v>
      </c>
      <c r="U116" s="14">
        <v>34320</v>
      </c>
      <c r="V116" s="14">
        <v>393.3</v>
      </c>
      <c r="W116" s="14"/>
      <c r="X116" s="2">
        <f t="shared" si="4"/>
        <v>33786383.409999996</v>
      </c>
      <c r="Y116" s="14">
        <v>363090.05</v>
      </c>
      <c r="Z116" s="14"/>
      <c r="AA116" s="14">
        <v>512594.35</v>
      </c>
      <c r="AB116" s="14"/>
      <c r="AC116" s="14">
        <v>713021.1</v>
      </c>
      <c r="AD116" s="14"/>
      <c r="AE116" s="14"/>
      <c r="AF116" s="14"/>
      <c r="AG116" s="14"/>
      <c r="AH116" s="14">
        <v>245738.47</v>
      </c>
      <c r="AI116" s="14"/>
      <c r="AJ116" s="14"/>
      <c r="AK116" s="14"/>
      <c r="AL116" s="48">
        <f t="shared" si="5"/>
        <v>1834443.97</v>
      </c>
      <c r="AM116" s="22">
        <v>66</v>
      </c>
      <c r="AN116" s="14">
        <v>9185</v>
      </c>
      <c r="AO116" s="14">
        <v>-216937.36</v>
      </c>
      <c r="AP116" s="14"/>
      <c r="AQ116" s="14">
        <v>-11174.34</v>
      </c>
      <c r="AR116" s="44">
        <v>1</v>
      </c>
    </row>
    <row r="117" spans="1:44" x14ac:dyDescent="0.25">
      <c r="A117" s="12">
        <v>5585</v>
      </c>
      <c r="B117" s="13" t="s">
        <v>438</v>
      </c>
      <c r="C117" s="14">
        <v>5022574.3</v>
      </c>
      <c r="D117" s="14">
        <v>2619864.16</v>
      </c>
      <c r="E117" s="14"/>
      <c r="F117" s="14"/>
      <c r="G117" s="14">
        <v>95839.85</v>
      </c>
      <c r="H117" s="14">
        <v>763.85</v>
      </c>
      <c r="I117" s="14">
        <v>336191.6</v>
      </c>
      <c r="J117" s="14">
        <v>-70955.75</v>
      </c>
      <c r="K117" s="14">
        <v>5022</v>
      </c>
      <c r="L117" s="14">
        <v>447917</v>
      </c>
      <c r="M117" s="3">
        <f t="shared" si="3"/>
        <v>8457217.0099999979</v>
      </c>
      <c r="N117" s="14">
        <v>2778.95</v>
      </c>
      <c r="O117" s="14">
        <v>204874.5</v>
      </c>
      <c r="P117" s="14">
        <v>151862.35</v>
      </c>
      <c r="Q117" s="14">
        <v>2065.14</v>
      </c>
      <c r="R117" s="14">
        <v>189083.5</v>
      </c>
      <c r="S117" s="14"/>
      <c r="T117" s="14"/>
      <c r="U117" s="14">
        <v>6690</v>
      </c>
      <c r="V117" s="14"/>
      <c r="W117" s="14"/>
      <c r="X117" s="2">
        <f t="shared" si="4"/>
        <v>9014571.4499999974</v>
      </c>
      <c r="Y117" s="14">
        <v>94167.8</v>
      </c>
      <c r="Z117" s="14"/>
      <c r="AA117" s="14">
        <v>281565.05</v>
      </c>
      <c r="AB117" s="14"/>
      <c r="AC117" s="14">
        <v>150488.29999999999</v>
      </c>
      <c r="AD117" s="14"/>
      <c r="AE117" s="14"/>
      <c r="AF117" s="14"/>
      <c r="AG117" s="14"/>
      <c r="AH117" s="14"/>
      <c r="AI117" s="14"/>
      <c r="AJ117" s="14"/>
      <c r="AK117" s="14"/>
      <c r="AL117" s="48">
        <f t="shared" si="5"/>
        <v>526221.14999999991</v>
      </c>
      <c r="AM117" s="22">
        <v>53</v>
      </c>
      <c r="AN117" s="14">
        <v>1405</v>
      </c>
      <c r="AO117" s="14">
        <v>-19725.86</v>
      </c>
      <c r="AP117" s="14"/>
      <c r="AQ117" s="14">
        <v>-3128.64</v>
      </c>
      <c r="AR117" s="44">
        <v>1</v>
      </c>
    </row>
    <row r="118" spans="1:44" x14ac:dyDescent="0.25">
      <c r="A118" s="12">
        <v>5586</v>
      </c>
      <c r="B118" s="13" t="s">
        <v>154</v>
      </c>
      <c r="C118" s="14">
        <v>281482973.88999999</v>
      </c>
      <c r="D118" s="14">
        <v>33996173.700000003</v>
      </c>
      <c r="E118" s="14"/>
      <c r="F118" s="14"/>
      <c r="G118" s="14">
        <v>91421548.799999997</v>
      </c>
      <c r="H118" s="14">
        <v>5320896.6500000004</v>
      </c>
      <c r="I118" s="14">
        <v>4526664.26</v>
      </c>
      <c r="J118" s="14">
        <v>28276234.800000001</v>
      </c>
      <c r="K118" s="14">
        <v>5027736</v>
      </c>
      <c r="L118" s="14">
        <v>32342872.300000001</v>
      </c>
      <c r="M118" s="3">
        <f t="shared" si="3"/>
        <v>482395100.39999998</v>
      </c>
      <c r="N118" s="14">
        <v>10512662.449999999</v>
      </c>
      <c r="O118" s="14">
        <v>13168590.65</v>
      </c>
      <c r="P118" s="14">
        <v>8943912.6999999993</v>
      </c>
      <c r="Q118" s="14">
        <v>2923790.37</v>
      </c>
      <c r="R118" s="14">
        <v>6074642.5</v>
      </c>
      <c r="S118" s="14">
        <v>31.25</v>
      </c>
      <c r="T118" s="14"/>
      <c r="U118" s="14">
        <v>342730</v>
      </c>
      <c r="V118" s="14">
        <v>5261084.9000000004</v>
      </c>
      <c r="W118" s="14"/>
      <c r="X118" s="2">
        <f t="shared" si="4"/>
        <v>529622545.21999991</v>
      </c>
      <c r="Y118" s="14">
        <v>2943727.35</v>
      </c>
      <c r="Z118" s="14"/>
      <c r="AA118" s="14">
        <v>14236152.35</v>
      </c>
      <c r="AB118" s="14"/>
      <c r="AC118" s="14">
        <v>21367276.350000001</v>
      </c>
      <c r="AD118" s="14">
        <v>8412968.0999999996</v>
      </c>
      <c r="AE118" s="14"/>
      <c r="AF118" s="14"/>
      <c r="AG118" s="14">
        <v>3066891.44</v>
      </c>
      <c r="AH118" s="14">
        <v>7729156.4900000002</v>
      </c>
      <c r="AI118" s="14">
        <v>7558073.0499999998</v>
      </c>
      <c r="AJ118" s="14">
        <v>1681663.53</v>
      </c>
      <c r="AK118" s="14">
        <v>1681644.88</v>
      </c>
      <c r="AL118" s="48">
        <f t="shared" si="5"/>
        <v>68677553.539999992</v>
      </c>
      <c r="AM118" s="22">
        <v>79</v>
      </c>
      <c r="AN118" s="14">
        <v>134937</v>
      </c>
      <c r="AO118" s="14">
        <v>-8430238.9199999999</v>
      </c>
      <c r="AP118" s="14"/>
      <c r="AQ118" s="14">
        <v>-206845.15</v>
      </c>
      <c r="AR118" s="44">
        <v>1.5</v>
      </c>
    </row>
    <row r="119" spans="1:44" x14ac:dyDescent="0.25">
      <c r="A119" s="12">
        <v>5587</v>
      </c>
      <c r="B119" s="13" t="s">
        <v>155</v>
      </c>
      <c r="C119" s="14">
        <v>19899997.789999999</v>
      </c>
      <c r="D119" s="14">
        <v>2883652.57</v>
      </c>
      <c r="E119" s="14"/>
      <c r="F119" s="14"/>
      <c r="G119" s="14">
        <v>3250117.2</v>
      </c>
      <c r="H119" s="14">
        <v>447170.3</v>
      </c>
      <c r="I119" s="14">
        <v>89175.05</v>
      </c>
      <c r="J119" s="14">
        <v>468295.99</v>
      </c>
      <c r="K119" s="14">
        <v>173689.5</v>
      </c>
      <c r="L119" s="14">
        <v>1992866.75</v>
      </c>
      <c r="M119" s="3">
        <f t="shared" si="3"/>
        <v>29204965.149999999</v>
      </c>
      <c r="N119" s="14">
        <v>506518.25</v>
      </c>
      <c r="O119" s="14">
        <v>837970.6</v>
      </c>
      <c r="P119" s="14">
        <v>1747466.05</v>
      </c>
      <c r="Q119" s="14">
        <v>79595.45</v>
      </c>
      <c r="R119" s="14">
        <v>367371.45</v>
      </c>
      <c r="S119" s="14">
        <v>174.5</v>
      </c>
      <c r="T119" s="14">
        <v>2340</v>
      </c>
      <c r="U119" s="14">
        <v>33450</v>
      </c>
      <c r="V119" s="14"/>
      <c r="W119" s="14"/>
      <c r="X119" s="2">
        <f t="shared" si="4"/>
        <v>32779851.449999999</v>
      </c>
      <c r="Y119" s="14">
        <v>348472</v>
      </c>
      <c r="Z119" s="14"/>
      <c r="AA119" s="14">
        <v>1351410.5</v>
      </c>
      <c r="AB119" s="14"/>
      <c r="AC119" s="14">
        <v>601234.56999999995</v>
      </c>
      <c r="AD119" s="14"/>
      <c r="AE119" s="14"/>
      <c r="AF119" s="14"/>
      <c r="AG119" s="14"/>
      <c r="AH119" s="14">
        <v>291846.46000000002</v>
      </c>
      <c r="AI119" s="14"/>
      <c r="AJ119" s="14"/>
      <c r="AK119" s="14"/>
      <c r="AL119" s="48">
        <f t="shared" si="5"/>
        <v>2592963.5299999998</v>
      </c>
      <c r="AM119" s="22">
        <v>75</v>
      </c>
      <c r="AN119" s="14">
        <v>7271</v>
      </c>
      <c r="AO119" s="14">
        <v>-402509.5</v>
      </c>
      <c r="AP119" s="14"/>
      <c r="AQ119" s="14">
        <v>-16231.38</v>
      </c>
      <c r="AR119" s="44">
        <v>1.2</v>
      </c>
    </row>
    <row r="120" spans="1:44" x14ac:dyDescent="0.25">
      <c r="A120" s="12">
        <v>5588</v>
      </c>
      <c r="B120" s="13" t="s">
        <v>156</v>
      </c>
      <c r="C120" s="14">
        <v>5787909.3499999996</v>
      </c>
      <c r="D120" s="14">
        <v>1669415.97</v>
      </c>
      <c r="E120" s="14"/>
      <c r="F120" s="14"/>
      <c r="G120" s="14">
        <v>730710.1</v>
      </c>
      <c r="H120" s="14">
        <v>207141.55</v>
      </c>
      <c r="I120" s="14">
        <v>358764.17</v>
      </c>
      <c r="J120" s="14">
        <v>165800.16</v>
      </c>
      <c r="K120" s="14">
        <v>36739.5</v>
      </c>
      <c r="L120" s="14">
        <v>330066.34999999998</v>
      </c>
      <c r="M120" s="3">
        <f t="shared" si="3"/>
        <v>9286547.1499999985</v>
      </c>
      <c r="N120" s="14">
        <v>18905.45</v>
      </c>
      <c r="O120" s="14">
        <v>14758.7</v>
      </c>
      <c r="P120" s="14">
        <v>9185</v>
      </c>
      <c r="Q120" s="14">
        <v>34004.75</v>
      </c>
      <c r="R120" s="14">
        <v>13581.25</v>
      </c>
      <c r="S120" s="14">
        <v>260</v>
      </c>
      <c r="T120" s="14"/>
      <c r="U120" s="14">
        <v>5437.5</v>
      </c>
      <c r="V120" s="14"/>
      <c r="W120" s="14"/>
      <c r="X120" s="2">
        <f t="shared" si="4"/>
        <v>9382679.799999997</v>
      </c>
      <c r="Y120" s="14"/>
      <c r="Z120" s="14">
        <v>1787</v>
      </c>
      <c r="AA120" s="14">
        <v>113056</v>
      </c>
      <c r="AB120" s="14"/>
      <c r="AC120" s="14">
        <v>129627</v>
      </c>
      <c r="AD120" s="14"/>
      <c r="AE120" s="14">
        <v>1745</v>
      </c>
      <c r="AF120" s="14"/>
      <c r="AG120" s="14"/>
      <c r="AH120" s="14"/>
      <c r="AI120" s="14">
        <v>32208</v>
      </c>
      <c r="AJ120" s="14"/>
      <c r="AK120" s="14">
        <v>16104</v>
      </c>
      <c r="AL120" s="48">
        <f t="shared" si="5"/>
        <v>294527</v>
      </c>
      <c r="AM120" s="22">
        <v>61.5</v>
      </c>
      <c r="AN120" s="14">
        <v>1485</v>
      </c>
      <c r="AO120" s="14">
        <v>-41925.31</v>
      </c>
      <c r="AP120" s="14"/>
      <c r="AQ120" s="14">
        <v>-23511.37</v>
      </c>
      <c r="AR120" s="44">
        <v>0.7</v>
      </c>
    </row>
    <row r="121" spans="1:44" x14ac:dyDescent="0.25">
      <c r="A121" s="12">
        <v>5589</v>
      </c>
      <c r="B121" s="13" t="s">
        <v>157</v>
      </c>
      <c r="C121" s="14">
        <v>18205349.5</v>
      </c>
      <c r="D121" s="14">
        <v>1849114.58</v>
      </c>
      <c r="E121" s="14"/>
      <c r="F121" s="14"/>
      <c r="G121" s="14">
        <v>9957127.5999999996</v>
      </c>
      <c r="H121" s="14">
        <v>588390.75</v>
      </c>
      <c r="I121" s="14">
        <v>32826.199999999997</v>
      </c>
      <c r="J121" s="14">
        <v>1734884.87</v>
      </c>
      <c r="K121" s="14">
        <v>323358</v>
      </c>
      <c r="L121" s="14">
        <v>1734970.6</v>
      </c>
      <c r="M121" s="3">
        <f t="shared" si="3"/>
        <v>34426022.100000001</v>
      </c>
      <c r="N121" s="14">
        <v>1442728.6</v>
      </c>
      <c r="O121" s="14">
        <v>735063.5</v>
      </c>
      <c r="P121" s="14">
        <v>1528649.05</v>
      </c>
      <c r="Q121" s="14">
        <v>568438.1</v>
      </c>
      <c r="R121" s="14">
        <v>355131.45</v>
      </c>
      <c r="S121" s="14">
        <v>737.5</v>
      </c>
      <c r="T121" s="14"/>
      <c r="U121" s="14">
        <v>36600</v>
      </c>
      <c r="V121" s="14"/>
      <c r="W121" s="14"/>
      <c r="X121" s="2">
        <f t="shared" si="4"/>
        <v>39093370.300000004</v>
      </c>
      <c r="Y121" s="14">
        <v>108502.6</v>
      </c>
      <c r="Z121" s="14"/>
      <c r="AA121" s="14">
        <v>1852367.4</v>
      </c>
      <c r="AB121" s="14"/>
      <c r="AC121" s="14">
        <v>833745.6</v>
      </c>
      <c r="AD121" s="14"/>
      <c r="AE121" s="14"/>
      <c r="AF121" s="14">
        <v>323.2</v>
      </c>
      <c r="AG121" s="14"/>
      <c r="AH121" s="14">
        <v>365864.07</v>
      </c>
      <c r="AI121" s="14"/>
      <c r="AJ121" s="14">
        <v>94079.35</v>
      </c>
      <c r="AK121" s="14"/>
      <c r="AL121" s="48">
        <f t="shared" si="5"/>
        <v>3254882.22</v>
      </c>
      <c r="AM121" s="22">
        <v>73.5</v>
      </c>
      <c r="AN121" s="14">
        <v>11782</v>
      </c>
      <c r="AO121" s="14">
        <v>-1003835.5</v>
      </c>
      <c r="AP121" s="14"/>
      <c r="AQ121" s="14">
        <v>-3124.18</v>
      </c>
      <c r="AR121" s="44">
        <v>1</v>
      </c>
    </row>
    <row r="122" spans="1:44" x14ac:dyDescent="0.25">
      <c r="A122" s="12">
        <v>5590</v>
      </c>
      <c r="B122" s="13" t="s">
        <v>158</v>
      </c>
      <c r="C122" s="14">
        <v>55029205.439999998</v>
      </c>
      <c r="D122" s="14">
        <v>14439476.060000001</v>
      </c>
      <c r="E122" s="14"/>
      <c r="F122" s="14"/>
      <c r="G122" s="14">
        <v>8149571.2000000002</v>
      </c>
      <c r="H122" s="14">
        <v>283744.34999999998</v>
      </c>
      <c r="I122" s="14">
        <v>2637484.9300000002</v>
      </c>
      <c r="J122" s="14">
        <v>1483221.57</v>
      </c>
      <c r="K122" s="14">
        <v>403703.5</v>
      </c>
      <c r="L122" s="14">
        <v>3066488.3</v>
      </c>
      <c r="M122" s="3">
        <f t="shared" si="3"/>
        <v>85492895.349999994</v>
      </c>
      <c r="N122" s="14">
        <v>118526</v>
      </c>
      <c r="O122" s="14">
        <v>5723813.5</v>
      </c>
      <c r="P122" s="14">
        <v>3248077.9</v>
      </c>
      <c r="Q122" s="14">
        <v>292623.14</v>
      </c>
      <c r="R122" s="14">
        <v>2257616.75</v>
      </c>
      <c r="S122" s="14">
        <v>2659.65</v>
      </c>
      <c r="T122" s="14"/>
      <c r="U122" s="14">
        <v>48900</v>
      </c>
      <c r="V122" s="14"/>
      <c r="W122" s="14"/>
      <c r="X122" s="2">
        <f t="shared" si="4"/>
        <v>97185112.290000007</v>
      </c>
      <c r="Y122" s="14">
        <v>479095.18</v>
      </c>
      <c r="Z122" s="14"/>
      <c r="AA122" s="14">
        <v>3348168.99</v>
      </c>
      <c r="AB122" s="14"/>
      <c r="AC122" s="14">
        <v>2642360.9900000002</v>
      </c>
      <c r="AD122" s="14">
        <v>437735.86</v>
      </c>
      <c r="AE122" s="14"/>
      <c r="AF122" s="14"/>
      <c r="AG122" s="14">
        <v>39235.72</v>
      </c>
      <c r="AH122" s="14">
        <v>350000.41</v>
      </c>
      <c r="AI122" s="14">
        <v>514999.13</v>
      </c>
      <c r="AJ122" s="14"/>
      <c r="AK122" s="14"/>
      <c r="AL122" s="48">
        <f t="shared" si="5"/>
        <v>7811596.2800000003</v>
      </c>
      <c r="AM122" s="22">
        <v>63</v>
      </c>
      <c r="AN122" s="14">
        <v>17811</v>
      </c>
      <c r="AO122" s="14">
        <v>-857905.75</v>
      </c>
      <c r="AP122" s="14"/>
      <c r="AQ122" s="14">
        <v>-140766.15</v>
      </c>
      <c r="AR122" s="44">
        <v>0.7</v>
      </c>
    </row>
    <row r="123" spans="1:44" x14ac:dyDescent="0.25">
      <c r="A123" s="12">
        <v>5591</v>
      </c>
      <c r="B123" s="13" t="s">
        <v>441</v>
      </c>
      <c r="C123" s="14">
        <v>29280274.710000001</v>
      </c>
      <c r="D123" s="14">
        <v>2691022.69</v>
      </c>
      <c r="E123" s="14"/>
      <c r="F123" s="14"/>
      <c r="G123" s="14">
        <v>4621894.3</v>
      </c>
      <c r="H123" s="14">
        <v>552038.30000000005</v>
      </c>
      <c r="I123" s="14"/>
      <c r="J123" s="14">
        <v>3007106.98</v>
      </c>
      <c r="K123" s="14">
        <v>570782.5</v>
      </c>
      <c r="L123" s="14">
        <v>4564826.1500000004</v>
      </c>
      <c r="M123" s="3">
        <f t="shared" si="3"/>
        <v>45287945.629999995</v>
      </c>
      <c r="N123" s="14">
        <v>2177057.7000000002</v>
      </c>
      <c r="O123" s="14">
        <v>264140</v>
      </c>
      <c r="P123" s="14">
        <v>574666.85</v>
      </c>
      <c r="Q123" s="14">
        <v>470418.13</v>
      </c>
      <c r="R123" s="14">
        <v>195701.9</v>
      </c>
      <c r="S123" s="14">
        <v>4587.5</v>
      </c>
      <c r="T123" s="14"/>
      <c r="U123" s="14">
        <v>46900</v>
      </c>
      <c r="V123" s="14">
        <v>100251.4</v>
      </c>
      <c r="W123" s="14">
        <v>51961</v>
      </c>
      <c r="X123" s="2">
        <f t="shared" si="4"/>
        <v>49173630.109999999</v>
      </c>
      <c r="Y123" s="14">
        <v>204716.79999999999</v>
      </c>
      <c r="Z123" s="14"/>
      <c r="AA123" s="14">
        <v>1321933.3500000001</v>
      </c>
      <c r="AB123" s="14">
        <v>21048</v>
      </c>
      <c r="AC123" s="14">
        <v>2272976.12</v>
      </c>
      <c r="AD123" s="14"/>
      <c r="AE123" s="14"/>
      <c r="AF123" s="14"/>
      <c r="AG123" s="14">
        <v>2613.85</v>
      </c>
      <c r="AH123" s="14">
        <v>562344.14</v>
      </c>
      <c r="AI123" s="14"/>
      <c r="AJ123" s="14"/>
      <c r="AK123" s="14">
        <v>80334.710000000006</v>
      </c>
      <c r="AL123" s="48">
        <f t="shared" si="5"/>
        <v>4465966.9700000007</v>
      </c>
      <c r="AM123" s="22">
        <v>78.5</v>
      </c>
      <c r="AN123" s="14">
        <v>20362</v>
      </c>
      <c r="AO123" s="14">
        <v>-1518948.24</v>
      </c>
      <c r="AP123" s="14"/>
      <c r="AQ123" s="14">
        <v>-3899.55</v>
      </c>
      <c r="AR123" s="44">
        <v>1.4</v>
      </c>
    </row>
    <row r="124" spans="1:44" x14ac:dyDescent="0.25">
      <c r="A124" s="12">
        <v>5592</v>
      </c>
      <c r="B124" s="13" t="s">
        <v>252</v>
      </c>
      <c r="C124" s="14">
        <v>5662336.0599999996</v>
      </c>
      <c r="D124" s="14">
        <v>649560.02</v>
      </c>
      <c r="E124" s="14"/>
      <c r="F124" s="14"/>
      <c r="G124" s="14">
        <v>612388.4</v>
      </c>
      <c r="H124" s="14">
        <v>5613.1</v>
      </c>
      <c r="I124" s="14">
        <v>19455.8</v>
      </c>
      <c r="J124" s="14">
        <v>85143.31</v>
      </c>
      <c r="K124" s="14">
        <v>83295</v>
      </c>
      <c r="L124" s="14">
        <v>639323.19999999995</v>
      </c>
      <c r="M124" s="3">
        <f t="shared" si="3"/>
        <v>7757114.8899999997</v>
      </c>
      <c r="N124" s="14">
        <v>229362.6</v>
      </c>
      <c r="O124" s="14">
        <v>2835</v>
      </c>
      <c r="P124" s="14">
        <v>208475.15</v>
      </c>
      <c r="Q124" s="14">
        <v>51681.67</v>
      </c>
      <c r="R124" s="14">
        <v>645041.35</v>
      </c>
      <c r="S124" s="14">
        <v>331.25</v>
      </c>
      <c r="T124" s="14">
        <v>1601</v>
      </c>
      <c r="U124" s="14">
        <v>15975</v>
      </c>
      <c r="V124" s="14"/>
      <c r="W124" s="14"/>
      <c r="X124" s="2">
        <f t="shared" si="4"/>
        <v>8912417.9100000001</v>
      </c>
      <c r="Y124" s="14">
        <v>22666.799999999999</v>
      </c>
      <c r="Z124" s="14">
        <v>22427.15</v>
      </c>
      <c r="AA124" s="14">
        <v>151662.59</v>
      </c>
      <c r="AB124" s="14"/>
      <c r="AC124" s="14">
        <v>220051.99</v>
      </c>
      <c r="AD124" s="14">
        <v>6083.75</v>
      </c>
      <c r="AE124" s="14">
        <v>14419.27</v>
      </c>
      <c r="AF124" s="14"/>
      <c r="AG124" s="14"/>
      <c r="AH124" s="14">
        <v>102021.66</v>
      </c>
      <c r="AI124" s="14">
        <v>58301.27</v>
      </c>
      <c r="AJ124" s="14">
        <v>43725.96</v>
      </c>
      <c r="AK124" s="14"/>
      <c r="AL124" s="48">
        <f t="shared" si="5"/>
        <v>641360.43999999994</v>
      </c>
      <c r="AM124" s="22">
        <v>70</v>
      </c>
      <c r="AN124" s="14">
        <v>3351</v>
      </c>
      <c r="AO124" s="14">
        <v>-85547.24</v>
      </c>
      <c r="AP124" s="14"/>
      <c r="AQ124" s="14">
        <v>-4080.64</v>
      </c>
      <c r="AR124" s="44">
        <v>1</v>
      </c>
    </row>
    <row r="125" spans="1:44" x14ac:dyDescent="0.25">
      <c r="A125" s="12">
        <v>5601</v>
      </c>
      <c r="B125" s="13" t="s">
        <v>342</v>
      </c>
      <c r="C125" s="14">
        <v>5103556.3099999996</v>
      </c>
      <c r="D125" s="14">
        <v>948529.45</v>
      </c>
      <c r="E125" s="14"/>
      <c r="F125" s="14"/>
      <c r="G125" s="14">
        <v>212626.15</v>
      </c>
      <c r="H125" s="14">
        <v>6892.3</v>
      </c>
      <c r="I125" s="14">
        <v>-16752.3</v>
      </c>
      <c r="J125" s="14">
        <v>117107.69</v>
      </c>
      <c r="K125" s="14">
        <v>8891</v>
      </c>
      <c r="L125" s="14">
        <v>397141.25</v>
      </c>
      <c r="M125" s="3">
        <f t="shared" si="3"/>
        <v>6777991.8500000006</v>
      </c>
      <c r="N125" s="14">
        <v>53917.5</v>
      </c>
      <c r="O125" s="14">
        <v>222283.4</v>
      </c>
      <c r="P125" s="14">
        <v>190490.3</v>
      </c>
      <c r="Q125" s="14">
        <v>5097.82</v>
      </c>
      <c r="R125" s="14">
        <v>206850.4</v>
      </c>
      <c r="S125" s="14">
        <v>281.25</v>
      </c>
      <c r="T125" s="14"/>
      <c r="U125" s="14">
        <v>7875</v>
      </c>
      <c r="V125" s="14"/>
      <c r="W125" s="14"/>
      <c r="X125" s="2">
        <f t="shared" si="4"/>
        <v>7464787.5200000014</v>
      </c>
      <c r="Y125" s="14"/>
      <c r="Z125" s="14">
        <v>30837.3</v>
      </c>
      <c r="AA125" s="14">
        <v>272512.59999999998</v>
      </c>
      <c r="AB125" s="14">
        <v>239526.8</v>
      </c>
      <c r="AC125" s="14">
        <v>134521.35</v>
      </c>
      <c r="AD125" s="14"/>
      <c r="AE125" s="14">
        <v>27537.4</v>
      </c>
      <c r="AF125" s="14"/>
      <c r="AG125" s="14">
        <v>70609.7</v>
      </c>
      <c r="AH125" s="14"/>
      <c r="AI125" s="14">
        <v>49942.8</v>
      </c>
      <c r="AJ125" s="14"/>
      <c r="AK125" s="14"/>
      <c r="AL125" s="48">
        <f>SUM(Z125:AK125)</f>
        <v>825487.95</v>
      </c>
      <c r="AM125" s="22">
        <v>64</v>
      </c>
      <c r="AN125" s="14">
        <v>2218</v>
      </c>
      <c r="AO125" s="14">
        <v>-94240.93</v>
      </c>
      <c r="AP125" s="14"/>
      <c r="AQ125" s="14">
        <v>-2451.25</v>
      </c>
      <c r="AR125" s="44">
        <v>1</v>
      </c>
    </row>
    <row r="126" spans="1:44" x14ac:dyDescent="0.25">
      <c r="A126" s="12">
        <v>5604</v>
      </c>
      <c r="B126" s="13" t="s">
        <v>177</v>
      </c>
      <c r="C126" s="14">
        <v>3413643.01</v>
      </c>
      <c r="D126" s="14">
        <v>396385.93</v>
      </c>
      <c r="E126" s="14"/>
      <c r="F126" s="14"/>
      <c r="G126" s="14">
        <v>270110.75</v>
      </c>
      <c r="H126" s="14">
        <v>-22172.45</v>
      </c>
      <c r="I126" s="14">
        <v>16687.75</v>
      </c>
      <c r="J126" s="14">
        <v>113948.82</v>
      </c>
      <c r="K126" s="14">
        <v>22190</v>
      </c>
      <c r="L126" s="14">
        <v>335678.05</v>
      </c>
      <c r="M126" s="3">
        <f t="shared" si="3"/>
        <v>4546471.8599999994</v>
      </c>
      <c r="N126" s="14">
        <v>6750.8</v>
      </c>
      <c r="O126" s="14">
        <v>1597</v>
      </c>
      <c r="P126" s="14">
        <v>164254.85</v>
      </c>
      <c r="Q126" s="14">
        <v>14444.97</v>
      </c>
      <c r="R126" s="14">
        <v>112373.9</v>
      </c>
      <c r="S126" s="14">
        <v>362.5</v>
      </c>
      <c r="T126" s="14">
        <v>1540</v>
      </c>
      <c r="U126" s="14">
        <v>20925</v>
      </c>
      <c r="V126" s="14"/>
      <c r="W126" s="14">
        <v>465.6</v>
      </c>
      <c r="X126" s="2">
        <f t="shared" si="4"/>
        <v>4869186.4799999986</v>
      </c>
      <c r="Y126" s="14">
        <v>110395.85</v>
      </c>
      <c r="Z126" s="14">
        <v>6252.75</v>
      </c>
      <c r="AA126" s="14">
        <v>363039.1</v>
      </c>
      <c r="AB126" s="14"/>
      <c r="AC126" s="14">
        <v>102229.65</v>
      </c>
      <c r="AD126" s="14">
        <v>39523.599999999999</v>
      </c>
      <c r="AE126" s="14">
        <v>2880</v>
      </c>
      <c r="AF126" s="14"/>
      <c r="AG126" s="14">
        <v>12797.45</v>
      </c>
      <c r="AH126" s="14"/>
      <c r="AI126" s="14"/>
      <c r="AJ126" s="14"/>
      <c r="AK126" s="14"/>
      <c r="AL126" s="48">
        <f t="shared" si="5"/>
        <v>637118.39999999991</v>
      </c>
      <c r="AM126" s="22">
        <v>68</v>
      </c>
      <c r="AN126" s="14">
        <v>2085</v>
      </c>
      <c r="AO126" s="14">
        <v>-105822.34</v>
      </c>
      <c r="AP126" s="14"/>
      <c r="AQ126" s="14">
        <v>-94.9</v>
      </c>
      <c r="AR126" s="44">
        <v>1</v>
      </c>
    </row>
    <row r="127" spans="1:44" x14ac:dyDescent="0.25">
      <c r="A127" s="12">
        <v>5606</v>
      </c>
      <c r="B127" s="13" t="s">
        <v>178</v>
      </c>
      <c r="C127" s="14">
        <v>30341581.760000002</v>
      </c>
      <c r="D127" s="14">
        <v>6161644.8899999997</v>
      </c>
      <c r="E127" s="14"/>
      <c r="F127" s="14"/>
      <c r="G127" s="14">
        <v>856939.55</v>
      </c>
      <c r="H127" s="14">
        <v>52967.55</v>
      </c>
      <c r="I127" s="14">
        <v>1289309.25</v>
      </c>
      <c r="J127" s="14">
        <v>495942.40000000002</v>
      </c>
      <c r="K127" s="14">
        <v>126842</v>
      </c>
      <c r="L127" s="14">
        <v>1819024.25</v>
      </c>
      <c r="M127" s="3">
        <f t="shared" si="3"/>
        <v>41144251.649999991</v>
      </c>
      <c r="N127" s="14">
        <v>83906.4</v>
      </c>
      <c r="O127" s="14">
        <v>4657943.5</v>
      </c>
      <c r="P127" s="14">
        <v>1204786.6499999999</v>
      </c>
      <c r="Q127" s="14">
        <v>266358.36</v>
      </c>
      <c r="R127" s="14">
        <v>1661257.1</v>
      </c>
      <c r="S127" s="14">
        <v>881.25</v>
      </c>
      <c r="T127" s="14"/>
      <c r="U127" s="14">
        <v>42100</v>
      </c>
      <c r="V127" s="14">
        <v>1039.7</v>
      </c>
      <c r="W127" s="14">
        <v>6175.65</v>
      </c>
      <c r="X127" s="2">
        <f t="shared" si="4"/>
        <v>49068700.25999999</v>
      </c>
      <c r="Y127" s="14">
        <v>701449.85</v>
      </c>
      <c r="Z127" s="14"/>
      <c r="AA127" s="14">
        <v>1222453.8500000001</v>
      </c>
      <c r="AB127" s="14"/>
      <c r="AC127" s="14">
        <v>1410853.32</v>
      </c>
      <c r="AD127" s="14">
        <v>489724.1</v>
      </c>
      <c r="AE127" s="14"/>
      <c r="AF127" s="14"/>
      <c r="AG127" s="14">
        <v>13929.5</v>
      </c>
      <c r="AH127" s="14">
        <v>275297.95</v>
      </c>
      <c r="AI127" s="14">
        <v>196010.1</v>
      </c>
      <c r="AJ127" s="14">
        <v>78404.05</v>
      </c>
      <c r="AK127" s="14"/>
      <c r="AL127" s="48">
        <f t="shared" si="5"/>
        <v>4388122.7200000007</v>
      </c>
      <c r="AM127" s="22">
        <v>56</v>
      </c>
      <c r="AN127" s="14">
        <v>9739</v>
      </c>
      <c r="AO127" s="14">
        <v>-578306.67000000004</v>
      </c>
      <c r="AP127" s="14"/>
      <c r="AQ127" s="14">
        <v>-33528.300000000003</v>
      </c>
      <c r="AR127" s="44">
        <v>0.7</v>
      </c>
    </row>
    <row r="128" spans="1:44" x14ac:dyDescent="0.25">
      <c r="A128" s="12">
        <v>5607</v>
      </c>
      <c r="B128" s="13" t="s">
        <v>344</v>
      </c>
      <c r="C128" s="14">
        <v>4538071.93</v>
      </c>
      <c r="D128" s="14">
        <v>705634.09</v>
      </c>
      <c r="E128" s="14"/>
      <c r="F128" s="14"/>
      <c r="G128" s="14">
        <v>711160.95</v>
      </c>
      <c r="H128" s="14">
        <v>46571.7</v>
      </c>
      <c r="I128" s="14">
        <v>76798</v>
      </c>
      <c r="J128" s="14">
        <v>231266.95</v>
      </c>
      <c r="K128" s="14">
        <v>52015.5</v>
      </c>
      <c r="L128" s="14">
        <v>626852.44999999995</v>
      </c>
      <c r="M128" s="3">
        <f t="shared" si="3"/>
        <v>6988371.5700000003</v>
      </c>
      <c r="N128" s="14">
        <v>140910.85</v>
      </c>
      <c r="O128" s="14"/>
      <c r="P128" s="14">
        <v>259202.2</v>
      </c>
      <c r="Q128" s="14">
        <v>54765.96</v>
      </c>
      <c r="R128" s="14">
        <v>172248.75</v>
      </c>
      <c r="S128" s="14">
        <v>218.75</v>
      </c>
      <c r="T128" s="14"/>
      <c r="U128" s="14">
        <v>19550</v>
      </c>
      <c r="V128" s="14"/>
      <c r="W128" s="14"/>
      <c r="X128" s="2">
        <f t="shared" si="4"/>
        <v>7635268.0800000001</v>
      </c>
      <c r="Y128" s="14">
        <v>105996.2</v>
      </c>
      <c r="Z128" s="14"/>
      <c r="AA128" s="14">
        <v>171676.85</v>
      </c>
      <c r="AB128" s="14">
        <v>322404</v>
      </c>
      <c r="AC128" s="14">
        <v>150523</v>
      </c>
      <c r="AD128" s="14">
        <v>219766.9</v>
      </c>
      <c r="AE128" s="14"/>
      <c r="AF128" s="14"/>
      <c r="AG128" s="14">
        <v>43342</v>
      </c>
      <c r="AH128" s="14">
        <v>141845.45000000001</v>
      </c>
      <c r="AI128" s="14"/>
      <c r="AJ128" s="14"/>
      <c r="AK128" s="14"/>
      <c r="AL128" s="48">
        <f t="shared" si="5"/>
        <v>1155554.4000000001</v>
      </c>
      <c r="AM128" s="22">
        <v>68</v>
      </c>
      <c r="AN128" s="14">
        <v>2858</v>
      </c>
      <c r="AO128" s="14">
        <v>-101741.41</v>
      </c>
      <c r="AP128" s="14"/>
      <c r="AQ128" s="14">
        <v>-985.34</v>
      </c>
      <c r="AR128" s="44">
        <v>1.1499999999999999</v>
      </c>
    </row>
    <row r="129" spans="1:44" x14ac:dyDescent="0.25">
      <c r="A129" s="12">
        <v>5609</v>
      </c>
      <c r="B129" s="13" t="s">
        <v>162</v>
      </c>
      <c r="C129" s="14">
        <v>836104.26</v>
      </c>
      <c r="D129" s="14">
        <v>113880.1</v>
      </c>
      <c r="E129" s="14"/>
      <c r="F129" s="14"/>
      <c r="G129" s="14">
        <v>21520.6</v>
      </c>
      <c r="H129" s="14">
        <v>339.3</v>
      </c>
      <c r="I129" s="14"/>
      <c r="J129" s="14">
        <v>7777.46</v>
      </c>
      <c r="K129" s="14">
        <v>1366.5</v>
      </c>
      <c r="L129" s="14">
        <v>48300.6</v>
      </c>
      <c r="M129" s="3">
        <f t="shared" si="3"/>
        <v>1029288.82</v>
      </c>
      <c r="N129" s="14"/>
      <c r="O129" s="14">
        <v>87719.9</v>
      </c>
      <c r="P129" s="14">
        <v>9177.7000000000007</v>
      </c>
      <c r="Q129" s="14"/>
      <c r="R129" s="14">
        <v>5781.25</v>
      </c>
      <c r="S129" s="14">
        <v>31.25</v>
      </c>
      <c r="T129" s="14"/>
      <c r="U129" s="14">
        <v>600</v>
      </c>
      <c r="V129" s="14"/>
      <c r="W129" s="14"/>
      <c r="X129" s="2">
        <f t="shared" si="4"/>
        <v>1132598.92</v>
      </c>
      <c r="Y129" s="14"/>
      <c r="Z129" s="14"/>
      <c r="AA129" s="14">
        <v>33932</v>
      </c>
      <c r="AB129" s="14">
        <v>35437.300000000003</v>
      </c>
      <c r="AC129" s="14">
        <v>22928.76</v>
      </c>
      <c r="AD129" s="14"/>
      <c r="AE129" s="14"/>
      <c r="AF129" s="14"/>
      <c r="AG129" s="14">
        <v>7706</v>
      </c>
      <c r="AH129" s="14">
        <v>6453.6</v>
      </c>
      <c r="AI129" s="14"/>
      <c r="AJ129" s="14"/>
      <c r="AK129" s="14"/>
      <c r="AL129" s="48">
        <f t="shared" si="5"/>
        <v>106457.66</v>
      </c>
      <c r="AM129" s="22">
        <v>63.5</v>
      </c>
      <c r="AN129" s="14">
        <v>360</v>
      </c>
      <c r="AO129" s="14">
        <v>-5364.15</v>
      </c>
      <c r="AP129" s="14"/>
      <c r="AQ129" s="14">
        <v>-162.15</v>
      </c>
      <c r="AR129" s="44">
        <v>1</v>
      </c>
    </row>
    <row r="130" spans="1:44" x14ac:dyDescent="0.25">
      <c r="A130" s="12">
        <v>5610</v>
      </c>
      <c r="B130" s="13" t="s">
        <v>163</v>
      </c>
      <c r="C130" s="14">
        <v>1011095.1</v>
      </c>
      <c r="D130" s="14">
        <v>115236.17</v>
      </c>
      <c r="E130" s="14"/>
      <c r="F130" s="14"/>
      <c r="G130" s="14">
        <v>4444.8</v>
      </c>
      <c r="H130" s="14">
        <v>3614.7</v>
      </c>
      <c r="I130" s="14">
        <v>85888.15</v>
      </c>
      <c r="J130" s="14">
        <v>9239.2000000000007</v>
      </c>
      <c r="K130" s="14">
        <v>6587.5</v>
      </c>
      <c r="L130" s="14">
        <v>77885.05</v>
      </c>
      <c r="M130" s="3">
        <f t="shared" si="3"/>
        <v>1313990.67</v>
      </c>
      <c r="N130" s="14"/>
      <c r="O130" s="14"/>
      <c r="P130" s="14">
        <v>22106.05</v>
      </c>
      <c r="Q130" s="14"/>
      <c r="R130" s="14">
        <v>29817.1</v>
      </c>
      <c r="S130" s="14">
        <v>62.5</v>
      </c>
      <c r="T130" s="14"/>
      <c r="U130" s="14">
        <v>4425</v>
      </c>
      <c r="V130" s="14"/>
      <c r="W130" s="14"/>
      <c r="X130" s="2">
        <f t="shared" si="4"/>
        <v>1370401.32</v>
      </c>
      <c r="Y130" s="14">
        <v>9207.5</v>
      </c>
      <c r="Z130" s="14"/>
      <c r="AA130" s="14">
        <v>55602</v>
      </c>
      <c r="AB130" s="14"/>
      <c r="AC130" s="14"/>
      <c r="AD130" s="14">
        <v>18415.05</v>
      </c>
      <c r="AE130" s="14"/>
      <c r="AF130" s="14"/>
      <c r="AG130" s="14"/>
      <c r="AH130" s="14"/>
      <c r="AI130" s="14"/>
      <c r="AJ130" s="14"/>
      <c r="AK130" s="14"/>
      <c r="AL130" s="48">
        <f t="shared" si="5"/>
        <v>83224.55</v>
      </c>
      <c r="AM130" s="22">
        <v>62</v>
      </c>
      <c r="AN130" s="14">
        <v>383</v>
      </c>
      <c r="AO130" s="14">
        <v>-12320.9</v>
      </c>
      <c r="AP130" s="14"/>
      <c r="AQ130" s="14">
        <v>-1251.57</v>
      </c>
      <c r="AR130" s="44">
        <v>1</v>
      </c>
    </row>
    <row r="131" spans="1:44" x14ac:dyDescent="0.25">
      <c r="A131" s="12">
        <v>5611</v>
      </c>
      <c r="B131" s="13" t="s">
        <v>341</v>
      </c>
      <c r="C131" s="14">
        <v>6242532.1399999997</v>
      </c>
      <c r="D131" s="14">
        <v>1187986.93</v>
      </c>
      <c r="E131" s="14"/>
      <c r="F131" s="14"/>
      <c r="G131" s="14">
        <v>532520.4</v>
      </c>
      <c r="H131" s="14">
        <v>27024</v>
      </c>
      <c r="I131" s="14">
        <v>43016.6</v>
      </c>
      <c r="J131" s="14">
        <v>192844.12</v>
      </c>
      <c r="K131" s="14">
        <v>16503</v>
      </c>
      <c r="L131" s="14">
        <v>601789.5</v>
      </c>
      <c r="M131" s="3">
        <f t="shared" si="3"/>
        <v>8844216.6899999995</v>
      </c>
      <c r="N131" s="14">
        <v>93366.8</v>
      </c>
      <c r="O131" s="14">
        <v>228645.4</v>
      </c>
      <c r="P131" s="14">
        <v>286887.65000000002</v>
      </c>
      <c r="Q131" s="14">
        <v>43624.72</v>
      </c>
      <c r="R131" s="14">
        <v>303108.8</v>
      </c>
      <c r="S131" s="14">
        <v>300</v>
      </c>
      <c r="T131" s="14"/>
      <c r="U131" s="14">
        <v>21665</v>
      </c>
      <c r="V131" s="14">
        <v>2762.1</v>
      </c>
      <c r="W131" s="14"/>
      <c r="X131" s="2">
        <f t="shared" si="4"/>
        <v>9824577.160000002</v>
      </c>
      <c r="Y131" s="14">
        <v>94325.7</v>
      </c>
      <c r="Z131" s="14">
        <v>1072.8</v>
      </c>
      <c r="AA131" s="14"/>
      <c r="AB131" s="14"/>
      <c r="AC131" s="14">
        <v>310499.3</v>
      </c>
      <c r="AD131" s="14">
        <v>12596.25</v>
      </c>
      <c r="AE131" s="14">
        <v>1783.1</v>
      </c>
      <c r="AF131" s="14"/>
      <c r="AG131" s="14"/>
      <c r="AH131" s="14"/>
      <c r="AI131" s="14"/>
      <c r="AJ131" s="14"/>
      <c r="AK131" s="14"/>
      <c r="AL131" s="48">
        <f t="shared" si="5"/>
        <v>420277.14999999997</v>
      </c>
      <c r="AM131" s="22">
        <v>67</v>
      </c>
      <c r="AN131" s="14">
        <v>3304</v>
      </c>
      <c r="AO131" s="14">
        <v>-156040.35999999999</v>
      </c>
      <c r="AP131" s="14"/>
      <c r="AQ131" s="14">
        <v>-869.8</v>
      </c>
      <c r="AR131" s="44">
        <v>1</v>
      </c>
    </row>
    <row r="132" spans="1:44" x14ac:dyDescent="0.25">
      <c r="A132" s="12">
        <v>5613</v>
      </c>
      <c r="B132" s="13" t="s">
        <v>487</v>
      </c>
      <c r="C132" s="14">
        <v>12916323.68</v>
      </c>
      <c r="D132" s="14">
        <v>3214164.61</v>
      </c>
      <c r="E132" s="14"/>
      <c r="F132" s="14"/>
      <c r="G132" s="14">
        <v>217014.7</v>
      </c>
      <c r="H132" s="14">
        <v>43021.1</v>
      </c>
      <c r="I132" s="14">
        <v>251209.32</v>
      </c>
      <c r="J132" s="14">
        <v>274822.02</v>
      </c>
      <c r="K132" s="14">
        <v>30839.5</v>
      </c>
      <c r="L132" s="14">
        <v>1763567.3</v>
      </c>
      <c r="M132" s="3">
        <f t="shared" si="3"/>
        <v>18710962.23</v>
      </c>
      <c r="N132" s="14">
        <v>39091.699999999997</v>
      </c>
      <c r="O132" s="14">
        <v>630527.80000000005</v>
      </c>
      <c r="P132" s="14">
        <v>954319.55</v>
      </c>
      <c r="Q132" s="14">
        <v>69854.11</v>
      </c>
      <c r="R132" s="14">
        <v>1037617</v>
      </c>
      <c r="S132" s="14">
        <v>425</v>
      </c>
      <c r="T132" s="14"/>
      <c r="U132" s="14">
        <v>24100</v>
      </c>
      <c r="V132" s="14"/>
      <c r="W132" s="14"/>
      <c r="X132" s="2">
        <f t="shared" si="4"/>
        <v>21466897.390000001</v>
      </c>
      <c r="Y132" s="14">
        <v>-89470.399999999994</v>
      </c>
      <c r="Z132" s="14"/>
      <c r="AA132" s="14">
        <v>818821.6</v>
      </c>
      <c r="AB132" s="14">
        <v>340808</v>
      </c>
      <c r="AC132" s="14">
        <v>99730.35</v>
      </c>
      <c r="AD132" s="14"/>
      <c r="AE132" s="14"/>
      <c r="AF132" s="14"/>
      <c r="AG132" s="14">
        <v>149780.04999999999</v>
      </c>
      <c r="AH132" s="14"/>
      <c r="AI132" s="14"/>
      <c r="AJ132" s="14"/>
      <c r="AK132" s="14"/>
      <c r="AL132" s="48">
        <f t="shared" si="5"/>
        <v>1319669.6000000001</v>
      </c>
      <c r="AM132" s="22">
        <v>61</v>
      </c>
      <c r="AN132" s="14">
        <v>5247</v>
      </c>
      <c r="AO132" s="14">
        <v>-149729.23000000001</v>
      </c>
      <c r="AP132" s="14"/>
      <c r="AQ132" s="14">
        <v>-8039.1</v>
      </c>
      <c r="AR132" s="44">
        <v>1.5</v>
      </c>
    </row>
    <row r="133" spans="1:44" x14ac:dyDescent="0.25">
      <c r="A133" s="12">
        <v>5621</v>
      </c>
      <c r="B133" s="13" t="s">
        <v>450</v>
      </c>
      <c r="C133" s="14">
        <v>962625.73</v>
      </c>
      <c r="D133" s="14">
        <v>140964.04</v>
      </c>
      <c r="E133" s="14"/>
      <c r="F133" s="14"/>
      <c r="G133" s="14">
        <v>649402.44999999995</v>
      </c>
      <c r="H133" s="14">
        <v>2956</v>
      </c>
      <c r="I133" s="14"/>
      <c r="J133" s="14">
        <v>64728.53</v>
      </c>
      <c r="K133" s="14">
        <v>9076</v>
      </c>
      <c r="L133" s="14">
        <v>302130.7</v>
      </c>
      <c r="M133" s="3">
        <f t="shared" si="3"/>
        <v>2131883.4500000002</v>
      </c>
      <c r="N133" s="14">
        <v>144149.65</v>
      </c>
      <c r="O133" s="14">
        <v>2926.9</v>
      </c>
      <c r="P133" s="14">
        <v>102534</v>
      </c>
      <c r="Q133" s="14">
        <v>2344.4499999999998</v>
      </c>
      <c r="R133" s="14">
        <v>56362.35</v>
      </c>
      <c r="S133" s="14"/>
      <c r="T133" s="14">
        <v>650</v>
      </c>
      <c r="U133" s="14">
        <v>2880</v>
      </c>
      <c r="V133" s="14"/>
      <c r="W133" s="14"/>
      <c r="X133" s="2">
        <f t="shared" si="4"/>
        <v>2443730.8000000003</v>
      </c>
      <c r="Y133" s="14">
        <v>9424</v>
      </c>
      <c r="Z133" s="14"/>
      <c r="AA133" s="14">
        <v>161635</v>
      </c>
      <c r="AB133" s="14"/>
      <c r="AC133" s="14">
        <v>41580</v>
      </c>
      <c r="AD133" s="14">
        <v>14069</v>
      </c>
      <c r="AE133" s="14"/>
      <c r="AF133" s="14"/>
      <c r="AG133" s="14"/>
      <c r="AH133" s="14">
        <v>101948</v>
      </c>
      <c r="AI133" s="14"/>
      <c r="AJ133" s="14"/>
      <c r="AK133" s="14"/>
      <c r="AL133" s="48">
        <f t="shared" si="5"/>
        <v>328656</v>
      </c>
      <c r="AM133" s="22">
        <v>62</v>
      </c>
      <c r="AN133" s="14">
        <v>528</v>
      </c>
      <c r="AO133" s="14">
        <v>-13453.91</v>
      </c>
      <c r="AP133" s="14"/>
      <c r="AQ133" s="14">
        <v>-228.54</v>
      </c>
      <c r="AR133" s="44">
        <v>1.1000000000000001</v>
      </c>
    </row>
    <row r="134" spans="1:44" x14ac:dyDescent="0.25">
      <c r="A134" s="12">
        <v>5622</v>
      </c>
      <c r="B134" s="13" t="s">
        <v>181</v>
      </c>
      <c r="C134" s="14">
        <v>1338421</v>
      </c>
      <c r="D134" s="14">
        <v>203567.85</v>
      </c>
      <c r="E134" s="14"/>
      <c r="F134" s="14"/>
      <c r="G134" s="14">
        <v>176103.55</v>
      </c>
      <c r="H134" s="14">
        <v>1957.6</v>
      </c>
      <c r="I134" s="14"/>
      <c r="J134" s="14">
        <v>4017.66</v>
      </c>
      <c r="K134" s="14">
        <v>4925</v>
      </c>
      <c r="L134" s="14">
        <v>125859</v>
      </c>
      <c r="M134" s="3">
        <f t="shared" si="3"/>
        <v>1854851.6600000001</v>
      </c>
      <c r="N134" s="14">
        <v>28375.7</v>
      </c>
      <c r="O134" s="14"/>
      <c r="P134" s="14">
        <v>30048.9</v>
      </c>
      <c r="Q134" s="14">
        <v>1670.14</v>
      </c>
      <c r="R134" s="14">
        <v>28011.7</v>
      </c>
      <c r="S134" s="14"/>
      <c r="T134" s="14"/>
      <c r="U134" s="14">
        <v>2260</v>
      </c>
      <c r="V134" s="14"/>
      <c r="W134" s="14"/>
      <c r="X134" s="2">
        <f t="shared" si="4"/>
        <v>1945218.0999999999</v>
      </c>
      <c r="Y134" s="14">
        <v>19136.5</v>
      </c>
      <c r="Z134" s="14"/>
      <c r="AA134" s="14">
        <v>176668.65</v>
      </c>
      <c r="AB134" s="14"/>
      <c r="AC134" s="14">
        <v>63235.9</v>
      </c>
      <c r="AD134" s="14">
        <v>17360</v>
      </c>
      <c r="AE134" s="14"/>
      <c r="AF134" s="14"/>
      <c r="AG134" s="14"/>
      <c r="AH134" s="14"/>
      <c r="AI134" s="14"/>
      <c r="AJ134" s="14"/>
      <c r="AK134" s="14"/>
      <c r="AL134" s="48">
        <f t="shared" si="5"/>
        <v>276401.05</v>
      </c>
      <c r="AM134" s="22">
        <v>66</v>
      </c>
      <c r="AN134" s="14">
        <v>511</v>
      </c>
      <c r="AO134" s="14">
        <v>-160.82</v>
      </c>
      <c r="AP134" s="14"/>
      <c r="AQ134" s="14">
        <v>-25.93</v>
      </c>
      <c r="AR134" s="44">
        <v>1</v>
      </c>
    </row>
    <row r="135" spans="1:44" x14ac:dyDescent="0.25">
      <c r="A135" s="12">
        <v>5623</v>
      </c>
      <c r="B135" s="13" t="s">
        <v>182</v>
      </c>
      <c r="C135" s="14">
        <v>2454563.0499999998</v>
      </c>
      <c r="D135" s="14">
        <v>1433734.03</v>
      </c>
      <c r="E135" s="14"/>
      <c r="F135" s="14"/>
      <c r="G135" s="14">
        <v>-86156.25</v>
      </c>
      <c r="H135" s="14">
        <v>113863.25</v>
      </c>
      <c r="I135" s="14">
        <v>208050</v>
      </c>
      <c r="J135" s="14">
        <v>161990.88</v>
      </c>
      <c r="K135" s="14">
        <v>3166.5</v>
      </c>
      <c r="L135" s="14">
        <v>235282.4</v>
      </c>
      <c r="M135" s="3">
        <f t="shared" si="3"/>
        <v>4524493.8600000003</v>
      </c>
      <c r="N135" s="14">
        <v>398.45</v>
      </c>
      <c r="O135" s="14">
        <v>182468.6</v>
      </c>
      <c r="P135" s="14">
        <v>150588.95000000001</v>
      </c>
      <c r="Q135" s="14">
        <v>-461.45</v>
      </c>
      <c r="R135" s="14">
        <v>280376.7</v>
      </c>
      <c r="S135" s="14"/>
      <c r="T135" s="14">
        <v>750</v>
      </c>
      <c r="U135" s="14">
        <v>1137.5</v>
      </c>
      <c r="V135" s="14"/>
      <c r="W135" s="14"/>
      <c r="X135" s="2">
        <f t="shared" si="4"/>
        <v>5139752.6100000003</v>
      </c>
      <c r="Y135" s="14">
        <v>-1616</v>
      </c>
      <c r="Z135" s="14"/>
      <c r="AA135" s="14">
        <v>143236.9</v>
      </c>
      <c r="AB135" s="14"/>
      <c r="AC135" s="14">
        <v>90088.4</v>
      </c>
      <c r="AD135" s="14">
        <v>-1185.5</v>
      </c>
      <c r="AE135" s="14"/>
      <c r="AF135" s="14"/>
      <c r="AG135" s="14"/>
      <c r="AH135" s="14"/>
      <c r="AI135" s="14"/>
      <c r="AJ135" s="14"/>
      <c r="AK135" s="14"/>
      <c r="AL135" s="48">
        <f t="shared" si="5"/>
        <v>230523.8</v>
      </c>
      <c r="AM135" s="22">
        <v>53</v>
      </c>
      <c r="AN135" s="14">
        <v>624</v>
      </c>
      <c r="AO135" s="14">
        <v>-3359.29</v>
      </c>
      <c r="AP135" s="14"/>
      <c r="AQ135" s="14">
        <v>-19079.59</v>
      </c>
      <c r="AR135" s="44">
        <v>0.8</v>
      </c>
    </row>
    <row r="136" spans="1:44" x14ac:dyDescent="0.25">
      <c r="A136" s="12">
        <v>5624</v>
      </c>
      <c r="B136" s="13" t="s">
        <v>502</v>
      </c>
      <c r="C136" s="14">
        <f>11612809+261883</f>
        <v>11874692</v>
      </c>
      <c r="D136" s="14">
        <v>1153670.8500000001</v>
      </c>
      <c r="E136" s="14"/>
      <c r="F136" s="14"/>
      <c r="G136" s="14">
        <v>3753369.91</v>
      </c>
      <c r="H136" s="14">
        <v>145685.35</v>
      </c>
      <c r="I136" s="14"/>
      <c r="J136" s="14">
        <v>785335.9</v>
      </c>
      <c r="K136" s="14">
        <v>164076.5</v>
      </c>
      <c r="L136" s="14">
        <v>1689426</v>
      </c>
      <c r="M136" s="3">
        <f t="shared" ref="M136:M199" si="6">SUM(C136:L136)</f>
        <v>19566256.509999998</v>
      </c>
      <c r="N136" s="14">
        <v>1218010.7</v>
      </c>
      <c r="O136" s="14">
        <v>2229859.7999999998</v>
      </c>
      <c r="P136" s="14">
        <v>1395907.4</v>
      </c>
      <c r="Q136" s="14">
        <v>51983.07</v>
      </c>
      <c r="R136" s="14">
        <v>882876.7</v>
      </c>
      <c r="S136" s="14"/>
      <c r="T136" s="14"/>
      <c r="U136" s="14">
        <v>30400</v>
      </c>
      <c r="V136" s="14"/>
      <c r="W136" s="14"/>
      <c r="X136" s="2">
        <f t="shared" ref="X136:X199" si="7">SUM(M136:W136)</f>
        <v>25375294.179999996</v>
      </c>
      <c r="Y136" s="14">
        <v>1123292.8500000001</v>
      </c>
      <c r="Z136" s="14"/>
      <c r="AA136" s="14">
        <v>1490047.82</v>
      </c>
      <c r="AB136" s="14"/>
      <c r="AC136" s="14">
        <v>942515.4</v>
      </c>
      <c r="AD136" s="14">
        <v>723360</v>
      </c>
      <c r="AE136" s="14"/>
      <c r="AF136" s="14"/>
      <c r="AG136" s="14">
        <v>256397.7</v>
      </c>
      <c r="AH136" s="14">
        <v>496502.65</v>
      </c>
      <c r="AI136" s="14"/>
      <c r="AJ136" s="14"/>
      <c r="AK136" s="14"/>
      <c r="AL136" s="48">
        <f t="shared" ref="AL136:AL199" si="8">SUM(Y136:AK136)</f>
        <v>5032116.4200000009</v>
      </c>
      <c r="AM136" s="22">
        <v>62</v>
      </c>
      <c r="AN136" s="14">
        <v>8215</v>
      </c>
      <c r="AO136" s="14">
        <v>-242520</v>
      </c>
      <c r="AP136" s="14"/>
      <c r="AQ136" s="14">
        <v>-20879.64</v>
      </c>
      <c r="AR136" s="44">
        <v>1</v>
      </c>
    </row>
    <row r="137" spans="1:44" x14ac:dyDescent="0.25">
      <c r="A137" s="12">
        <v>5625</v>
      </c>
      <c r="B137" s="13" t="s">
        <v>345</v>
      </c>
      <c r="C137" s="14">
        <v>993616.89</v>
      </c>
      <c r="D137" s="14">
        <v>134488.70000000001</v>
      </c>
      <c r="E137" s="14"/>
      <c r="F137" s="14"/>
      <c r="G137" s="14">
        <v>9151.25</v>
      </c>
      <c r="H137" s="14">
        <v>486.25</v>
      </c>
      <c r="I137" s="14">
        <v>49537.55</v>
      </c>
      <c r="J137" s="14">
        <v>-14334.28</v>
      </c>
      <c r="K137" s="14">
        <v>5595</v>
      </c>
      <c r="L137" s="14">
        <v>99564.95</v>
      </c>
      <c r="M137" s="3">
        <f t="shared" si="6"/>
        <v>1278106.31</v>
      </c>
      <c r="N137" s="14"/>
      <c r="O137" s="14"/>
      <c r="P137" s="14">
        <v>46750</v>
      </c>
      <c r="Q137" s="14"/>
      <c r="R137" s="14">
        <v>56465.7</v>
      </c>
      <c r="S137" s="14"/>
      <c r="T137" s="14">
        <v>1700</v>
      </c>
      <c r="U137" s="14">
        <v>760</v>
      </c>
      <c r="V137" s="14"/>
      <c r="W137" s="14"/>
      <c r="X137" s="2">
        <f t="shared" si="7"/>
        <v>1383782.01</v>
      </c>
      <c r="Y137" s="14"/>
      <c r="Z137" s="14"/>
      <c r="AA137" s="14">
        <v>56704.2</v>
      </c>
      <c r="AB137" s="14"/>
      <c r="AC137" s="14">
        <v>43705.65</v>
      </c>
      <c r="AD137" s="14"/>
      <c r="AE137" s="14"/>
      <c r="AF137" s="14"/>
      <c r="AG137" s="14"/>
      <c r="AH137" s="14"/>
      <c r="AI137" s="14"/>
      <c r="AJ137" s="14"/>
      <c r="AK137" s="14"/>
      <c r="AL137" s="48">
        <f t="shared" si="8"/>
        <v>100409.85</v>
      </c>
      <c r="AM137" s="22">
        <v>78</v>
      </c>
      <c r="AN137" s="14">
        <v>377</v>
      </c>
      <c r="AO137" s="14">
        <v>-48.01</v>
      </c>
      <c r="AP137" s="14"/>
      <c r="AQ137" s="14"/>
      <c r="AR137" s="44">
        <v>1.2</v>
      </c>
    </row>
    <row r="138" spans="1:44" x14ac:dyDescent="0.25">
      <c r="A138" s="12">
        <v>5627</v>
      </c>
      <c r="B138" s="13" t="s">
        <v>292</v>
      </c>
      <c r="C138" s="14">
        <v>9524686.1500000004</v>
      </c>
      <c r="D138" s="14">
        <v>624748.61</v>
      </c>
      <c r="E138" s="14"/>
      <c r="F138" s="14"/>
      <c r="G138" s="14">
        <v>876318.45</v>
      </c>
      <c r="H138" s="14">
        <v>97709.25</v>
      </c>
      <c r="I138" s="14"/>
      <c r="J138" s="14">
        <v>1052456.1299999999</v>
      </c>
      <c r="K138" s="14">
        <v>223872</v>
      </c>
      <c r="L138" s="14">
        <v>1172450.3</v>
      </c>
      <c r="M138" s="3">
        <f t="shared" si="6"/>
        <v>13572240.890000001</v>
      </c>
      <c r="N138" s="14">
        <v>422979.5</v>
      </c>
      <c r="O138" s="14">
        <v>30787.5</v>
      </c>
      <c r="P138" s="14">
        <v>262184.05</v>
      </c>
      <c r="Q138" s="14">
        <v>117131.63</v>
      </c>
      <c r="R138" s="14">
        <v>92715.35</v>
      </c>
      <c r="S138" s="14"/>
      <c r="T138" s="14"/>
      <c r="U138" s="14">
        <v>27675</v>
      </c>
      <c r="V138" s="14">
        <v>1707</v>
      </c>
      <c r="W138" s="14">
        <v>2636.2</v>
      </c>
      <c r="X138" s="2">
        <f t="shared" si="7"/>
        <v>14530057.120000001</v>
      </c>
      <c r="Y138" s="14">
        <v>255368.55</v>
      </c>
      <c r="Z138" s="14"/>
      <c r="AA138" s="14">
        <v>564924.15</v>
      </c>
      <c r="AB138" s="14"/>
      <c r="AC138" s="14">
        <v>394626.2</v>
      </c>
      <c r="AD138" s="14"/>
      <c r="AE138" s="14"/>
      <c r="AF138" s="14"/>
      <c r="AG138" s="14">
        <v>18435.259999999998</v>
      </c>
      <c r="AH138" s="14"/>
      <c r="AI138" s="14"/>
      <c r="AJ138" s="14"/>
      <c r="AK138" s="14"/>
      <c r="AL138" s="48">
        <f t="shared" si="8"/>
        <v>1233354.1599999999</v>
      </c>
      <c r="AM138" s="22">
        <v>79</v>
      </c>
      <c r="AN138" s="14">
        <v>7374</v>
      </c>
      <c r="AO138" s="14">
        <v>-459715.05</v>
      </c>
      <c r="AP138" s="14"/>
      <c r="AQ138" s="14">
        <v>-398.83</v>
      </c>
      <c r="AR138" s="44">
        <v>1.5</v>
      </c>
    </row>
    <row r="139" spans="1:44" x14ac:dyDescent="0.25">
      <c r="A139" s="12">
        <v>5628</v>
      </c>
      <c r="B139" s="13" t="s">
        <v>293</v>
      </c>
      <c r="C139" s="14">
        <v>1064224.6000000001</v>
      </c>
      <c r="D139" s="14"/>
      <c r="E139" s="14"/>
      <c r="F139" s="14"/>
      <c r="G139" s="14">
        <v>14828.95</v>
      </c>
      <c r="H139" s="14">
        <v>87.25</v>
      </c>
      <c r="I139" s="14"/>
      <c r="J139" s="14">
        <v>21649.25</v>
      </c>
      <c r="K139" s="14">
        <v>859.5</v>
      </c>
      <c r="L139" s="14">
        <v>65095.75</v>
      </c>
      <c r="M139" s="3">
        <f t="shared" si="6"/>
        <v>1166745.3</v>
      </c>
      <c r="N139" s="14">
        <v>4636.45</v>
      </c>
      <c r="O139" s="14"/>
      <c r="P139" s="14"/>
      <c r="Q139" s="14">
        <v>5148.6499999999996</v>
      </c>
      <c r="R139" s="14"/>
      <c r="S139" s="14"/>
      <c r="T139" s="14"/>
      <c r="U139" s="14"/>
      <c r="V139" s="14"/>
      <c r="W139" s="14"/>
      <c r="X139" s="2">
        <f t="shared" si="7"/>
        <v>1176530.3999999999</v>
      </c>
      <c r="Y139" s="14">
        <v>15075</v>
      </c>
      <c r="Z139" s="14">
        <v>1917</v>
      </c>
      <c r="AA139" s="14">
        <v>66407.8</v>
      </c>
      <c r="AB139" s="14"/>
      <c r="AC139" s="14">
        <v>20526.7</v>
      </c>
      <c r="AD139" s="14"/>
      <c r="AE139" s="14"/>
      <c r="AF139" s="14"/>
      <c r="AG139" s="14"/>
      <c r="AH139" s="14">
        <v>7632.35</v>
      </c>
      <c r="AI139" s="14"/>
      <c r="AJ139" s="14"/>
      <c r="AK139" s="14"/>
      <c r="AL139" s="48">
        <f t="shared" si="8"/>
        <v>111558.85</v>
      </c>
      <c r="AM139" s="22">
        <v>62</v>
      </c>
      <c r="AN139" s="14">
        <v>331</v>
      </c>
      <c r="AO139" s="14">
        <v>-6182.63</v>
      </c>
      <c r="AP139" s="14"/>
      <c r="AQ139" s="14"/>
      <c r="AR139" s="44">
        <v>0.8</v>
      </c>
    </row>
    <row r="140" spans="1:44" x14ac:dyDescent="0.25">
      <c r="A140" s="12">
        <v>5629</v>
      </c>
      <c r="B140" s="13" t="s">
        <v>185</v>
      </c>
      <c r="C140" s="14">
        <v>488139.88</v>
      </c>
      <c r="D140" s="14">
        <v>52374</v>
      </c>
      <c r="E140" s="14"/>
      <c r="F140" s="14"/>
      <c r="G140" s="14">
        <v>-1217.6500000000001</v>
      </c>
      <c r="H140" s="14">
        <v>292.14999999999998</v>
      </c>
      <c r="I140" s="14"/>
      <c r="J140" s="14">
        <v>-1380.18</v>
      </c>
      <c r="K140" s="14">
        <v>458</v>
      </c>
      <c r="L140" s="14">
        <v>29018.1</v>
      </c>
      <c r="M140" s="3">
        <f t="shared" si="6"/>
        <v>567684.29999999993</v>
      </c>
      <c r="N140" s="14"/>
      <c r="O140" s="14"/>
      <c r="P140" s="14">
        <v>990</v>
      </c>
      <c r="Q140" s="14">
        <v>969</v>
      </c>
      <c r="R140" s="14">
        <v>20246</v>
      </c>
      <c r="S140" s="14"/>
      <c r="T140" s="14"/>
      <c r="U140" s="14">
        <v>450</v>
      </c>
      <c r="V140" s="14"/>
      <c r="W140" s="14"/>
      <c r="X140" s="2">
        <f t="shared" si="7"/>
        <v>590339.29999999993</v>
      </c>
      <c r="Y140" s="14">
        <v>28108.6</v>
      </c>
      <c r="Z140" s="14"/>
      <c r="AA140" s="14">
        <v>34753.5</v>
      </c>
      <c r="AB140" s="14"/>
      <c r="AC140" s="14">
        <v>13255.85</v>
      </c>
      <c r="AD140" s="14">
        <v>22121.7</v>
      </c>
      <c r="AE140" s="14"/>
      <c r="AF140" s="14"/>
      <c r="AG140" s="14"/>
      <c r="AH140" s="14"/>
      <c r="AI140" s="14"/>
      <c r="AJ140" s="14"/>
      <c r="AK140" s="14"/>
      <c r="AL140" s="48">
        <f t="shared" si="8"/>
        <v>98239.65</v>
      </c>
      <c r="AM140" s="22">
        <v>75</v>
      </c>
      <c r="AN140" s="14">
        <v>160</v>
      </c>
      <c r="AO140" s="14">
        <v>-10.87</v>
      </c>
      <c r="AP140" s="14"/>
      <c r="AQ140" s="14"/>
      <c r="AR140" s="44">
        <v>1</v>
      </c>
    </row>
    <row r="141" spans="1:44" x14ac:dyDescent="0.25">
      <c r="A141" s="12">
        <v>5631</v>
      </c>
      <c r="B141" s="13" t="s">
        <v>186</v>
      </c>
      <c r="C141" s="14">
        <v>1661019.7</v>
      </c>
      <c r="D141" s="14">
        <v>307626.5</v>
      </c>
      <c r="E141" s="14"/>
      <c r="F141" s="14"/>
      <c r="G141" s="14">
        <v>31351.35</v>
      </c>
      <c r="H141" s="14">
        <v>10694.75</v>
      </c>
      <c r="I141" s="14">
        <v>107078.8</v>
      </c>
      <c r="J141" s="14">
        <v>67396.210000000006</v>
      </c>
      <c r="K141" s="14">
        <v>2290</v>
      </c>
      <c r="L141" s="14">
        <v>169456.7</v>
      </c>
      <c r="M141" s="3">
        <f t="shared" si="6"/>
        <v>2356914.0100000002</v>
      </c>
      <c r="N141" s="14"/>
      <c r="O141" s="14">
        <v>83000</v>
      </c>
      <c r="P141" s="14">
        <v>176193.6</v>
      </c>
      <c r="Q141" s="14"/>
      <c r="R141" s="14">
        <v>288956.84999999998</v>
      </c>
      <c r="S141" s="14"/>
      <c r="T141" s="14">
        <v>762.5</v>
      </c>
      <c r="U141" s="14">
        <v>1350</v>
      </c>
      <c r="V141" s="14"/>
      <c r="W141" s="14"/>
      <c r="X141" s="2">
        <f t="shared" si="7"/>
        <v>2907176.9600000004</v>
      </c>
      <c r="Y141" s="14">
        <v>82025.600000000006</v>
      </c>
      <c r="Z141" s="14"/>
      <c r="AA141" s="14">
        <v>116557.7</v>
      </c>
      <c r="AB141" s="14"/>
      <c r="AC141" s="14">
        <v>45189.9</v>
      </c>
      <c r="AD141" s="14"/>
      <c r="AE141" s="14"/>
      <c r="AF141" s="14"/>
      <c r="AG141" s="14"/>
      <c r="AH141" s="14"/>
      <c r="AI141" s="14"/>
      <c r="AJ141" s="14"/>
      <c r="AK141" s="14"/>
      <c r="AL141" s="48">
        <f t="shared" si="8"/>
        <v>243773.19999999998</v>
      </c>
      <c r="AM141" s="22">
        <v>68</v>
      </c>
      <c r="AN141" s="14">
        <v>714</v>
      </c>
      <c r="AO141" s="14">
        <v>-28557.16</v>
      </c>
      <c r="AP141" s="14"/>
      <c r="AQ141" s="14">
        <v>-1508.4</v>
      </c>
      <c r="AR141" s="44">
        <v>1</v>
      </c>
    </row>
    <row r="142" spans="1:44" x14ac:dyDescent="0.25">
      <c r="A142" s="12">
        <v>5632</v>
      </c>
      <c r="B142" s="13" t="s">
        <v>187</v>
      </c>
      <c r="C142" s="14">
        <v>3030981.84</v>
      </c>
      <c r="D142" s="14">
        <v>697619.09</v>
      </c>
      <c r="E142" s="14"/>
      <c r="F142" s="14"/>
      <c r="G142" s="14">
        <v>211559.95</v>
      </c>
      <c r="H142" s="14">
        <v>13071.3</v>
      </c>
      <c r="I142" s="14"/>
      <c r="J142" s="14">
        <v>141070.09</v>
      </c>
      <c r="K142" s="14">
        <v>24259.5</v>
      </c>
      <c r="L142" s="14">
        <v>319504.75</v>
      </c>
      <c r="M142" s="3">
        <f t="shared" si="6"/>
        <v>4438066.5199999996</v>
      </c>
      <c r="N142" s="14">
        <v>63740.2</v>
      </c>
      <c r="O142" s="14">
        <v>14846</v>
      </c>
      <c r="P142" s="14">
        <v>147242.9</v>
      </c>
      <c r="Q142" s="14">
        <v>44285.74</v>
      </c>
      <c r="R142" s="14">
        <v>89450.3</v>
      </c>
      <c r="S142" s="14"/>
      <c r="T142" s="14"/>
      <c r="U142" s="14">
        <v>4025</v>
      </c>
      <c r="V142" s="14"/>
      <c r="W142" s="14"/>
      <c r="X142" s="2">
        <f t="shared" si="7"/>
        <v>4801656.66</v>
      </c>
      <c r="Y142" s="14">
        <v>10505</v>
      </c>
      <c r="Z142" s="14">
        <v>5422.3</v>
      </c>
      <c r="AA142" s="14">
        <v>217412.7</v>
      </c>
      <c r="AB142" s="14">
        <v>74135.5</v>
      </c>
      <c r="AC142" s="14">
        <v>110330</v>
      </c>
      <c r="AD142" s="14"/>
      <c r="AE142" s="14"/>
      <c r="AF142" s="14"/>
      <c r="AG142" s="14"/>
      <c r="AH142" s="14">
        <v>57772.800000000003</v>
      </c>
      <c r="AI142" s="14"/>
      <c r="AJ142" s="14"/>
      <c r="AK142" s="14"/>
      <c r="AL142" s="48">
        <f t="shared" si="8"/>
        <v>475578.3</v>
      </c>
      <c r="AM142" s="22">
        <v>62</v>
      </c>
      <c r="AN142" s="14">
        <v>1651</v>
      </c>
      <c r="AO142" s="14">
        <v>-104862.68</v>
      </c>
      <c r="AP142" s="14"/>
      <c r="AQ142" s="14">
        <v>-314.43</v>
      </c>
      <c r="AR142" s="44">
        <v>1</v>
      </c>
    </row>
    <row r="143" spans="1:44" x14ac:dyDescent="0.25">
      <c r="A143" s="12">
        <v>5633</v>
      </c>
      <c r="B143" s="13" t="s">
        <v>188</v>
      </c>
      <c r="C143" s="14">
        <v>5266008.4000000004</v>
      </c>
      <c r="D143" s="14">
        <v>1213325.1000000001</v>
      </c>
      <c r="E143" s="14"/>
      <c r="F143" s="14"/>
      <c r="G143" s="14">
        <v>672820.55</v>
      </c>
      <c r="H143" s="14">
        <v>84510.35</v>
      </c>
      <c r="I143" s="14"/>
      <c r="J143" s="14">
        <v>-128977.85</v>
      </c>
      <c r="K143" s="14">
        <v>21130</v>
      </c>
      <c r="L143" s="14">
        <v>531956.30000000005</v>
      </c>
      <c r="M143" s="3">
        <f t="shared" si="6"/>
        <v>7660772.8499999996</v>
      </c>
      <c r="N143" s="14">
        <v>151361.35</v>
      </c>
      <c r="O143" s="14">
        <v>51762.7</v>
      </c>
      <c r="P143" s="14">
        <v>377820.75</v>
      </c>
      <c r="Q143" s="14">
        <v>8110.75</v>
      </c>
      <c r="R143" s="14">
        <v>153567.75</v>
      </c>
      <c r="S143" s="14">
        <v>475</v>
      </c>
      <c r="T143" s="14">
        <v>2195</v>
      </c>
      <c r="U143" s="14">
        <v>8082</v>
      </c>
      <c r="V143" s="14"/>
      <c r="W143" s="14"/>
      <c r="X143" s="2">
        <f t="shared" si="7"/>
        <v>8414148.1499999985</v>
      </c>
      <c r="Y143" s="14">
        <v>148800</v>
      </c>
      <c r="Z143" s="14"/>
      <c r="AA143" s="14">
        <v>377290.47</v>
      </c>
      <c r="AB143" s="14"/>
      <c r="AC143" s="14">
        <v>130217.2</v>
      </c>
      <c r="AD143" s="14"/>
      <c r="AE143" s="14"/>
      <c r="AF143" s="14"/>
      <c r="AG143" s="14"/>
      <c r="AH143" s="14"/>
      <c r="AI143" s="14"/>
      <c r="AJ143" s="14"/>
      <c r="AK143" s="14"/>
      <c r="AL143" s="48">
        <f t="shared" si="8"/>
        <v>656307.66999999993</v>
      </c>
      <c r="AM143" s="22">
        <v>62</v>
      </c>
      <c r="AN143" s="14">
        <v>2631</v>
      </c>
      <c r="AO143" s="14">
        <v>-42049.3</v>
      </c>
      <c r="AP143" s="14"/>
      <c r="AQ143" s="14"/>
      <c r="AR143" s="44">
        <v>1</v>
      </c>
    </row>
    <row r="144" spans="1:44" x14ac:dyDescent="0.25">
      <c r="A144" s="12">
        <v>5634</v>
      </c>
      <c r="B144" s="13" t="s">
        <v>189</v>
      </c>
      <c r="C144" s="14">
        <v>6298527.8700000001</v>
      </c>
      <c r="D144" s="14">
        <v>1200297.6200000001</v>
      </c>
      <c r="E144" s="14"/>
      <c r="F144" s="14"/>
      <c r="G144" s="14">
        <v>142319.9</v>
      </c>
      <c r="H144" s="14">
        <v>3906.35</v>
      </c>
      <c r="I144" s="14">
        <v>56786.5</v>
      </c>
      <c r="J144" s="14">
        <v>94492.26</v>
      </c>
      <c r="K144" s="14">
        <v>15918.5</v>
      </c>
      <c r="L144" s="14">
        <v>479176.15</v>
      </c>
      <c r="M144" s="3">
        <f t="shared" si="6"/>
        <v>8291425.1500000004</v>
      </c>
      <c r="N144" s="14">
        <v>12832.1</v>
      </c>
      <c r="O144" s="14">
        <v>72319</v>
      </c>
      <c r="P144" s="14">
        <v>260831.95</v>
      </c>
      <c r="Q144" s="14">
        <v>4932.6499999999996</v>
      </c>
      <c r="R144" s="14">
        <v>163959.54999999999</v>
      </c>
      <c r="S144" s="14"/>
      <c r="T144" s="14">
        <v>1397</v>
      </c>
      <c r="U144" s="14">
        <v>7485</v>
      </c>
      <c r="V144" s="14"/>
      <c r="W144" s="14"/>
      <c r="X144" s="2">
        <f t="shared" si="7"/>
        <v>8815182.4000000004</v>
      </c>
      <c r="Y144" s="14">
        <v>145114.9</v>
      </c>
      <c r="Z144" s="14"/>
      <c r="AA144" s="14">
        <v>530023.19999999995</v>
      </c>
      <c r="AB144" s="14"/>
      <c r="AC144" s="14">
        <v>173497.35</v>
      </c>
      <c r="AD144" s="14">
        <v>96414.9</v>
      </c>
      <c r="AE144" s="14"/>
      <c r="AF144" s="14"/>
      <c r="AG144" s="14"/>
      <c r="AH144" s="14"/>
      <c r="AI144" s="14"/>
      <c r="AJ144" s="14"/>
      <c r="AK144" s="14"/>
      <c r="AL144" s="48">
        <f t="shared" si="8"/>
        <v>945050.35</v>
      </c>
      <c r="AM144" s="22">
        <v>68</v>
      </c>
      <c r="AN144" s="14">
        <v>2585</v>
      </c>
      <c r="AO144" s="14">
        <v>-22422.2</v>
      </c>
      <c r="AP144" s="14"/>
      <c r="AQ144" s="14">
        <v>-1041.8800000000001</v>
      </c>
      <c r="AR144" s="44">
        <v>1</v>
      </c>
    </row>
    <row r="145" spans="1:44" x14ac:dyDescent="0.25">
      <c r="A145" s="12">
        <v>5635</v>
      </c>
      <c r="B145" s="13" t="s">
        <v>190</v>
      </c>
      <c r="C145" s="14">
        <v>18489114.43</v>
      </c>
      <c r="D145" s="14">
        <v>2402817.2000000002</v>
      </c>
      <c r="E145" s="14"/>
      <c r="F145" s="14"/>
      <c r="G145" s="14">
        <v>3492269.6</v>
      </c>
      <c r="H145" s="14">
        <v>1019986.45</v>
      </c>
      <c r="I145" s="14">
        <v>-58726.91</v>
      </c>
      <c r="J145" s="14">
        <v>1743764.18</v>
      </c>
      <c r="K145" s="14">
        <v>237347.5</v>
      </c>
      <c r="L145" s="14">
        <v>1884982.85</v>
      </c>
      <c r="M145" s="3">
        <f t="shared" si="6"/>
        <v>29211555.300000001</v>
      </c>
      <c r="N145" s="14">
        <v>1941766.45</v>
      </c>
      <c r="O145" s="14">
        <v>161281.29999999999</v>
      </c>
      <c r="P145" s="14">
        <v>399090.4</v>
      </c>
      <c r="Q145" s="14">
        <v>86771.46</v>
      </c>
      <c r="R145" s="14">
        <v>376309.45</v>
      </c>
      <c r="S145" s="14"/>
      <c r="T145" s="14">
        <v>47721.05</v>
      </c>
      <c r="U145" s="14">
        <v>39600</v>
      </c>
      <c r="V145" s="14">
        <v>98831.07</v>
      </c>
      <c r="W145" s="14"/>
      <c r="X145" s="2">
        <f t="shared" si="7"/>
        <v>32362926.48</v>
      </c>
      <c r="Y145" s="14">
        <v>137542.5</v>
      </c>
      <c r="Z145" s="14"/>
      <c r="AA145" s="14">
        <v>1388926.96</v>
      </c>
      <c r="AB145" s="14"/>
      <c r="AC145" s="14">
        <v>1270065.6000000001</v>
      </c>
      <c r="AD145" s="14"/>
      <c r="AE145" s="14"/>
      <c r="AF145" s="14"/>
      <c r="AG145" s="14">
        <v>323157.5</v>
      </c>
      <c r="AH145" s="14">
        <v>1134285.1000000001</v>
      </c>
      <c r="AI145" s="14"/>
      <c r="AJ145" s="14"/>
      <c r="AK145" s="14">
        <v>162040.5</v>
      </c>
      <c r="AL145" s="48">
        <f t="shared" si="8"/>
        <v>4416018.16</v>
      </c>
      <c r="AM145" s="22">
        <v>62</v>
      </c>
      <c r="AN145" s="14">
        <v>12288</v>
      </c>
      <c r="AO145" s="14">
        <v>-248471.89</v>
      </c>
      <c r="AP145" s="14"/>
      <c r="AQ145" s="14">
        <v>-3623.97</v>
      </c>
      <c r="AR145" s="44">
        <v>0.95</v>
      </c>
    </row>
    <row r="146" spans="1:44" x14ac:dyDescent="0.25">
      <c r="A146" s="12">
        <v>5636</v>
      </c>
      <c r="B146" s="13" t="s">
        <v>191</v>
      </c>
      <c r="C146" s="14">
        <v>5688880.5999999996</v>
      </c>
      <c r="D146" s="14">
        <v>833364.45</v>
      </c>
      <c r="E146" s="14"/>
      <c r="F146" s="14"/>
      <c r="G146" s="14">
        <v>1459352.2</v>
      </c>
      <c r="H146" s="14">
        <v>130213.85</v>
      </c>
      <c r="I146" s="14">
        <v>68348.100000000006</v>
      </c>
      <c r="J146" s="14">
        <v>441345.13</v>
      </c>
      <c r="K146" s="14">
        <v>101585</v>
      </c>
      <c r="L146" s="14">
        <v>993636.15</v>
      </c>
      <c r="M146" s="3">
        <f t="shared" si="6"/>
        <v>9716725.4800000004</v>
      </c>
      <c r="N146" s="14">
        <v>581441.30000000005</v>
      </c>
      <c r="O146" s="14">
        <v>71537.399999999994</v>
      </c>
      <c r="P146" s="14">
        <v>382246.35</v>
      </c>
      <c r="Q146" s="14">
        <v>10612.7</v>
      </c>
      <c r="R146" s="14">
        <v>113621.1</v>
      </c>
      <c r="S146" s="14"/>
      <c r="T146" s="14">
        <v>27931.1</v>
      </c>
      <c r="U146" s="14">
        <v>6900</v>
      </c>
      <c r="V146" s="14"/>
      <c r="W146" s="14"/>
      <c r="X146" s="2">
        <f t="shared" si="7"/>
        <v>10911015.43</v>
      </c>
      <c r="Y146" s="14">
        <v>150191.65</v>
      </c>
      <c r="Z146" s="14">
        <v>249037.9</v>
      </c>
      <c r="AA146" s="14">
        <v>214607.75</v>
      </c>
      <c r="AB146" s="14"/>
      <c r="AC146" s="14">
        <v>117713.5</v>
      </c>
      <c r="AD146" s="14">
        <v>127144.2</v>
      </c>
      <c r="AE146" s="14"/>
      <c r="AF146" s="14"/>
      <c r="AG146" s="14"/>
      <c r="AH146" s="14">
        <v>172936.8</v>
      </c>
      <c r="AI146" s="14"/>
      <c r="AJ146" s="14"/>
      <c r="AK146" s="14"/>
      <c r="AL146" s="48">
        <f t="shared" si="8"/>
        <v>1031631.8</v>
      </c>
      <c r="AM146" s="22">
        <v>61</v>
      </c>
      <c r="AN146" s="14">
        <v>2932</v>
      </c>
      <c r="AO146" s="14">
        <v>-36164.75</v>
      </c>
      <c r="AP146" s="14"/>
      <c r="AQ146" s="14">
        <v>-5651.85</v>
      </c>
      <c r="AR146" s="44">
        <v>1</v>
      </c>
    </row>
    <row r="147" spans="1:44" x14ac:dyDescent="0.25">
      <c r="A147" s="12">
        <v>5637</v>
      </c>
      <c r="B147" s="13" t="s">
        <v>192</v>
      </c>
      <c r="C147" s="14">
        <v>1873005.6</v>
      </c>
      <c r="D147" s="14">
        <v>228675.66</v>
      </c>
      <c r="E147" s="14"/>
      <c r="F147" s="14"/>
      <c r="G147" s="14">
        <v>16052</v>
      </c>
      <c r="H147" s="14">
        <v>1363.1</v>
      </c>
      <c r="I147" s="14"/>
      <c r="J147" s="14">
        <v>70350.11</v>
      </c>
      <c r="K147" s="14">
        <v>3729.5</v>
      </c>
      <c r="L147" s="14">
        <v>255044.35</v>
      </c>
      <c r="M147" s="3">
        <f t="shared" si="6"/>
        <v>2448220.3200000003</v>
      </c>
      <c r="N147" s="14">
        <v>254087.65</v>
      </c>
      <c r="O147" s="14">
        <v>50024</v>
      </c>
      <c r="P147" s="14">
        <v>92665.65</v>
      </c>
      <c r="Q147" s="14">
        <v>-1836.62</v>
      </c>
      <c r="R147" s="14">
        <v>99699.35</v>
      </c>
      <c r="S147" s="14">
        <v>782.5</v>
      </c>
      <c r="T147" s="14"/>
      <c r="U147" s="14">
        <v>3000</v>
      </c>
      <c r="V147" s="14"/>
      <c r="W147" s="14"/>
      <c r="X147" s="2">
        <f t="shared" si="7"/>
        <v>2946642.85</v>
      </c>
      <c r="Y147" s="14">
        <v>13602.7</v>
      </c>
      <c r="Z147" s="14"/>
      <c r="AA147" s="14">
        <v>154610.5</v>
      </c>
      <c r="AB147" s="14"/>
      <c r="AC147" s="14">
        <v>89065.3</v>
      </c>
      <c r="AD147" s="14">
        <v>14965.45</v>
      </c>
      <c r="AE147" s="14"/>
      <c r="AF147" s="14"/>
      <c r="AG147" s="14"/>
      <c r="AH147" s="14">
        <v>39634.300000000003</v>
      </c>
      <c r="AI147" s="14"/>
      <c r="AJ147" s="14"/>
      <c r="AK147" s="14"/>
      <c r="AL147" s="48">
        <f t="shared" si="8"/>
        <v>311878.25</v>
      </c>
      <c r="AM147" s="22">
        <v>74.5</v>
      </c>
      <c r="AN147" s="14">
        <v>981</v>
      </c>
      <c r="AO147" s="14">
        <v>-46022.7</v>
      </c>
      <c r="AP147" s="14"/>
      <c r="AQ147" s="14">
        <v>-229.79</v>
      </c>
      <c r="AR147" s="44">
        <v>1.5</v>
      </c>
    </row>
    <row r="148" spans="1:44" x14ac:dyDescent="0.25">
      <c r="A148" s="12">
        <v>5638</v>
      </c>
      <c r="B148" s="13" t="s">
        <v>193</v>
      </c>
      <c r="C148" s="14">
        <v>5282996.2300000004</v>
      </c>
      <c r="D148" s="14">
        <v>1307959.75</v>
      </c>
      <c r="E148" s="14"/>
      <c r="F148" s="14"/>
      <c r="G148" s="14">
        <v>800870</v>
      </c>
      <c r="H148" s="14">
        <v>67487.649999999994</v>
      </c>
      <c r="I148" s="14">
        <v>144011.41</v>
      </c>
      <c r="J148" s="14">
        <v>146460.03</v>
      </c>
      <c r="K148" s="14">
        <v>51758</v>
      </c>
      <c r="L148" s="14">
        <v>582600.4</v>
      </c>
      <c r="M148" s="3">
        <f t="shared" si="6"/>
        <v>8384143.4700000016</v>
      </c>
      <c r="N148" s="14">
        <v>129820.9</v>
      </c>
      <c r="O148" s="14">
        <v>1503271.3</v>
      </c>
      <c r="P148" s="14">
        <v>105204</v>
      </c>
      <c r="Q148" s="14">
        <v>6848.1</v>
      </c>
      <c r="R148" s="14">
        <v>175603.9</v>
      </c>
      <c r="S148" s="14"/>
      <c r="T148" s="14"/>
      <c r="U148" s="14">
        <v>12200</v>
      </c>
      <c r="V148" s="14"/>
      <c r="W148" s="14"/>
      <c r="X148" s="2">
        <f t="shared" si="7"/>
        <v>10317091.670000002</v>
      </c>
      <c r="Y148" s="14">
        <v>45086.400000000001</v>
      </c>
      <c r="Z148" s="14"/>
      <c r="AA148" s="14">
        <v>489061.2</v>
      </c>
      <c r="AB148" s="14"/>
      <c r="AC148" s="14">
        <v>281297.3</v>
      </c>
      <c r="AD148" s="14"/>
      <c r="AE148" s="14"/>
      <c r="AF148" s="14"/>
      <c r="AG148" s="14"/>
      <c r="AH148" s="14"/>
      <c r="AI148" s="14"/>
      <c r="AJ148" s="14"/>
      <c r="AK148" s="14"/>
      <c r="AL148" s="48">
        <f t="shared" si="8"/>
        <v>815444.89999999991</v>
      </c>
      <c r="AM148" s="22">
        <v>55</v>
      </c>
      <c r="AN148" s="14">
        <v>2536</v>
      </c>
      <c r="AO148" s="14">
        <v>-663.02</v>
      </c>
      <c r="AP148" s="14"/>
      <c r="AQ148" s="14">
        <v>-4172.17</v>
      </c>
      <c r="AR148" s="44">
        <v>1</v>
      </c>
    </row>
    <row r="149" spans="1:44" x14ac:dyDescent="0.25">
      <c r="A149" s="12">
        <v>5639</v>
      </c>
      <c r="B149" s="13" t="s">
        <v>194</v>
      </c>
      <c r="C149" s="14">
        <v>1884609.63</v>
      </c>
      <c r="D149" s="14">
        <v>410844.9</v>
      </c>
      <c r="E149" s="14"/>
      <c r="F149" s="14"/>
      <c r="G149" s="14">
        <v>82591.199999999997</v>
      </c>
      <c r="H149" s="14">
        <v>2822.45</v>
      </c>
      <c r="I149" s="14"/>
      <c r="J149" s="14">
        <v>27626.17</v>
      </c>
      <c r="K149" s="14">
        <v>3232</v>
      </c>
      <c r="L149" s="14">
        <v>219701.45</v>
      </c>
      <c r="M149" s="3">
        <f t="shared" si="6"/>
        <v>2631427.8000000003</v>
      </c>
      <c r="N149" s="14"/>
      <c r="O149" s="14">
        <v>27528.6</v>
      </c>
      <c r="P149" s="14">
        <v>122241.75</v>
      </c>
      <c r="Q149" s="14">
        <v>323.14</v>
      </c>
      <c r="R149" s="14">
        <v>125088.4</v>
      </c>
      <c r="S149" s="14"/>
      <c r="T149" s="14"/>
      <c r="U149" s="14">
        <v>1975</v>
      </c>
      <c r="V149" s="14"/>
      <c r="W149" s="14"/>
      <c r="X149" s="2">
        <f t="shared" si="7"/>
        <v>2908584.6900000004</v>
      </c>
      <c r="Y149" s="14">
        <v>40758.6</v>
      </c>
      <c r="Z149" s="14"/>
      <c r="AA149" s="14">
        <v>107295.7</v>
      </c>
      <c r="AB149" s="14"/>
      <c r="AC149" s="14">
        <v>60508.3</v>
      </c>
      <c r="AD149" s="14"/>
      <c r="AE149" s="14"/>
      <c r="AF149" s="14"/>
      <c r="AG149" s="14"/>
      <c r="AH149" s="14"/>
      <c r="AI149" s="14"/>
      <c r="AJ149" s="14"/>
      <c r="AK149" s="14"/>
      <c r="AL149" s="48">
        <f t="shared" si="8"/>
        <v>208562.59999999998</v>
      </c>
      <c r="AM149" s="22">
        <v>61</v>
      </c>
      <c r="AN149" s="14">
        <v>760</v>
      </c>
      <c r="AO149" s="14">
        <v>-6386.52</v>
      </c>
      <c r="AP149" s="14"/>
      <c r="AQ149" s="14"/>
      <c r="AR149" s="44">
        <v>1.25</v>
      </c>
    </row>
    <row r="150" spans="1:44" x14ac:dyDescent="0.25">
      <c r="A150" s="12">
        <v>5640</v>
      </c>
      <c r="B150" s="13" t="s">
        <v>195</v>
      </c>
      <c r="C150" s="14">
        <v>2097230.14</v>
      </c>
      <c r="D150" s="14">
        <v>501418.66</v>
      </c>
      <c r="E150" s="14"/>
      <c r="F150" s="14"/>
      <c r="G150" s="14">
        <v>199297.55</v>
      </c>
      <c r="H150" s="14">
        <v>3004.2</v>
      </c>
      <c r="I150" s="14">
        <v>60120.82</v>
      </c>
      <c r="J150" s="14">
        <v>-38575.050000000003</v>
      </c>
      <c r="K150" s="14">
        <v>1498.5</v>
      </c>
      <c r="L150" s="14">
        <v>173729.65</v>
      </c>
      <c r="M150" s="3">
        <f t="shared" si="6"/>
        <v>2997724.47</v>
      </c>
      <c r="N150" s="14">
        <v>18171.5</v>
      </c>
      <c r="O150" s="14">
        <v>217086.5</v>
      </c>
      <c r="P150" s="14">
        <v>37730</v>
      </c>
      <c r="Q150" s="14">
        <v>1796.8</v>
      </c>
      <c r="R150" s="14">
        <v>13027.6</v>
      </c>
      <c r="S150" s="14"/>
      <c r="T150" s="14"/>
      <c r="U150" s="14">
        <v>4700</v>
      </c>
      <c r="V150" s="14"/>
      <c r="W150" s="14"/>
      <c r="X150" s="2">
        <f t="shared" si="7"/>
        <v>3290236.87</v>
      </c>
      <c r="Y150" s="14">
        <v>22400</v>
      </c>
      <c r="Z150" s="14"/>
      <c r="AA150" s="14">
        <v>67498.100000000006</v>
      </c>
      <c r="AB150" s="14"/>
      <c r="AC150" s="14">
        <v>37290</v>
      </c>
      <c r="AD150" s="14"/>
      <c r="AE150" s="14"/>
      <c r="AF150" s="14"/>
      <c r="AG150" s="14"/>
      <c r="AH150" s="14"/>
      <c r="AI150" s="14"/>
      <c r="AJ150" s="14"/>
      <c r="AK150" s="14"/>
      <c r="AL150" s="48">
        <f t="shared" si="8"/>
        <v>127188.1</v>
      </c>
      <c r="AM150" s="22">
        <v>66</v>
      </c>
      <c r="AN150" s="14">
        <v>646</v>
      </c>
      <c r="AO150" s="14">
        <v>-5784.96</v>
      </c>
      <c r="AP150" s="14"/>
      <c r="AQ150" s="14">
        <v>-3220.58</v>
      </c>
      <c r="AR150" s="44">
        <v>1</v>
      </c>
    </row>
    <row r="151" spans="1:44" x14ac:dyDescent="0.25">
      <c r="A151" s="12">
        <v>5642</v>
      </c>
      <c r="B151" s="13" t="s">
        <v>196</v>
      </c>
      <c r="C151" s="14">
        <v>32574621.390000001</v>
      </c>
      <c r="D151" s="14">
        <v>4836183.2699999996</v>
      </c>
      <c r="E151" s="14"/>
      <c r="F151" s="14"/>
      <c r="G151" s="14">
        <v>6012572.9500000002</v>
      </c>
      <c r="H151" s="14">
        <v>484645.4</v>
      </c>
      <c r="I151" s="14">
        <v>320341</v>
      </c>
      <c r="J151" s="14">
        <v>2230683.2000000002</v>
      </c>
      <c r="K151" s="14">
        <v>397545.5</v>
      </c>
      <c r="L151" s="14">
        <v>2924442.15</v>
      </c>
      <c r="M151" s="3">
        <f t="shared" si="6"/>
        <v>49781034.859999999</v>
      </c>
      <c r="N151" s="14">
        <v>1193384.05</v>
      </c>
      <c r="O151" s="14">
        <v>4249449.4000000004</v>
      </c>
      <c r="P151" s="14">
        <v>1141891.05</v>
      </c>
      <c r="Q151" s="14">
        <v>122510.89</v>
      </c>
      <c r="R151" s="14">
        <v>818165.3</v>
      </c>
      <c r="S151" s="14">
        <v>70813</v>
      </c>
      <c r="T151" s="14"/>
      <c r="U151" s="14">
        <v>42530</v>
      </c>
      <c r="V151" s="14"/>
      <c r="W151" s="14"/>
      <c r="X151" s="2">
        <f t="shared" si="7"/>
        <v>57419778.54999999</v>
      </c>
      <c r="Y151" s="14">
        <v>178945.1</v>
      </c>
      <c r="Z151" s="14"/>
      <c r="AA151" s="14">
        <v>4267566.7</v>
      </c>
      <c r="AB151" s="14"/>
      <c r="AC151" s="14">
        <v>1058699.6000000001</v>
      </c>
      <c r="AD151" s="14">
        <v>178945.1</v>
      </c>
      <c r="AE151" s="14"/>
      <c r="AF151" s="14"/>
      <c r="AG151" s="14">
        <v>213153.5</v>
      </c>
      <c r="AH151" s="14"/>
      <c r="AI151" s="14"/>
      <c r="AJ151" s="14"/>
      <c r="AK151" s="14"/>
      <c r="AL151" s="48">
        <f t="shared" si="8"/>
        <v>5897310</v>
      </c>
      <c r="AM151" s="22">
        <v>68.5</v>
      </c>
      <c r="AN151" s="14">
        <v>15623</v>
      </c>
      <c r="AO151" s="14">
        <v>-885440.77</v>
      </c>
      <c r="AP151" s="14"/>
      <c r="AQ151" s="14">
        <v>-14566.03</v>
      </c>
      <c r="AR151" s="44">
        <v>1</v>
      </c>
    </row>
    <row r="152" spans="1:44" x14ac:dyDescent="0.25">
      <c r="A152" s="12">
        <v>5643</v>
      </c>
      <c r="B152" s="13" t="s">
        <v>197</v>
      </c>
      <c r="C152" s="14">
        <v>10998745.59</v>
      </c>
      <c r="D152" s="14">
        <v>2032707.1</v>
      </c>
      <c r="E152" s="14"/>
      <c r="F152" s="14"/>
      <c r="G152" s="14">
        <v>1264029.6000000001</v>
      </c>
      <c r="H152" s="14">
        <v>38946.65</v>
      </c>
      <c r="I152" s="14">
        <v>233582.95</v>
      </c>
      <c r="J152" s="14">
        <v>444402.24</v>
      </c>
      <c r="K152" s="14">
        <v>77686.5</v>
      </c>
      <c r="L152" s="14">
        <v>1027181.85</v>
      </c>
      <c r="M152" s="3">
        <f t="shared" si="6"/>
        <v>16117282.479999999</v>
      </c>
      <c r="N152" s="14">
        <v>160776.25</v>
      </c>
      <c r="O152" s="14">
        <v>57979.1</v>
      </c>
      <c r="P152" s="14">
        <v>466985.55</v>
      </c>
      <c r="Q152" s="14">
        <v>45774.82</v>
      </c>
      <c r="R152" s="14">
        <v>297315.55</v>
      </c>
      <c r="S152" s="14">
        <v>152.5</v>
      </c>
      <c r="T152" s="14">
        <v>3640</v>
      </c>
      <c r="U152" s="14">
        <v>17640</v>
      </c>
      <c r="V152" s="14"/>
      <c r="W152" s="14"/>
      <c r="X152" s="2">
        <f t="shared" si="7"/>
        <v>17167546.25</v>
      </c>
      <c r="Y152" s="14">
        <v>238581.1</v>
      </c>
      <c r="Z152" s="14"/>
      <c r="AA152" s="14">
        <v>855481.02</v>
      </c>
      <c r="AB152" s="14"/>
      <c r="AC152" s="14">
        <v>406601.55</v>
      </c>
      <c r="AD152" s="14"/>
      <c r="AE152" s="14"/>
      <c r="AF152" s="14"/>
      <c r="AG152" s="14"/>
      <c r="AH152" s="14">
        <v>110434.3</v>
      </c>
      <c r="AI152" s="14"/>
      <c r="AJ152" s="14"/>
      <c r="AK152" s="14"/>
      <c r="AL152" s="48">
        <f t="shared" si="8"/>
        <v>1611097.9700000002</v>
      </c>
      <c r="AM152" s="22">
        <v>64</v>
      </c>
      <c r="AN152" s="14">
        <v>5263</v>
      </c>
      <c r="AO152" s="14">
        <v>-171988.52</v>
      </c>
      <c r="AP152" s="14"/>
      <c r="AQ152" s="14">
        <v>-4282.45</v>
      </c>
      <c r="AR152" s="44">
        <v>1</v>
      </c>
    </row>
    <row r="153" spans="1:44" x14ac:dyDescent="0.25">
      <c r="A153" s="12">
        <v>5644</v>
      </c>
      <c r="B153" s="13" t="s">
        <v>356</v>
      </c>
      <c r="C153" s="14">
        <v>962903.63</v>
      </c>
      <c r="D153" s="14">
        <v>125224.44</v>
      </c>
      <c r="E153" s="14"/>
      <c r="F153" s="14"/>
      <c r="G153" s="14">
        <v>28898.85</v>
      </c>
      <c r="H153" s="14">
        <v>-257.14999999999998</v>
      </c>
      <c r="I153" s="14"/>
      <c r="J153" s="14">
        <v>4237.1099999999997</v>
      </c>
      <c r="K153" s="14">
        <v>366</v>
      </c>
      <c r="L153" s="14">
        <v>65545.55</v>
      </c>
      <c r="M153" s="3">
        <f t="shared" si="6"/>
        <v>1186918.4300000004</v>
      </c>
      <c r="N153" s="14">
        <v>7214.6</v>
      </c>
      <c r="O153" s="14"/>
      <c r="P153" s="14">
        <v>44931</v>
      </c>
      <c r="Q153" s="14"/>
      <c r="R153" s="14">
        <v>52721.599999999999</v>
      </c>
      <c r="S153" s="14"/>
      <c r="T153" s="14">
        <v>560</v>
      </c>
      <c r="U153" s="14">
        <v>2600</v>
      </c>
      <c r="V153" s="14"/>
      <c r="W153" s="14"/>
      <c r="X153" s="2">
        <f t="shared" si="7"/>
        <v>1294945.6300000006</v>
      </c>
      <c r="Y153" s="14">
        <v>12127</v>
      </c>
      <c r="Z153" s="14"/>
      <c r="AA153" s="14">
        <v>64140.2</v>
      </c>
      <c r="AB153" s="14"/>
      <c r="AC153" s="14">
        <v>30560</v>
      </c>
      <c r="AD153" s="14">
        <v>7502</v>
      </c>
      <c r="AE153" s="14"/>
      <c r="AF153" s="14"/>
      <c r="AG153" s="14"/>
      <c r="AH153" s="14">
        <v>7223.7</v>
      </c>
      <c r="AI153" s="14"/>
      <c r="AJ153" s="14"/>
      <c r="AK153" s="14"/>
      <c r="AL153" s="48">
        <f t="shared" si="8"/>
        <v>121552.9</v>
      </c>
      <c r="AM153" s="22">
        <v>76</v>
      </c>
      <c r="AN153" s="14">
        <v>360</v>
      </c>
      <c r="AO153" s="14">
        <v>-1708.78</v>
      </c>
      <c r="AP153" s="14"/>
      <c r="AQ153" s="14">
        <v>-0.47</v>
      </c>
      <c r="AR153" s="44">
        <v>1</v>
      </c>
    </row>
    <row r="154" spans="1:44" x14ac:dyDescent="0.25">
      <c r="A154" s="12">
        <v>5645</v>
      </c>
      <c r="B154" s="13" t="s">
        <v>357</v>
      </c>
      <c r="C154" s="14">
        <v>845581.44</v>
      </c>
      <c r="D154" s="14">
        <v>144025.57999999999</v>
      </c>
      <c r="E154" s="14"/>
      <c r="F154" s="14"/>
      <c r="G154" s="14">
        <v>233929.7</v>
      </c>
      <c r="H154" s="14">
        <v>17086.75</v>
      </c>
      <c r="I154" s="14"/>
      <c r="J154" s="14">
        <v>43484.57</v>
      </c>
      <c r="K154" s="14">
        <v>7817</v>
      </c>
      <c r="L154" s="14">
        <v>109033.7</v>
      </c>
      <c r="M154" s="3">
        <f t="shared" si="6"/>
        <v>1400958.74</v>
      </c>
      <c r="N154" s="14">
        <v>51663.6</v>
      </c>
      <c r="O154" s="14">
        <v>6750.3</v>
      </c>
      <c r="P154" s="14">
        <v>18205</v>
      </c>
      <c r="Q154" s="14">
        <v>3685.64</v>
      </c>
      <c r="R154" s="14">
        <v>17342.95</v>
      </c>
      <c r="S154" s="14"/>
      <c r="T154" s="14"/>
      <c r="U154" s="14">
        <v>750</v>
      </c>
      <c r="V154" s="14"/>
      <c r="W154" s="14"/>
      <c r="X154" s="2">
        <f t="shared" si="7"/>
        <v>1499356.23</v>
      </c>
      <c r="Y154" s="14">
        <v>12417.65</v>
      </c>
      <c r="Z154" s="14"/>
      <c r="AA154" s="14">
        <v>111386.9</v>
      </c>
      <c r="AB154" s="14"/>
      <c r="AC154" s="14">
        <v>48398</v>
      </c>
      <c r="AD154" s="14">
        <v>17630.8</v>
      </c>
      <c r="AE154" s="14"/>
      <c r="AF154" s="14"/>
      <c r="AG154" s="14"/>
      <c r="AH154" s="14">
        <v>26594</v>
      </c>
      <c r="AI154" s="14"/>
      <c r="AJ154" s="14"/>
      <c r="AK154" s="14"/>
      <c r="AL154" s="48">
        <f t="shared" si="8"/>
        <v>216427.34999999998</v>
      </c>
      <c r="AM154" s="22">
        <v>56</v>
      </c>
      <c r="AN154" s="14">
        <v>459</v>
      </c>
      <c r="AO154" s="14">
        <v>-10663.26</v>
      </c>
      <c r="AP154" s="14"/>
      <c r="AQ154" s="14">
        <v>-37.65</v>
      </c>
      <c r="AR154" s="44">
        <v>0.8</v>
      </c>
    </row>
    <row r="155" spans="1:44" x14ac:dyDescent="0.25">
      <c r="A155" s="12">
        <v>5646</v>
      </c>
      <c r="B155" s="13" t="s">
        <v>358</v>
      </c>
      <c r="C155" s="14">
        <v>9601453.1600000001</v>
      </c>
      <c r="D155" s="14">
        <v>2588666.0499999998</v>
      </c>
      <c r="E155" s="14"/>
      <c r="F155" s="14"/>
      <c r="G155" s="14">
        <v>428444.05</v>
      </c>
      <c r="H155" s="14">
        <v>1678668.6</v>
      </c>
      <c r="I155" s="14">
        <v>624273.18000000005</v>
      </c>
      <c r="J155" s="14">
        <v>734525.25</v>
      </c>
      <c r="K155" s="14">
        <v>119824.5</v>
      </c>
      <c r="L155" s="14">
        <v>1426965.45</v>
      </c>
      <c r="M155" s="3">
        <f t="shared" si="6"/>
        <v>17202820.240000002</v>
      </c>
      <c r="N155" s="14">
        <v>493653.25</v>
      </c>
      <c r="O155" s="14">
        <v>1443954.6</v>
      </c>
      <c r="P155" s="14">
        <v>870874.45</v>
      </c>
      <c r="Q155" s="14">
        <v>58825.46</v>
      </c>
      <c r="R155" s="14">
        <v>623458.15</v>
      </c>
      <c r="S155" s="14"/>
      <c r="T155" s="14">
        <v>4570</v>
      </c>
      <c r="U155" s="14">
        <v>48600</v>
      </c>
      <c r="V155" s="14"/>
      <c r="W155" s="14"/>
      <c r="X155" s="2">
        <f t="shared" si="7"/>
        <v>20746756.150000002</v>
      </c>
      <c r="Y155" s="14">
        <v>443693.77</v>
      </c>
      <c r="Z155" s="14"/>
      <c r="AA155" s="14">
        <v>866570.02</v>
      </c>
      <c r="AB155" s="14"/>
      <c r="AC155" s="14">
        <v>532039.05000000005</v>
      </c>
      <c r="AD155" s="14">
        <v>185414.38</v>
      </c>
      <c r="AE155" s="14"/>
      <c r="AF155" s="14"/>
      <c r="AG155" s="14">
        <v>36772</v>
      </c>
      <c r="AH155" s="14"/>
      <c r="AI155" s="14"/>
      <c r="AJ155" s="14"/>
      <c r="AK155" s="14"/>
      <c r="AL155" s="48">
        <f t="shared" si="8"/>
        <v>2064489.2200000002</v>
      </c>
      <c r="AM155" s="22">
        <v>55</v>
      </c>
      <c r="AN155" s="14">
        <v>5604</v>
      </c>
      <c r="AO155" s="14">
        <v>-350425.71</v>
      </c>
      <c r="AP155" s="14"/>
      <c r="AQ155" s="14">
        <v>-8749.7099999999991</v>
      </c>
      <c r="AR155" s="44">
        <v>1</v>
      </c>
    </row>
    <row r="156" spans="1:44" x14ac:dyDescent="0.25">
      <c r="A156" s="12">
        <v>5648</v>
      </c>
      <c r="B156" s="13" t="s">
        <v>359</v>
      </c>
      <c r="C156" s="14">
        <v>10202840.029999999</v>
      </c>
      <c r="D156" s="14">
        <v>3785819.91</v>
      </c>
      <c r="E156" s="14"/>
      <c r="F156" s="14"/>
      <c r="G156" s="14">
        <v>331913.46000000002</v>
      </c>
      <c r="H156" s="14">
        <v>295936.84999999998</v>
      </c>
      <c r="I156" s="14">
        <v>666665.6</v>
      </c>
      <c r="J156" s="14">
        <v>564645</v>
      </c>
      <c r="K156" s="14">
        <v>92465.5</v>
      </c>
      <c r="L156" s="14">
        <v>894473.38</v>
      </c>
      <c r="M156" s="3">
        <f t="shared" si="6"/>
        <v>16834759.73</v>
      </c>
      <c r="N156" s="14">
        <v>71491.8</v>
      </c>
      <c r="O156" s="14"/>
      <c r="P156" s="14">
        <v>1284511.93</v>
      </c>
      <c r="Q156" s="14">
        <v>-3712.22</v>
      </c>
      <c r="R156" s="14">
        <v>1296740.3</v>
      </c>
      <c r="S156" s="14"/>
      <c r="T156" s="14"/>
      <c r="U156" s="14">
        <v>15650</v>
      </c>
      <c r="V156" s="14"/>
      <c r="W156" s="14"/>
      <c r="X156" s="2">
        <f t="shared" si="7"/>
        <v>19499441.540000003</v>
      </c>
      <c r="Y156" s="14">
        <v>1098973.3</v>
      </c>
      <c r="Z156" s="14"/>
      <c r="AA156" s="14">
        <v>902691.65</v>
      </c>
      <c r="AB156" s="14"/>
      <c r="AC156" s="14">
        <v>303541.03000000003</v>
      </c>
      <c r="AD156" s="14"/>
      <c r="AE156" s="14"/>
      <c r="AF156" s="14"/>
      <c r="AG156" s="14">
        <v>132507.72</v>
      </c>
      <c r="AH156" s="14">
        <v>132632.51999999999</v>
      </c>
      <c r="AI156" s="14"/>
      <c r="AJ156" s="14"/>
      <c r="AK156" s="14"/>
      <c r="AL156" s="48">
        <f t="shared" si="8"/>
        <v>2570346.2200000007</v>
      </c>
      <c r="AM156" s="22">
        <v>55</v>
      </c>
      <c r="AN156" s="14">
        <v>3898</v>
      </c>
      <c r="AO156" s="14">
        <v>-141302.87</v>
      </c>
      <c r="AP156" s="14"/>
      <c r="AQ156" s="14">
        <v>-9904.2900000000009</v>
      </c>
      <c r="AR156" s="44">
        <v>0.8</v>
      </c>
    </row>
    <row r="157" spans="1:44" x14ac:dyDescent="0.25">
      <c r="A157" s="12">
        <v>5649</v>
      </c>
      <c r="B157" s="13" t="s">
        <v>360</v>
      </c>
      <c r="C157" s="14">
        <v>3612946.12</v>
      </c>
      <c r="D157" s="14">
        <v>592710.18999999994</v>
      </c>
      <c r="E157" s="14"/>
      <c r="F157" s="14"/>
      <c r="G157" s="14">
        <v>1266392.95</v>
      </c>
      <c r="H157" s="14">
        <v>621141.35</v>
      </c>
      <c r="I157" s="14">
        <v>41286.5</v>
      </c>
      <c r="J157" s="14">
        <v>478624.57</v>
      </c>
      <c r="K157" s="14">
        <v>59599.5</v>
      </c>
      <c r="L157" s="14">
        <v>517247.6</v>
      </c>
      <c r="M157" s="3">
        <f t="shared" si="6"/>
        <v>7189948.7800000003</v>
      </c>
      <c r="N157" s="14">
        <v>438479.5</v>
      </c>
      <c r="O157" s="14">
        <v>77493.600000000006</v>
      </c>
      <c r="P157" s="14">
        <v>170195.45</v>
      </c>
      <c r="Q157" s="14">
        <v>2758.39</v>
      </c>
      <c r="R157" s="14">
        <v>140839.70000000001</v>
      </c>
      <c r="S157" s="14"/>
      <c r="T157" s="14"/>
      <c r="U157" s="14">
        <v>3345</v>
      </c>
      <c r="V157" s="14"/>
      <c r="W157" s="14"/>
      <c r="X157" s="2">
        <f t="shared" si="7"/>
        <v>8023060.4199999999</v>
      </c>
      <c r="Y157" s="14">
        <v>71099.649999999994</v>
      </c>
      <c r="Z157" s="14"/>
      <c r="AA157" s="14">
        <v>441701.5</v>
      </c>
      <c r="AB157" s="14"/>
      <c r="AC157" s="14">
        <v>95055</v>
      </c>
      <c r="AD157" s="14"/>
      <c r="AE157" s="14"/>
      <c r="AF157" s="14"/>
      <c r="AG157" s="14"/>
      <c r="AH157" s="14">
        <v>128558.9</v>
      </c>
      <c r="AI157" s="14"/>
      <c r="AJ157" s="14"/>
      <c r="AK157" s="14"/>
      <c r="AL157" s="48">
        <f t="shared" si="8"/>
        <v>736415.05</v>
      </c>
      <c r="AM157" s="22">
        <v>65</v>
      </c>
      <c r="AN157" s="14">
        <v>1855</v>
      </c>
      <c r="AO157" s="14">
        <v>-83826.570000000007</v>
      </c>
      <c r="AP157" s="14"/>
      <c r="AQ157" s="14">
        <v>-472.53</v>
      </c>
      <c r="AR157" s="44">
        <v>1</v>
      </c>
    </row>
    <row r="158" spans="1:44" x14ac:dyDescent="0.25">
      <c r="A158" s="12">
        <v>5650</v>
      </c>
      <c r="B158" s="13" t="s">
        <v>361</v>
      </c>
      <c r="C158" s="14">
        <v>2621319.98</v>
      </c>
      <c r="D158" s="14">
        <v>4540898.0999999996</v>
      </c>
      <c r="E158" s="14"/>
      <c r="F158" s="14"/>
      <c r="G158" s="14">
        <v>11549.3</v>
      </c>
      <c r="H158" s="14">
        <v>24.05</v>
      </c>
      <c r="I158" s="14"/>
      <c r="J158" s="14">
        <v>1427.62</v>
      </c>
      <c r="K158" s="14"/>
      <c r="L158" s="14">
        <v>52726.3</v>
      </c>
      <c r="M158" s="3">
        <f t="shared" si="6"/>
        <v>7227945.3499999996</v>
      </c>
      <c r="N158" s="14"/>
      <c r="O158" s="14">
        <v>71154.3</v>
      </c>
      <c r="P158" s="14"/>
      <c r="Q158" s="14"/>
      <c r="R158" s="14"/>
      <c r="S158" s="14"/>
      <c r="T158" s="14"/>
      <c r="U158" s="14">
        <v>510</v>
      </c>
      <c r="V158" s="14"/>
      <c r="W158" s="14"/>
      <c r="X158" s="2">
        <f t="shared" si="7"/>
        <v>7299609.6499999994</v>
      </c>
      <c r="Y158" s="14"/>
      <c r="Z158" s="14"/>
      <c r="AA158" s="14">
        <v>26646.05</v>
      </c>
      <c r="AB158" s="14"/>
      <c r="AC158" s="14">
        <v>21113.9</v>
      </c>
      <c r="AD158" s="14"/>
      <c r="AE158" s="14"/>
      <c r="AF158" s="14"/>
      <c r="AG158" s="14"/>
      <c r="AH158" s="14"/>
      <c r="AI158" s="14"/>
      <c r="AJ158" s="14"/>
      <c r="AK158" s="14"/>
      <c r="AL158" s="48">
        <f t="shared" si="8"/>
        <v>47759.95</v>
      </c>
      <c r="AM158" s="22">
        <v>39</v>
      </c>
      <c r="AN158" s="14">
        <v>203</v>
      </c>
      <c r="AO158" s="14">
        <v>-2.82</v>
      </c>
      <c r="AP158" s="14"/>
      <c r="AQ158" s="14"/>
      <c r="AR158" s="44">
        <v>1.25</v>
      </c>
    </row>
    <row r="159" spans="1:44" x14ac:dyDescent="0.25">
      <c r="A159" s="12">
        <v>5651</v>
      </c>
      <c r="B159" s="13" t="s">
        <v>362</v>
      </c>
      <c r="C159" s="14">
        <v>1604394.05</v>
      </c>
      <c r="D159" s="14">
        <v>166577.48000000001</v>
      </c>
      <c r="E159" s="14"/>
      <c r="F159" s="14"/>
      <c r="G159" s="14">
        <v>244530.95</v>
      </c>
      <c r="H159" s="14">
        <v>3080.65</v>
      </c>
      <c r="I159" s="14"/>
      <c r="J159" s="14">
        <v>22047.200000000001</v>
      </c>
      <c r="K159" s="14">
        <v>13268</v>
      </c>
      <c r="L159" s="14">
        <v>200663.4</v>
      </c>
      <c r="M159" s="3">
        <f t="shared" si="6"/>
        <v>2254561.73</v>
      </c>
      <c r="N159" s="14">
        <v>128413.05</v>
      </c>
      <c r="O159" s="14"/>
      <c r="P159" s="14">
        <v>221104.3</v>
      </c>
      <c r="Q159" s="14">
        <v>79586.55</v>
      </c>
      <c r="R159" s="14">
        <v>228523.35</v>
      </c>
      <c r="S159" s="14"/>
      <c r="T159" s="14"/>
      <c r="U159" s="14">
        <v>3760</v>
      </c>
      <c r="V159" s="14"/>
      <c r="W159" s="14"/>
      <c r="X159" s="2">
        <f t="shared" si="7"/>
        <v>2915948.9799999995</v>
      </c>
      <c r="Y159" s="14">
        <v>476225.45</v>
      </c>
      <c r="Z159" s="14"/>
      <c r="AA159" s="14">
        <v>86554.55</v>
      </c>
      <c r="AB159" s="14"/>
      <c r="AC159" s="14">
        <v>97823.85</v>
      </c>
      <c r="AD159" s="14">
        <v>271239.3</v>
      </c>
      <c r="AE159" s="14"/>
      <c r="AF159" s="14"/>
      <c r="AG159" s="14"/>
      <c r="AH159" s="14">
        <v>41370.800000000003</v>
      </c>
      <c r="AI159" s="14"/>
      <c r="AJ159" s="14"/>
      <c r="AK159" s="14"/>
      <c r="AL159" s="48">
        <f t="shared" si="8"/>
        <v>973213.95</v>
      </c>
      <c r="AM159" s="22">
        <v>59</v>
      </c>
      <c r="AN159" s="14">
        <v>709</v>
      </c>
      <c r="AO159" s="14">
        <v>-102556.47</v>
      </c>
      <c r="AP159" s="14"/>
      <c r="AQ159" s="14">
        <v>-17.239999999999998</v>
      </c>
      <c r="AR159" s="44">
        <v>1</v>
      </c>
    </row>
    <row r="160" spans="1:44" x14ac:dyDescent="0.25">
      <c r="A160" s="12">
        <v>5652</v>
      </c>
      <c r="B160" s="13" t="s">
        <v>233</v>
      </c>
      <c r="C160" s="14">
        <v>1325453.07</v>
      </c>
      <c r="D160" s="14">
        <v>333766.14</v>
      </c>
      <c r="E160" s="14"/>
      <c r="F160" s="14"/>
      <c r="G160" s="14">
        <v>15157.6</v>
      </c>
      <c r="H160" s="14">
        <v>77.849999999999994</v>
      </c>
      <c r="I160" s="14"/>
      <c r="J160" s="14">
        <v>26229.4</v>
      </c>
      <c r="K160" s="14">
        <v>1104</v>
      </c>
      <c r="L160" s="14">
        <v>114629.9</v>
      </c>
      <c r="M160" s="3">
        <f t="shared" si="6"/>
        <v>1816417.96</v>
      </c>
      <c r="N160" s="14">
        <v>2164.85</v>
      </c>
      <c r="O160" s="14">
        <v>0.7</v>
      </c>
      <c r="P160" s="14">
        <v>55316.15</v>
      </c>
      <c r="Q160" s="14"/>
      <c r="R160" s="14"/>
      <c r="S160" s="14"/>
      <c r="T160" s="14"/>
      <c r="U160" s="14">
        <v>3250</v>
      </c>
      <c r="V160" s="14"/>
      <c r="W160" s="14"/>
      <c r="X160" s="2">
        <f t="shared" si="7"/>
        <v>1877149.66</v>
      </c>
      <c r="Y160" s="14">
        <v>33370</v>
      </c>
      <c r="Z160" s="14">
        <v>-1457.4</v>
      </c>
      <c r="AA160" s="14">
        <v>76184.45</v>
      </c>
      <c r="AB160" s="14"/>
      <c r="AC160" s="14">
        <v>38875</v>
      </c>
      <c r="AD160" s="14"/>
      <c r="AE160" s="14"/>
      <c r="AF160" s="14"/>
      <c r="AG160" s="14"/>
      <c r="AH160" s="14"/>
      <c r="AI160" s="14"/>
      <c r="AJ160" s="14"/>
      <c r="AK160" s="14"/>
      <c r="AL160" s="48">
        <f t="shared" si="8"/>
        <v>146972.04999999999</v>
      </c>
      <c r="AM160" s="22">
        <v>76</v>
      </c>
      <c r="AN160" s="14">
        <v>564</v>
      </c>
      <c r="AO160" s="14">
        <v>-589.14</v>
      </c>
      <c r="AP160" s="14"/>
      <c r="AQ160" s="14">
        <v>-62.45</v>
      </c>
      <c r="AR160" s="44">
        <v>1.2</v>
      </c>
    </row>
    <row r="161" spans="1:44" x14ac:dyDescent="0.25">
      <c r="A161" s="12">
        <v>5653</v>
      </c>
      <c r="B161" s="13" t="s">
        <v>234</v>
      </c>
      <c r="C161" s="14">
        <v>2435110.59</v>
      </c>
      <c r="D161" s="14">
        <v>572755.13</v>
      </c>
      <c r="E161" s="14"/>
      <c r="F161" s="14"/>
      <c r="G161" s="14">
        <v>3997.3</v>
      </c>
      <c r="H161" s="14">
        <v>826.3</v>
      </c>
      <c r="I161" s="14">
        <v>101621.3</v>
      </c>
      <c r="J161" s="14">
        <v>-34165.269999999997</v>
      </c>
      <c r="K161" s="14">
        <v>2764.5</v>
      </c>
      <c r="L161" s="14">
        <v>174313.9</v>
      </c>
      <c r="M161" s="3">
        <f t="shared" si="6"/>
        <v>3257223.7499999991</v>
      </c>
      <c r="N161" s="14">
        <v>1822.2</v>
      </c>
      <c r="O161" s="14"/>
      <c r="P161" s="14">
        <v>106254.2</v>
      </c>
      <c r="Q161" s="14"/>
      <c r="R161" s="14">
        <v>59381.1</v>
      </c>
      <c r="S161" s="14">
        <v>400</v>
      </c>
      <c r="T161" s="14"/>
      <c r="U161" s="14">
        <v>5600</v>
      </c>
      <c r="V161" s="14"/>
      <c r="W161" s="14"/>
      <c r="X161" s="2">
        <f t="shared" si="7"/>
        <v>3430681.2499999995</v>
      </c>
      <c r="Y161" s="14">
        <v>82136.2</v>
      </c>
      <c r="Z161" s="14"/>
      <c r="AA161" s="14">
        <v>100498.9</v>
      </c>
      <c r="AB161" s="14"/>
      <c r="AC161" s="14">
        <v>44764.9</v>
      </c>
      <c r="AD161" s="14"/>
      <c r="AE161" s="14"/>
      <c r="AF161" s="14"/>
      <c r="AG161" s="14"/>
      <c r="AH161" s="14"/>
      <c r="AI161" s="14"/>
      <c r="AJ161" s="14"/>
      <c r="AK161" s="14"/>
      <c r="AL161" s="48">
        <f t="shared" si="8"/>
        <v>227399.99999999997</v>
      </c>
      <c r="AM161" s="22">
        <v>55</v>
      </c>
      <c r="AN161" s="14">
        <v>821</v>
      </c>
      <c r="AO161" s="14">
        <v>-8565.82</v>
      </c>
      <c r="AP161" s="14"/>
      <c r="AQ161" s="14">
        <v>-2688.78</v>
      </c>
      <c r="AR161" s="44">
        <v>0.8</v>
      </c>
    </row>
    <row r="162" spans="1:44" x14ac:dyDescent="0.25">
      <c r="A162" s="12">
        <v>5654</v>
      </c>
      <c r="B162" s="13" t="s">
        <v>235</v>
      </c>
      <c r="C162" s="14">
        <v>1065485.32</v>
      </c>
      <c r="D162" s="14">
        <v>110060.31</v>
      </c>
      <c r="E162" s="14"/>
      <c r="F162" s="14"/>
      <c r="G162" s="14">
        <v>26005.4</v>
      </c>
      <c r="H162" s="14">
        <v>392.15</v>
      </c>
      <c r="I162" s="14"/>
      <c r="J162" s="14">
        <v>11184.62</v>
      </c>
      <c r="K162" s="14">
        <v>729</v>
      </c>
      <c r="L162" s="14">
        <v>81956.149999999994</v>
      </c>
      <c r="M162" s="3">
        <f t="shared" si="6"/>
        <v>1295812.95</v>
      </c>
      <c r="N162" s="14"/>
      <c r="O162" s="14">
        <v>120000</v>
      </c>
      <c r="P162" s="14">
        <v>2150.5</v>
      </c>
      <c r="Q162" s="14"/>
      <c r="R162" s="14">
        <v>12917.7</v>
      </c>
      <c r="S162" s="14">
        <v>25</v>
      </c>
      <c r="T162" s="14">
        <v>2044.5</v>
      </c>
      <c r="U162" s="14">
        <v>3100</v>
      </c>
      <c r="V162" s="14"/>
      <c r="W162" s="14"/>
      <c r="X162" s="2">
        <f t="shared" si="7"/>
        <v>1436050.65</v>
      </c>
      <c r="Y162" s="14">
        <v>40000</v>
      </c>
      <c r="Z162" s="14"/>
      <c r="AA162" s="14">
        <v>144523.95000000001</v>
      </c>
      <c r="AB162" s="14"/>
      <c r="AC162" s="14">
        <v>19001.45</v>
      </c>
      <c r="AD162" s="14">
        <v>8000</v>
      </c>
      <c r="AE162" s="14"/>
      <c r="AF162" s="14"/>
      <c r="AG162" s="14"/>
      <c r="AH162" s="14">
        <v>13536.85</v>
      </c>
      <c r="AI162" s="14"/>
      <c r="AJ162" s="14"/>
      <c r="AK162" s="14"/>
      <c r="AL162" s="48">
        <f t="shared" si="8"/>
        <v>225062.25000000003</v>
      </c>
      <c r="AM162" s="22">
        <v>76</v>
      </c>
      <c r="AN162" s="14">
        <v>460</v>
      </c>
      <c r="AO162" s="14">
        <v>-6531.73</v>
      </c>
      <c r="AP162" s="14"/>
      <c r="AQ162" s="14">
        <v>-1165.55</v>
      </c>
      <c r="AR162" s="44">
        <v>1</v>
      </c>
    </row>
    <row r="163" spans="1:44" x14ac:dyDescent="0.25">
      <c r="A163" s="12">
        <v>5655</v>
      </c>
      <c r="B163" s="13" t="s">
        <v>236</v>
      </c>
      <c r="C163" s="14">
        <v>3696399.69</v>
      </c>
      <c r="D163" s="14">
        <v>467434.19</v>
      </c>
      <c r="E163" s="14"/>
      <c r="F163" s="14"/>
      <c r="G163" s="14">
        <v>114669.35</v>
      </c>
      <c r="H163" s="14">
        <v>1450.95</v>
      </c>
      <c r="I163" s="14">
        <v>256403.75</v>
      </c>
      <c r="J163" s="14">
        <v>139768.19</v>
      </c>
      <c r="K163" s="14">
        <v>5616.5</v>
      </c>
      <c r="L163" s="14">
        <v>329705.05</v>
      </c>
      <c r="M163" s="3">
        <f t="shared" si="6"/>
        <v>5011447.67</v>
      </c>
      <c r="N163" s="14">
        <v>51970.45</v>
      </c>
      <c r="O163" s="14">
        <v>7736.9</v>
      </c>
      <c r="P163" s="14">
        <v>390493.5</v>
      </c>
      <c r="Q163" s="14"/>
      <c r="R163" s="14">
        <v>403147.95</v>
      </c>
      <c r="S163" s="14">
        <v>275</v>
      </c>
      <c r="T163" s="14"/>
      <c r="U163" s="14">
        <v>6810</v>
      </c>
      <c r="V163" s="14">
        <v>1160</v>
      </c>
      <c r="W163" s="14"/>
      <c r="X163" s="2">
        <f t="shared" si="7"/>
        <v>5873041.4700000007</v>
      </c>
      <c r="Y163" s="14">
        <v>45922.5</v>
      </c>
      <c r="Z163" s="14"/>
      <c r="AA163" s="14">
        <v>182101.25</v>
      </c>
      <c r="AB163" s="14"/>
      <c r="AC163" s="14">
        <v>73048.5</v>
      </c>
      <c r="AD163" s="14">
        <v>74984.2</v>
      </c>
      <c r="AE163" s="14"/>
      <c r="AF163" s="14"/>
      <c r="AG163" s="14"/>
      <c r="AH163" s="14"/>
      <c r="AI163" s="14"/>
      <c r="AJ163" s="14"/>
      <c r="AK163" s="14"/>
      <c r="AL163" s="48">
        <f t="shared" si="8"/>
        <v>376056.45</v>
      </c>
      <c r="AM163" s="22">
        <v>73</v>
      </c>
      <c r="AN163" s="14">
        <v>1405</v>
      </c>
      <c r="AO163" s="14">
        <v>-38671.760000000002</v>
      </c>
      <c r="AP163" s="14"/>
      <c r="AQ163" s="14">
        <v>-944.31</v>
      </c>
      <c r="AR163" s="44">
        <v>1</v>
      </c>
    </row>
    <row r="164" spans="1:44" x14ac:dyDescent="0.25">
      <c r="A164" s="12">
        <v>5661</v>
      </c>
      <c r="B164" s="13" t="s">
        <v>237</v>
      </c>
      <c r="C164" s="14">
        <v>490709.87</v>
      </c>
      <c r="D164" s="14">
        <v>38384.65</v>
      </c>
      <c r="E164" s="14"/>
      <c r="F164" s="14">
        <v>1530</v>
      </c>
      <c r="G164" s="14">
        <v>2500.8000000000002</v>
      </c>
      <c r="H164" s="14">
        <v>14155.5</v>
      </c>
      <c r="I164" s="14"/>
      <c r="J164" s="14">
        <v>6417.22</v>
      </c>
      <c r="K164" s="14">
        <v>312</v>
      </c>
      <c r="L164" s="14">
        <v>38517.1</v>
      </c>
      <c r="M164" s="3">
        <f t="shared" si="6"/>
        <v>592527.14</v>
      </c>
      <c r="N164" s="14">
        <v>13789.55</v>
      </c>
      <c r="O164" s="14"/>
      <c r="P164" s="14">
        <v>21114.5</v>
      </c>
      <c r="Q164" s="14">
        <v>1200</v>
      </c>
      <c r="R164" s="14">
        <v>8426.5</v>
      </c>
      <c r="S164" s="14"/>
      <c r="T164" s="14"/>
      <c r="U164" s="14">
        <v>1800</v>
      </c>
      <c r="V164" s="14"/>
      <c r="W164" s="14"/>
      <c r="X164" s="2">
        <f t="shared" si="7"/>
        <v>638857.69000000006</v>
      </c>
      <c r="Y164" s="14">
        <v>63000</v>
      </c>
      <c r="Z164" s="14"/>
      <c r="AA164" s="14">
        <v>29626.85</v>
      </c>
      <c r="AB164" s="14"/>
      <c r="AC164" s="14">
        <v>23556.799999999999</v>
      </c>
      <c r="AD164" s="14"/>
      <c r="AE164" s="14"/>
      <c r="AF164" s="14"/>
      <c r="AG164" s="14"/>
      <c r="AH164" s="14"/>
      <c r="AI164" s="14"/>
      <c r="AJ164" s="14"/>
      <c r="AK164" s="14"/>
      <c r="AL164" s="48">
        <f t="shared" si="8"/>
        <v>116183.65000000001</v>
      </c>
      <c r="AM164" s="22">
        <v>79</v>
      </c>
      <c r="AN164" s="14">
        <v>325</v>
      </c>
      <c r="AO164" s="14">
        <v>-18806.599999999999</v>
      </c>
      <c r="AP164" s="14"/>
      <c r="AQ164" s="14"/>
      <c r="AR164" s="44">
        <v>1</v>
      </c>
    </row>
    <row r="165" spans="1:44" x14ac:dyDescent="0.25">
      <c r="A165" s="12">
        <v>5662</v>
      </c>
      <c r="B165" s="13" t="s">
        <v>238</v>
      </c>
      <c r="C165" s="14">
        <v>323103.82</v>
      </c>
      <c r="D165" s="14">
        <v>28120.68</v>
      </c>
      <c r="E165" s="14"/>
      <c r="F165" s="14"/>
      <c r="G165" s="14">
        <v>-1693.5</v>
      </c>
      <c r="H165" s="14">
        <v>0</v>
      </c>
      <c r="I165" s="14"/>
      <c r="J165" s="14">
        <v>883.42</v>
      </c>
      <c r="K165" s="14"/>
      <c r="L165" s="14">
        <v>16123.9</v>
      </c>
      <c r="M165" s="3">
        <f t="shared" si="6"/>
        <v>366538.32</v>
      </c>
      <c r="N165" s="14"/>
      <c r="O165" s="14">
        <v>4058.6</v>
      </c>
      <c r="P165" s="14">
        <v>13117.5</v>
      </c>
      <c r="Q165" s="14"/>
      <c r="R165" s="14"/>
      <c r="S165" s="14"/>
      <c r="T165" s="14"/>
      <c r="U165" s="14">
        <v>720</v>
      </c>
      <c r="V165" s="14"/>
      <c r="W165" s="14"/>
      <c r="X165" s="2">
        <f t="shared" si="7"/>
        <v>384434.42</v>
      </c>
      <c r="Y165" s="14"/>
      <c r="Z165" s="14"/>
      <c r="AA165" s="14">
        <v>20000</v>
      </c>
      <c r="AB165" s="14"/>
      <c r="AC165" s="14">
        <v>15000</v>
      </c>
      <c r="AD165" s="14"/>
      <c r="AE165" s="14"/>
      <c r="AF165" s="14"/>
      <c r="AG165" s="14"/>
      <c r="AH165" s="14"/>
      <c r="AI165" s="14"/>
      <c r="AJ165" s="14"/>
      <c r="AK165" s="14"/>
      <c r="AL165" s="48">
        <f t="shared" si="8"/>
        <v>35000</v>
      </c>
      <c r="AM165" s="22">
        <v>78</v>
      </c>
      <c r="AN165" s="14">
        <v>144</v>
      </c>
      <c r="AO165" s="14">
        <v>-3286.52</v>
      </c>
      <c r="AP165" s="14"/>
      <c r="AQ165" s="14">
        <v>-0.12</v>
      </c>
      <c r="AR165" s="44">
        <v>0.9</v>
      </c>
    </row>
    <row r="166" spans="1:44" x14ac:dyDescent="0.25">
      <c r="A166" s="12">
        <v>5663</v>
      </c>
      <c r="B166" s="13" t="s">
        <v>239</v>
      </c>
      <c r="C166" s="14">
        <v>346397.97</v>
      </c>
      <c r="D166" s="14">
        <v>25524.14</v>
      </c>
      <c r="E166" s="14"/>
      <c r="F166" s="14">
        <v>1260</v>
      </c>
      <c r="G166" s="14">
        <v>6909.6</v>
      </c>
      <c r="H166" s="14">
        <v>16.2</v>
      </c>
      <c r="I166" s="14"/>
      <c r="J166" s="14">
        <v>2558.2600000000002</v>
      </c>
      <c r="K166" s="14">
        <v>-4752</v>
      </c>
      <c r="L166" s="14">
        <v>24962.799999999999</v>
      </c>
      <c r="M166" s="3">
        <f t="shared" si="6"/>
        <v>402876.97</v>
      </c>
      <c r="N166" s="14"/>
      <c r="O166" s="14"/>
      <c r="P166" s="14">
        <v>34419</v>
      </c>
      <c r="Q166" s="14"/>
      <c r="R166" s="14">
        <v>27108.3</v>
      </c>
      <c r="S166" s="14"/>
      <c r="T166" s="14"/>
      <c r="U166" s="14">
        <v>1320</v>
      </c>
      <c r="V166" s="14"/>
      <c r="W166" s="14"/>
      <c r="X166" s="2">
        <f t="shared" si="7"/>
        <v>465724.26999999996</v>
      </c>
      <c r="Y166" s="14">
        <v>2597</v>
      </c>
      <c r="Z166" s="14"/>
      <c r="AA166" s="14">
        <v>24083.3</v>
      </c>
      <c r="AB166" s="14"/>
      <c r="AC166" s="14">
        <v>16885.5</v>
      </c>
      <c r="AD166" s="14"/>
      <c r="AE166" s="14"/>
      <c r="AF166" s="14"/>
      <c r="AG166" s="14"/>
      <c r="AH166" s="14"/>
      <c r="AI166" s="14"/>
      <c r="AJ166" s="14"/>
      <c r="AK166" s="14"/>
      <c r="AL166" s="48">
        <f t="shared" si="8"/>
        <v>43565.8</v>
      </c>
      <c r="AM166" s="22">
        <v>80</v>
      </c>
      <c r="AN166" s="14">
        <v>198</v>
      </c>
      <c r="AO166" s="14">
        <v>-2948.65</v>
      </c>
      <c r="AP166" s="14"/>
      <c r="AQ166" s="14"/>
      <c r="AR166" s="44">
        <v>1</v>
      </c>
    </row>
    <row r="167" spans="1:44" x14ac:dyDescent="0.25">
      <c r="A167" s="12">
        <v>5665</v>
      </c>
      <c r="B167" s="13" t="s">
        <v>127</v>
      </c>
      <c r="C167" s="14">
        <v>275950.78000000003</v>
      </c>
      <c r="D167" s="14">
        <v>46227.23</v>
      </c>
      <c r="E167" s="14"/>
      <c r="F167" s="14"/>
      <c r="G167" s="14">
        <v>3336.2</v>
      </c>
      <c r="H167" s="14">
        <v>16.399999999999999</v>
      </c>
      <c r="I167" s="14"/>
      <c r="J167" s="14">
        <v>457.6</v>
      </c>
      <c r="K167" s="14">
        <v>4.5</v>
      </c>
      <c r="L167" s="14">
        <v>22585.8</v>
      </c>
      <c r="M167" s="3">
        <f t="shared" si="6"/>
        <v>348578.51</v>
      </c>
      <c r="N167" s="14"/>
      <c r="O167" s="14"/>
      <c r="P167" s="14"/>
      <c r="Q167" s="14"/>
      <c r="R167" s="14"/>
      <c r="S167" s="14"/>
      <c r="T167" s="14">
        <v>200</v>
      </c>
      <c r="U167" s="14">
        <v>720</v>
      </c>
      <c r="V167" s="14"/>
      <c r="W167" s="14"/>
      <c r="X167" s="2">
        <f t="shared" si="7"/>
        <v>349498.51</v>
      </c>
      <c r="Y167" s="14"/>
      <c r="Z167" s="14"/>
      <c r="AA167" s="14">
        <v>12530.4</v>
      </c>
      <c r="AB167" s="14"/>
      <c r="AC167" s="14">
        <v>20392.099999999999</v>
      </c>
      <c r="AD167" s="14"/>
      <c r="AE167" s="14"/>
      <c r="AF167" s="14"/>
      <c r="AG167" s="14"/>
      <c r="AH167" s="14"/>
      <c r="AI167" s="14"/>
      <c r="AJ167" s="14"/>
      <c r="AK167" s="14"/>
      <c r="AL167" s="48">
        <f t="shared" si="8"/>
        <v>32922.5</v>
      </c>
      <c r="AM167" s="22">
        <v>72</v>
      </c>
      <c r="AN167" s="14">
        <v>224</v>
      </c>
      <c r="AO167" s="14">
        <v>-493.37</v>
      </c>
      <c r="AP167" s="14"/>
      <c r="AQ167" s="14"/>
      <c r="AR167" s="44">
        <v>1</v>
      </c>
    </row>
    <row r="168" spans="1:44" x14ac:dyDescent="0.25">
      <c r="A168" s="12">
        <v>5666</v>
      </c>
      <c r="B168" s="13" t="s">
        <v>128</v>
      </c>
      <c r="C168" s="14">
        <v>214949.66</v>
      </c>
      <c r="D168" s="14">
        <v>21669.1</v>
      </c>
      <c r="E168" s="14"/>
      <c r="F168" s="14"/>
      <c r="G168" s="14">
        <v>2082.6999999999998</v>
      </c>
      <c r="H168" s="14">
        <v>0</v>
      </c>
      <c r="I168" s="14"/>
      <c r="J168" s="14">
        <v>6056.94</v>
      </c>
      <c r="K168" s="14">
        <v>663</v>
      </c>
      <c r="L168" s="14">
        <v>28151.45</v>
      </c>
      <c r="M168" s="3">
        <f t="shared" si="6"/>
        <v>273572.85000000003</v>
      </c>
      <c r="N168" s="14"/>
      <c r="O168" s="14"/>
      <c r="P168" s="14">
        <v>4778.1499999999996</v>
      </c>
      <c r="Q168" s="14"/>
      <c r="R168" s="14"/>
      <c r="S168" s="14"/>
      <c r="T168" s="14"/>
      <c r="U168" s="14">
        <v>1300</v>
      </c>
      <c r="V168" s="14"/>
      <c r="W168" s="14"/>
      <c r="X168" s="2">
        <f t="shared" si="7"/>
        <v>279651.00000000006</v>
      </c>
      <c r="Y168" s="14">
        <v>9000</v>
      </c>
      <c r="Z168" s="14"/>
      <c r="AA168" s="14">
        <v>17313.650000000001</v>
      </c>
      <c r="AB168" s="14"/>
      <c r="AC168" s="14">
        <v>17882</v>
      </c>
      <c r="AD168" s="14"/>
      <c r="AE168" s="14"/>
      <c r="AF168" s="14"/>
      <c r="AG168" s="14"/>
      <c r="AH168" s="14"/>
      <c r="AI168" s="14"/>
      <c r="AJ168" s="14"/>
      <c r="AK168" s="14"/>
      <c r="AL168" s="48">
        <f t="shared" si="8"/>
        <v>44195.65</v>
      </c>
      <c r="AM168" s="22">
        <v>75</v>
      </c>
      <c r="AN168" s="14">
        <v>169</v>
      </c>
      <c r="AO168" s="14">
        <v>-847.44</v>
      </c>
      <c r="AP168" s="14"/>
      <c r="AQ168" s="14"/>
      <c r="AR168" s="44">
        <v>1.25</v>
      </c>
    </row>
    <row r="169" spans="1:44" x14ac:dyDescent="0.25">
      <c r="A169" s="12">
        <v>5668</v>
      </c>
      <c r="B169" s="13" t="s">
        <v>129</v>
      </c>
      <c r="C169" s="14">
        <v>56172.47</v>
      </c>
      <c r="D169" s="14">
        <v>7149.85</v>
      </c>
      <c r="E169" s="14"/>
      <c r="F169" s="14"/>
      <c r="G169" s="14">
        <v>-52.6</v>
      </c>
      <c r="H169" s="14">
        <v>9.8000000000000007</v>
      </c>
      <c r="I169" s="14"/>
      <c r="J169" s="14">
        <v>513.09</v>
      </c>
      <c r="K169" s="14">
        <v>20</v>
      </c>
      <c r="L169" s="14">
        <v>5731.55</v>
      </c>
      <c r="M169" s="3">
        <f t="shared" si="6"/>
        <v>69544.160000000003</v>
      </c>
      <c r="N169" s="14"/>
      <c r="O169" s="14"/>
      <c r="P169" s="14"/>
      <c r="Q169" s="14"/>
      <c r="R169" s="14"/>
      <c r="S169" s="14"/>
      <c r="T169" s="14"/>
      <c r="U169" s="14">
        <v>225</v>
      </c>
      <c r="V169" s="14"/>
      <c r="W169" s="14"/>
      <c r="X169" s="2">
        <f t="shared" si="7"/>
        <v>69769.16</v>
      </c>
      <c r="Y169" s="14"/>
      <c r="Z169" s="14"/>
      <c r="AA169" s="14">
        <v>3110.8</v>
      </c>
      <c r="AB169" s="14"/>
      <c r="AC169" s="14">
        <v>6300</v>
      </c>
      <c r="AD169" s="14"/>
      <c r="AE169" s="14"/>
      <c r="AF169" s="14"/>
      <c r="AG169" s="14"/>
      <c r="AH169" s="14">
        <v>1563.15</v>
      </c>
      <c r="AI169" s="14"/>
      <c r="AJ169" s="14"/>
      <c r="AK169" s="14"/>
      <c r="AL169" s="48">
        <f t="shared" si="8"/>
        <v>10973.949999999999</v>
      </c>
      <c r="AM169" s="22">
        <v>77</v>
      </c>
      <c r="AN169" s="14">
        <v>58</v>
      </c>
      <c r="AO169" s="14">
        <v>-15.61</v>
      </c>
      <c r="AP169" s="14"/>
      <c r="AQ169" s="14"/>
      <c r="AR169" s="44">
        <v>1</v>
      </c>
    </row>
    <row r="170" spans="1:44" x14ac:dyDescent="0.25">
      <c r="A170" s="12">
        <v>5669</v>
      </c>
      <c r="B170" s="13" t="s">
        <v>130</v>
      </c>
      <c r="C170" s="14">
        <v>458258.99</v>
      </c>
      <c r="D170" s="14">
        <v>104106.47</v>
      </c>
      <c r="E170" s="14"/>
      <c r="F170" s="14"/>
      <c r="G170" s="14">
        <v>9945.4</v>
      </c>
      <c r="H170" s="14">
        <v>406.5</v>
      </c>
      <c r="I170" s="14"/>
      <c r="J170" s="14">
        <v>18198.57</v>
      </c>
      <c r="K170" s="14">
        <v>337</v>
      </c>
      <c r="L170" s="14">
        <v>21064.2</v>
      </c>
      <c r="M170" s="3">
        <f t="shared" si="6"/>
        <v>612317.12999999989</v>
      </c>
      <c r="N170" s="14"/>
      <c r="O170" s="14"/>
      <c r="P170" s="14">
        <v>45632.4</v>
      </c>
      <c r="Q170" s="14"/>
      <c r="R170" s="14">
        <v>40462.65</v>
      </c>
      <c r="S170" s="14">
        <v>140</v>
      </c>
      <c r="T170" s="14"/>
      <c r="U170" s="14">
        <v>3600</v>
      </c>
      <c r="V170" s="14"/>
      <c r="W170" s="14"/>
      <c r="X170" s="2">
        <f t="shared" si="7"/>
        <v>702152.17999999993</v>
      </c>
      <c r="Y170" s="14"/>
      <c r="Z170" s="14"/>
      <c r="AA170" s="14">
        <v>20511.650000000001</v>
      </c>
      <c r="AB170" s="14"/>
      <c r="AC170" s="14">
        <v>19561.400000000001</v>
      </c>
      <c r="AD170" s="14"/>
      <c r="AE170" s="14"/>
      <c r="AF170" s="14"/>
      <c r="AG170" s="14"/>
      <c r="AH170" s="14"/>
      <c r="AI170" s="14"/>
      <c r="AJ170" s="14"/>
      <c r="AK170" s="14"/>
      <c r="AL170" s="48">
        <f t="shared" si="8"/>
        <v>40073.050000000003</v>
      </c>
      <c r="AM170" s="22">
        <v>72</v>
      </c>
      <c r="AN170" s="14">
        <v>311</v>
      </c>
      <c r="AO170" s="14">
        <v>-6331.51</v>
      </c>
      <c r="AP170" s="14"/>
      <c r="AQ170" s="14">
        <v>-88.23</v>
      </c>
      <c r="AR170" s="44">
        <v>0.5</v>
      </c>
    </row>
    <row r="171" spans="1:44" x14ac:dyDescent="0.25">
      <c r="A171" s="12">
        <v>5671</v>
      </c>
      <c r="B171" s="13" t="s">
        <v>131</v>
      </c>
      <c r="C171" s="14">
        <v>367951.67</v>
      </c>
      <c r="D171" s="14">
        <v>67817.42</v>
      </c>
      <c r="E171" s="14"/>
      <c r="F171" s="14"/>
      <c r="G171" s="14">
        <v>20728.5</v>
      </c>
      <c r="H171" s="14">
        <v>-37.799999999999997</v>
      </c>
      <c r="I171" s="14"/>
      <c r="J171" s="14">
        <v>10761.46</v>
      </c>
      <c r="K171" s="14">
        <v>61.5</v>
      </c>
      <c r="L171" s="14">
        <v>31999</v>
      </c>
      <c r="M171" s="3">
        <f t="shared" si="6"/>
        <v>499281.75</v>
      </c>
      <c r="N171" s="14"/>
      <c r="O171" s="14"/>
      <c r="P171" s="14">
        <v>24709.85</v>
      </c>
      <c r="Q171" s="14"/>
      <c r="R171" s="14">
        <v>36998.449999999997</v>
      </c>
      <c r="S171" s="14"/>
      <c r="T171" s="14"/>
      <c r="U171" s="14">
        <v>2430</v>
      </c>
      <c r="V171" s="14"/>
      <c r="W171" s="14"/>
      <c r="X171" s="2">
        <f t="shared" si="7"/>
        <v>563420.04999999993</v>
      </c>
      <c r="Y171" s="14"/>
      <c r="Z171" s="14"/>
      <c r="AA171" s="14"/>
      <c r="AB171" s="14">
        <v>11673.8</v>
      </c>
      <c r="AC171" s="14">
        <v>15135</v>
      </c>
      <c r="AD171" s="14"/>
      <c r="AE171" s="14"/>
      <c r="AF171" s="14"/>
      <c r="AG171" s="14"/>
      <c r="AH171" s="14"/>
      <c r="AI171" s="14"/>
      <c r="AJ171" s="14"/>
      <c r="AK171" s="14"/>
      <c r="AL171" s="48">
        <f t="shared" si="8"/>
        <v>26808.799999999999</v>
      </c>
      <c r="AM171" s="22">
        <v>80</v>
      </c>
      <c r="AN171" s="14">
        <v>247</v>
      </c>
      <c r="AO171" s="14">
        <v>-1146.17</v>
      </c>
      <c r="AP171" s="14"/>
      <c r="AQ171" s="14"/>
      <c r="AR171" s="44">
        <v>1</v>
      </c>
    </row>
    <row r="172" spans="1:44" x14ac:dyDescent="0.25">
      <c r="A172" s="12">
        <v>5672</v>
      </c>
      <c r="B172" s="13" t="s">
        <v>132</v>
      </c>
      <c r="C172" s="14">
        <v>278336.40000000002</v>
      </c>
      <c r="D172" s="14">
        <v>25834.61</v>
      </c>
      <c r="E172" s="14"/>
      <c r="F172" s="14"/>
      <c r="G172" s="14">
        <v>5605.4</v>
      </c>
      <c r="H172" s="14">
        <v>4.9000000000000004</v>
      </c>
      <c r="I172" s="14"/>
      <c r="J172" s="14">
        <v>-1367.65</v>
      </c>
      <c r="K172" s="14"/>
      <c r="L172" s="14">
        <v>11947.3</v>
      </c>
      <c r="M172" s="3">
        <f t="shared" si="6"/>
        <v>320360.96000000002</v>
      </c>
      <c r="N172" s="14"/>
      <c r="O172" s="14"/>
      <c r="P172" s="14"/>
      <c r="Q172" s="14">
        <v>1081.1099999999999</v>
      </c>
      <c r="R172" s="14"/>
      <c r="S172" s="14"/>
      <c r="T172" s="14"/>
      <c r="U172" s="14">
        <v>1125</v>
      </c>
      <c r="V172" s="14"/>
      <c r="W172" s="14"/>
      <c r="X172" s="2">
        <f t="shared" si="7"/>
        <v>322567.07</v>
      </c>
      <c r="Y172" s="14"/>
      <c r="Z172" s="14"/>
      <c r="AA172" s="14">
        <v>4138.75</v>
      </c>
      <c r="AB172" s="14"/>
      <c r="AC172" s="14">
        <v>6225</v>
      </c>
      <c r="AD172" s="14">
        <v>6750</v>
      </c>
      <c r="AE172" s="14"/>
      <c r="AF172" s="14"/>
      <c r="AG172" s="14"/>
      <c r="AH172" s="14"/>
      <c r="AI172" s="14"/>
      <c r="AJ172" s="14"/>
      <c r="AK172" s="14"/>
      <c r="AL172" s="48">
        <f t="shared" si="8"/>
        <v>17113.75</v>
      </c>
      <c r="AM172" s="22">
        <v>75</v>
      </c>
      <c r="AN172" s="14">
        <v>154</v>
      </c>
      <c r="AO172" s="14">
        <v>-59.66</v>
      </c>
      <c r="AP172" s="14"/>
      <c r="AQ172" s="14">
        <v>-0.23</v>
      </c>
      <c r="AR172" s="44">
        <v>0.8</v>
      </c>
    </row>
    <row r="173" spans="1:44" x14ac:dyDescent="0.25">
      <c r="A173" s="12">
        <v>5673</v>
      </c>
      <c r="B173" s="13" t="s">
        <v>133</v>
      </c>
      <c r="C173" s="14">
        <v>549690.68999999994</v>
      </c>
      <c r="D173" s="14">
        <v>67776.039999999994</v>
      </c>
      <c r="E173" s="14"/>
      <c r="F173" s="14">
        <v>2050</v>
      </c>
      <c r="G173" s="14">
        <v>5764.45</v>
      </c>
      <c r="H173" s="14">
        <v>540.35</v>
      </c>
      <c r="I173" s="14"/>
      <c r="J173" s="14">
        <v>8899.26</v>
      </c>
      <c r="K173" s="14">
        <v>7.5</v>
      </c>
      <c r="L173" s="14">
        <v>25003</v>
      </c>
      <c r="M173" s="3">
        <f t="shared" si="6"/>
        <v>659731.28999999992</v>
      </c>
      <c r="N173" s="14">
        <v>7878.25</v>
      </c>
      <c r="O173" s="14"/>
      <c r="P173" s="14">
        <v>13329.6</v>
      </c>
      <c r="Q173" s="14"/>
      <c r="R173" s="14">
        <v>43285.8</v>
      </c>
      <c r="S173" s="14"/>
      <c r="T173" s="14"/>
      <c r="U173" s="14">
        <v>1400</v>
      </c>
      <c r="V173" s="14"/>
      <c r="W173" s="14"/>
      <c r="X173" s="2">
        <f t="shared" si="7"/>
        <v>725624.94</v>
      </c>
      <c r="Y173" s="14">
        <v>3500</v>
      </c>
      <c r="Z173" s="14"/>
      <c r="AA173" s="14">
        <v>63441.599999999999</v>
      </c>
      <c r="AB173" s="14"/>
      <c r="AC173" s="14">
        <v>23263.4</v>
      </c>
      <c r="AD173" s="14">
        <v>1960</v>
      </c>
      <c r="AE173" s="14">
        <v>7051.45</v>
      </c>
      <c r="AF173" s="14"/>
      <c r="AG173" s="14"/>
      <c r="AH173" s="14"/>
      <c r="AI173" s="14"/>
      <c r="AJ173" s="14"/>
      <c r="AK173" s="14"/>
      <c r="AL173" s="48">
        <f t="shared" si="8"/>
        <v>99216.45</v>
      </c>
      <c r="AM173" s="22">
        <v>75</v>
      </c>
      <c r="AN173" s="14">
        <v>382</v>
      </c>
      <c r="AO173" s="14">
        <v>-12318.87</v>
      </c>
      <c r="AP173" s="14"/>
      <c r="AQ173" s="14">
        <v>-9</v>
      </c>
      <c r="AR173" s="44">
        <v>0.6</v>
      </c>
    </row>
    <row r="174" spans="1:44" x14ac:dyDescent="0.25">
      <c r="A174" s="12">
        <v>5674</v>
      </c>
      <c r="B174" s="13" t="s">
        <v>134</v>
      </c>
      <c r="C174" s="14">
        <v>229001.38</v>
      </c>
      <c r="D174" s="14"/>
      <c r="E174" s="14"/>
      <c r="F174" s="14"/>
      <c r="G174" s="14">
        <v>1136.95</v>
      </c>
      <c r="H174" s="14">
        <v>20.100000000000001</v>
      </c>
      <c r="I174" s="14"/>
      <c r="J174" s="14">
        <v>4247.22</v>
      </c>
      <c r="K174" s="14">
        <v>64</v>
      </c>
      <c r="L174" s="14">
        <v>11611.6</v>
      </c>
      <c r="M174" s="3">
        <f t="shared" si="6"/>
        <v>246081.25000000003</v>
      </c>
      <c r="N174" s="14"/>
      <c r="O174" s="14">
        <v>2197</v>
      </c>
      <c r="P174" s="14"/>
      <c r="Q174" s="14"/>
      <c r="R174" s="14"/>
      <c r="S174" s="14"/>
      <c r="T174" s="14"/>
      <c r="U174" s="14">
        <v>587.5</v>
      </c>
      <c r="V174" s="14"/>
      <c r="W174" s="14"/>
      <c r="X174" s="2">
        <f t="shared" si="7"/>
        <v>248865.75000000003</v>
      </c>
      <c r="Y174" s="14"/>
      <c r="Z174" s="14"/>
      <c r="AA174" s="14">
        <v>8135.05</v>
      </c>
      <c r="AB174" s="14"/>
      <c r="AC174" s="14">
        <v>11603.25</v>
      </c>
      <c r="AD174" s="14"/>
      <c r="AE174" s="14"/>
      <c r="AF174" s="14"/>
      <c r="AG174" s="14"/>
      <c r="AH174" s="14">
        <v>3420.55</v>
      </c>
      <c r="AI174" s="14"/>
      <c r="AJ174" s="14"/>
      <c r="AK174" s="14"/>
      <c r="AL174" s="48">
        <f t="shared" si="8"/>
        <v>23158.85</v>
      </c>
      <c r="AM174" s="22">
        <v>75</v>
      </c>
      <c r="AN174" s="14">
        <v>151</v>
      </c>
      <c r="AO174" s="14">
        <v>-0.27</v>
      </c>
      <c r="AP174" s="14"/>
      <c r="AQ174" s="14"/>
      <c r="AR174" s="44">
        <v>0.7</v>
      </c>
    </row>
    <row r="175" spans="1:44" x14ac:dyDescent="0.25">
      <c r="A175" s="12">
        <v>5675</v>
      </c>
      <c r="B175" s="13" t="s">
        <v>135</v>
      </c>
      <c r="C175" s="14">
        <v>3469690.02</v>
      </c>
      <c r="D175" s="14">
        <v>328107.93</v>
      </c>
      <c r="E175" s="14"/>
      <c r="F175" s="14"/>
      <c r="G175" s="14">
        <v>579013.1</v>
      </c>
      <c r="H175" s="14">
        <v>51180.15</v>
      </c>
      <c r="I175" s="14"/>
      <c r="J175" s="14">
        <v>306767.23</v>
      </c>
      <c r="K175" s="14">
        <v>27751</v>
      </c>
      <c r="L175" s="14">
        <v>504159.25</v>
      </c>
      <c r="M175" s="3">
        <f t="shared" si="6"/>
        <v>5266668.68</v>
      </c>
      <c r="N175" s="14">
        <v>35023.699999999997</v>
      </c>
      <c r="O175" s="14">
        <v>33639.599999999999</v>
      </c>
      <c r="P175" s="14">
        <v>562695.94999999995</v>
      </c>
      <c r="Q175" s="14">
        <v>16501.599999999999</v>
      </c>
      <c r="R175" s="14">
        <v>261783.8</v>
      </c>
      <c r="S175" s="14">
        <v>5712.5</v>
      </c>
      <c r="T175" s="14"/>
      <c r="U175" s="14">
        <v>19800</v>
      </c>
      <c r="V175" s="14"/>
      <c r="W175" s="14"/>
      <c r="X175" s="2">
        <f t="shared" si="7"/>
        <v>6201825.8299999991</v>
      </c>
      <c r="Y175" s="14">
        <v>81927.55</v>
      </c>
      <c r="Z175" s="14"/>
      <c r="AA175" s="14">
        <v>232022.05</v>
      </c>
      <c r="AB175" s="14"/>
      <c r="AC175" s="14">
        <v>336961.6</v>
      </c>
      <c r="AD175" s="14">
        <v>50775.05</v>
      </c>
      <c r="AE175" s="14"/>
      <c r="AF175" s="14"/>
      <c r="AG175" s="14"/>
      <c r="AH175" s="14">
        <v>395500</v>
      </c>
      <c r="AI175" s="14"/>
      <c r="AJ175" s="14"/>
      <c r="AK175" s="14"/>
      <c r="AL175" s="48">
        <f t="shared" si="8"/>
        <v>1097186.25</v>
      </c>
      <c r="AM175" s="22">
        <v>66</v>
      </c>
      <c r="AN175" s="14">
        <v>3285</v>
      </c>
      <c r="AO175" s="14">
        <v>-182972.9</v>
      </c>
      <c r="AP175" s="14"/>
      <c r="AQ175" s="14">
        <v>-424.26</v>
      </c>
      <c r="AR175" s="44">
        <v>1.1000000000000001</v>
      </c>
    </row>
    <row r="176" spans="1:44" x14ac:dyDescent="0.25">
      <c r="A176" s="12">
        <v>5678</v>
      </c>
      <c r="B176" s="13" t="s">
        <v>136</v>
      </c>
      <c r="C176" s="14">
        <v>6518545.2599999998</v>
      </c>
      <c r="D176" s="14">
        <v>697574.45</v>
      </c>
      <c r="E176" s="14"/>
      <c r="F176" s="14">
        <v>25150</v>
      </c>
      <c r="G176" s="14">
        <v>855271.6</v>
      </c>
      <c r="H176" s="14">
        <v>18495.349999999999</v>
      </c>
      <c r="I176" s="14"/>
      <c r="J176" s="14">
        <v>586123.5</v>
      </c>
      <c r="K176" s="14">
        <v>54797.5</v>
      </c>
      <c r="L176" s="14">
        <v>700989.95</v>
      </c>
      <c r="M176" s="3">
        <f t="shared" si="6"/>
        <v>9456947.6099999994</v>
      </c>
      <c r="N176" s="14">
        <v>114233.35</v>
      </c>
      <c r="O176" s="14">
        <v>106420.8</v>
      </c>
      <c r="P176" s="14">
        <v>420747.4</v>
      </c>
      <c r="Q176" s="14">
        <v>83554.350000000006</v>
      </c>
      <c r="R176" s="14">
        <v>190961.3</v>
      </c>
      <c r="S176" s="14">
        <v>24718.3</v>
      </c>
      <c r="T176" s="14"/>
      <c r="U176" s="14">
        <v>32220</v>
      </c>
      <c r="V176" s="14">
        <v>20461.25</v>
      </c>
      <c r="W176" s="14">
        <v>1021</v>
      </c>
      <c r="X176" s="2">
        <f t="shared" si="7"/>
        <v>10451285.360000001</v>
      </c>
      <c r="Y176" s="14">
        <v>34590.699999999997</v>
      </c>
      <c r="Z176" s="14"/>
      <c r="AA176" s="14">
        <v>857507.2</v>
      </c>
      <c r="AB176" s="14"/>
      <c r="AC176" s="14">
        <v>559129.26</v>
      </c>
      <c r="AD176" s="14">
        <v>15646.5</v>
      </c>
      <c r="AE176" s="14"/>
      <c r="AF176" s="14"/>
      <c r="AG176" s="14">
        <v>4944.1000000000004</v>
      </c>
      <c r="AH176" s="14">
        <v>200359.85</v>
      </c>
      <c r="AI176" s="14"/>
      <c r="AJ176" s="14"/>
      <c r="AK176" s="14"/>
      <c r="AL176" s="48">
        <f t="shared" si="8"/>
        <v>1672177.61</v>
      </c>
      <c r="AM176" s="22">
        <v>75</v>
      </c>
      <c r="AN176" s="14">
        <v>5770</v>
      </c>
      <c r="AO176" s="14">
        <v>-371272.65</v>
      </c>
      <c r="AP176" s="14"/>
      <c r="AQ176" s="14">
        <v>-14695.08</v>
      </c>
      <c r="AR176" s="44">
        <v>1</v>
      </c>
    </row>
    <row r="177" spans="1:44" x14ac:dyDescent="0.25">
      <c r="A177" s="12">
        <v>5680</v>
      </c>
      <c r="B177" s="13" t="s">
        <v>137</v>
      </c>
      <c r="C177" s="14">
        <v>524270.84</v>
      </c>
      <c r="D177" s="14">
        <v>63942.96</v>
      </c>
      <c r="E177" s="14"/>
      <c r="F177" s="14"/>
      <c r="G177" s="14">
        <v>8529.65</v>
      </c>
      <c r="H177" s="14">
        <v>65.05</v>
      </c>
      <c r="I177" s="14"/>
      <c r="J177" s="14">
        <v>4274.45</v>
      </c>
      <c r="K177" s="14">
        <v>55</v>
      </c>
      <c r="L177" s="14">
        <v>54390.400000000001</v>
      </c>
      <c r="M177" s="3">
        <f t="shared" si="6"/>
        <v>655528.35000000009</v>
      </c>
      <c r="N177" s="14"/>
      <c r="O177" s="14">
        <v>4236.8999999999996</v>
      </c>
      <c r="P177" s="14">
        <v>4620</v>
      </c>
      <c r="Q177" s="14">
        <v>1790.03</v>
      </c>
      <c r="R177" s="14">
        <v>4444.7</v>
      </c>
      <c r="S177" s="14"/>
      <c r="T177" s="14">
        <v>30</v>
      </c>
      <c r="U177" s="14">
        <v>2300</v>
      </c>
      <c r="V177" s="14"/>
      <c r="W177" s="14"/>
      <c r="X177" s="2">
        <f t="shared" si="7"/>
        <v>672949.9800000001</v>
      </c>
      <c r="Y177" s="14"/>
      <c r="Z177" s="14"/>
      <c r="AA177" s="14">
        <v>27521.5</v>
      </c>
      <c r="AB177" s="14"/>
      <c r="AC177" s="14">
        <v>15496.65</v>
      </c>
      <c r="AD177" s="14"/>
      <c r="AE177" s="14"/>
      <c r="AF177" s="14"/>
      <c r="AG177" s="14"/>
      <c r="AH177" s="14">
        <v>5454.6</v>
      </c>
      <c r="AI177" s="14"/>
      <c r="AJ177" s="14"/>
      <c r="AK177" s="14"/>
      <c r="AL177" s="48">
        <f t="shared" si="8"/>
        <v>48472.75</v>
      </c>
      <c r="AM177" s="22">
        <v>78</v>
      </c>
      <c r="AN177" s="14">
        <v>283</v>
      </c>
      <c r="AO177" s="14">
        <v>-2441.46</v>
      </c>
      <c r="AP177" s="14"/>
      <c r="AQ177" s="14">
        <v>-4.01</v>
      </c>
      <c r="AR177" s="44">
        <v>1.5</v>
      </c>
    </row>
    <row r="178" spans="1:44" x14ac:dyDescent="0.25">
      <c r="A178" s="12">
        <v>5683</v>
      </c>
      <c r="B178" s="13" t="s">
        <v>138</v>
      </c>
      <c r="C178" s="14">
        <v>231610.82</v>
      </c>
      <c r="D178" s="14">
        <v>19318.189999999999</v>
      </c>
      <c r="E178" s="14"/>
      <c r="F178" s="14"/>
      <c r="G178" s="14">
        <v>19340.25</v>
      </c>
      <c r="H178" s="14">
        <v>97.1</v>
      </c>
      <c r="I178" s="14"/>
      <c r="J178" s="14">
        <v>10233.530000000001</v>
      </c>
      <c r="K178" s="14">
        <v>28</v>
      </c>
      <c r="L178" s="14">
        <v>19367.25</v>
      </c>
      <c r="M178" s="3">
        <f t="shared" si="6"/>
        <v>299995.14</v>
      </c>
      <c r="N178" s="14"/>
      <c r="O178" s="14"/>
      <c r="P178" s="14">
        <v>6648.4</v>
      </c>
      <c r="Q178" s="14"/>
      <c r="R178" s="14">
        <v>8668.7000000000007</v>
      </c>
      <c r="S178" s="14"/>
      <c r="T178" s="14"/>
      <c r="U178" s="14">
        <v>1100</v>
      </c>
      <c r="V178" s="14"/>
      <c r="W178" s="14"/>
      <c r="X178" s="2">
        <f t="shared" si="7"/>
        <v>316412.24000000005</v>
      </c>
      <c r="Y178" s="14"/>
      <c r="Z178" s="14"/>
      <c r="AA178" s="14">
        <v>9571.25</v>
      </c>
      <c r="AB178" s="14">
        <v>4133.8999999999996</v>
      </c>
      <c r="AC178" s="14">
        <v>8223.75</v>
      </c>
      <c r="AD178" s="14"/>
      <c r="AE178" s="14"/>
      <c r="AF178" s="14"/>
      <c r="AG178" s="14"/>
      <c r="AH178" s="14"/>
      <c r="AI178" s="14"/>
      <c r="AJ178" s="14"/>
      <c r="AK178" s="14"/>
      <c r="AL178" s="48">
        <f t="shared" si="8"/>
        <v>21928.9</v>
      </c>
      <c r="AM178" s="22">
        <v>74</v>
      </c>
      <c r="AN178" s="14">
        <v>172</v>
      </c>
      <c r="AO178" s="14">
        <v>-32226</v>
      </c>
      <c r="AP178" s="14"/>
      <c r="AQ178" s="14"/>
      <c r="AR178" s="44">
        <v>1</v>
      </c>
    </row>
    <row r="179" spans="1:44" x14ac:dyDescent="0.25">
      <c r="A179" s="12">
        <v>5684</v>
      </c>
      <c r="B179" s="13" t="s">
        <v>139</v>
      </c>
      <c r="C179" s="14">
        <v>121444.66</v>
      </c>
      <c r="D179" s="14">
        <v>26646.63</v>
      </c>
      <c r="E179" s="14"/>
      <c r="F179" s="14"/>
      <c r="G179" s="14">
        <v>1283.5999999999999</v>
      </c>
      <c r="H179" s="14">
        <v>2.2000000000000002</v>
      </c>
      <c r="I179" s="14"/>
      <c r="J179" s="14">
        <v>0</v>
      </c>
      <c r="K179" s="14"/>
      <c r="L179" s="14">
        <v>6000</v>
      </c>
      <c r="M179" s="3">
        <f t="shared" si="6"/>
        <v>155377.09000000003</v>
      </c>
      <c r="N179" s="14"/>
      <c r="O179" s="14"/>
      <c r="P179" s="14"/>
      <c r="Q179" s="14"/>
      <c r="R179" s="14"/>
      <c r="S179" s="14"/>
      <c r="T179" s="14"/>
      <c r="U179" s="14">
        <v>20</v>
      </c>
      <c r="V179" s="14"/>
      <c r="W179" s="14"/>
      <c r="X179" s="2">
        <f t="shared" si="7"/>
        <v>155397.09000000003</v>
      </c>
      <c r="Y179" s="14"/>
      <c r="Z179" s="14"/>
      <c r="AA179" s="14">
        <v>2000</v>
      </c>
      <c r="AB179" s="14"/>
      <c r="AC179" s="14">
        <v>8284</v>
      </c>
      <c r="AD179" s="14"/>
      <c r="AE179" s="14"/>
      <c r="AF179" s="14"/>
      <c r="AG179" s="14"/>
      <c r="AH179" s="14"/>
      <c r="AI179" s="14"/>
      <c r="AJ179" s="14"/>
      <c r="AK179" s="14"/>
      <c r="AL179" s="48">
        <f t="shared" si="8"/>
        <v>10284</v>
      </c>
      <c r="AM179" s="22">
        <v>60</v>
      </c>
      <c r="AN179" s="14">
        <v>65</v>
      </c>
      <c r="AO179" s="14">
        <v>-171.92</v>
      </c>
      <c r="AP179" s="14"/>
      <c r="AQ179" s="14">
        <v>-0.79</v>
      </c>
      <c r="AR179" s="44">
        <v>0.8</v>
      </c>
    </row>
    <row r="180" spans="1:44" x14ac:dyDescent="0.25">
      <c r="A180" s="12">
        <v>5686</v>
      </c>
      <c r="B180" s="13" t="s">
        <v>140</v>
      </c>
      <c r="C180" s="14">
        <v>113629.67</v>
      </c>
      <c r="D180" s="14">
        <v>16406.09</v>
      </c>
      <c r="E180" s="14"/>
      <c r="F180" s="14"/>
      <c r="G180" s="14">
        <v>56.65</v>
      </c>
      <c r="H180" s="14">
        <v>19</v>
      </c>
      <c r="I180" s="14"/>
      <c r="J180" s="14">
        <v>-1321.99</v>
      </c>
      <c r="K180" s="14"/>
      <c r="L180" s="14">
        <v>10070.75</v>
      </c>
      <c r="M180" s="3">
        <f t="shared" si="6"/>
        <v>138860.16999999998</v>
      </c>
      <c r="N180" s="14"/>
      <c r="O180" s="14"/>
      <c r="P180" s="14">
        <v>12.1</v>
      </c>
      <c r="Q180" s="14"/>
      <c r="R180" s="14">
        <v>17631.55</v>
      </c>
      <c r="S180" s="14"/>
      <c r="T180" s="14"/>
      <c r="U180" s="14">
        <v>175</v>
      </c>
      <c r="V180" s="14"/>
      <c r="W180" s="14"/>
      <c r="X180" s="2">
        <f t="shared" si="7"/>
        <v>156678.81999999998</v>
      </c>
      <c r="Y180" s="14"/>
      <c r="Z180" s="14"/>
      <c r="AA180" s="14">
        <v>3612</v>
      </c>
      <c r="AB180" s="14"/>
      <c r="AC180" s="14">
        <v>11367.55</v>
      </c>
      <c r="AD180" s="14"/>
      <c r="AE180" s="14"/>
      <c r="AF180" s="14"/>
      <c r="AG180" s="14"/>
      <c r="AH180" s="14"/>
      <c r="AI180" s="14"/>
      <c r="AJ180" s="14"/>
      <c r="AK180" s="14"/>
      <c r="AL180" s="48">
        <f t="shared" si="8"/>
        <v>14979.55</v>
      </c>
      <c r="AM180" s="22">
        <v>74</v>
      </c>
      <c r="AN180" s="14">
        <v>80</v>
      </c>
      <c r="AO180" s="14">
        <v>-1418.53</v>
      </c>
      <c r="AP180" s="14"/>
      <c r="AQ180" s="14"/>
      <c r="AR180" s="44">
        <v>1</v>
      </c>
    </row>
    <row r="181" spans="1:44" x14ac:dyDescent="0.25">
      <c r="A181" s="12">
        <v>5688</v>
      </c>
      <c r="B181" s="13" t="s">
        <v>141</v>
      </c>
      <c r="C181" s="14">
        <v>301163.33</v>
      </c>
      <c r="D181" s="14">
        <v>20402.55</v>
      </c>
      <c r="E181" s="14"/>
      <c r="F181" s="14"/>
      <c r="G181" s="14">
        <v>46570.3</v>
      </c>
      <c r="H181" s="14">
        <v>102.3</v>
      </c>
      <c r="I181" s="14"/>
      <c r="J181" s="14">
        <v>19968.03</v>
      </c>
      <c r="K181" s="14">
        <v>348</v>
      </c>
      <c r="L181" s="14">
        <v>18609.400000000001</v>
      </c>
      <c r="M181" s="3">
        <f t="shared" si="6"/>
        <v>407163.91000000003</v>
      </c>
      <c r="N181" s="14"/>
      <c r="O181" s="14"/>
      <c r="P181" s="14">
        <v>22889.1</v>
      </c>
      <c r="Q181" s="14">
        <v>2144.52</v>
      </c>
      <c r="R181" s="14">
        <v>5384.15</v>
      </c>
      <c r="S181" s="14"/>
      <c r="T181" s="14"/>
      <c r="U181" s="14">
        <v>360</v>
      </c>
      <c r="V181" s="14"/>
      <c r="W181" s="14"/>
      <c r="X181" s="2">
        <f t="shared" si="7"/>
        <v>437941.68000000005</v>
      </c>
      <c r="Y181" s="14">
        <v>14200</v>
      </c>
      <c r="Z181" s="14"/>
      <c r="AA181" s="14">
        <v>6255</v>
      </c>
      <c r="AB181" s="14"/>
      <c r="AC181" s="14">
        <v>13370.55</v>
      </c>
      <c r="AD181" s="14"/>
      <c r="AE181" s="14"/>
      <c r="AF181" s="14"/>
      <c r="AG181" s="14"/>
      <c r="AH181" s="14"/>
      <c r="AI181" s="14"/>
      <c r="AJ181" s="14"/>
      <c r="AK181" s="14"/>
      <c r="AL181" s="48">
        <f t="shared" si="8"/>
        <v>33825.550000000003</v>
      </c>
      <c r="AM181" s="22">
        <v>75.599999999999994</v>
      </c>
      <c r="AN181" s="14">
        <v>139</v>
      </c>
      <c r="AO181" s="14">
        <v>-2154.29</v>
      </c>
      <c r="AP181" s="14"/>
      <c r="AQ181" s="14"/>
      <c r="AR181" s="44">
        <v>1</v>
      </c>
    </row>
    <row r="182" spans="1:44" x14ac:dyDescent="0.25">
      <c r="A182" s="12">
        <v>5690</v>
      </c>
      <c r="B182" s="13" t="s">
        <v>142</v>
      </c>
      <c r="C182" s="14">
        <v>210943.46</v>
      </c>
      <c r="D182" s="14">
        <v>33296.97</v>
      </c>
      <c r="E182" s="14"/>
      <c r="F182" s="14">
        <v>880</v>
      </c>
      <c r="G182" s="14">
        <v>398.3</v>
      </c>
      <c r="H182" s="14">
        <v>381.65</v>
      </c>
      <c r="I182" s="14"/>
      <c r="J182" s="14"/>
      <c r="K182" s="14">
        <v>184</v>
      </c>
      <c r="L182" s="14">
        <v>27051.15</v>
      </c>
      <c r="M182" s="3">
        <f t="shared" si="6"/>
        <v>273135.52999999997</v>
      </c>
      <c r="N182" s="14"/>
      <c r="O182" s="14">
        <v>238.4</v>
      </c>
      <c r="P182" s="14">
        <v>3668.15</v>
      </c>
      <c r="Q182" s="14"/>
      <c r="R182" s="14">
        <v>9516.7000000000007</v>
      </c>
      <c r="S182" s="14"/>
      <c r="T182" s="14"/>
      <c r="U182" s="14">
        <v>650</v>
      </c>
      <c r="V182" s="14"/>
      <c r="W182" s="14"/>
      <c r="X182" s="2">
        <f t="shared" si="7"/>
        <v>287208.78000000003</v>
      </c>
      <c r="Y182" s="14"/>
      <c r="Z182" s="14"/>
      <c r="AA182" s="14">
        <v>22984.5</v>
      </c>
      <c r="AB182" s="14"/>
      <c r="AC182" s="14">
        <v>16638.75</v>
      </c>
      <c r="AD182" s="14"/>
      <c r="AE182" s="14"/>
      <c r="AF182" s="14"/>
      <c r="AG182" s="14"/>
      <c r="AH182" s="14"/>
      <c r="AI182" s="14"/>
      <c r="AJ182" s="14"/>
      <c r="AK182" s="14"/>
      <c r="AL182" s="48">
        <f t="shared" si="8"/>
        <v>39623.25</v>
      </c>
      <c r="AM182" s="22">
        <v>76</v>
      </c>
      <c r="AN182" s="14">
        <v>150</v>
      </c>
      <c r="AO182" s="14">
        <v>-522.66999999999996</v>
      </c>
      <c r="AP182" s="14"/>
      <c r="AQ182" s="14"/>
      <c r="AR182" s="44">
        <v>1.5</v>
      </c>
    </row>
    <row r="183" spans="1:44" x14ac:dyDescent="0.25">
      <c r="A183" s="12">
        <v>5692</v>
      </c>
      <c r="B183" s="13" t="s">
        <v>143</v>
      </c>
      <c r="C183" s="14">
        <v>1011276.24</v>
      </c>
      <c r="D183" s="14">
        <v>97445.55</v>
      </c>
      <c r="E183" s="14"/>
      <c r="F183" s="14"/>
      <c r="G183" s="14">
        <v>5889.8</v>
      </c>
      <c r="H183" s="14">
        <v>199.5</v>
      </c>
      <c r="I183" s="14"/>
      <c r="J183" s="14">
        <v>16857.55</v>
      </c>
      <c r="K183" s="14">
        <v>310</v>
      </c>
      <c r="L183" s="14">
        <v>79258.149999999994</v>
      </c>
      <c r="M183" s="3">
        <f t="shared" si="6"/>
        <v>1211236.79</v>
      </c>
      <c r="N183" s="14">
        <v>6328.2</v>
      </c>
      <c r="O183" s="14">
        <v>5417.2</v>
      </c>
      <c r="P183" s="14">
        <v>29387.599999999999</v>
      </c>
      <c r="Q183" s="14">
        <v>1450.55</v>
      </c>
      <c r="R183" s="14">
        <v>42551.05</v>
      </c>
      <c r="S183" s="14">
        <v>30</v>
      </c>
      <c r="T183" s="14">
        <v>450</v>
      </c>
      <c r="U183" s="14">
        <v>5750</v>
      </c>
      <c r="V183" s="14"/>
      <c r="W183" s="14"/>
      <c r="X183" s="2">
        <f t="shared" si="7"/>
        <v>1302601.3900000001</v>
      </c>
      <c r="Y183" s="14">
        <v>-7583.1</v>
      </c>
      <c r="Z183" s="14"/>
      <c r="AA183" s="14">
        <v>74235</v>
      </c>
      <c r="AB183" s="14"/>
      <c r="AC183" s="14">
        <v>32666.75</v>
      </c>
      <c r="AD183" s="14">
        <v>-28957.95</v>
      </c>
      <c r="AE183" s="14"/>
      <c r="AF183" s="14"/>
      <c r="AG183" s="14"/>
      <c r="AH183" s="14"/>
      <c r="AI183" s="14"/>
      <c r="AJ183" s="14">
        <v>9646.0499999999993</v>
      </c>
      <c r="AK183" s="14"/>
      <c r="AL183" s="48">
        <f t="shared" si="8"/>
        <v>80006.75</v>
      </c>
      <c r="AM183" s="22">
        <v>79</v>
      </c>
      <c r="AN183" s="14">
        <v>543</v>
      </c>
      <c r="AO183" s="14">
        <v>-16941.66</v>
      </c>
      <c r="AP183" s="14"/>
      <c r="AQ183" s="14">
        <v>-800.5</v>
      </c>
      <c r="AR183" s="44">
        <v>1</v>
      </c>
    </row>
    <row r="184" spans="1:44" x14ac:dyDescent="0.25">
      <c r="A184" s="12">
        <v>5693</v>
      </c>
      <c r="B184" s="13" t="s">
        <v>504</v>
      </c>
      <c r="C184" s="14">
        <v>3703062.7</v>
      </c>
      <c r="D184" s="14">
        <v>419437.02</v>
      </c>
      <c r="E184" s="14"/>
      <c r="F184" s="14"/>
      <c r="G184" s="14">
        <v>139374.20000000001</v>
      </c>
      <c r="H184" s="14">
        <v>628.29999999999995</v>
      </c>
      <c r="I184" s="14"/>
      <c r="J184" s="14">
        <v>65351.22</v>
      </c>
      <c r="K184" s="14">
        <v>3011</v>
      </c>
      <c r="L184" s="14">
        <v>304503.40000000002</v>
      </c>
      <c r="M184" s="3">
        <f t="shared" si="6"/>
        <v>4635367.84</v>
      </c>
      <c r="N184" s="14">
        <v>7935.7</v>
      </c>
      <c r="O184" s="14">
        <v>44675.7</v>
      </c>
      <c r="P184" s="14">
        <v>149737.65</v>
      </c>
      <c r="Q184" s="14">
        <v>18485.689999999999</v>
      </c>
      <c r="R184" s="14">
        <v>185049</v>
      </c>
      <c r="S184" s="14"/>
      <c r="T184" s="14"/>
      <c r="U184" s="14">
        <v>13950</v>
      </c>
      <c r="V184" s="14"/>
      <c r="W184" s="14"/>
      <c r="X184" s="2">
        <f t="shared" si="7"/>
        <v>5055201.580000001</v>
      </c>
      <c r="Y184" s="14">
        <v>66356.649999999994</v>
      </c>
      <c r="Z184" s="14"/>
      <c r="AA184" s="14">
        <v>299191.09999999998</v>
      </c>
      <c r="AB184" s="14"/>
      <c r="AC184" s="14">
        <v>158822.65</v>
      </c>
      <c r="AD184" s="14">
        <v>27501.599999999999</v>
      </c>
      <c r="AE184" s="14"/>
      <c r="AF184" s="14"/>
      <c r="AG184" s="14"/>
      <c r="AH184" s="14">
        <v>86046</v>
      </c>
      <c r="AI184" s="14"/>
      <c r="AJ184" s="14"/>
      <c r="AK184" s="14"/>
      <c r="AL184" s="48">
        <f t="shared" si="8"/>
        <v>637918</v>
      </c>
      <c r="AM184" s="22">
        <v>72</v>
      </c>
      <c r="AN184" s="14">
        <v>2421</v>
      </c>
      <c r="AO184" s="14">
        <v>-116605.64</v>
      </c>
      <c r="AP184" s="14">
        <v>-2043.35</v>
      </c>
      <c r="AQ184" s="14">
        <v>-83.26</v>
      </c>
      <c r="AR184" s="44">
        <v>1</v>
      </c>
    </row>
    <row r="185" spans="1:44" x14ac:dyDescent="0.25">
      <c r="A185" s="12">
        <v>5701</v>
      </c>
      <c r="B185" s="13" t="s">
        <v>144</v>
      </c>
      <c r="C185" s="14">
        <v>680260.02</v>
      </c>
      <c r="D185" s="14">
        <v>99837.33</v>
      </c>
      <c r="E185" s="14"/>
      <c r="F185" s="14"/>
      <c r="G185" s="14">
        <v>4161.95</v>
      </c>
      <c r="H185" s="14">
        <v>90.2</v>
      </c>
      <c r="I185" s="14">
        <v>58392.45</v>
      </c>
      <c r="J185" s="14">
        <v>12429.26</v>
      </c>
      <c r="K185" s="14">
        <v>16</v>
      </c>
      <c r="L185" s="14">
        <v>64688.4</v>
      </c>
      <c r="M185" s="3">
        <f t="shared" si="6"/>
        <v>919875.60999999987</v>
      </c>
      <c r="N185" s="14"/>
      <c r="O185" s="14"/>
      <c r="P185" s="14">
        <v>47592.800000000003</v>
      </c>
      <c r="Q185" s="14">
        <v>15348.85</v>
      </c>
      <c r="R185" s="14"/>
      <c r="S185" s="14"/>
      <c r="T185" s="14"/>
      <c r="U185" s="14">
        <v>775</v>
      </c>
      <c r="V185" s="14"/>
      <c r="W185" s="14"/>
      <c r="X185" s="2">
        <f t="shared" si="7"/>
        <v>983592.25999999989</v>
      </c>
      <c r="Y185" s="14"/>
      <c r="Z185" s="14"/>
      <c r="AA185" s="14">
        <v>22180.73</v>
      </c>
      <c r="AB185" s="14"/>
      <c r="AC185" s="14">
        <v>14924.7</v>
      </c>
      <c r="AD185" s="14">
        <v>350</v>
      </c>
      <c r="AE185" s="14"/>
      <c r="AF185" s="14"/>
      <c r="AG185" s="14"/>
      <c r="AH185" s="14"/>
      <c r="AI185" s="14"/>
      <c r="AJ185" s="14"/>
      <c r="AK185" s="14"/>
      <c r="AL185" s="48">
        <f t="shared" si="8"/>
        <v>37455.43</v>
      </c>
      <c r="AM185" s="22">
        <v>65</v>
      </c>
      <c r="AN185" s="14">
        <v>208</v>
      </c>
      <c r="AO185" s="14">
        <v>-69.930000000000007</v>
      </c>
      <c r="AP185" s="14"/>
      <c r="AQ185" s="14">
        <v>-34.869999999999997</v>
      </c>
      <c r="AR185" s="44">
        <v>1</v>
      </c>
    </row>
    <row r="186" spans="1:44" x14ac:dyDescent="0.25">
      <c r="A186" s="12">
        <v>5702</v>
      </c>
      <c r="B186" s="13" t="s">
        <v>503</v>
      </c>
      <c r="C186" s="14">
        <v>6136604.29</v>
      </c>
      <c r="D186" s="14">
        <v>1107112.77</v>
      </c>
      <c r="E186" s="14"/>
      <c r="F186" s="14"/>
      <c r="G186" s="14">
        <v>226385.4</v>
      </c>
      <c r="H186" s="14">
        <v>7065.65</v>
      </c>
      <c r="I186" s="14">
        <v>560707.57999999996</v>
      </c>
      <c r="J186" s="14">
        <v>130327.59</v>
      </c>
      <c r="K186" s="14">
        <v>9460.5</v>
      </c>
      <c r="L186" s="14">
        <v>1003563.85</v>
      </c>
      <c r="M186" s="3">
        <f t="shared" si="6"/>
        <v>9181227.6300000008</v>
      </c>
      <c r="N186" s="14">
        <v>70134.7</v>
      </c>
      <c r="O186" s="14">
        <v>53902.9</v>
      </c>
      <c r="P186" s="14">
        <v>429226.4</v>
      </c>
      <c r="Q186" s="14">
        <v>14129.44</v>
      </c>
      <c r="R186" s="14">
        <v>354162</v>
      </c>
      <c r="S186" s="14"/>
      <c r="T186" s="14"/>
      <c r="U186" s="14">
        <v>22500</v>
      </c>
      <c r="V186" s="14"/>
      <c r="W186" s="14"/>
      <c r="X186" s="2">
        <f t="shared" si="7"/>
        <v>10125283.07</v>
      </c>
      <c r="Y186" s="14">
        <v>180654.1</v>
      </c>
      <c r="Z186" s="14"/>
      <c r="AA186" s="14">
        <v>215120</v>
      </c>
      <c r="AB186" s="14"/>
      <c r="AC186" s="14">
        <v>224184.9</v>
      </c>
      <c r="AD186" s="14">
        <v>353520.6</v>
      </c>
      <c r="AE186" s="14"/>
      <c r="AF186" s="14"/>
      <c r="AG186" s="14">
        <v>25997.43</v>
      </c>
      <c r="AH186" s="14"/>
      <c r="AI186" s="14"/>
      <c r="AJ186" s="14"/>
      <c r="AK186" s="14"/>
      <c r="AL186" s="48">
        <f t="shared" si="8"/>
        <v>999477.03</v>
      </c>
      <c r="AM186" s="22">
        <v>64</v>
      </c>
      <c r="AN186" s="14">
        <v>2506</v>
      </c>
      <c r="AO186" s="14">
        <v>-66129.320000000007</v>
      </c>
      <c r="AP186" s="14"/>
      <c r="AQ186" s="14">
        <v>-5159.07</v>
      </c>
      <c r="AR186" s="44">
        <v>1.5</v>
      </c>
    </row>
    <row r="187" spans="1:44" x14ac:dyDescent="0.25">
      <c r="A187" s="12">
        <v>5703</v>
      </c>
      <c r="B187" s="13" t="s">
        <v>145</v>
      </c>
      <c r="C187" s="14">
        <v>2949535.05</v>
      </c>
      <c r="D187" s="14">
        <v>347454.47</v>
      </c>
      <c r="E187" s="14"/>
      <c r="F187" s="14"/>
      <c r="G187" s="14">
        <v>-42408.800000000003</v>
      </c>
      <c r="H187" s="14">
        <v>585.79999999999995</v>
      </c>
      <c r="I187" s="14">
        <v>60727.25</v>
      </c>
      <c r="J187" s="14">
        <v>95432.13</v>
      </c>
      <c r="K187" s="14">
        <v>-329.5</v>
      </c>
      <c r="L187" s="14">
        <v>343113.3</v>
      </c>
      <c r="M187" s="3">
        <f t="shared" si="6"/>
        <v>3754109.6999999993</v>
      </c>
      <c r="N187" s="14">
        <v>36530.300000000003</v>
      </c>
      <c r="O187" s="14">
        <v>15344.4</v>
      </c>
      <c r="P187" s="14">
        <v>80815.7</v>
      </c>
      <c r="Q187" s="14">
        <v>8097.6</v>
      </c>
      <c r="R187" s="14">
        <v>114194.6</v>
      </c>
      <c r="S187" s="14">
        <v>-31.25</v>
      </c>
      <c r="T187" s="14"/>
      <c r="U187" s="14">
        <v>9000</v>
      </c>
      <c r="V187" s="14"/>
      <c r="W187" s="14"/>
      <c r="X187" s="2">
        <f t="shared" si="7"/>
        <v>4018061.0499999993</v>
      </c>
      <c r="Y187" s="14">
        <v>37856.699999999997</v>
      </c>
      <c r="Z187" s="14"/>
      <c r="AA187" s="14">
        <v>146826</v>
      </c>
      <c r="AB187" s="14"/>
      <c r="AC187" s="14">
        <v>92982.15</v>
      </c>
      <c r="AD187" s="14">
        <v>48627.9</v>
      </c>
      <c r="AE187" s="14"/>
      <c r="AF187" s="14"/>
      <c r="AG187" s="14"/>
      <c r="AH187" s="14"/>
      <c r="AI187" s="14"/>
      <c r="AJ187" s="14"/>
      <c r="AK187" s="14"/>
      <c r="AL187" s="48">
        <f t="shared" si="8"/>
        <v>326292.75</v>
      </c>
      <c r="AM187" s="22">
        <v>71</v>
      </c>
      <c r="AN187" s="14">
        <v>1320</v>
      </c>
      <c r="AO187" s="14">
        <v>-39946.870000000003</v>
      </c>
      <c r="AP187" s="14"/>
      <c r="AQ187" s="14">
        <v>-221.89</v>
      </c>
      <c r="AR187" s="44">
        <v>1.2</v>
      </c>
    </row>
    <row r="188" spans="1:44" x14ac:dyDescent="0.25">
      <c r="A188" s="12">
        <v>5704</v>
      </c>
      <c r="B188" s="13" t="s">
        <v>257</v>
      </c>
      <c r="C188" s="14">
        <v>5020738.5199999996</v>
      </c>
      <c r="D188" s="14">
        <v>1588533.4</v>
      </c>
      <c r="E188" s="14"/>
      <c r="F188" s="14"/>
      <c r="G188" s="14">
        <v>27718</v>
      </c>
      <c r="H188" s="14">
        <v>7267.95</v>
      </c>
      <c r="I188" s="14">
        <v>196108</v>
      </c>
      <c r="J188" s="14">
        <v>63449.42</v>
      </c>
      <c r="K188" s="14">
        <v>7583.5</v>
      </c>
      <c r="L188" s="14">
        <v>616003.9</v>
      </c>
      <c r="M188" s="3">
        <f t="shared" si="6"/>
        <v>7527402.6900000004</v>
      </c>
      <c r="N188" s="14">
        <v>56321.9</v>
      </c>
      <c r="O188" s="14">
        <v>3247936.2</v>
      </c>
      <c r="P188" s="14">
        <v>429027.3</v>
      </c>
      <c r="Q188" s="14">
        <v>73697.19</v>
      </c>
      <c r="R188" s="14">
        <v>220887.55</v>
      </c>
      <c r="S188" s="14">
        <v>93.75</v>
      </c>
      <c r="T188" s="14"/>
      <c r="U188" s="14">
        <v>8400</v>
      </c>
      <c r="V188" s="14"/>
      <c r="W188" s="14"/>
      <c r="X188" s="2">
        <f t="shared" si="7"/>
        <v>11563766.580000002</v>
      </c>
      <c r="Y188" s="14">
        <v>57409</v>
      </c>
      <c r="Z188" s="14"/>
      <c r="AA188" s="14">
        <v>128706.01</v>
      </c>
      <c r="AB188" s="14"/>
      <c r="AC188" s="14">
        <v>96985.75</v>
      </c>
      <c r="AD188" s="14">
        <v>98716.67</v>
      </c>
      <c r="AE188" s="14"/>
      <c r="AF188" s="14"/>
      <c r="AG188" s="14">
        <v>10450.4</v>
      </c>
      <c r="AH188" s="14">
        <v>48276.49</v>
      </c>
      <c r="AI188" s="14">
        <v>27585.41</v>
      </c>
      <c r="AJ188" s="14"/>
      <c r="AK188" s="14"/>
      <c r="AL188" s="48">
        <f t="shared" si="8"/>
        <v>468129.73</v>
      </c>
      <c r="AM188" s="22">
        <v>67</v>
      </c>
      <c r="AN188" s="14">
        <v>1802</v>
      </c>
      <c r="AO188" s="14">
        <v>-73126.27</v>
      </c>
      <c r="AP188" s="14"/>
      <c r="AQ188" s="14">
        <v>-6738.77</v>
      </c>
      <c r="AR188" s="44">
        <v>1.5</v>
      </c>
    </row>
    <row r="189" spans="1:44" x14ac:dyDescent="0.25">
      <c r="A189" s="12">
        <v>5705</v>
      </c>
      <c r="B189" s="13" t="s">
        <v>258</v>
      </c>
      <c r="C189" s="14">
        <v>2515386.21</v>
      </c>
      <c r="D189" s="14">
        <v>329052.73</v>
      </c>
      <c r="E189" s="14"/>
      <c r="F189" s="14"/>
      <c r="G189" s="14">
        <v>19385.349999999999</v>
      </c>
      <c r="H189" s="14">
        <v>379.95</v>
      </c>
      <c r="I189" s="14">
        <v>-3812.75</v>
      </c>
      <c r="J189" s="14">
        <v>88390.28</v>
      </c>
      <c r="K189" s="14">
        <v>8146.5</v>
      </c>
      <c r="L189" s="14">
        <v>197102.9</v>
      </c>
      <c r="M189" s="3">
        <f t="shared" si="6"/>
        <v>3154031.17</v>
      </c>
      <c r="N189" s="14">
        <v>33949.199999999997</v>
      </c>
      <c r="O189" s="14"/>
      <c r="P189" s="14">
        <v>199062.6</v>
      </c>
      <c r="Q189" s="14">
        <v>19202.82</v>
      </c>
      <c r="R189" s="14">
        <v>142088.1</v>
      </c>
      <c r="S189" s="14"/>
      <c r="T189" s="14"/>
      <c r="U189" s="14">
        <v>1950</v>
      </c>
      <c r="V189" s="14"/>
      <c r="W189" s="14"/>
      <c r="X189" s="2">
        <f t="shared" si="7"/>
        <v>3550283.89</v>
      </c>
      <c r="Y189" s="14">
        <v>1404</v>
      </c>
      <c r="Z189" s="14"/>
      <c r="AA189" s="14">
        <v>73582.350000000006</v>
      </c>
      <c r="AB189" s="14"/>
      <c r="AC189" s="14">
        <v>111922.65</v>
      </c>
      <c r="AD189" s="14"/>
      <c r="AE189" s="14"/>
      <c r="AF189" s="14"/>
      <c r="AG189" s="14"/>
      <c r="AH189" s="14"/>
      <c r="AI189" s="14"/>
      <c r="AJ189" s="14"/>
      <c r="AK189" s="14"/>
      <c r="AL189" s="48">
        <f t="shared" si="8"/>
        <v>186909</v>
      </c>
      <c r="AM189" s="22">
        <v>64</v>
      </c>
      <c r="AN189" s="14">
        <v>830</v>
      </c>
      <c r="AO189" s="14">
        <v>-11164.11</v>
      </c>
      <c r="AP189" s="14"/>
      <c r="AQ189" s="14">
        <v>-863</v>
      </c>
      <c r="AR189" s="44">
        <v>1</v>
      </c>
    </row>
    <row r="190" spans="1:44" x14ac:dyDescent="0.25">
      <c r="A190" s="12">
        <v>5706</v>
      </c>
      <c r="B190" s="13" t="s">
        <v>259</v>
      </c>
      <c r="C190" s="14">
        <v>2615215.27</v>
      </c>
      <c r="D190" s="14">
        <v>474471.05</v>
      </c>
      <c r="E190" s="14"/>
      <c r="F190" s="14"/>
      <c r="G190" s="14">
        <v>35705.65</v>
      </c>
      <c r="H190" s="14">
        <v>221.05</v>
      </c>
      <c r="I190" s="14">
        <v>16223.65</v>
      </c>
      <c r="J190" s="14">
        <v>-3117.11</v>
      </c>
      <c r="K190" s="14">
        <v>2127.5</v>
      </c>
      <c r="L190" s="14">
        <v>330361.7</v>
      </c>
      <c r="M190" s="3">
        <f t="shared" si="6"/>
        <v>3471208.76</v>
      </c>
      <c r="N190" s="14">
        <v>3897.65</v>
      </c>
      <c r="O190" s="14">
        <v>349250</v>
      </c>
      <c r="P190" s="14">
        <v>277870.25</v>
      </c>
      <c r="Q190" s="14">
        <v>24617.27</v>
      </c>
      <c r="R190" s="14">
        <v>128255.65</v>
      </c>
      <c r="S190" s="14"/>
      <c r="T190" s="14">
        <v>160</v>
      </c>
      <c r="U190" s="14">
        <v>3375</v>
      </c>
      <c r="V190" s="14"/>
      <c r="W190" s="14"/>
      <c r="X190" s="2">
        <f t="shared" si="7"/>
        <v>4258634.58</v>
      </c>
      <c r="Y190" s="14">
        <v>-22993.45</v>
      </c>
      <c r="Z190" s="14"/>
      <c r="AA190" s="14">
        <v>140428.70000000001</v>
      </c>
      <c r="AB190" s="14"/>
      <c r="AC190" s="14">
        <v>72015.199999999997</v>
      </c>
      <c r="AD190" s="14"/>
      <c r="AE190" s="14"/>
      <c r="AF190" s="14"/>
      <c r="AG190" s="14">
        <v>44</v>
      </c>
      <c r="AH190" s="14">
        <v>27405.35</v>
      </c>
      <c r="AI190" s="14"/>
      <c r="AJ190" s="14"/>
      <c r="AK190" s="14"/>
      <c r="AL190" s="48">
        <f t="shared" si="8"/>
        <v>216899.80000000002</v>
      </c>
      <c r="AM190" s="22">
        <v>55</v>
      </c>
      <c r="AN190" s="14">
        <v>1049</v>
      </c>
      <c r="AO190" s="14">
        <v>-24625.75</v>
      </c>
      <c r="AP190" s="14"/>
      <c r="AQ190" s="14">
        <v>-2508.4699999999998</v>
      </c>
      <c r="AR190" s="44">
        <v>1.5</v>
      </c>
    </row>
    <row r="191" spans="1:44" x14ac:dyDescent="0.25">
      <c r="A191" s="12">
        <v>5707</v>
      </c>
      <c r="B191" s="13" t="s">
        <v>260</v>
      </c>
      <c r="C191" s="14">
        <v>3220802.05</v>
      </c>
      <c r="D191" s="14">
        <v>588129.80000000005</v>
      </c>
      <c r="E191" s="14"/>
      <c r="F191" s="14"/>
      <c r="G191" s="14">
        <v>832003.9</v>
      </c>
      <c r="H191" s="14">
        <v>5206.3999999999996</v>
      </c>
      <c r="I191" s="14">
        <v>55173.75</v>
      </c>
      <c r="J191" s="14">
        <v>108560.48</v>
      </c>
      <c r="K191" s="14">
        <v>68972.5</v>
      </c>
      <c r="L191" s="14">
        <v>675463.65</v>
      </c>
      <c r="M191" s="3">
        <f t="shared" si="6"/>
        <v>5554312.5300000012</v>
      </c>
      <c r="N191" s="14">
        <v>442946.25</v>
      </c>
      <c r="O191" s="14"/>
      <c r="P191" s="14">
        <v>71708.800000000003</v>
      </c>
      <c r="Q191" s="14"/>
      <c r="R191" s="14">
        <v>37272.800000000003</v>
      </c>
      <c r="S191" s="14">
        <v>375.1</v>
      </c>
      <c r="T191" s="14"/>
      <c r="U191" s="14">
        <v>3800</v>
      </c>
      <c r="V191" s="14"/>
      <c r="W191" s="14"/>
      <c r="X191" s="2">
        <f t="shared" si="7"/>
        <v>6110415.4800000004</v>
      </c>
      <c r="Y191" s="14">
        <v>4640.1000000000004</v>
      </c>
      <c r="Z191" s="14"/>
      <c r="AA191" s="14">
        <v>285144.65000000002</v>
      </c>
      <c r="AB191" s="14"/>
      <c r="AC191" s="14">
        <v>125736.25</v>
      </c>
      <c r="AD191" s="14"/>
      <c r="AE191" s="14"/>
      <c r="AF191" s="14"/>
      <c r="AG191" s="14">
        <v>170208</v>
      </c>
      <c r="AH191" s="14">
        <v>109673.5</v>
      </c>
      <c r="AI191" s="14"/>
      <c r="AJ191" s="14"/>
      <c r="AK191" s="14"/>
      <c r="AL191" s="48">
        <f t="shared" si="8"/>
        <v>695402.5</v>
      </c>
      <c r="AM191" s="22">
        <v>59</v>
      </c>
      <c r="AN191" s="14">
        <v>1155</v>
      </c>
      <c r="AO191" s="14">
        <v>-11568.52</v>
      </c>
      <c r="AP191" s="14"/>
      <c r="AQ191" s="14">
        <v>-1738.45</v>
      </c>
      <c r="AR191" s="44">
        <v>1.5</v>
      </c>
    </row>
    <row r="192" spans="1:44" x14ac:dyDescent="0.25">
      <c r="A192" s="12">
        <v>5708</v>
      </c>
      <c r="B192" s="13" t="s">
        <v>261</v>
      </c>
      <c r="C192" s="14">
        <v>3161206.69</v>
      </c>
      <c r="D192" s="14">
        <v>350493.46</v>
      </c>
      <c r="E192" s="14"/>
      <c r="F192" s="14"/>
      <c r="G192" s="14">
        <v>37955.949999999997</v>
      </c>
      <c r="H192" s="14">
        <v>562.65</v>
      </c>
      <c r="I192" s="14">
        <v>40073.800000000003</v>
      </c>
      <c r="J192" s="14">
        <v>-65355.33</v>
      </c>
      <c r="K192" s="14">
        <v>14512</v>
      </c>
      <c r="L192" s="14">
        <v>355665.9</v>
      </c>
      <c r="M192" s="3">
        <f t="shared" si="6"/>
        <v>3895115.1199999996</v>
      </c>
      <c r="N192" s="14">
        <v>1204.9000000000001</v>
      </c>
      <c r="O192" s="14"/>
      <c r="P192" s="14">
        <v>329934.45</v>
      </c>
      <c r="Q192" s="14">
        <v>18270.900000000001</v>
      </c>
      <c r="R192" s="14">
        <v>104141</v>
      </c>
      <c r="S192" s="14"/>
      <c r="T192" s="14"/>
      <c r="U192" s="14">
        <v>1860</v>
      </c>
      <c r="V192" s="14"/>
      <c r="W192" s="14"/>
      <c r="X192" s="2">
        <f t="shared" si="7"/>
        <v>4350526.37</v>
      </c>
      <c r="Y192" s="14">
        <v>45213.95</v>
      </c>
      <c r="Z192" s="14"/>
      <c r="AA192" s="14">
        <v>85184.9</v>
      </c>
      <c r="AB192" s="14"/>
      <c r="AC192" s="14">
        <v>64503.67</v>
      </c>
      <c r="AD192" s="14"/>
      <c r="AE192" s="14"/>
      <c r="AF192" s="14"/>
      <c r="AG192" s="14"/>
      <c r="AH192" s="14"/>
      <c r="AI192" s="14"/>
      <c r="AJ192" s="14"/>
      <c r="AK192" s="14"/>
      <c r="AL192" s="48">
        <f t="shared" si="8"/>
        <v>194902.52</v>
      </c>
      <c r="AM192" s="22">
        <v>61</v>
      </c>
      <c r="AN192" s="14">
        <v>807</v>
      </c>
      <c r="AO192" s="14">
        <v>-14634</v>
      </c>
      <c r="AP192" s="14"/>
      <c r="AQ192" s="14">
        <v>-855.21</v>
      </c>
      <c r="AR192" s="44">
        <v>1.5</v>
      </c>
    </row>
    <row r="193" spans="1:44" x14ac:dyDescent="0.25">
      <c r="A193" s="12">
        <v>5709</v>
      </c>
      <c r="B193" s="13" t="s">
        <v>262</v>
      </c>
      <c r="C193" s="14">
        <v>3405693.78</v>
      </c>
      <c r="D193" s="14">
        <v>2053219.82</v>
      </c>
      <c r="E193" s="14"/>
      <c r="F193" s="14"/>
      <c r="G193" s="14">
        <v>14971</v>
      </c>
      <c r="H193" s="14">
        <v>1192013.8</v>
      </c>
      <c r="I193" s="14">
        <v>25022.7</v>
      </c>
      <c r="J193" s="14">
        <v>264500.98</v>
      </c>
      <c r="K193" s="14">
        <v>1474.5</v>
      </c>
      <c r="L193" s="14">
        <v>293457.55</v>
      </c>
      <c r="M193" s="3">
        <f t="shared" si="6"/>
        <v>7250354.1299999999</v>
      </c>
      <c r="N193" s="14">
        <v>21812.15</v>
      </c>
      <c r="O193" s="14">
        <v>0</v>
      </c>
      <c r="P193" s="14">
        <v>59086.5</v>
      </c>
      <c r="Q193" s="14">
        <v>1803.7</v>
      </c>
      <c r="R193" s="14">
        <v>72545.3</v>
      </c>
      <c r="S193" s="14">
        <v>109.55</v>
      </c>
      <c r="T193" s="14">
        <v>1500</v>
      </c>
      <c r="U193" s="14">
        <v>9000</v>
      </c>
      <c r="V193" s="14"/>
      <c r="W193" s="14"/>
      <c r="X193" s="2">
        <f t="shared" si="7"/>
        <v>7416211.3300000001</v>
      </c>
      <c r="Y193" s="14">
        <v>70791</v>
      </c>
      <c r="Z193" s="14">
        <v>46191.95</v>
      </c>
      <c r="AA193" s="14">
        <v>38242.5</v>
      </c>
      <c r="AB193" s="14"/>
      <c r="AC193" s="14">
        <v>77743.05</v>
      </c>
      <c r="AD193" s="14"/>
      <c r="AE193" s="14"/>
      <c r="AF193" s="14"/>
      <c r="AG193" s="14">
        <v>8557.5499999999993</v>
      </c>
      <c r="AH193" s="14"/>
      <c r="AI193" s="14"/>
      <c r="AJ193" s="14"/>
      <c r="AK193" s="14"/>
      <c r="AL193" s="48">
        <f t="shared" si="8"/>
        <v>241526.05</v>
      </c>
      <c r="AM193" s="22">
        <v>52</v>
      </c>
      <c r="AN193" s="14">
        <v>1174</v>
      </c>
      <c r="AO193" s="14">
        <v>-10729.57</v>
      </c>
      <c r="AP193" s="14"/>
      <c r="AQ193" s="14">
        <v>-1977.02</v>
      </c>
      <c r="AR193" s="44">
        <v>1</v>
      </c>
    </row>
    <row r="194" spans="1:44" x14ac:dyDescent="0.25">
      <c r="A194" s="12">
        <v>5710</v>
      </c>
      <c r="B194" s="13" t="s">
        <v>263</v>
      </c>
      <c r="C194" s="14">
        <v>779747.83</v>
      </c>
      <c r="D194" s="14">
        <v>199375.48</v>
      </c>
      <c r="E194" s="14"/>
      <c r="F194" s="14"/>
      <c r="G194" s="14">
        <v>3299424.65</v>
      </c>
      <c r="H194" s="14">
        <v>517.9</v>
      </c>
      <c r="I194" s="14">
        <v>89201.4</v>
      </c>
      <c r="J194" s="14">
        <v>140793.70000000001</v>
      </c>
      <c r="K194" s="14">
        <v>4997.7</v>
      </c>
      <c r="L194" s="14">
        <v>112703.3</v>
      </c>
      <c r="M194" s="3">
        <f t="shared" si="6"/>
        <v>4626761.9600000009</v>
      </c>
      <c r="N194" s="14">
        <v>36713.75</v>
      </c>
      <c r="O194" s="14">
        <v>17771.5</v>
      </c>
      <c r="P194" s="14">
        <v>27225</v>
      </c>
      <c r="Q194" s="14">
        <v>1483.31</v>
      </c>
      <c r="R194" s="14">
        <v>198955.85</v>
      </c>
      <c r="S194" s="14">
        <v>31.25</v>
      </c>
      <c r="T194" s="14"/>
      <c r="U194" s="14"/>
      <c r="V194" s="14"/>
      <c r="W194" s="14"/>
      <c r="X194" s="2">
        <f t="shared" si="7"/>
        <v>4908942.62</v>
      </c>
      <c r="Y194" s="14"/>
      <c r="Z194" s="14"/>
      <c r="AA194" s="14">
        <v>67347.649999999994</v>
      </c>
      <c r="AB194" s="14"/>
      <c r="AC194" s="14">
        <v>13775.6</v>
      </c>
      <c r="AD194" s="14"/>
      <c r="AE194" s="14"/>
      <c r="AF194" s="14"/>
      <c r="AG194" s="14">
        <v>8344</v>
      </c>
      <c r="AH194" s="14">
        <v>24916.9</v>
      </c>
      <c r="AI194" s="14"/>
      <c r="AJ194" s="14"/>
      <c r="AK194" s="14"/>
      <c r="AL194" s="48">
        <f t="shared" si="8"/>
        <v>114384.15</v>
      </c>
      <c r="AM194" s="22">
        <v>41</v>
      </c>
      <c r="AN194" s="14">
        <v>435</v>
      </c>
      <c r="AO194" s="14">
        <v>-3221.37</v>
      </c>
      <c r="AP194" s="14"/>
      <c r="AQ194" s="14">
        <v>-2736.99</v>
      </c>
      <c r="AR194" s="44">
        <v>1</v>
      </c>
    </row>
    <row r="195" spans="1:44" x14ac:dyDescent="0.25">
      <c r="A195" s="12">
        <v>5711</v>
      </c>
      <c r="B195" s="13" t="s">
        <v>264</v>
      </c>
      <c r="C195" s="14">
        <v>10978456.4</v>
      </c>
      <c r="D195" s="14">
        <v>1613328.56</v>
      </c>
      <c r="E195" s="14"/>
      <c r="F195" s="14"/>
      <c r="G195" s="14">
        <v>175493.4</v>
      </c>
      <c r="H195" s="14">
        <v>1560.4</v>
      </c>
      <c r="I195" s="14">
        <v>147080.75</v>
      </c>
      <c r="J195" s="14">
        <v>166409.51</v>
      </c>
      <c r="K195" s="14">
        <v>12264.5</v>
      </c>
      <c r="L195" s="14">
        <v>1012224.7</v>
      </c>
      <c r="M195" s="3">
        <f t="shared" si="6"/>
        <v>14106818.220000001</v>
      </c>
      <c r="N195" s="14">
        <v>28572</v>
      </c>
      <c r="O195" s="14"/>
      <c r="P195" s="14">
        <v>486221.8</v>
      </c>
      <c r="Q195" s="14">
        <v>12063.29</v>
      </c>
      <c r="R195" s="14">
        <v>462280.7</v>
      </c>
      <c r="S195" s="14">
        <v>31.25</v>
      </c>
      <c r="T195" s="14"/>
      <c r="U195" s="14">
        <v>15850</v>
      </c>
      <c r="V195" s="14"/>
      <c r="W195" s="14"/>
      <c r="X195" s="2">
        <f t="shared" si="7"/>
        <v>15111837.26</v>
      </c>
      <c r="Y195" s="14">
        <v>15616.1</v>
      </c>
      <c r="Z195" s="14"/>
      <c r="AA195" s="14">
        <v>199253.25</v>
      </c>
      <c r="AB195" s="14"/>
      <c r="AC195" s="14">
        <v>189650.45</v>
      </c>
      <c r="AD195" s="14">
        <v>57167.45</v>
      </c>
      <c r="AE195" s="14"/>
      <c r="AF195" s="14"/>
      <c r="AG195" s="14">
        <v>14910</v>
      </c>
      <c r="AH195" s="14"/>
      <c r="AI195" s="14"/>
      <c r="AJ195" s="14"/>
      <c r="AK195" s="14"/>
      <c r="AL195" s="48">
        <f t="shared" si="8"/>
        <v>476597.25000000006</v>
      </c>
      <c r="AM195" s="22">
        <v>58</v>
      </c>
      <c r="AN195" s="14">
        <v>2591</v>
      </c>
      <c r="AO195" s="14">
        <v>-131478.1</v>
      </c>
      <c r="AP195" s="14"/>
      <c r="AQ195" s="14">
        <v>-12844.85</v>
      </c>
      <c r="AR195" s="44">
        <v>1.3</v>
      </c>
    </row>
    <row r="196" spans="1:44" x14ac:dyDescent="0.25">
      <c r="A196" s="12">
        <v>5712</v>
      </c>
      <c r="B196" s="13" t="s">
        <v>265</v>
      </c>
      <c r="C196" s="14">
        <v>11750952.02</v>
      </c>
      <c r="D196" s="14">
        <v>2320253.11</v>
      </c>
      <c r="E196" s="14"/>
      <c r="F196" s="14"/>
      <c r="G196" s="14">
        <v>156260.45000000001</v>
      </c>
      <c r="H196" s="14">
        <v>12841.85</v>
      </c>
      <c r="I196" s="14">
        <v>890090.11</v>
      </c>
      <c r="J196" s="14">
        <v>269378.34000000003</v>
      </c>
      <c r="K196" s="14">
        <v>30330.5</v>
      </c>
      <c r="L196" s="14">
        <v>1535627.95</v>
      </c>
      <c r="M196" s="3">
        <f t="shared" si="6"/>
        <v>16965734.329999998</v>
      </c>
      <c r="N196" s="14">
        <v>128277.75</v>
      </c>
      <c r="O196" s="14">
        <v>61496.9</v>
      </c>
      <c r="P196" s="14">
        <v>421556.7</v>
      </c>
      <c r="Q196" s="14">
        <v>5698.97</v>
      </c>
      <c r="R196" s="14">
        <v>1839110</v>
      </c>
      <c r="S196" s="14">
        <v>81.25</v>
      </c>
      <c r="T196" s="14"/>
      <c r="U196" s="14">
        <v>7200</v>
      </c>
      <c r="V196" s="14"/>
      <c r="W196" s="14"/>
      <c r="X196" s="2">
        <f t="shared" si="7"/>
        <v>19429155.899999995</v>
      </c>
      <c r="Y196" s="14">
        <v>144001.22</v>
      </c>
      <c r="Z196" s="14"/>
      <c r="AA196" s="14">
        <v>218374</v>
      </c>
      <c r="AB196" s="14"/>
      <c r="AC196" s="14">
        <v>530994.04</v>
      </c>
      <c r="AD196" s="14"/>
      <c r="AE196" s="14"/>
      <c r="AF196" s="14"/>
      <c r="AG196" s="14"/>
      <c r="AH196" s="14"/>
      <c r="AI196" s="14"/>
      <c r="AJ196" s="14"/>
      <c r="AK196" s="14"/>
      <c r="AL196" s="48">
        <f t="shared" si="8"/>
        <v>893369.26</v>
      </c>
      <c r="AM196" s="22">
        <v>53</v>
      </c>
      <c r="AN196" s="14">
        <v>2936</v>
      </c>
      <c r="AO196" s="14">
        <v>-29174.99</v>
      </c>
      <c r="AP196" s="14"/>
      <c r="AQ196" s="14">
        <v>-19336.62</v>
      </c>
      <c r="AR196" s="44">
        <v>1.5</v>
      </c>
    </row>
    <row r="197" spans="1:44" x14ac:dyDescent="0.25">
      <c r="A197" s="12">
        <v>5713</v>
      </c>
      <c r="B197" s="13" t="s">
        <v>266</v>
      </c>
      <c r="C197" s="14">
        <v>8355412.8300000001</v>
      </c>
      <c r="D197" s="14">
        <v>4244564.74</v>
      </c>
      <c r="E197" s="14"/>
      <c r="F197" s="14"/>
      <c r="G197" s="14">
        <v>80445.600000000006</v>
      </c>
      <c r="H197" s="14">
        <v>2850.75</v>
      </c>
      <c r="I197" s="14">
        <v>285356.87</v>
      </c>
      <c r="J197" s="14">
        <v>111526.67</v>
      </c>
      <c r="K197" s="14">
        <v>7287.5</v>
      </c>
      <c r="L197" s="14">
        <v>694014.55</v>
      </c>
      <c r="M197" s="3">
        <f t="shared" si="6"/>
        <v>13781459.51</v>
      </c>
      <c r="N197" s="14">
        <v>26999.9</v>
      </c>
      <c r="O197" s="14">
        <v>193288.3</v>
      </c>
      <c r="P197" s="14">
        <v>577861.94999999995</v>
      </c>
      <c r="Q197" s="14">
        <v>15264.49</v>
      </c>
      <c r="R197" s="14">
        <v>507739.55</v>
      </c>
      <c r="S197" s="14">
        <v>34.5</v>
      </c>
      <c r="T197" s="14"/>
      <c r="U197" s="14">
        <v>11500</v>
      </c>
      <c r="V197" s="14"/>
      <c r="W197" s="14"/>
      <c r="X197" s="2">
        <f t="shared" si="7"/>
        <v>15114148.200000001</v>
      </c>
      <c r="Y197" s="14">
        <v>93520</v>
      </c>
      <c r="Z197" s="14"/>
      <c r="AA197" s="14">
        <v>371408.62</v>
      </c>
      <c r="AB197" s="14"/>
      <c r="AC197" s="14">
        <v>209915.66</v>
      </c>
      <c r="AD197" s="14"/>
      <c r="AE197" s="14"/>
      <c r="AF197" s="14"/>
      <c r="AG197" s="14"/>
      <c r="AH197" s="14">
        <v>77354.95</v>
      </c>
      <c r="AI197" s="14"/>
      <c r="AJ197" s="14"/>
      <c r="AK197" s="14"/>
      <c r="AL197" s="48">
        <f t="shared" si="8"/>
        <v>752199.23</v>
      </c>
      <c r="AM197" s="22">
        <v>53</v>
      </c>
      <c r="AN197" s="14">
        <v>2044</v>
      </c>
      <c r="AO197" s="14">
        <v>-18506.38</v>
      </c>
      <c r="AP197" s="14"/>
      <c r="AQ197" s="14">
        <v>-33641.68</v>
      </c>
      <c r="AR197" s="44">
        <v>1</v>
      </c>
    </row>
    <row r="198" spans="1:44" x14ac:dyDescent="0.25">
      <c r="A198" s="12">
        <v>5714</v>
      </c>
      <c r="B198" s="13" t="s">
        <v>267</v>
      </c>
      <c r="C198" s="14">
        <v>3714830.01</v>
      </c>
      <c r="D198" s="14">
        <v>439704.29</v>
      </c>
      <c r="E198" s="14"/>
      <c r="F198" s="14"/>
      <c r="G198" s="14">
        <v>251825.45</v>
      </c>
      <c r="H198" s="14">
        <v>1019.55</v>
      </c>
      <c r="I198" s="14">
        <v>105376.32000000001</v>
      </c>
      <c r="J198" s="14">
        <v>58849.68</v>
      </c>
      <c r="K198" s="14">
        <v>3910.5</v>
      </c>
      <c r="L198" s="14">
        <v>253427.35</v>
      </c>
      <c r="M198" s="3">
        <f t="shared" si="6"/>
        <v>4828943.1499999994</v>
      </c>
      <c r="N198" s="14">
        <v>96901.1</v>
      </c>
      <c r="O198" s="14"/>
      <c r="P198" s="14">
        <v>221501.4</v>
      </c>
      <c r="Q198" s="14"/>
      <c r="R198" s="14">
        <v>67539.100000000006</v>
      </c>
      <c r="S198" s="14">
        <v>62.5</v>
      </c>
      <c r="T198" s="14">
        <v>300</v>
      </c>
      <c r="U198" s="14">
        <v>4200</v>
      </c>
      <c r="V198" s="14"/>
      <c r="W198" s="14"/>
      <c r="X198" s="2">
        <f t="shared" si="7"/>
        <v>5219447.2499999991</v>
      </c>
      <c r="Y198" s="14">
        <v>1717</v>
      </c>
      <c r="Z198" s="14"/>
      <c r="AA198" s="14">
        <v>81973.100000000006</v>
      </c>
      <c r="AB198" s="14"/>
      <c r="AC198" s="14">
        <v>95764.15</v>
      </c>
      <c r="AD198" s="14">
        <v>547.5</v>
      </c>
      <c r="AE198" s="14"/>
      <c r="AF198" s="14"/>
      <c r="AG198" s="14">
        <v>2840</v>
      </c>
      <c r="AH198" s="14">
        <v>29647.4</v>
      </c>
      <c r="AI198" s="14"/>
      <c r="AJ198" s="14"/>
      <c r="AK198" s="14"/>
      <c r="AL198" s="48">
        <f t="shared" si="8"/>
        <v>212489.15</v>
      </c>
      <c r="AM198" s="22">
        <v>64</v>
      </c>
      <c r="AN198" s="14">
        <v>1141</v>
      </c>
      <c r="AO198" s="14">
        <v>-27301.22</v>
      </c>
      <c r="AP198" s="14"/>
      <c r="AQ198" s="14">
        <v>-2246.0300000000002</v>
      </c>
      <c r="AR198" s="44">
        <v>1</v>
      </c>
    </row>
    <row r="199" spans="1:44" x14ac:dyDescent="0.25">
      <c r="A199" s="12">
        <v>5715</v>
      </c>
      <c r="B199" s="13" t="s">
        <v>268</v>
      </c>
      <c r="C199" s="14">
        <v>3051086.88</v>
      </c>
      <c r="D199" s="14">
        <v>573324.19999999995</v>
      </c>
      <c r="E199" s="14"/>
      <c r="F199" s="14"/>
      <c r="G199" s="14">
        <v>30301.15</v>
      </c>
      <c r="H199" s="14">
        <v>404.7</v>
      </c>
      <c r="I199" s="14">
        <v>-45333.1</v>
      </c>
      <c r="J199" s="14">
        <v>33636.03</v>
      </c>
      <c r="K199" s="14">
        <v>3121</v>
      </c>
      <c r="L199" s="14">
        <v>230093.3</v>
      </c>
      <c r="M199" s="3">
        <f t="shared" si="6"/>
        <v>3876634.1599999997</v>
      </c>
      <c r="N199" s="14">
        <v>53425.599999999999</v>
      </c>
      <c r="O199" s="14">
        <v>181233.9</v>
      </c>
      <c r="P199" s="14">
        <v>252087</v>
      </c>
      <c r="Q199" s="14">
        <v>6239.79</v>
      </c>
      <c r="R199" s="14">
        <v>149350.39999999999</v>
      </c>
      <c r="S199" s="14"/>
      <c r="T199" s="14"/>
      <c r="U199" s="14">
        <v>5750</v>
      </c>
      <c r="V199" s="14"/>
      <c r="W199" s="14"/>
      <c r="X199" s="2">
        <f t="shared" si="7"/>
        <v>4524720.8500000006</v>
      </c>
      <c r="Y199" s="14">
        <v>77908.2</v>
      </c>
      <c r="Z199" s="14"/>
      <c r="AA199" s="14">
        <v>5643.15</v>
      </c>
      <c r="AB199" s="14"/>
      <c r="AC199" s="14">
        <v>100602.25</v>
      </c>
      <c r="AD199" s="14">
        <v>72111.199999999997</v>
      </c>
      <c r="AE199" s="14"/>
      <c r="AF199" s="14"/>
      <c r="AG199" s="14">
        <v>5899</v>
      </c>
      <c r="AH199" s="14">
        <v>62813.23</v>
      </c>
      <c r="AI199" s="14"/>
      <c r="AJ199" s="14"/>
      <c r="AK199" s="14"/>
      <c r="AL199" s="48">
        <f t="shared" si="8"/>
        <v>324977.02999999997</v>
      </c>
      <c r="AM199" s="22">
        <v>66</v>
      </c>
      <c r="AN199" s="14">
        <v>998</v>
      </c>
      <c r="AO199" s="14">
        <v>-33853.08</v>
      </c>
      <c r="AP199" s="14"/>
      <c r="AQ199" s="14">
        <v>-344.94</v>
      </c>
      <c r="AR199" s="44">
        <v>1</v>
      </c>
    </row>
    <row r="200" spans="1:44" x14ac:dyDescent="0.25">
      <c r="A200" s="12">
        <v>5716</v>
      </c>
      <c r="B200" s="13" t="s">
        <v>269</v>
      </c>
      <c r="C200" s="14">
        <v>3326147.61</v>
      </c>
      <c r="D200" s="14">
        <v>367693.89</v>
      </c>
      <c r="E200" s="14"/>
      <c r="F200" s="14"/>
      <c r="G200" s="14">
        <v>2988521.9</v>
      </c>
      <c r="H200" s="14">
        <v>398554.2</v>
      </c>
      <c r="I200" s="14">
        <v>23212.9</v>
      </c>
      <c r="J200" s="14">
        <v>-103772.8</v>
      </c>
      <c r="K200" s="14">
        <v>118994.5</v>
      </c>
      <c r="L200" s="14">
        <v>534646.75</v>
      </c>
      <c r="M200" s="3">
        <f t="shared" ref="M200:M263" si="9">SUM(C200:L200)</f>
        <v>7653998.9500000011</v>
      </c>
      <c r="N200" s="14">
        <v>624361.69999999995</v>
      </c>
      <c r="O200" s="14">
        <v>120673.8</v>
      </c>
      <c r="P200" s="14">
        <v>192841.60000000001</v>
      </c>
      <c r="Q200" s="14">
        <v>2914.55</v>
      </c>
      <c r="R200" s="14">
        <v>68183.899999999994</v>
      </c>
      <c r="S200" s="14">
        <v>93.75</v>
      </c>
      <c r="T200" s="14"/>
      <c r="U200" s="14">
        <v>7250</v>
      </c>
      <c r="V200" s="14"/>
      <c r="W200" s="14"/>
      <c r="X200" s="2">
        <f t="shared" ref="X200:X263" si="10">SUM(M200:W200)</f>
        <v>8670318.2500000019</v>
      </c>
      <c r="Y200" s="14">
        <v>97789.07</v>
      </c>
      <c r="Z200" s="14"/>
      <c r="AA200" s="14">
        <v>240647.73</v>
      </c>
      <c r="AB200" s="14"/>
      <c r="AC200" s="14">
        <v>104946.57</v>
      </c>
      <c r="AD200" s="14"/>
      <c r="AE200" s="14"/>
      <c r="AF200" s="14"/>
      <c r="AG200" s="14"/>
      <c r="AH200" s="14">
        <v>57307.5</v>
      </c>
      <c r="AI200" s="14"/>
      <c r="AJ200" s="14"/>
      <c r="AK200" s="14"/>
      <c r="AL200" s="48">
        <f t="shared" ref="AL200:AL263" si="11">SUM(Y200:AK200)</f>
        <v>500690.87000000005</v>
      </c>
      <c r="AM200" s="22">
        <v>61</v>
      </c>
      <c r="AN200" s="14">
        <v>1469</v>
      </c>
      <c r="AO200" s="14">
        <v>-69897.03</v>
      </c>
      <c r="AP200" s="14"/>
      <c r="AQ200" s="14">
        <v>-1024.96</v>
      </c>
      <c r="AR200" s="44">
        <v>1</v>
      </c>
    </row>
    <row r="201" spans="1:44" x14ac:dyDescent="0.25">
      <c r="A201" s="12">
        <v>5717</v>
      </c>
      <c r="B201" s="13" t="s">
        <v>270</v>
      </c>
      <c r="C201" s="14">
        <v>14462787.529999999</v>
      </c>
      <c r="D201" s="14">
        <v>3276980.16</v>
      </c>
      <c r="E201" s="14"/>
      <c r="F201" s="14"/>
      <c r="G201" s="14">
        <v>306253.05</v>
      </c>
      <c r="H201" s="14">
        <v>5843.3</v>
      </c>
      <c r="I201" s="14">
        <v>861800.79</v>
      </c>
      <c r="J201" s="14">
        <v>-316842.55</v>
      </c>
      <c r="K201" s="14">
        <v>41621</v>
      </c>
      <c r="L201" s="14">
        <v>1137322.8</v>
      </c>
      <c r="M201" s="3">
        <f t="shared" si="9"/>
        <v>19775766.079999998</v>
      </c>
      <c r="N201" s="14">
        <v>194155.35</v>
      </c>
      <c r="O201" s="14">
        <v>88501.6</v>
      </c>
      <c r="P201" s="14">
        <v>1029960.8</v>
      </c>
      <c r="Q201" s="14">
        <v>18383.62</v>
      </c>
      <c r="R201" s="14">
        <v>1149461.8999999999</v>
      </c>
      <c r="S201" s="14">
        <v>62.5</v>
      </c>
      <c r="T201" s="14">
        <v>1200</v>
      </c>
      <c r="U201" s="14">
        <v>17080</v>
      </c>
      <c r="V201" s="14"/>
      <c r="W201" s="14"/>
      <c r="X201" s="2">
        <f t="shared" si="10"/>
        <v>22274571.850000001</v>
      </c>
      <c r="Y201" s="14">
        <v>65121.75</v>
      </c>
      <c r="Z201" s="14"/>
      <c r="AA201" s="14">
        <v>209007.35</v>
      </c>
      <c r="AB201" s="14"/>
      <c r="AC201" s="14">
        <v>478426.81</v>
      </c>
      <c r="AD201" s="14"/>
      <c r="AE201" s="14"/>
      <c r="AF201" s="14"/>
      <c r="AG201" s="14">
        <v>3546</v>
      </c>
      <c r="AH201" s="14"/>
      <c r="AI201" s="14"/>
      <c r="AJ201" s="14"/>
      <c r="AK201" s="14"/>
      <c r="AL201" s="48">
        <f t="shared" si="11"/>
        <v>756101.90999999992</v>
      </c>
      <c r="AM201" s="22">
        <v>57</v>
      </c>
      <c r="AN201" s="14">
        <v>3372</v>
      </c>
      <c r="AO201" s="14">
        <v>-48782.879999999997</v>
      </c>
      <c r="AP201" s="14"/>
      <c r="AQ201" s="14">
        <v>-46412.639999999999</v>
      </c>
      <c r="AR201" s="44">
        <v>1</v>
      </c>
    </row>
    <row r="202" spans="1:44" x14ac:dyDescent="0.25">
      <c r="A202" s="12">
        <v>5718</v>
      </c>
      <c r="B202" s="13" t="s">
        <v>271</v>
      </c>
      <c r="C202" s="14">
        <v>5974118.7599999998</v>
      </c>
      <c r="D202" s="14">
        <v>1076867.82</v>
      </c>
      <c r="E202" s="14"/>
      <c r="F202" s="14"/>
      <c r="G202" s="14">
        <v>297793.95</v>
      </c>
      <c r="H202" s="14">
        <v>941.1</v>
      </c>
      <c r="I202" s="14">
        <v>217379.85</v>
      </c>
      <c r="J202" s="14">
        <v>73227.37</v>
      </c>
      <c r="K202" s="14">
        <v>29391</v>
      </c>
      <c r="L202" s="14">
        <v>562800.80000000005</v>
      </c>
      <c r="M202" s="3">
        <f t="shared" si="9"/>
        <v>8232520.6499999994</v>
      </c>
      <c r="N202" s="14">
        <v>484928.65</v>
      </c>
      <c r="O202" s="14">
        <v>189833.8</v>
      </c>
      <c r="P202" s="14">
        <v>338151</v>
      </c>
      <c r="Q202" s="14">
        <v>-7365.14</v>
      </c>
      <c r="R202" s="14">
        <v>320858.59999999998</v>
      </c>
      <c r="S202" s="14">
        <v>31.3</v>
      </c>
      <c r="T202" s="14"/>
      <c r="U202" s="14">
        <v>6500</v>
      </c>
      <c r="V202" s="14"/>
      <c r="W202" s="14"/>
      <c r="X202" s="2">
        <f t="shared" si="10"/>
        <v>9565458.8599999994</v>
      </c>
      <c r="Y202" s="14">
        <v>26119.8</v>
      </c>
      <c r="Z202" s="14"/>
      <c r="AA202" s="14">
        <v>194998.45</v>
      </c>
      <c r="AB202" s="14"/>
      <c r="AC202" s="14">
        <v>144847.4</v>
      </c>
      <c r="AD202" s="14">
        <v>58044</v>
      </c>
      <c r="AE202" s="14"/>
      <c r="AF202" s="14"/>
      <c r="AG202" s="14">
        <v>19493.099999999999</v>
      </c>
      <c r="AH202" s="14"/>
      <c r="AI202" s="14"/>
      <c r="AJ202" s="14"/>
      <c r="AK202" s="14"/>
      <c r="AL202" s="48">
        <f t="shared" si="11"/>
        <v>443502.75</v>
      </c>
      <c r="AM202" s="22">
        <v>55</v>
      </c>
      <c r="AN202" s="14">
        <v>1890</v>
      </c>
      <c r="AO202" s="14">
        <v>-105494.37</v>
      </c>
      <c r="AP202" s="14"/>
      <c r="AQ202" s="14">
        <v>-3650.46</v>
      </c>
      <c r="AR202" s="44">
        <v>1</v>
      </c>
    </row>
    <row r="203" spans="1:44" x14ac:dyDescent="0.25">
      <c r="A203" s="12">
        <v>5719</v>
      </c>
      <c r="B203" s="13" t="s">
        <v>272</v>
      </c>
      <c r="C203" s="14">
        <v>3711499.69</v>
      </c>
      <c r="D203" s="14">
        <v>1142362.1299999999</v>
      </c>
      <c r="E203" s="14"/>
      <c r="F203" s="14"/>
      <c r="G203" s="14">
        <v>79387.100000000006</v>
      </c>
      <c r="H203" s="14">
        <v>2037.2</v>
      </c>
      <c r="I203" s="14">
        <v>282209.09999999998</v>
      </c>
      <c r="J203" s="14">
        <v>-55044.3</v>
      </c>
      <c r="K203" s="14">
        <v>8158</v>
      </c>
      <c r="L203" s="14">
        <v>208203.6</v>
      </c>
      <c r="M203" s="3">
        <f t="shared" si="9"/>
        <v>5378812.5199999996</v>
      </c>
      <c r="N203" s="14">
        <v>74054.5</v>
      </c>
      <c r="O203" s="14">
        <v>13528</v>
      </c>
      <c r="P203" s="14">
        <v>417146.8</v>
      </c>
      <c r="Q203" s="14">
        <v>18796.55</v>
      </c>
      <c r="R203" s="14">
        <v>205645.85</v>
      </c>
      <c r="S203" s="14">
        <v>31.3</v>
      </c>
      <c r="T203" s="14"/>
      <c r="U203" s="14">
        <v>12300</v>
      </c>
      <c r="V203" s="14"/>
      <c r="W203" s="14"/>
      <c r="X203" s="2">
        <f t="shared" si="10"/>
        <v>6120315.5199999986</v>
      </c>
      <c r="Y203" s="14"/>
      <c r="Z203" s="14"/>
      <c r="AA203" s="14"/>
      <c r="AB203" s="14"/>
      <c r="AC203" s="14"/>
      <c r="AD203" s="14"/>
      <c r="AE203" s="14"/>
      <c r="AF203" s="14"/>
      <c r="AG203" s="14"/>
      <c r="AH203" s="14"/>
      <c r="AI203" s="14"/>
      <c r="AJ203" s="14"/>
      <c r="AK203" s="14"/>
      <c r="AL203" s="48">
        <f t="shared" si="11"/>
        <v>0</v>
      </c>
      <c r="AM203" s="22">
        <v>57</v>
      </c>
      <c r="AN203" s="14">
        <v>1204</v>
      </c>
      <c r="AO203" s="14">
        <v>-34525.86</v>
      </c>
      <c r="AP203" s="14"/>
      <c r="AQ203" s="14">
        <v>-546.22</v>
      </c>
      <c r="AR203" s="44">
        <v>0.6</v>
      </c>
    </row>
    <row r="204" spans="1:44" x14ac:dyDescent="0.25">
      <c r="A204" s="12">
        <v>5720</v>
      </c>
      <c r="B204" s="13" t="s">
        <v>273</v>
      </c>
      <c r="C204" s="14">
        <v>3615575.76</v>
      </c>
      <c r="D204" s="14">
        <v>692679.83</v>
      </c>
      <c r="E204" s="14"/>
      <c r="F204" s="14"/>
      <c r="G204" s="14">
        <v>109452.15</v>
      </c>
      <c r="H204" s="14">
        <v>1178.25</v>
      </c>
      <c r="I204" s="14">
        <v>336253.9</v>
      </c>
      <c r="J204" s="14">
        <v>-95717.23</v>
      </c>
      <c r="K204" s="14"/>
      <c r="L204" s="14">
        <v>248870.8</v>
      </c>
      <c r="M204" s="3">
        <f t="shared" si="9"/>
        <v>4908293.46</v>
      </c>
      <c r="N204" s="14">
        <v>28321.7</v>
      </c>
      <c r="O204" s="14">
        <v>2525.9</v>
      </c>
      <c r="P204" s="14">
        <v>295092.84999999998</v>
      </c>
      <c r="Q204" s="14">
        <v>23837.49</v>
      </c>
      <c r="R204" s="14">
        <v>501424.75</v>
      </c>
      <c r="S204" s="14"/>
      <c r="T204" s="14"/>
      <c r="U204" s="14">
        <v>4760</v>
      </c>
      <c r="V204" s="14"/>
      <c r="W204" s="14"/>
      <c r="X204" s="2">
        <f t="shared" si="10"/>
        <v>5764256.1500000004</v>
      </c>
      <c r="Y204" s="14">
        <v>11070.6</v>
      </c>
      <c r="Z204" s="14"/>
      <c r="AA204" s="14">
        <v>114701.7</v>
      </c>
      <c r="AB204" s="14"/>
      <c r="AC204" s="14">
        <v>49484.05</v>
      </c>
      <c r="AD204" s="14">
        <v>8661.7999999999993</v>
      </c>
      <c r="AE204" s="14"/>
      <c r="AF204" s="14"/>
      <c r="AG204" s="14">
        <v>2715.35</v>
      </c>
      <c r="AH204" s="14"/>
      <c r="AI204" s="14"/>
      <c r="AJ204" s="14"/>
      <c r="AK204" s="14"/>
      <c r="AL204" s="48">
        <f t="shared" si="11"/>
        <v>186633.5</v>
      </c>
      <c r="AM204" s="22">
        <v>61</v>
      </c>
      <c r="AN204" s="14">
        <v>971</v>
      </c>
      <c r="AO204" s="14">
        <v>-14092.54</v>
      </c>
      <c r="AP204" s="14"/>
      <c r="AQ204" s="14">
        <v>-2380.9299999999998</v>
      </c>
      <c r="AR204" s="44">
        <v>0.9</v>
      </c>
    </row>
    <row r="205" spans="1:44" x14ac:dyDescent="0.25">
      <c r="A205" s="12">
        <v>5721</v>
      </c>
      <c r="B205" s="13" t="s">
        <v>274</v>
      </c>
      <c r="C205" s="14">
        <v>23256428.579999998</v>
      </c>
      <c r="D205" s="14">
        <v>4609239.5199999996</v>
      </c>
      <c r="E205" s="14"/>
      <c r="F205" s="14"/>
      <c r="G205" s="14">
        <v>2741582.65</v>
      </c>
      <c r="H205" s="14">
        <v>411752.2</v>
      </c>
      <c r="I205" s="14">
        <v>906004.3</v>
      </c>
      <c r="J205" s="14">
        <v>1115128.24</v>
      </c>
      <c r="K205" s="14">
        <v>182424</v>
      </c>
      <c r="L205" s="14">
        <v>2458108.35</v>
      </c>
      <c r="M205" s="3">
        <f t="shared" si="9"/>
        <v>35680667.839999996</v>
      </c>
      <c r="N205" s="14">
        <v>2016933</v>
      </c>
      <c r="O205" s="14">
        <v>830229.2</v>
      </c>
      <c r="P205" s="14">
        <v>1602449.7</v>
      </c>
      <c r="Q205" s="14">
        <v>226335.33</v>
      </c>
      <c r="R205" s="14">
        <v>4971625</v>
      </c>
      <c r="S205" s="14">
        <v>912.5</v>
      </c>
      <c r="T205" s="14"/>
      <c r="U205" s="14">
        <v>55300</v>
      </c>
      <c r="V205" s="14"/>
      <c r="W205" s="14"/>
      <c r="X205" s="2">
        <f t="shared" si="10"/>
        <v>45384452.57</v>
      </c>
      <c r="Y205" s="14">
        <v>889803.15</v>
      </c>
      <c r="Z205" s="14"/>
      <c r="AA205" s="14">
        <v>928560</v>
      </c>
      <c r="AB205" s="14"/>
      <c r="AC205" s="14">
        <v>1405303.7</v>
      </c>
      <c r="AD205" s="14">
        <v>356749.7</v>
      </c>
      <c r="AE205" s="14"/>
      <c r="AF205" s="14"/>
      <c r="AG205" s="14">
        <v>47184</v>
      </c>
      <c r="AH205" s="14">
        <v>381885.47</v>
      </c>
      <c r="AI205" s="14">
        <v>218324.57</v>
      </c>
      <c r="AJ205" s="14">
        <v>381849.06</v>
      </c>
      <c r="AK205" s="14">
        <v>272846.86</v>
      </c>
      <c r="AL205" s="48">
        <f t="shared" si="11"/>
        <v>4882506.51</v>
      </c>
      <c r="AM205" s="22">
        <v>62.5</v>
      </c>
      <c r="AN205" s="14">
        <v>12663</v>
      </c>
      <c r="AO205" s="14">
        <v>-772943.48</v>
      </c>
      <c r="AP205" s="14"/>
      <c r="AQ205" s="14">
        <v>-124666.96</v>
      </c>
      <c r="AR205" s="44">
        <v>1.1000000000000001</v>
      </c>
    </row>
    <row r="206" spans="1:44" x14ac:dyDescent="0.25">
      <c r="A206" s="12">
        <v>5722</v>
      </c>
      <c r="B206" s="13" t="s">
        <v>275</v>
      </c>
      <c r="C206" s="14">
        <v>888420.77</v>
      </c>
      <c r="D206" s="14">
        <v>155982.71</v>
      </c>
      <c r="E206" s="14"/>
      <c r="F206" s="14"/>
      <c r="G206" s="14">
        <v>257157.05</v>
      </c>
      <c r="H206" s="14">
        <v>-262.05</v>
      </c>
      <c r="I206" s="14"/>
      <c r="J206" s="14">
        <v>40719.78</v>
      </c>
      <c r="K206" s="14">
        <v>5655</v>
      </c>
      <c r="L206" s="14">
        <v>79290.399999999994</v>
      </c>
      <c r="M206" s="3">
        <f t="shared" si="9"/>
        <v>1426963.66</v>
      </c>
      <c r="N206" s="14">
        <v>15153.55</v>
      </c>
      <c r="O206" s="14"/>
      <c r="P206" s="14">
        <v>15705.1</v>
      </c>
      <c r="Q206" s="14"/>
      <c r="R206" s="14">
        <v>16567.599999999999</v>
      </c>
      <c r="S206" s="14">
        <v>65.650000000000006</v>
      </c>
      <c r="T206" s="14"/>
      <c r="U206" s="14">
        <v>1475</v>
      </c>
      <c r="V206" s="14"/>
      <c r="W206" s="14"/>
      <c r="X206" s="2">
        <f t="shared" si="10"/>
        <v>1475930.56</v>
      </c>
      <c r="Y206" s="14">
        <v>27000</v>
      </c>
      <c r="Z206" s="14"/>
      <c r="AA206" s="14">
        <v>57051.4</v>
      </c>
      <c r="AB206" s="14"/>
      <c r="AC206" s="14">
        <v>24775.25</v>
      </c>
      <c r="AD206" s="14"/>
      <c r="AE206" s="14"/>
      <c r="AF206" s="14"/>
      <c r="AG206" s="14">
        <v>1049.4000000000001</v>
      </c>
      <c r="AH206" s="14">
        <v>10742.25</v>
      </c>
      <c r="AI206" s="14"/>
      <c r="AJ206" s="14"/>
      <c r="AK206" s="14"/>
      <c r="AL206" s="48">
        <f t="shared" si="11"/>
        <v>120618.29999999999</v>
      </c>
      <c r="AM206" s="22">
        <v>57</v>
      </c>
      <c r="AN206" s="14">
        <v>380</v>
      </c>
      <c r="AO206" s="14">
        <v>-774.28</v>
      </c>
      <c r="AP206" s="14"/>
      <c r="AQ206" s="14">
        <v>-584.04</v>
      </c>
      <c r="AR206" s="44">
        <v>1</v>
      </c>
    </row>
    <row r="207" spans="1:44" x14ac:dyDescent="0.25">
      <c r="A207" s="12">
        <v>5723</v>
      </c>
      <c r="B207" s="13" t="s">
        <v>276</v>
      </c>
      <c r="C207" s="14">
        <v>9343267.5299999993</v>
      </c>
      <c r="D207" s="14">
        <v>1796688.27</v>
      </c>
      <c r="E207" s="14"/>
      <c r="F207" s="14"/>
      <c r="G207" s="14">
        <v>153776.75</v>
      </c>
      <c r="H207" s="14">
        <v>6866.2</v>
      </c>
      <c r="I207" s="14">
        <v>989958.33</v>
      </c>
      <c r="J207" s="14">
        <v>34568.68</v>
      </c>
      <c r="K207" s="14">
        <v>31225</v>
      </c>
      <c r="L207" s="14">
        <v>704062.65</v>
      </c>
      <c r="M207" s="3">
        <f t="shared" si="9"/>
        <v>13060413.409999998</v>
      </c>
      <c r="N207" s="14">
        <v>218003.45</v>
      </c>
      <c r="O207" s="14">
        <v>71455.600000000006</v>
      </c>
      <c r="P207" s="14">
        <v>423476.45</v>
      </c>
      <c r="Q207" s="14">
        <v>17873.32</v>
      </c>
      <c r="R207" s="14">
        <v>459637.05</v>
      </c>
      <c r="S207" s="14"/>
      <c r="T207" s="14"/>
      <c r="U207" s="14">
        <v>6575</v>
      </c>
      <c r="V207" s="14"/>
      <c r="W207" s="14"/>
      <c r="X207" s="2">
        <f t="shared" si="10"/>
        <v>14257434.279999997</v>
      </c>
      <c r="Y207" s="14">
        <v>151333</v>
      </c>
      <c r="Z207" s="14"/>
      <c r="AA207" s="14">
        <v>77085.600000000006</v>
      </c>
      <c r="AB207" s="14"/>
      <c r="AC207" s="14">
        <v>201851.15</v>
      </c>
      <c r="AD207" s="14"/>
      <c r="AE207" s="14"/>
      <c r="AF207" s="14"/>
      <c r="AG207" s="14">
        <v>10957.8</v>
      </c>
      <c r="AH207" s="14">
        <v>75869.850000000006</v>
      </c>
      <c r="AI207" s="14"/>
      <c r="AJ207" s="14"/>
      <c r="AK207" s="14"/>
      <c r="AL207" s="48">
        <f>SUM(Y207:AK207)</f>
        <v>517097.4</v>
      </c>
      <c r="AM207" s="22">
        <v>49</v>
      </c>
      <c r="AN207" s="14">
        <v>1778</v>
      </c>
      <c r="AO207" s="14">
        <v>-48592.93</v>
      </c>
      <c r="AP207" s="14"/>
      <c r="AQ207" s="14">
        <v>-3597.25</v>
      </c>
      <c r="AR207" s="44">
        <v>1</v>
      </c>
    </row>
    <row r="208" spans="1:44" x14ac:dyDescent="0.25">
      <c r="A208" s="12">
        <v>5724</v>
      </c>
      <c r="B208" s="13" t="s">
        <v>76</v>
      </c>
      <c r="C208" s="14">
        <v>49616650.240000002</v>
      </c>
      <c r="D208" s="14">
        <v>7560668.79</v>
      </c>
      <c r="E208" s="14"/>
      <c r="F208" s="14"/>
      <c r="G208" s="14">
        <v>16540383.699999999</v>
      </c>
      <c r="H208" s="14">
        <v>411107.15</v>
      </c>
      <c r="I208" s="14">
        <v>1637468.06</v>
      </c>
      <c r="J208" s="14">
        <v>3382277.22</v>
      </c>
      <c r="K208" s="14">
        <v>656286.5</v>
      </c>
      <c r="L208" s="14">
        <v>5689456.5999999996</v>
      </c>
      <c r="M208" s="3">
        <f t="shared" si="9"/>
        <v>85494298.260000005</v>
      </c>
      <c r="N208" s="14">
        <v>4891000</v>
      </c>
      <c r="O208" s="14">
        <v>1582542.9</v>
      </c>
      <c r="P208" s="14">
        <v>2755875.4</v>
      </c>
      <c r="Q208" s="14">
        <v>320250.38</v>
      </c>
      <c r="R208" s="14">
        <v>1132300.6000000001</v>
      </c>
      <c r="S208" s="14">
        <v>2006.25</v>
      </c>
      <c r="T208" s="14"/>
      <c r="U208" s="14">
        <v>36012.25</v>
      </c>
      <c r="V208" s="14"/>
      <c r="W208" s="14"/>
      <c r="X208" s="2">
        <f t="shared" si="10"/>
        <v>96214286.040000007</v>
      </c>
      <c r="Y208" s="14">
        <v>419288.75</v>
      </c>
      <c r="Z208" s="14"/>
      <c r="AA208" s="14">
        <v>3564969.53</v>
      </c>
      <c r="AB208" s="14"/>
      <c r="AC208" s="14">
        <v>1891600.83</v>
      </c>
      <c r="AD208" s="14">
        <v>764523.65</v>
      </c>
      <c r="AE208" s="14"/>
      <c r="AF208" s="14"/>
      <c r="AG208" s="14">
        <v>133728</v>
      </c>
      <c r="AH208" s="14">
        <v>692585.7</v>
      </c>
      <c r="AI208" s="14">
        <v>791502.71</v>
      </c>
      <c r="AJ208" s="14">
        <v>470923.33</v>
      </c>
      <c r="AK208" s="14">
        <v>98955.67</v>
      </c>
      <c r="AL208" s="48">
        <f t="shared" si="11"/>
        <v>8828078.1699999999</v>
      </c>
      <c r="AM208" s="22">
        <v>61</v>
      </c>
      <c r="AN208" s="14">
        <v>19861</v>
      </c>
      <c r="AO208" s="14">
        <v>-521541.97</v>
      </c>
      <c r="AP208" s="14"/>
      <c r="AQ208" s="14">
        <v>-199767.08</v>
      </c>
      <c r="AR208" s="44">
        <v>1.3</v>
      </c>
    </row>
    <row r="209" spans="1:44" x14ac:dyDescent="0.25">
      <c r="A209" s="12">
        <v>5725</v>
      </c>
      <c r="B209" s="13" t="s">
        <v>77</v>
      </c>
      <c r="C209" s="14">
        <v>10778921.15</v>
      </c>
      <c r="D209" s="14">
        <v>2114739.52</v>
      </c>
      <c r="E209" s="14"/>
      <c r="F209" s="14"/>
      <c r="G209" s="14">
        <v>1117002.95</v>
      </c>
      <c r="H209" s="14">
        <v>6602.4</v>
      </c>
      <c r="I209" s="14">
        <v>522533.25</v>
      </c>
      <c r="J209" s="14">
        <v>38579.480000000003</v>
      </c>
      <c r="K209" s="14">
        <v>59405</v>
      </c>
      <c r="L209" s="14">
        <v>1495019.3</v>
      </c>
      <c r="M209" s="3">
        <f t="shared" si="9"/>
        <v>16132803.050000001</v>
      </c>
      <c r="N209" s="14">
        <v>996592</v>
      </c>
      <c r="O209" s="14">
        <v>26361.599999999999</v>
      </c>
      <c r="P209" s="14">
        <v>543925.94999999995</v>
      </c>
      <c r="Q209" s="14">
        <v>6125.99</v>
      </c>
      <c r="R209" s="14">
        <v>1205014.8</v>
      </c>
      <c r="S209" s="14">
        <v>218.75</v>
      </c>
      <c r="T209" s="14"/>
      <c r="U209" s="14">
        <v>16135</v>
      </c>
      <c r="V209" s="14"/>
      <c r="W209" s="14"/>
      <c r="X209" s="2">
        <f t="shared" si="10"/>
        <v>18927177.140000001</v>
      </c>
      <c r="Y209" s="14">
        <v>54235.64</v>
      </c>
      <c r="Z209" s="14"/>
      <c r="AA209" s="14">
        <v>332848.56</v>
      </c>
      <c r="AB209" s="14"/>
      <c r="AC209" s="14">
        <v>228119.21</v>
      </c>
      <c r="AD209" s="14"/>
      <c r="AE209" s="14"/>
      <c r="AF209" s="14"/>
      <c r="AG209" s="14">
        <v>48584.6</v>
      </c>
      <c r="AH209" s="14"/>
      <c r="AI209" s="14"/>
      <c r="AJ209" s="14"/>
      <c r="AK209" s="14"/>
      <c r="AL209" s="48">
        <f t="shared" si="11"/>
        <v>663788.01</v>
      </c>
      <c r="AM209" s="22">
        <v>56</v>
      </c>
      <c r="AN209" s="14">
        <v>3976</v>
      </c>
      <c r="AO209" s="14">
        <v>-55262.8</v>
      </c>
      <c r="AP209" s="14"/>
      <c r="AQ209" s="14">
        <v>-28530.21</v>
      </c>
      <c r="AR209" s="44">
        <v>1.4</v>
      </c>
    </row>
    <row r="210" spans="1:44" x14ac:dyDescent="0.25">
      <c r="A210" s="12">
        <v>5726</v>
      </c>
      <c r="B210" s="13" t="s">
        <v>363</v>
      </c>
      <c r="C210" s="14">
        <v>3043667.95</v>
      </c>
      <c r="D210" s="14">
        <v>628313.66</v>
      </c>
      <c r="E210" s="14"/>
      <c r="F210" s="14"/>
      <c r="G210" s="14">
        <v>7849.15</v>
      </c>
      <c r="H210" s="14">
        <v>20527.400000000001</v>
      </c>
      <c r="I210" s="14">
        <v>-6858.65</v>
      </c>
      <c r="J210" s="14">
        <v>31945.15</v>
      </c>
      <c r="K210" s="14">
        <v>4096.5</v>
      </c>
      <c r="L210" s="14">
        <v>221625.3</v>
      </c>
      <c r="M210" s="3">
        <f t="shared" si="9"/>
        <v>3951166.46</v>
      </c>
      <c r="N210" s="14">
        <v>22371.45</v>
      </c>
      <c r="O210" s="14">
        <v>14619</v>
      </c>
      <c r="P210" s="14">
        <v>204285.55</v>
      </c>
      <c r="Q210" s="14">
        <v>2844.02</v>
      </c>
      <c r="R210" s="14">
        <v>166791.29999999999</v>
      </c>
      <c r="S210" s="14"/>
      <c r="T210" s="14"/>
      <c r="U210" s="14">
        <v>8700</v>
      </c>
      <c r="V210" s="14"/>
      <c r="W210" s="14"/>
      <c r="X210" s="2">
        <f t="shared" si="10"/>
        <v>4370777.7799999993</v>
      </c>
      <c r="Y210" s="14">
        <v>89640</v>
      </c>
      <c r="Z210" s="14">
        <v>-10936</v>
      </c>
      <c r="AA210" s="14">
        <v>139020.9</v>
      </c>
      <c r="AB210" s="14"/>
      <c r="AC210" s="14">
        <v>81787.649999999994</v>
      </c>
      <c r="AD210" s="14">
        <v>77911.8</v>
      </c>
      <c r="AE210" s="14">
        <v>-6565</v>
      </c>
      <c r="AF210" s="14"/>
      <c r="AG210" s="14">
        <v>8329.75</v>
      </c>
      <c r="AH210" s="14"/>
      <c r="AI210" s="14"/>
      <c r="AJ210" s="14"/>
      <c r="AK210" s="14"/>
      <c r="AL210" s="48">
        <f t="shared" si="11"/>
        <v>379189.1</v>
      </c>
      <c r="AM210" s="22">
        <v>65</v>
      </c>
      <c r="AN210" s="14">
        <v>1104</v>
      </c>
      <c r="AO210" s="14">
        <v>-24530.09</v>
      </c>
      <c r="AP210" s="14"/>
      <c r="AQ210" s="14">
        <v>-1525.53</v>
      </c>
      <c r="AR210" s="44">
        <v>1</v>
      </c>
    </row>
    <row r="211" spans="1:44" x14ac:dyDescent="0.25">
      <c r="A211" s="12">
        <v>5727</v>
      </c>
      <c r="B211" s="13" t="s">
        <v>364</v>
      </c>
      <c r="C211" s="14">
        <v>4654163.45</v>
      </c>
      <c r="D211" s="14">
        <v>665017.89</v>
      </c>
      <c r="E211" s="14"/>
      <c r="F211" s="14"/>
      <c r="G211" s="14">
        <v>102157.95</v>
      </c>
      <c r="H211" s="14">
        <v>9091.35</v>
      </c>
      <c r="I211" s="14">
        <v>126541</v>
      </c>
      <c r="J211" s="14">
        <v>202857</v>
      </c>
      <c r="K211" s="14">
        <v>7141</v>
      </c>
      <c r="L211" s="14">
        <v>669668.9</v>
      </c>
      <c r="M211" s="3">
        <f t="shared" si="9"/>
        <v>6436638.54</v>
      </c>
      <c r="N211" s="14">
        <v>157271.15</v>
      </c>
      <c r="O211" s="14">
        <v>74954.2</v>
      </c>
      <c r="P211" s="14">
        <v>318398.55</v>
      </c>
      <c r="Q211" s="14">
        <v>32175.200000000001</v>
      </c>
      <c r="R211" s="14">
        <v>218126.2</v>
      </c>
      <c r="S211" s="14">
        <v>231.25</v>
      </c>
      <c r="T211" s="14"/>
      <c r="U211" s="14">
        <v>10825</v>
      </c>
      <c r="V211" s="14"/>
      <c r="W211" s="14"/>
      <c r="X211" s="2">
        <f t="shared" si="10"/>
        <v>7248620.0900000008</v>
      </c>
      <c r="Y211" s="14"/>
      <c r="Z211" s="14">
        <v>11476</v>
      </c>
      <c r="AA211" s="14">
        <v>309790.02</v>
      </c>
      <c r="AB211" s="14"/>
      <c r="AC211" s="14">
        <v>249613.05</v>
      </c>
      <c r="AD211" s="14">
        <v>11476</v>
      </c>
      <c r="AE211" s="14"/>
      <c r="AF211" s="14"/>
      <c r="AG211" s="14">
        <v>48300.35</v>
      </c>
      <c r="AH211" s="14"/>
      <c r="AI211" s="14"/>
      <c r="AJ211" s="14"/>
      <c r="AK211" s="14"/>
      <c r="AL211" s="48">
        <f t="shared" si="11"/>
        <v>630655.42000000004</v>
      </c>
      <c r="AM211" s="22">
        <v>66</v>
      </c>
      <c r="AN211" s="14">
        <v>2406</v>
      </c>
      <c r="AO211" s="14">
        <v>-147990.35999999999</v>
      </c>
      <c r="AP211" s="14"/>
      <c r="AQ211" s="14">
        <v>-218.69</v>
      </c>
      <c r="AR211" s="44">
        <v>1.5</v>
      </c>
    </row>
    <row r="212" spans="1:44" x14ac:dyDescent="0.25">
      <c r="A212" s="12">
        <v>5728</v>
      </c>
      <c r="B212" s="13" t="s">
        <v>365</v>
      </c>
      <c r="C212" s="14">
        <v>975893.06</v>
      </c>
      <c r="D212" s="14">
        <v>134359.07</v>
      </c>
      <c r="E212" s="14"/>
      <c r="F212" s="14"/>
      <c r="G212" s="14">
        <v>283832.75</v>
      </c>
      <c r="H212" s="14">
        <v>4871.1499999999996</v>
      </c>
      <c r="I212" s="14">
        <v>34060.9</v>
      </c>
      <c r="J212" s="14">
        <v>78418.33</v>
      </c>
      <c r="K212" s="14">
        <v>50366.5</v>
      </c>
      <c r="L212" s="14">
        <v>193759.9</v>
      </c>
      <c r="M212" s="3">
        <f t="shared" si="9"/>
        <v>1755561.66</v>
      </c>
      <c r="N212" s="14">
        <v>181412</v>
      </c>
      <c r="O212" s="14"/>
      <c r="P212" s="14">
        <v>61105</v>
      </c>
      <c r="Q212" s="14"/>
      <c r="R212" s="14">
        <v>136666.20000000001</v>
      </c>
      <c r="S212" s="14">
        <v>406.25</v>
      </c>
      <c r="T212" s="14">
        <v>600</v>
      </c>
      <c r="U212" s="14">
        <v>1475</v>
      </c>
      <c r="V212" s="14"/>
      <c r="W212" s="14"/>
      <c r="X212" s="2">
        <f t="shared" si="10"/>
        <v>2137226.11</v>
      </c>
      <c r="Y212" s="14">
        <v>104678.2</v>
      </c>
      <c r="Z212" s="14"/>
      <c r="AA212" s="14">
        <v>87720.71</v>
      </c>
      <c r="AB212" s="14"/>
      <c r="AC212" s="14">
        <v>28233.3</v>
      </c>
      <c r="AD212" s="14"/>
      <c r="AE212" s="14"/>
      <c r="AF212" s="14"/>
      <c r="AG212" s="14"/>
      <c r="AH212" s="14">
        <v>55700.75</v>
      </c>
      <c r="AI212" s="14"/>
      <c r="AJ212" s="14"/>
      <c r="AK212" s="14"/>
      <c r="AL212" s="48">
        <f t="shared" si="11"/>
        <v>276332.95999999996</v>
      </c>
      <c r="AM212" s="22">
        <v>56</v>
      </c>
      <c r="AN212" s="14">
        <v>481</v>
      </c>
      <c r="AO212" s="14">
        <v>-8924.86</v>
      </c>
      <c r="AP212" s="14"/>
      <c r="AQ212" s="14">
        <v>-259.32</v>
      </c>
      <c r="AR212" s="44">
        <v>1</v>
      </c>
    </row>
    <row r="213" spans="1:44" x14ac:dyDescent="0.25">
      <c r="A213" s="12">
        <v>5729</v>
      </c>
      <c r="B213" s="13" t="s">
        <v>366</v>
      </c>
      <c r="C213" s="14">
        <v>6021186.7300000004</v>
      </c>
      <c r="D213" s="14">
        <v>1241959.8799999999</v>
      </c>
      <c r="E213" s="14"/>
      <c r="F213" s="14"/>
      <c r="G213" s="14">
        <v>411096.55</v>
      </c>
      <c r="H213" s="14">
        <v>257.05</v>
      </c>
      <c r="I213" s="14">
        <v>127592.9</v>
      </c>
      <c r="J213" s="14">
        <v>133762.49</v>
      </c>
      <c r="K213" s="14">
        <v>2973</v>
      </c>
      <c r="L213" s="14">
        <v>786333.4</v>
      </c>
      <c r="M213" s="3">
        <f t="shared" si="9"/>
        <v>8725162</v>
      </c>
      <c r="N213" s="14">
        <v>25348.799999999999</v>
      </c>
      <c r="O213" s="14"/>
      <c r="P213" s="14">
        <v>216006.7</v>
      </c>
      <c r="Q213" s="14">
        <v>9473.92</v>
      </c>
      <c r="R213" s="14">
        <v>333615.59999999998</v>
      </c>
      <c r="S213" s="14"/>
      <c r="T213" s="14"/>
      <c r="U213" s="14">
        <v>7240</v>
      </c>
      <c r="V213" s="14"/>
      <c r="W213" s="14"/>
      <c r="X213" s="2">
        <f t="shared" si="10"/>
        <v>9316847.0199999996</v>
      </c>
      <c r="Y213" s="14">
        <v>26054.65</v>
      </c>
      <c r="Z213" s="14"/>
      <c r="AA213" s="14"/>
      <c r="AB213" s="14">
        <v>87609.56</v>
      </c>
      <c r="AC213" s="14">
        <v>152295.15</v>
      </c>
      <c r="AD213" s="14"/>
      <c r="AE213" s="14"/>
      <c r="AF213" s="14"/>
      <c r="AG213" s="14">
        <v>971</v>
      </c>
      <c r="AH213" s="14"/>
      <c r="AI213" s="14"/>
      <c r="AJ213" s="14"/>
      <c r="AK213" s="14"/>
      <c r="AL213" s="48">
        <f t="shared" si="11"/>
        <v>266930.36</v>
      </c>
      <c r="AM213" s="22">
        <v>61</v>
      </c>
      <c r="AN213" s="14">
        <v>1448</v>
      </c>
      <c r="AO213" s="14">
        <v>-21485</v>
      </c>
      <c r="AP213" s="14"/>
      <c r="AQ213" s="14">
        <v>-6317.41</v>
      </c>
      <c r="AR213" s="44">
        <v>1.5</v>
      </c>
    </row>
    <row r="214" spans="1:44" x14ac:dyDescent="0.25">
      <c r="A214" s="12">
        <v>5730</v>
      </c>
      <c r="B214" s="13" t="s">
        <v>367</v>
      </c>
      <c r="C214" s="14">
        <v>5507661.7300000004</v>
      </c>
      <c r="D214" s="14">
        <v>1923686.75</v>
      </c>
      <c r="E214" s="14"/>
      <c r="F214" s="14"/>
      <c r="G214" s="14">
        <v>1705.8</v>
      </c>
      <c r="H214" s="14">
        <v>1182.25</v>
      </c>
      <c r="I214" s="14">
        <v>-20448</v>
      </c>
      <c r="J214" s="14">
        <v>115992.21</v>
      </c>
      <c r="K214" s="14">
        <v>4566</v>
      </c>
      <c r="L214" s="14">
        <v>337011.3</v>
      </c>
      <c r="M214" s="3">
        <f t="shared" si="9"/>
        <v>7871358.04</v>
      </c>
      <c r="N214" s="14">
        <v>10359.65</v>
      </c>
      <c r="O214" s="14"/>
      <c r="P214" s="14">
        <v>142081.70000000001</v>
      </c>
      <c r="Q214" s="14">
        <v>4918.3900000000003</v>
      </c>
      <c r="R214" s="14">
        <v>190549.25</v>
      </c>
      <c r="S214" s="14">
        <v>56.3</v>
      </c>
      <c r="T214" s="14"/>
      <c r="U214" s="14">
        <v>4600</v>
      </c>
      <c r="V214" s="14"/>
      <c r="W214" s="14"/>
      <c r="X214" s="2">
        <f t="shared" si="10"/>
        <v>8223923.3300000001</v>
      </c>
      <c r="Y214" s="14">
        <v>21859.25</v>
      </c>
      <c r="Z214" s="14"/>
      <c r="AA214" s="14">
        <v>160717</v>
      </c>
      <c r="AB214" s="14"/>
      <c r="AC214" s="14">
        <v>125050.2</v>
      </c>
      <c r="AD214" s="14">
        <v>35700.199999999997</v>
      </c>
      <c r="AE214" s="14"/>
      <c r="AF214" s="14"/>
      <c r="AG214" s="14"/>
      <c r="AH214" s="14"/>
      <c r="AI214" s="14"/>
      <c r="AJ214" s="14"/>
      <c r="AK214" s="14"/>
      <c r="AL214" s="48">
        <f t="shared" si="11"/>
        <v>343326.65</v>
      </c>
      <c r="AM214" s="22">
        <v>53</v>
      </c>
      <c r="AN214" s="14">
        <v>1394</v>
      </c>
      <c r="AO214" s="14">
        <v>-11324.45</v>
      </c>
      <c r="AP214" s="14"/>
      <c r="AQ214" s="14">
        <v>-4222.2299999999996</v>
      </c>
      <c r="AR214" s="44">
        <v>0.9</v>
      </c>
    </row>
    <row r="215" spans="1:44" x14ac:dyDescent="0.25">
      <c r="A215" s="12">
        <v>5731</v>
      </c>
      <c r="B215" s="13" t="s">
        <v>368</v>
      </c>
      <c r="C215" s="14">
        <v>2921348.22</v>
      </c>
      <c r="D215" s="14">
        <v>314334.55</v>
      </c>
      <c r="E215" s="14"/>
      <c r="F215" s="14"/>
      <c r="G215" s="14">
        <v>9540.75</v>
      </c>
      <c r="H215" s="14">
        <v>465.25</v>
      </c>
      <c r="I215" s="14">
        <v>36309.35</v>
      </c>
      <c r="J215" s="14">
        <v>-25474.99</v>
      </c>
      <c r="K215" s="14">
        <v>4402</v>
      </c>
      <c r="L215" s="14">
        <v>339304.5</v>
      </c>
      <c r="M215" s="3">
        <f t="shared" si="9"/>
        <v>3600229.63</v>
      </c>
      <c r="N215" s="14">
        <v>21792.5</v>
      </c>
      <c r="O215" s="14"/>
      <c r="P215" s="14">
        <v>124208.85</v>
      </c>
      <c r="Q215" s="14">
        <v>14279.83</v>
      </c>
      <c r="R215" s="14">
        <v>165145.15</v>
      </c>
      <c r="S215" s="14">
        <v>1239.25</v>
      </c>
      <c r="T215" s="14"/>
      <c r="U215" s="14">
        <v>10950</v>
      </c>
      <c r="V215" s="14"/>
      <c r="W215" s="14"/>
      <c r="X215" s="2">
        <f t="shared" si="10"/>
        <v>3937845.21</v>
      </c>
      <c r="Y215" s="14">
        <v>55057</v>
      </c>
      <c r="Z215" s="14"/>
      <c r="AA215" s="14">
        <v>161682</v>
      </c>
      <c r="AB215" s="14"/>
      <c r="AC215" s="14">
        <v>108960</v>
      </c>
      <c r="AD215" s="14">
        <v>51761</v>
      </c>
      <c r="AE215" s="14"/>
      <c r="AF215" s="14"/>
      <c r="AG215" s="14">
        <v>10195</v>
      </c>
      <c r="AH215" s="14"/>
      <c r="AI215" s="14"/>
      <c r="AJ215" s="14"/>
      <c r="AK215" s="14"/>
      <c r="AL215" s="48">
        <f t="shared" si="11"/>
        <v>387655</v>
      </c>
      <c r="AM215" s="22">
        <v>75</v>
      </c>
      <c r="AN215" s="14">
        <v>1243</v>
      </c>
      <c r="AO215" s="14">
        <v>-17636.79</v>
      </c>
      <c r="AP215" s="14"/>
      <c r="AQ215" s="14">
        <v>-29.96</v>
      </c>
      <c r="AR215" s="44">
        <v>1.5</v>
      </c>
    </row>
    <row r="216" spans="1:44" x14ac:dyDescent="0.25">
      <c r="A216" s="12">
        <v>5732</v>
      </c>
      <c r="B216" s="13" t="s">
        <v>369</v>
      </c>
      <c r="C216" s="14">
        <v>2906393.58</v>
      </c>
      <c r="D216" s="14">
        <v>371890.45</v>
      </c>
      <c r="E216" s="14"/>
      <c r="F216" s="14"/>
      <c r="G216" s="14">
        <v>319989.90000000002</v>
      </c>
      <c r="H216" s="14">
        <v>-5057.3</v>
      </c>
      <c r="I216" s="14">
        <v>81152.3</v>
      </c>
      <c r="J216" s="14">
        <v>52626.23</v>
      </c>
      <c r="K216" s="14">
        <v>21571</v>
      </c>
      <c r="L216" s="14">
        <v>248006.9</v>
      </c>
      <c r="M216" s="3">
        <f t="shared" si="9"/>
        <v>3996573.06</v>
      </c>
      <c r="N216" s="14">
        <v>130426.75</v>
      </c>
      <c r="O216" s="14">
        <v>67444.2</v>
      </c>
      <c r="P216" s="14">
        <v>447252.1</v>
      </c>
      <c r="Q216" s="14">
        <v>6421.66</v>
      </c>
      <c r="R216" s="14">
        <v>138320.15</v>
      </c>
      <c r="S216" s="14">
        <v>87.5</v>
      </c>
      <c r="T216" s="14"/>
      <c r="U216" s="14">
        <v>8050</v>
      </c>
      <c r="V216" s="14"/>
      <c r="W216" s="14"/>
      <c r="X216" s="2">
        <f t="shared" si="10"/>
        <v>4794575.42</v>
      </c>
      <c r="Y216" s="14">
        <v>131606</v>
      </c>
      <c r="Z216" s="14">
        <v>-6477.75</v>
      </c>
      <c r="AA216" s="14">
        <v>60081.5</v>
      </c>
      <c r="AB216" s="14"/>
      <c r="AC216" s="14">
        <v>61571.75</v>
      </c>
      <c r="AD216" s="14">
        <v>204167.5</v>
      </c>
      <c r="AE216" s="14">
        <v>-1586.9</v>
      </c>
      <c r="AF216" s="14"/>
      <c r="AG216" s="14">
        <v>3948.1</v>
      </c>
      <c r="AH216" s="14">
        <v>52224.57</v>
      </c>
      <c r="AI216" s="14"/>
      <c r="AJ216" s="14"/>
      <c r="AK216" s="14"/>
      <c r="AL216" s="48">
        <f t="shared" si="11"/>
        <v>505534.76999999996</v>
      </c>
      <c r="AM216" s="22">
        <v>68</v>
      </c>
      <c r="AN216" s="14">
        <v>882</v>
      </c>
      <c r="AO216" s="14">
        <v>-105271.01</v>
      </c>
      <c r="AP216" s="14"/>
      <c r="AQ216" s="14">
        <v>-1806.86</v>
      </c>
      <c r="AR216" s="44">
        <v>1</v>
      </c>
    </row>
    <row r="217" spans="1:44" x14ac:dyDescent="0.25">
      <c r="A217" s="12">
        <v>5741</v>
      </c>
      <c r="B217" s="13" t="s">
        <v>370</v>
      </c>
      <c r="C217" s="14">
        <v>455827.95</v>
      </c>
      <c r="D217" s="14">
        <v>79560.83</v>
      </c>
      <c r="E217" s="14"/>
      <c r="F217" s="14">
        <v>1340</v>
      </c>
      <c r="G217" s="14">
        <v>11984.45</v>
      </c>
      <c r="H217" s="14">
        <v>32.450000000000003</v>
      </c>
      <c r="I217" s="14"/>
      <c r="J217" s="14">
        <v>-2250.27</v>
      </c>
      <c r="K217" s="14"/>
      <c r="L217" s="14">
        <v>40694.949999999997</v>
      </c>
      <c r="M217" s="3">
        <f t="shared" si="9"/>
        <v>587190.35999999987</v>
      </c>
      <c r="N217" s="14">
        <v>14134.65</v>
      </c>
      <c r="O217" s="14">
        <v>11390.5</v>
      </c>
      <c r="P217" s="14">
        <v>4015</v>
      </c>
      <c r="Q217" s="14">
        <v>21867.59</v>
      </c>
      <c r="R217" s="14">
        <v>8458.35</v>
      </c>
      <c r="S217" s="14"/>
      <c r="T217" s="14"/>
      <c r="U217" s="14">
        <v>1260</v>
      </c>
      <c r="V217" s="14"/>
      <c r="W217" s="14"/>
      <c r="X217" s="2">
        <f t="shared" si="10"/>
        <v>648316.44999999984</v>
      </c>
      <c r="Y217" s="14">
        <v>23094</v>
      </c>
      <c r="Z217" s="14">
        <f>5440+3139.65+5773.5</f>
        <v>14353.15</v>
      </c>
      <c r="AA217" s="14">
        <v>34373.15</v>
      </c>
      <c r="AB217" s="14"/>
      <c r="AC217" s="14">
        <v>30742.2</v>
      </c>
      <c r="AD217" s="14">
        <v>7720.65</v>
      </c>
      <c r="AE217" s="14">
        <f>3397+8384.5+2844.2</f>
        <v>14625.7</v>
      </c>
      <c r="AF217" s="14"/>
      <c r="AG217" s="14"/>
      <c r="AH217" s="14"/>
      <c r="AI217" s="14"/>
      <c r="AJ217" s="14"/>
      <c r="AK217" s="14"/>
      <c r="AL217" s="48">
        <f t="shared" si="11"/>
        <v>124908.84999999999</v>
      </c>
      <c r="AM217" s="22">
        <v>81</v>
      </c>
      <c r="AN217" s="14">
        <v>250</v>
      </c>
      <c r="AO217" s="14">
        <v>-35672.480000000003</v>
      </c>
      <c r="AP217" s="14"/>
      <c r="AQ217" s="14">
        <v>-16.97</v>
      </c>
      <c r="AR217" s="44">
        <v>1.2</v>
      </c>
    </row>
    <row r="218" spans="1:44" x14ac:dyDescent="0.25">
      <c r="A218" s="12">
        <v>5742</v>
      </c>
      <c r="B218" s="13" t="s">
        <v>371</v>
      </c>
      <c r="C218" s="14">
        <v>590935.01</v>
      </c>
      <c r="D218" s="14">
        <v>49064.11</v>
      </c>
      <c r="E218" s="14"/>
      <c r="F218" s="14"/>
      <c r="G218" s="14">
        <v>6153.4</v>
      </c>
      <c r="H218" s="14">
        <v>219.2</v>
      </c>
      <c r="I218" s="14"/>
      <c r="J218" s="14">
        <v>20782.490000000002</v>
      </c>
      <c r="K218" s="14">
        <v>798</v>
      </c>
      <c r="L218" s="14">
        <v>23175.200000000001</v>
      </c>
      <c r="M218" s="3">
        <f t="shared" si="9"/>
        <v>691127.40999999992</v>
      </c>
      <c r="N218" s="14"/>
      <c r="O218" s="14">
        <v>4877.8999999999996</v>
      </c>
      <c r="P218" s="14">
        <v>4180</v>
      </c>
      <c r="Q218" s="14"/>
      <c r="R218" s="14">
        <v>-1271</v>
      </c>
      <c r="S218" s="14"/>
      <c r="T218" s="14"/>
      <c r="U218" s="14">
        <v>1880</v>
      </c>
      <c r="V218" s="14"/>
      <c r="W218" s="14"/>
      <c r="X218" s="2">
        <f t="shared" si="10"/>
        <v>700794.30999999994</v>
      </c>
      <c r="Y218" s="14"/>
      <c r="Z218" s="14"/>
      <c r="AA218" s="14">
        <v>26271.35</v>
      </c>
      <c r="AB218" s="14"/>
      <c r="AC218" s="14">
        <v>26950</v>
      </c>
      <c r="AD218" s="14">
        <v>4058</v>
      </c>
      <c r="AE218" s="14"/>
      <c r="AF218" s="14"/>
      <c r="AG218" s="14"/>
      <c r="AH218" s="14"/>
      <c r="AI218" s="14"/>
      <c r="AJ218" s="14"/>
      <c r="AK218" s="14"/>
      <c r="AL218" s="48">
        <f t="shared" si="11"/>
        <v>57279.35</v>
      </c>
      <c r="AM218" s="22">
        <v>76</v>
      </c>
      <c r="AN218" s="14">
        <v>308</v>
      </c>
      <c r="AO218" s="14">
        <v>-9475.34</v>
      </c>
      <c r="AP218" s="14"/>
      <c r="AQ218" s="14"/>
      <c r="AR218" s="44">
        <v>0.5</v>
      </c>
    </row>
    <row r="219" spans="1:44" x14ac:dyDescent="0.25">
      <c r="A219" s="12">
        <v>5743</v>
      </c>
      <c r="B219" s="13" t="s">
        <v>305</v>
      </c>
      <c r="C219" s="14">
        <v>1015754.99</v>
      </c>
      <c r="D219" s="14">
        <v>117403.99</v>
      </c>
      <c r="E219" s="14"/>
      <c r="F219" s="14">
        <v>3360</v>
      </c>
      <c r="G219" s="14">
        <v>6873.2</v>
      </c>
      <c r="H219" s="14">
        <v>250.4</v>
      </c>
      <c r="I219" s="14"/>
      <c r="J219" s="14">
        <v>55699.87</v>
      </c>
      <c r="K219" s="14"/>
      <c r="L219" s="14">
        <v>56146.15</v>
      </c>
      <c r="M219" s="3">
        <f t="shared" si="9"/>
        <v>1255488.5999999999</v>
      </c>
      <c r="N219" s="14">
        <v>31541.45</v>
      </c>
      <c r="O219" s="14">
        <v>1424.8</v>
      </c>
      <c r="P219" s="14">
        <v>25938.6</v>
      </c>
      <c r="Q219" s="14">
        <v>3236.3</v>
      </c>
      <c r="R219" s="14">
        <v>37833.599999999999</v>
      </c>
      <c r="S219" s="14">
        <v>62.5</v>
      </c>
      <c r="T219" s="14"/>
      <c r="U219" s="14">
        <v>1900</v>
      </c>
      <c r="V219" s="14"/>
      <c r="W219" s="14"/>
      <c r="X219" s="2">
        <f t="shared" si="10"/>
        <v>1357425.85</v>
      </c>
      <c r="Y219" s="14">
        <v>39957.550000000003</v>
      </c>
      <c r="Z219" s="14"/>
      <c r="AA219" s="14">
        <v>71440.600000000006</v>
      </c>
      <c r="AB219" s="14"/>
      <c r="AC219" s="14">
        <v>42816.9</v>
      </c>
      <c r="AD219" s="14">
        <v>9192.5499999999993</v>
      </c>
      <c r="AE219" s="14"/>
      <c r="AF219" s="14"/>
      <c r="AG219" s="14"/>
      <c r="AH219" s="14"/>
      <c r="AI219" s="14"/>
      <c r="AJ219" s="14"/>
      <c r="AK219" s="14"/>
      <c r="AL219" s="48">
        <f t="shared" si="11"/>
        <v>163407.6</v>
      </c>
      <c r="AM219" s="22">
        <v>73</v>
      </c>
      <c r="AN219" s="14">
        <v>625</v>
      </c>
      <c r="AO219" s="14">
        <v>-6027.69</v>
      </c>
      <c r="AP219" s="14"/>
      <c r="AQ219" s="14">
        <v>-268.83999999999997</v>
      </c>
      <c r="AR219" s="44">
        <v>0.8</v>
      </c>
    </row>
    <row r="220" spans="1:44" x14ac:dyDescent="0.25">
      <c r="A220" s="12">
        <v>5744</v>
      </c>
      <c r="B220" s="13" t="s">
        <v>306</v>
      </c>
      <c r="C220" s="14">
        <v>1405438.08</v>
      </c>
      <c r="D220" s="14">
        <v>174050.83</v>
      </c>
      <c r="E220" s="14"/>
      <c r="F220" s="14">
        <v>5890</v>
      </c>
      <c r="G220" s="14">
        <v>1616233</v>
      </c>
      <c r="H220" s="14">
        <v>110777.85</v>
      </c>
      <c r="I220" s="14"/>
      <c r="J220" s="14">
        <v>81520.27</v>
      </c>
      <c r="K220" s="14"/>
      <c r="L220" s="14">
        <v>138739</v>
      </c>
      <c r="M220" s="3">
        <f t="shared" si="9"/>
        <v>3532649.0300000003</v>
      </c>
      <c r="N220" s="14">
        <v>755922.85</v>
      </c>
      <c r="O220" s="14">
        <v>36587.800000000003</v>
      </c>
      <c r="P220" s="14">
        <v>31726.95</v>
      </c>
      <c r="Q220" s="14">
        <v>19462.13</v>
      </c>
      <c r="R220" s="14">
        <v>23891.75</v>
      </c>
      <c r="S220" s="14">
        <v>43.8</v>
      </c>
      <c r="T220" s="14"/>
      <c r="U220" s="14">
        <v>4910</v>
      </c>
      <c r="V220" s="14">
        <v>330</v>
      </c>
      <c r="W220" s="14"/>
      <c r="X220" s="2">
        <f t="shared" si="10"/>
        <v>4405524.3099999996</v>
      </c>
      <c r="Y220" s="14">
        <v>84630</v>
      </c>
      <c r="Z220" s="14"/>
      <c r="AA220" s="14">
        <v>66154.25</v>
      </c>
      <c r="AB220" s="14"/>
      <c r="AC220" s="14">
        <v>98361.42</v>
      </c>
      <c r="AD220" s="14">
        <v>84630</v>
      </c>
      <c r="AE220" s="14"/>
      <c r="AF220" s="14"/>
      <c r="AG220" s="14"/>
      <c r="AH220" s="14">
        <v>103119.7</v>
      </c>
      <c r="AI220" s="14"/>
      <c r="AJ220" s="14"/>
      <c r="AK220" s="14"/>
      <c r="AL220" s="48">
        <f t="shared" si="11"/>
        <v>436895.37</v>
      </c>
      <c r="AM220" s="22">
        <v>66</v>
      </c>
      <c r="AN220" s="14">
        <v>1069</v>
      </c>
      <c r="AO220" s="14">
        <v>-39072.6</v>
      </c>
      <c r="AP220" s="14"/>
      <c r="AQ220" s="14">
        <v>-1016.31</v>
      </c>
      <c r="AR220" s="44">
        <v>1</v>
      </c>
    </row>
    <row r="221" spans="1:44" x14ac:dyDescent="0.25">
      <c r="A221" s="12">
        <v>5745</v>
      </c>
      <c r="B221" s="13" t="s">
        <v>307</v>
      </c>
      <c r="C221" s="14">
        <v>1708089.8</v>
      </c>
      <c r="D221" s="14">
        <v>223126.94</v>
      </c>
      <c r="E221" s="14"/>
      <c r="F221" s="14"/>
      <c r="G221" s="14">
        <v>66594.149999999994</v>
      </c>
      <c r="H221" s="14">
        <v>5094.6499999999996</v>
      </c>
      <c r="I221" s="14"/>
      <c r="J221" s="14">
        <v>17791.63</v>
      </c>
      <c r="K221" s="14"/>
      <c r="L221" s="14">
        <v>119768.2</v>
      </c>
      <c r="M221" s="3">
        <f t="shared" si="9"/>
        <v>2140465.3699999996</v>
      </c>
      <c r="N221" s="14">
        <v>184046.05</v>
      </c>
      <c r="O221" s="14">
        <v>924</v>
      </c>
      <c r="P221" s="14">
        <v>34564.75</v>
      </c>
      <c r="Q221" s="14">
        <v>19584.55</v>
      </c>
      <c r="R221" s="14">
        <v>39527</v>
      </c>
      <c r="S221" s="14">
        <v>93.75</v>
      </c>
      <c r="T221" s="14"/>
      <c r="U221" s="14">
        <v>3500</v>
      </c>
      <c r="V221" s="14"/>
      <c r="W221" s="14"/>
      <c r="X221" s="2">
        <f t="shared" si="10"/>
        <v>2422705.4699999993</v>
      </c>
      <c r="Y221" s="14">
        <v>395</v>
      </c>
      <c r="Z221" s="14"/>
      <c r="AA221" s="14">
        <v>131481.15</v>
      </c>
      <c r="AB221" s="14"/>
      <c r="AC221" s="14">
        <v>74141.55</v>
      </c>
      <c r="AD221" s="14">
        <v>10769.95</v>
      </c>
      <c r="AE221" s="14"/>
      <c r="AF221" s="14"/>
      <c r="AG221" s="14"/>
      <c r="AH221" s="14"/>
      <c r="AI221" s="14"/>
      <c r="AJ221" s="14"/>
      <c r="AK221" s="14"/>
      <c r="AL221" s="48">
        <f t="shared" si="11"/>
        <v>216787.65000000002</v>
      </c>
      <c r="AM221" s="22">
        <v>78</v>
      </c>
      <c r="AN221" s="14">
        <v>1034</v>
      </c>
      <c r="AO221" s="14">
        <v>-12643.41</v>
      </c>
      <c r="AP221" s="14"/>
      <c r="AQ221" s="14">
        <v>-678.68</v>
      </c>
      <c r="AR221" s="44">
        <v>1</v>
      </c>
    </row>
    <row r="222" spans="1:44" x14ac:dyDescent="0.25">
      <c r="A222" s="12">
        <v>5746</v>
      </c>
      <c r="B222" s="13" t="s">
        <v>308</v>
      </c>
      <c r="C222" s="14">
        <v>1467230.05</v>
      </c>
      <c r="D222" s="14">
        <v>105680.22</v>
      </c>
      <c r="E222" s="14"/>
      <c r="F222" s="14"/>
      <c r="G222" s="14">
        <v>25279.7</v>
      </c>
      <c r="H222" s="14">
        <v>483.2</v>
      </c>
      <c r="I222" s="14"/>
      <c r="J222" s="14">
        <v>26760.67</v>
      </c>
      <c r="K222" s="14"/>
      <c r="L222" s="14">
        <v>187749.65</v>
      </c>
      <c r="M222" s="3">
        <f t="shared" si="9"/>
        <v>1813183.4899999998</v>
      </c>
      <c r="N222" s="14">
        <v>19841.95</v>
      </c>
      <c r="O222" s="14">
        <v>12157.4</v>
      </c>
      <c r="P222" s="14">
        <v>39366.800000000003</v>
      </c>
      <c r="Q222" s="14">
        <v>2336.0700000000002</v>
      </c>
      <c r="R222" s="14">
        <v>72369.3</v>
      </c>
      <c r="S222" s="14">
        <v>62.5</v>
      </c>
      <c r="T222" s="14">
        <v>700</v>
      </c>
      <c r="U222" s="14">
        <v>5085</v>
      </c>
      <c r="V222" s="14">
        <v>595</v>
      </c>
      <c r="W222" s="14"/>
      <c r="X222" s="2">
        <f t="shared" si="10"/>
        <v>1965697.5099999998</v>
      </c>
      <c r="Y222" s="14">
        <v>69738.3</v>
      </c>
      <c r="Z222" s="14"/>
      <c r="AA222" s="14">
        <v>83160.149999999994</v>
      </c>
      <c r="AB222" s="14"/>
      <c r="AC222" s="14">
        <v>59821.599999999999</v>
      </c>
      <c r="AD222" s="14">
        <v>3964.75</v>
      </c>
      <c r="AE222" s="14"/>
      <c r="AF222" s="14"/>
      <c r="AG222" s="14"/>
      <c r="AH222" s="14">
        <v>26522.2</v>
      </c>
      <c r="AI222" s="14"/>
      <c r="AJ222" s="14"/>
      <c r="AK222" s="14"/>
      <c r="AL222" s="48">
        <f t="shared" si="11"/>
        <v>243207.00000000003</v>
      </c>
      <c r="AM222" s="22">
        <v>73</v>
      </c>
      <c r="AN222" s="14">
        <v>939</v>
      </c>
      <c r="AO222" s="14">
        <v>-37296.99</v>
      </c>
      <c r="AP222" s="14"/>
      <c r="AQ222" s="14">
        <v>-34.86</v>
      </c>
      <c r="AR222" s="44">
        <v>1.2</v>
      </c>
    </row>
    <row r="223" spans="1:44" x14ac:dyDescent="0.25">
      <c r="A223" s="12">
        <v>5747</v>
      </c>
      <c r="B223" s="13" t="s">
        <v>309</v>
      </c>
      <c r="C223" s="14">
        <v>288621.2</v>
      </c>
      <c r="D223" s="14">
        <v>31357.87</v>
      </c>
      <c r="E223" s="14"/>
      <c r="F223" s="14"/>
      <c r="G223" s="14">
        <v>2886.65</v>
      </c>
      <c r="H223" s="14">
        <v>461.55</v>
      </c>
      <c r="I223" s="14"/>
      <c r="J223" s="14">
        <v>11926.52</v>
      </c>
      <c r="K223" s="14"/>
      <c r="L223" s="14">
        <v>25919.85</v>
      </c>
      <c r="M223" s="3">
        <f t="shared" si="9"/>
        <v>361173.64</v>
      </c>
      <c r="N223" s="14"/>
      <c r="O223" s="14"/>
      <c r="P223" s="14">
        <v>10338.9</v>
      </c>
      <c r="Q223" s="14"/>
      <c r="R223" s="14">
        <v>3390.2</v>
      </c>
      <c r="S223" s="14"/>
      <c r="T223" s="14"/>
      <c r="U223" s="14">
        <v>680</v>
      </c>
      <c r="V223" s="14"/>
      <c r="W223" s="14"/>
      <c r="X223" s="2">
        <f t="shared" si="10"/>
        <v>375582.74000000005</v>
      </c>
      <c r="Y223" s="14"/>
      <c r="Z223" s="14">
        <v>16840</v>
      </c>
      <c r="AA223" s="14">
        <v>9275</v>
      </c>
      <c r="AB223" s="14"/>
      <c r="AC223" s="14">
        <v>15635.05</v>
      </c>
      <c r="AD223" s="14">
        <v>8400</v>
      </c>
      <c r="AE223" s="14"/>
      <c r="AF223" s="14"/>
      <c r="AG223" s="14"/>
      <c r="AH223" s="14"/>
      <c r="AI223" s="14"/>
      <c r="AJ223" s="14"/>
      <c r="AK223" s="14"/>
      <c r="AL223" s="48">
        <f t="shared" si="11"/>
        <v>50150.05</v>
      </c>
      <c r="AM223" s="22">
        <v>69</v>
      </c>
      <c r="AN223" s="14">
        <v>187</v>
      </c>
      <c r="AO223" s="14">
        <v>-3513.01</v>
      </c>
      <c r="AP223" s="14"/>
      <c r="AQ223" s="14">
        <v>-3.14</v>
      </c>
      <c r="AR223" s="44">
        <v>1</v>
      </c>
    </row>
    <row r="224" spans="1:44" x14ac:dyDescent="0.25">
      <c r="A224" s="12">
        <v>5748</v>
      </c>
      <c r="B224" s="13" t="s">
        <v>310</v>
      </c>
      <c r="C224" s="14">
        <v>363377.13</v>
      </c>
      <c r="D224" s="14">
        <v>39533.06</v>
      </c>
      <c r="E224" s="14"/>
      <c r="F224" s="14">
        <v>2160</v>
      </c>
      <c r="G224" s="14">
        <v>7192.5</v>
      </c>
      <c r="H224" s="14">
        <v>3.45</v>
      </c>
      <c r="I224" s="14"/>
      <c r="J224" s="14">
        <v>6735.96</v>
      </c>
      <c r="K224" s="14"/>
      <c r="L224" s="14">
        <v>17874.599999999999</v>
      </c>
      <c r="M224" s="3">
        <f t="shared" si="9"/>
        <v>436876.7</v>
      </c>
      <c r="N224" s="14">
        <v>4800.1499999999996</v>
      </c>
      <c r="O224" s="14">
        <v>2867</v>
      </c>
      <c r="P224" s="14">
        <v>13612.5</v>
      </c>
      <c r="Q224" s="14">
        <v>2673.08</v>
      </c>
      <c r="R224" s="14">
        <v>32743.200000000001</v>
      </c>
      <c r="S224" s="14"/>
      <c r="T224" s="14"/>
      <c r="U224" s="14">
        <v>1300</v>
      </c>
      <c r="V224" s="14"/>
      <c r="W224" s="14"/>
      <c r="X224" s="2">
        <f t="shared" si="10"/>
        <v>494872.63000000006</v>
      </c>
      <c r="Y224" s="14">
        <v>7894.1</v>
      </c>
      <c r="Z224" s="14"/>
      <c r="AA224" s="14">
        <v>28936</v>
      </c>
      <c r="AB224" s="14"/>
      <c r="AC224" s="14">
        <v>22529.55</v>
      </c>
      <c r="AD224" s="14">
        <v>4893.8999999999996</v>
      </c>
      <c r="AE224" s="14"/>
      <c r="AF224" s="14"/>
      <c r="AG224" s="14"/>
      <c r="AH224" s="14"/>
      <c r="AI224" s="14"/>
      <c r="AJ224" s="14"/>
      <c r="AK224" s="14"/>
      <c r="AL224" s="48">
        <f t="shared" si="11"/>
        <v>64253.549999999996</v>
      </c>
      <c r="AM224" s="22">
        <v>72</v>
      </c>
      <c r="AN224" s="14">
        <v>252</v>
      </c>
      <c r="AO224" s="14">
        <v>-9324.69</v>
      </c>
      <c r="AP224" s="14"/>
      <c r="AQ224" s="14"/>
      <c r="AR224" s="44">
        <v>0.6</v>
      </c>
    </row>
    <row r="225" spans="1:44" x14ac:dyDescent="0.25">
      <c r="A225" s="12">
        <v>5749</v>
      </c>
      <c r="B225" s="13" t="s">
        <v>311</v>
      </c>
      <c r="C225" s="14">
        <v>6308970.96</v>
      </c>
      <c r="D225" s="14">
        <v>521896.25</v>
      </c>
      <c r="E225" s="14">
        <v>68753</v>
      </c>
      <c r="F225" s="14"/>
      <c r="G225" s="14">
        <v>293115.05</v>
      </c>
      <c r="H225" s="14">
        <v>10061.299999999999</v>
      </c>
      <c r="I225" s="14"/>
      <c r="J225" s="14">
        <v>288894.08000000002</v>
      </c>
      <c r="K225" s="14">
        <v>45283</v>
      </c>
      <c r="L225" s="14">
        <v>587621.69999999995</v>
      </c>
      <c r="M225" s="3">
        <f t="shared" si="9"/>
        <v>8124595.3399999999</v>
      </c>
      <c r="N225" s="14">
        <v>516705.7</v>
      </c>
      <c r="O225" s="14">
        <v>11761.1</v>
      </c>
      <c r="P225" s="14">
        <v>144678.95000000001</v>
      </c>
      <c r="Q225" s="14">
        <v>20191.48</v>
      </c>
      <c r="R225" s="14">
        <v>108549.05</v>
      </c>
      <c r="S225" s="14">
        <v>281.25</v>
      </c>
      <c r="T225" s="14">
        <v>9737.75</v>
      </c>
      <c r="U225" s="14">
        <v>19480</v>
      </c>
      <c r="V225" s="14"/>
      <c r="W225" s="14"/>
      <c r="X225" s="2">
        <f t="shared" si="10"/>
        <v>8955980.6199999992</v>
      </c>
      <c r="Y225" s="14">
        <v>73147.45</v>
      </c>
      <c r="Z225" s="14"/>
      <c r="AA225" s="14">
        <v>472777.4</v>
      </c>
      <c r="AB225" s="14"/>
      <c r="AC225" s="14">
        <v>461371.65</v>
      </c>
      <c r="AD225" s="14">
        <v>73147.45</v>
      </c>
      <c r="AE225" s="14"/>
      <c r="AF225" s="14"/>
      <c r="AG225" s="14"/>
      <c r="AH225" s="14">
        <v>144415.65</v>
      </c>
      <c r="AI225" s="14"/>
      <c r="AJ225" s="14"/>
      <c r="AK225" s="14"/>
      <c r="AL225" s="48">
        <f t="shared" si="11"/>
        <v>1224859.5999999999</v>
      </c>
      <c r="AM225" s="22">
        <v>72</v>
      </c>
      <c r="AN225" s="14">
        <v>4156</v>
      </c>
      <c r="AO225" s="14">
        <v>-196807.06</v>
      </c>
      <c r="AP225" s="14"/>
      <c r="AQ225" s="14">
        <v>-514.46</v>
      </c>
      <c r="AR225" s="44">
        <v>1</v>
      </c>
    </row>
    <row r="226" spans="1:44" x14ac:dyDescent="0.25">
      <c r="A226" s="12">
        <v>5750</v>
      </c>
      <c r="B226" s="13" t="s">
        <v>312</v>
      </c>
      <c r="C226" s="14">
        <v>299088.89</v>
      </c>
      <c r="D226" s="14">
        <v>38502.18</v>
      </c>
      <c r="E226" s="14"/>
      <c r="F226" s="14">
        <v>990</v>
      </c>
      <c r="G226" s="14">
        <v>1474.65</v>
      </c>
      <c r="H226" s="14">
        <v>63.4</v>
      </c>
      <c r="I226" s="14"/>
      <c r="J226" s="14">
        <v>-6528.49</v>
      </c>
      <c r="K226" s="14">
        <v>462</v>
      </c>
      <c r="L226" s="14">
        <v>11619.05</v>
      </c>
      <c r="M226" s="3">
        <f t="shared" si="9"/>
        <v>345671.68000000005</v>
      </c>
      <c r="N226" s="14">
        <v>9325.7999999999993</v>
      </c>
      <c r="O226" s="14">
        <v>123.2</v>
      </c>
      <c r="P226" s="14">
        <v>2475</v>
      </c>
      <c r="Q226" s="14">
        <v>3668.85</v>
      </c>
      <c r="R226" s="14">
        <v>3412.5</v>
      </c>
      <c r="S226" s="14"/>
      <c r="T226" s="14"/>
      <c r="U226" s="14">
        <v>700</v>
      </c>
      <c r="V226" s="14"/>
      <c r="W226" s="14"/>
      <c r="X226" s="2">
        <f t="shared" si="10"/>
        <v>365377.03</v>
      </c>
      <c r="Y226" s="14">
        <v>6386.55</v>
      </c>
      <c r="Z226" s="14"/>
      <c r="AA226" s="14">
        <v>26541</v>
      </c>
      <c r="AB226" s="14"/>
      <c r="AC226" s="14">
        <v>10147.200000000001</v>
      </c>
      <c r="AD226" s="14">
        <v>218</v>
      </c>
      <c r="AE226" s="14"/>
      <c r="AF226" s="14"/>
      <c r="AG226" s="14">
        <v>320</v>
      </c>
      <c r="AH226" s="14">
        <v>4061.25</v>
      </c>
      <c r="AI226" s="14"/>
      <c r="AJ226" s="14"/>
      <c r="AK226" s="14"/>
      <c r="AL226" s="48">
        <f t="shared" si="11"/>
        <v>47674</v>
      </c>
      <c r="AM226" s="22">
        <v>80</v>
      </c>
      <c r="AN226" s="14">
        <v>186</v>
      </c>
      <c r="AO226" s="14">
        <v>-7531.54</v>
      </c>
      <c r="AP226" s="14"/>
      <c r="AQ226" s="14">
        <v>-265.85000000000002</v>
      </c>
      <c r="AR226" s="44">
        <v>0.6</v>
      </c>
    </row>
    <row r="227" spans="1:44" x14ac:dyDescent="0.25">
      <c r="A227" s="12">
        <v>5751</v>
      </c>
      <c r="B227" s="13" t="s">
        <v>376</v>
      </c>
      <c r="C227" s="14">
        <v>569652.04</v>
      </c>
      <c r="D227" s="14">
        <v>58927.199999999997</v>
      </c>
      <c r="E227" s="14"/>
      <c r="F227" s="14"/>
      <c r="G227" s="14">
        <v>2212.15</v>
      </c>
      <c r="H227" s="14">
        <v>125.85</v>
      </c>
      <c r="I227" s="14"/>
      <c r="J227" s="14">
        <v>7162.75</v>
      </c>
      <c r="K227" s="14">
        <v>1900.5</v>
      </c>
      <c r="L227" s="14">
        <v>52892.800000000003</v>
      </c>
      <c r="M227" s="3">
        <f t="shared" si="9"/>
        <v>692873.29</v>
      </c>
      <c r="N227" s="14">
        <v>22301</v>
      </c>
      <c r="O227" s="14">
        <v>0</v>
      </c>
      <c r="P227" s="14">
        <v>26651.9</v>
      </c>
      <c r="Q227" s="14">
        <v>96.1</v>
      </c>
      <c r="R227" s="14">
        <v>34978.35</v>
      </c>
      <c r="S227" s="14">
        <v>93.75</v>
      </c>
      <c r="T227" s="14">
        <v>250</v>
      </c>
      <c r="U227" s="14">
        <v>960</v>
      </c>
      <c r="V227" s="14"/>
      <c r="W227" s="14"/>
      <c r="X227" s="2">
        <f t="shared" si="10"/>
        <v>778204.39</v>
      </c>
      <c r="Y227" s="14">
        <v>17640</v>
      </c>
      <c r="Z227" s="14"/>
      <c r="AA227" s="14">
        <v>36883</v>
      </c>
      <c r="AB227" s="14"/>
      <c r="AC227" s="14">
        <v>20296.3</v>
      </c>
      <c r="AD227" s="14">
        <v>7543.25</v>
      </c>
      <c r="AE227" s="14"/>
      <c r="AF227" s="14"/>
      <c r="AG227" s="14"/>
      <c r="AH227" s="14">
        <v>11661.7</v>
      </c>
      <c r="AI227" s="14"/>
      <c r="AJ227" s="14"/>
      <c r="AK227" s="14"/>
      <c r="AL227" s="48">
        <f t="shared" si="11"/>
        <v>94024.25</v>
      </c>
      <c r="AM227" s="22">
        <v>76</v>
      </c>
      <c r="AN227" s="14">
        <v>352</v>
      </c>
      <c r="AO227" s="14">
        <v>-13206.76</v>
      </c>
      <c r="AP227" s="14"/>
      <c r="AQ227" s="14">
        <v>-72.77</v>
      </c>
      <c r="AR227" s="44">
        <v>1.25</v>
      </c>
    </row>
    <row r="228" spans="1:44" x14ac:dyDescent="0.25">
      <c r="A228" s="12">
        <v>5752</v>
      </c>
      <c r="B228" s="13" t="s">
        <v>377</v>
      </c>
      <c r="C228" s="14">
        <v>709810.9</v>
      </c>
      <c r="D228" s="14">
        <v>295707.49</v>
      </c>
      <c r="E228" s="14"/>
      <c r="F228" s="14"/>
      <c r="G228" s="14">
        <v>7356.7</v>
      </c>
      <c r="H228" s="14">
        <v>186.5</v>
      </c>
      <c r="I228" s="14"/>
      <c r="J228" s="14">
        <v>4661.34</v>
      </c>
      <c r="K228" s="14">
        <v>724.5</v>
      </c>
      <c r="L228" s="14">
        <v>29951.85</v>
      </c>
      <c r="M228" s="3">
        <f t="shared" si="9"/>
        <v>1048399.2799999999</v>
      </c>
      <c r="N228" s="14">
        <v>24819.55</v>
      </c>
      <c r="O228" s="14">
        <v>1994.1</v>
      </c>
      <c r="P228" s="14">
        <v>25123.85</v>
      </c>
      <c r="Q228" s="14"/>
      <c r="R228" s="14">
        <v>44325.8</v>
      </c>
      <c r="S228" s="14">
        <v>31.25</v>
      </c>
      <c r="T228" s="14"/>
      <c r="U228" s="14">
        <v>2300</v>
      </c>
      <c r="V228" s="14"/>
      <c r="W228" s="14"/>
      <c r="X228" s="2">
        <f t="shared" si="10"/>
        <v>1146993.83</v>
      </c>
      <c r="Y228" s="14">
        <v>39456</v>
      </c>
      <c r="Z228" s="14"/>
      <c r="AA228" s="14">
        <v>49805</v>
      </c>
      <c r="AB228" s="14"/>
      <c r="AC228" s="14">
        <v>17168.05</v>
      </c>
      <c r="AD228" s="14">
        <v>39456</v>
      </c>
      <c r="AE228" s="14"/>
      <c r="AF228" s="14"/>
      <c r="AG228" s="14"/>
      <c r="AH228" s="14"/>
      <c r="AI228" s="14"/>
      <c r="AJ228" s="14"/>
      <c r="AK228" s="14"/>
      <c r="AL228" s="48">
        <f t="shared" si="11"/>
        <v>145885.04999999999</v>
      </c>
      <c r="AM228" s="22">
        <v>74</v>
      </c>
      <c r="AN228" s="14">
        <v>335</v>
      </c>
      <c r="AO228" s="14">
        <v>-2742.14</v>
      </c>
      <c r="AP228" s="14"/>
      <c r="AQ228" s="14"/>
      <c r="AR228" s="44">
        <v>0.7</v>
      </c>
    </row>
    <row r="229" spans="1:44" x14ac:dyDescent="0.25">
      <c r="A229" s="12">
        <v>5754</v>
      </c>
      <c r="B229" s="13" t="s">
        <v>378</v>
      </c>
      <c r="C229" s="14">
        <v>446272.23</v>
      </c>
      <c r="D229" s="14">
        <v>14369.04</v>
      </c>
      <c r="E229" s="14"/>
      <c r="F229" s="14"/>
      <c r="G229" s="14">
        <v>3326.35</v>
      </c>
      <c r="H229" s="14">
        <v>620.4</v>
      </c>
      <c r="I229" s="14"/>
      <c r="J229" s="14">
        <v>10391.49</v>
      </c>
      <c r="K229" s="14">
        <v>931</v>
      </c>
      <c r="L229" s="14">
        <v>36297.5</v>
      </c>
      <c r="M229" s="3">
        <f t="shared" si="9"/>
        <v>512208.00999999995</v>
      </c>
      <c r="N229" s="14">
        <v>7180.45</v>
      </c>
      <c r="O229" s="14">
        <v>28085.8</v>
      </c>
      <c r="P229" s="14">
        <v>1829.9</v>
      </c>
      <c r="Q229" s="14"/>
      <c r="R229" s="14">
        <v>3497.15</v>
      </c>
      <c r="S229" s="14"/>
      <c r="T229" s="14"/>
      <c r="U229" s="14">
        <v>1360</v>
      </c>
      <c r="V229" s="14"/>
      <c r="W229" s="14"/>
      <c r="X229" s="2">
        <f t="shared" si="10"/>
        <v>554161.31000000006</v>
      </c>
      <c r="Y229" s="14">
        <v>3480</v>
      </c>
      <c r="Z229" s="14"/>
      <c r="AA229" s="14">
        <v>39565</v>
      </c>
      <c r="AB229" s="14"/>
      <c r="AC229" s="14">
        <v>36705</v>
      </c>
      <c r="AD229" s="14">
        <v>1740</v>
      </c>
      <c r="AE229" s="14"/>
      <c r="AF229" s="14"/>
      <c r="AG229" s="14"/>
      <c r="AH229" s="14"/>
      <c r="AI229" s="14"/>
      <c r="AJ229" s="14"/>
      <c r="AK229" s="14"/>
      <c r="AL229" s="48">
        <f t="shared" si="11"/>
        <v>81490</v>
      </c>
      <c r="AM229" s="22">
        <v>79</v>
      </c>
      <c r="AN229" s="14">
        <v>302</v>
      </c>
      <c r="AO229" s="14">
        <v>-582.99</v>
      </c>
      <c r="AP229" s="14"/>
      <c r="AQ229" s="14">
        <v>-35.909999999999997</v>
      </c>
      <c r="AR229" s="44">
        <v>1</v>
      </c>
    </row>
    <row r="230" spans="1:44" x14ac:dyDescent="0.25">
      <c r="A230" s="12">
        <v>5755</v>
      </c>
      <c r="B230" s="13" t="s">
        <v>379</v>
      </c>
      <c r="C230" s="14">
        <v>609719.96</v>
      </c>
      <c r="D230" s="14">
        <v>45289.61</v>
      </c>
      <c r="E230" s="14"/>
      <c r="F230" s="14"/>
      <c r="G230" s="14">
        <v>16563.400000000001</v>
      </c>
      <c r="H230" s="14">
        <v>274.45</v>
      </c>
      <c r="I230" s="14">
        <v>0</v>
      </c>
      <c r="J230" s="14">
        <v>4420.13</v>
      </c>
      <c r="K230" s="14">
        <v>1039</v>
      </c>
      <c r="L230" s="14">
        <v>33426.85</v>
      </c>
      <c r="M230" s="3">
        <f t="shared" si="9"/>
        <v>710733.39999999991</v>
      </c>
      <c r="N230" s="14">
        <v>18380.650000000001</v>
      </c>
      <c r="O230" s="14">
        <v>30632.799999999999</v>
      </c>
      <c r="P230" s="14">
        <v>15363.1</v>
      </c>
      <c r="Q230" s="14">
        <v>24128.97</v>
      </c>
      <c r="R230" s="14">
        <v>26503.75</v>
      </c>
      <c r="S230" s="14">
        <v>15.65</v>
      </c>
      <c r="T230" s="14"/>
      <c r="U230" s="14">
        <v>2400</v>
      </c>
      <c r="V230" s="14"/>
      <c r="W230" s="14"/>
      <c r="X230" s="2">
        <f t="shared" si="10"/>
        <v>828158.32</v>
      </c>
      <c r="Y230" s="14">
        <v>8190</v>
      </c>
      <c r="Z230" s="14"/>
      <c r="AA230" s="14">
        <v>58752</v>
      </c>
      <c r="AB230" s="14"/>
      <c r="AC230" s="14">
        <v>43950</v>
      </c>
      <c r="AD230" s="14">
        <v>8240</v>
      </c>
      <c r="AE230" s="14"/>
      <c r="AF230" s="14"/>
      <c r="AG230" s="14"/>
      <c r="AH230" s="14"/>
      <c r="AI230" s="14"/>
      <c r="AJ230" s="14"/>
      <c r="AK230" s="14"/>
      <c r="AL230" s="48">
        <f t="shared" si="11"/>
        <v>119132</v>
      </c>
      <c r="AM230" s="22">
        <v>81</v>
      </c>
      <c r="AN230" s="14">
        <v>394</v>
      </c>
      <c r="AO230" s="14">
        <v>-30585.41</v>
      </c>
      <c r="AP230" s="14"/>
      <c r="AQ230" s="14">
        <v>-12.01</v>
      </c>
      <c r="AR230" s="44">
        <v>0.7</v>
      </c>
    </row>
    <row r="231" spans="1:44" x14ac:dyDescent="0.25">
      <c r="A231" s="12">
        <v>5756</v>
      </c>
      <c r="B231" s="13" t="s">
        <v>380</v>
      </c>
      <c r="C231" s="14">
        <v>771055.69</v>
      </c>
      <c r="D231" s="14">
        <v>133318.54</v>
      </c>
      <c r="E231" s="14"/>
      <c r="F231" s="14"/>
      <c r="G231" s="14">
        <v>32297.8</v>
      </c>
      <c r="H231" s="14">
        <v>807.7</v>
      </c>
      <c r="I231" s="14"/>
      <c r="J231" s="14">
        <v>7091.3</v>
      </c>
      <c r="K231" s="14">
        <v>368.5</v>
      </c>
      <c r="L231" s="14">
        <v>47441.05</v>
      </c>
      <c r="M231" s="3">
        <f t="shared" si="9"/>
        <v>992380.58000000007</v>
      </c>
      <c r="N231" s="14">
        <v>20611.55</v>
      </c>
      <c r="O231" s="14"/>
      <c r="P231" s="14">
        <v>34199</v>
      </c>
      <c r="Q231" s="14"/>
      <c r="R231" s="14">
        <v>20743.45</v>
      </c>
      <c r="S231" s="14">
        <v>981.25</v>
      </c>
      <c r="T231" s="14"/>
      <c r="U231" s="14">
        <v>1545</v>
      </c>
      <c r="V231" s="14"/>
      <c r="W231" s="14"/>
      <c r="X231" s="2">
        <f t="shared" si="10"/>
        <v>1070460.83</v>
      </c>
      <c r="Y231" s="14">
        <v>5880</v>
      </c>
      <c r="Z231" s="14"/>
      <c r="AA231" s="14">
        <v>53556.800000000003</v>
      </c>
      <c r="AB231" s="14"/>
      <c r="AC231" s="14">
        <v>23124</v>
      </c>
      <c r="AD231" s="14">
        <v>3591.45</v>
      </c>
      <c r="AE231" s="14"/>
      <c r="AF231" s="14"/>
      <c r="AG231" s="14"/>
      <c r="AH231" s="14">
        <v>10898.13</v>
      </c>
      <c r="AI231" s="14"/>
      <c r="AJ231" s="14"/>
      <c r="AK231" s="14"/>
      <c r="AL231" s="48">
        <f t="shared" si="11"/>
        <v>97050.38</v>
      </c>
      <c r="AM231" s="22">
        <v>69</v>
      </c>
      <c r="AN231" s="14">
        <v>474</v>
      </c>
      <c r="AO231" s="14">
        <v>-2097.64</v>
      </c>
      <c r="AP231" s="14"/>
      <c r="AQ231" s="14">
        <v>-141.38999999999999</v>
      </c>
      <c r="AR231" s="44">
        <v>0.6</v>
      </c>
    </row>
    <row r="232" spans="1:44" x14ac:dyDescent="0.25">
      <c r="A232" s="12">
        <v>5757</v>
      </c>
      <c r="B232" s="13" t="s">
        <v>381</v>
      </c>
      <c r="C232" s="14">
        <v>10343289.390000001</v>
      </c>
      <c r="D232" s="14">
        <v>779515.3</v>
      </c>
      <c r="E232" s="14"/>
      <c r="F232" s="14"/>
      <c r="G232" s="14">
        <v>2521681.2999999998</v>
      </c>
      <c r="H232" s="14">
        <v>24206.5</v>
      </c>
      <c r="I232" s="14"/>
      <c r="J232" s="14">
        <v>532263.12</v>
      </c>
      <c r="K232" s="14">
        <v>59331.5</v>
      </c>
      <c r="L232" s="14">
        <v>1049710.3999999999</v>
      </c>
      <c r="M232" s="3">
        <f t="shared" si="9"/>
        <v>15309997.510000002</v>
      </c>
      <c r="N232" s="14">
        <v>2824411.25</v>
      </c>
      <c r="O232" s="14">
        <v>14567.3</v>
      </c>
      <c r="P232" s="14">
        <v>342180.7</v>
      </c>
      <c r="Q232" s="14">
        <v>104524.4</v>
      </c>
      <c r="R232" s="14">
        <v>415568.85</v>
      </c>
      <c r="S232" s="14">
        <v>35306.800000000003</v>
      </c>
      <c r="T232" s="14"/>
      <c r="U232" s="14">
        <v>40680</v>
      </c>
      <c r="V232" s="14">
        <v>180</v>
      </c>
      <c r="W232" s="14"/>
      <c r="X232" s="2">
        <f t="shared" si="10"/>
        <v>19087416.810000002</v>
      </c>
      <c r="Y232" s="14">
        <v>40110</v>
      </c>
      <c r="Z232" s="14"/>
      <c r="AA232" s="14">
        <v>1199562.8999999999</v>
      </c>
      <c r="AB232" s="14"/>
      <c r="AC232" s="14">
        <v>656474.35</v>
      </c>
      <c r="AD232" s="14"/>
      <c r="AE232" s="14">
        <v>32279.25</v>
      </c>
      <c r="AF232" s="14"/>
      <c r="AG232" s="14">
        <v>18499</v>
      </c>
      <c r="AH232" s="14"/>
      <c r="AI232" s="14">
        <v>129837.7</v>
      </c>
      <c r="AJ232" s="14">
        <v>129837.7</v>
      </c>
      <c r="AK232" s="14"/>
      <c r="AL232" s="48">
        <f t="shared" si="11"/>
        <v>2206600.9</v>
      </c>
      <c r="AM232" s="22">
        <v>72</v>
      </c>
      <c r="AN232" s="14">
        <v>6767</v>
      </c>
      <c r="AO232" s="14">
        <v>-260069.62</v>
      </c>
      <c r="AP232" s="14"/>
      <c r="AQ232" s="14">
        <v>-3464.81</v>
      </c>
      <c r="AR232" s="44">
        <v>1</v>
      </c>
    </row>
    <row r="233" spans="1:44" x14ac:dyDescent="0.25">
      <c r="A233" s="12">
        <v>5758</v>
      </c>
      <c r="B233" s="13" t="s">
        <v>253</v>
      </c>
      <c r="C233" s="14">
        <v>271548.27</v>
      </c>
      <c r="D233" s="14">
        <v>38498.6</v>
      </c>
      <c r="E233" s="14"/>
      <c r="F233" s="14">
        <v>880</v>
      </c>
      <c r="G233" s="14">
        <v>640.4</v>
      </c>
      <c r="H233" s="14">
        <v>652.79999999999995</v>
      </c>
      <c r="I233" s="14"/>
      <c r="J233" s="14">
        <v>358.98</v>
      </c>
      <c r="K233" s="14"/>
      <c r="L233" s="14">
        <v>18917.95</v>
      </c>
      <c r="M233" s="3">
        <f t="shared" si="9"/>
        <v>331497</v>
      </c>
      <c r="N233" s="14"/>
      <c r="O233" s="14">
        <v>6147.8</v>
      </c>
      <c r="P233" s="14">
        <v>6503.55</v>
      </c>
      <c r="Q233" s="14"/>
      <c r="R233" s="14"/>
      <c r="S233" s="14"/>
      <c r="T233" s="14"/>
      <c r="U233" s="14">
        <v>880</v>
      </c>
      <c r="V233" s="14"/>
      <c r="W233" s="14"/>
      <c r="X233" s="2">
        <f t="shared" si="10"/>
        <v>345028.35</v>
      </c>
      <c r="Y233" s="14">
        <v>14504.3</v>
      </c>
      <c r="Z233" s="14"/>
      <c r="AA233" s="14">
        <v>26556.6</v>
      </c>
      <c r="AB233" s="14"/>
      <c r="AC233" s="14">
        <v>12623.3</v>
      </c>
      <c r="AD233" s="14">
        <v>30218.6</v>
      </c>
      <c r="AE233" s="14"/>
      <c r="AF233" s="14"/>
      <c r="AG233" s="14"/>
      <c r="AH233" s="14"/>
      <c r="AI233" s="14"/>
      <c r="AJ233" s="14"/>
      <c r="AK233" s="14"/>
      <c r="AL233" s="48">
        <f t="shared" si="11"/>
        <v>83902.799999999988</v>
      </c>
      <c r="AM233" s="22">
        <v>83</v>
      </c>
      <c r="AN233" s="14">
        <v>160</v>
      </c>
      <c r="AO233" s="14">
        <v>-12869.7</v>
      </c>
      <c r="AP233" s="14"/>
      <c r="AQ233" s="14"/>
      <c r="AR233" s="44">
        <v>0.9</v>
      </c>
    </row>
    <row r="234" spans="1:44" x14ac:dyDescent="0.25">
      <c r="A234" s="12">
        <v>5759</v>
      </c>
      <c r="B234" s="13" t="s">
        <v>254</v>
      </c>
      <c r="C234" s="14">
        <v>289294.92</v>
      </c>
      <c r="D234" s="14">
        <v>46294.73</v>
      </c>
      <c r="E234" s="14"/>
      <c r="F234" s="14"/>
      <c r="G234" s="14">
        <v>5606.65</v>
      </c>
      <c r="H234" s="14">
        <v>122.25</v>
      </c>
      <c r="I234" s="14"/>
      <c r="J234" s="14">
        <v>2764.98</v>
      </c>
      <c r="K234" s="14">
        <v>242</v>
      </c>
      <c r="L234" s="14">
        <v>25277.3</v>
      </c>
      <c r="M234" s="3">
        <f t="shared" si="9"/>
        <v>369602.82999999996</v>
      </c>
      <c r="N234" s="14">
        <v>2753.1</v>
      </c>
      <c r="O234" s="14"/>
      <c r="P234" s="14">
        <v>7985.8</v>
      </c>
      <c r="Q234" s="14"/>
      <c r="R234" s="14">
        <v>11243.85</v>
      </c>
      <c r="S234" s="14"/>
      <c r="T234" s="14"/>
      <c r="U234" s="14">
        <v>1100</v>
      </c>
      <c r="V234" s="14"/>
      <c r="W234" s="14"/>
      <c r="X234" s="2">
        <f t="shared" si="10"/>
        <v>392685.5799999999</v>
      </c>
      <c r="Y234" s="14"/>
      <c r="Z234" s="14"/>
      <c r="AA234" s="14">
        <v>24937.5</v>
      </c>
      <c r="AB234" s="14"/>
      <c r="AC234" s="14">
        <v>17372.05</v>
      </c>
      <c r="AD234" s="14"/>
      <c r="AE234" s="14"/>
      <c r="AF234" s="14"/>
      <c r="AG234" s="14"/>
      <c r="AH234" s="14"/>
      <c r="AI234" s="14"/>
      <c r="AJ234" s="14"/>
      <c r="AK234" s="14"/>
      <c r="AL234" s="48">
        <f t="shared" si="11"/>
        <v>42309.55</v>
      </c>
      <c r="AM234" s="22">
        <v>81</v>
      </c>
      <c r="AN234" s="14">
        <v>185</v>
      </c>
      <c r="AO234" s="14">
        <v>-212.33</v>
      </c>
      <c r="AP234" s="14"/>
      <c r="AQ234" s="14">
        <v>-133.77000000000001</v>
      </c>
      <c r="AR234" s="44">
        <v>1</v>
      </c>
    </row>
    <row r="235" spans="1:44" x14ac:dyDescent="0.25">
      <c r="A235" s="12">
        <v>5760</v>
      </c>
      <c r="B235" s="13" t="s">
        <v>255</v>
      </c>
      <c r="C235" s="14">
        <v>754308.86</v>
      </c>
      <c r="D235" s="14">
        <v>83150.45</v>
      </c>
      <c r="E235" s="14"/>
      <c r="F235" s="14"/>
      <c r="G235" s="14">
        <v>188.400000000001</v>
      </c>
      <c r="H235" s="14">
        <v>832.3</v>
      </c>
      <c r="I235" s="14"/>
      <c r="J235" s="14">
        <v>9017.81</v>
      </c>
      <c r="K235" s="14"/>
      <c r="L235" s="14">
        <v>89292.15</v>
      </c>
      <c r="M235" s="3">
        <f t="shared" si="9"/>
        <v>936789.97000000009</v>
      </c>
      <c r="N235" s="14">
        <v>7957.9</v>
      </c>
      <c r="O235" s="14"/>
      <c r="P235" s="14">
        <v>29868.25</v>
      </c>
      <c r="Q235" s="14">
        <v>475.8</v>
      </c>
      <c r="R235" s="14">
        <v>15800.8</v>
      </c>
      <c r="S235" s="14">
        <v>15.65</v>
      </c>
      <c r="T235" s="14"/>
      <c r="U235" s="14">
        <v>2330</v>
      </c>
      <c r="V235" s="14"/>
      <c r="W235" s="14"/>
      <c r="X235" s="2">
        <f t="shared" si="10"/>
        <v>993238.37000000023</v>
      </c>
      <c r="Y235" s="14"/>
      <c r="Z235" s="14"/>
      <c r="AA235" s="14"/>
      <c r="AB235" s="14">
        <v>43451.85</v>
      </c>
      <c r="AC235" s="14">
        <v>62195.8</v>
      </c>
      <c r="AD235" s="14">
        <v>26791.95</v>
      </c>
      <c r="AE235" s="14"/>
      <c r="AF235" s="14"/>
      <c r="AG235" s="14"/>
      <c r="AH235" s="14"/>
      <c r="AI235" s="14"/>
      <c r="AJ235" s="14"/>
      <c r="AK235" s="14"/>
      <c r="AL235" s="48">
        <f t="shared" si="11"/>
        <v>132439.6</v>
      </c>
      <c r="AM235" s="22">
        <v>78</v>
      </c>
      <c r="AN235" s="14">
        <v>460</v>
      </c>
      <c r="AO235" s="14">
        <v>-12249.95</v>
      </c>
      <c r="AP235" s="14"/>
      <c r="AQ235" s="14">
        <v>-570.33000000000004</v>
      </c>
      <c r="AR235" s="44">
        <v>1.5</v>
      </c>
    </row>
    <row r="236" spans="1:44" x14ac:dyDescent="0.25">
      <c r="A236" s="12">
        <v>5761</v>
      </c>
      <c r="B236" s="13" t="s">
        <v>169</v>
      </c>
      <c r="C236" s="14">
        <v>701861.94</v>
      </c>
      <c r="D236" s="14">
        <v>83454.009999999995</v>
      </c>
      <c r="E236" s="14"/>
      <c r="F236" s="14"/>
      <c r="G236" s="14">
        <v>1655.55</v>
      </c>
      <c r="H236" s="14">
        <v>259.7</v>
      </c>
      <c r="I236" s="14"/>
      <c r="J236" s="14">
        <v>8338.2199999999993</v>
      </c>
      <c r="K236" s="14">
        <v>3614.5</v>
      </c>
      <c r="L236" s="14">
        <v>56734.5</v>
      </c>
      <c r="M236" s="3">
        <f t="shared" si="9"/>
        <v>855918.41999999993</v>
      </c>
      <c r="N236" s="14">
        <v>48393.15</v>
      </c>
      <c r="O236" s="14">
        <v>6689.8</v>
      </c>
      <c r="P236" s="14">
        <v>10042.450000000001</v>
      </c>
      <c r="Q236" s="14">
        <v>258.89</v>
      </c>
      <c r="R236" s="14">
        <v>39696.949999999997</v>
      </c>
      <c r="S236" s="14">
        <v>242.5</v>
      </c>
      <c r="T236" s="14"/>
      <c r="U236" s="14">
        <v>2916</v>
      </c>
      <c r="V236" s="14">
        <v>3935.3</v>
      </c>
      <c r="W236" s="14"/>
      <c r="X236" s="2">
        <f t="shared" si="10"/>
        <v>968093.46</v>
      </c>
      <c r="Y236" s="14">
        <v>23157.85</v>
      </c>
      <c r="Z236" s="14"/>
      <c r="AA236" s="14">
        <v>91544.9</v>
      </c>
      <c r="AB236" s="14"/>
      <c r="AC236" s="14">
        <v>48451.3</v>
      </c>
      <c r="AD236" s="14">
        <v>8421.0499999999993</v>
      </c>
      <c r="AE236" s="14"/>
      <c r="AF236" s="14"/>
      <c r="AG236" s="14"/>
      <c r="AH236" s="14">
        <v>15704.55</v>
      </c>
      <c r="AI236" s="14"/>
      <c r="AJ236" s="14"/>
      <c r="AK236" s="14"/>
      <c r="AL236" s="48">
        <f t="shared" si="11"/>
        <v>187279.64999999997</v>
      </c>
      <c r="AM236" s="22">
        <v>76</v>
      </c>
      <c r="AN236" s="14">
        <v>525</v>
      </c>
      <c r="AO236" s="14">
        <v>-7961.9</v>
      </c>
      <c r="AP236" s="14"/>
      <c r="AQ236" s="14"/>
      <c r="AR236" s="44">
        <v>0.8</v>
      </c>
    </row>
    <row r="237" spans="1:44" x14ac:dyDescent="0.25">
      <c r="A237" s="12">
        <v>5762</v>
      </c>
      <c r="B237" s="13" t="s">
        <v>170</v>
      </c>
      <c r="C237" s="14">
        <v>221936.12</v>
      </c>
      <c r="D237" s="14">
        <v>19697.52</v>
      </c>
      <c r="E237" s="14"/>
      <c r="F237" s="14"/>
      <c r="G237" s="14">
        <v>-3003.25</v>
      </c>
      <c r="H237" s="14">
        <v>404.85</v>
      </c>
      <c r="I237" s="14"/>
      <c r="J237" s="14">
        <v>1205.19</v>
      </c>
      <c r="K237" s="14"/>
      <c r="L237" s="14">
        <v>18134.099999999999</v>
      </c>
      <c r="M237" s="3">
        <f t="shared" si="9"/>
        <v>258374.53</v>
      </c>
      <c r="N237" s="14">
        <v>4150.2</v>
      </c>
      <c r="O237" s="14"/>
      <c r="P237" s="14"/>
      <c r="Q237" s="14"/>
      <c r="R237" s="14"/>
      <c r="S237" s="14"/>
      <c r="T237" s="14"/>
      <c r="U237" s="14">
        <v>1100</v>
      </c>
      <c r="V237" s="14"/>
      <c r="W237" s="14"/>
      <c r="X237" s="2">
        <f t="shared" si="10"/>
        <v>263624.73</v>
      </c>
      <c r="Y237" s="14"/>
      <c r="Z237" s="14">
        <v>1317</v>
      </c>
      <c r="AA237" s="14">
        <v>5940</v>
      </c>
      <c r="AB237" s="14"/>
      <c r="AC237" s="14">
        <v>12970</v>
      </c>
      <c r="AD237" s="14"/>
      <c r="AE237" s="14">
        <v>1881</v>
      </c>
      <c r="AF237" s="14"/>
      <c r="AG237" s="14"/>
      <c r="AH237" s="14"/>
      <c r="AI237" s="14"/>
      <c r="AJ237" s="14"/>
      <c r="AK237" s="14"/>
      <c r="AL237" s="48">
        <f t="shared" si="11"/>
        <v>22108</v>
      </c>
      <c r="AM237" s="22">
        <v>81</v>
      </c>
      <c r="AN237" s="14">
        <v>144</v>
      </c>
      <c r="AO237" s="14">
        <v>-6884.98</v>
      </c>
      <c r="AP237" s="14"/>
      <c r="AQ237" s="14"/>
      <c r="AR237" s="44">
        <v>1</v>
      </c>
    </row>
    <row r="238" spans="1:44" x14ac:dyDescent="0.25">
      <c r="A238" s="12">
        <v>5763</v>
      </c>
      <c r="B238" s="13" t="s">
        <v>171</v>
      </c>
      <c r="C238" s="14">
        <v>874743.56</v>
      </c>
      <c r="D238" s="14">
        <v>97870.1</v>
      </c>
      <c r="E238" s="14"/>
      <c r="F238" s="14">
        <v>3310</v>
      </c>
      <c r="G238" s="14">
        <v>9821.75</v>
      </c>
      <c r="H238" s="14">
        <v>196.9</v>
      </c>
      <c r="I238" s="14"/>
      <c r="J238" s="14">
        <v>35094.410000000003</v>
      </c>
      <c r="K238" s="14">
        <v>3428.5</v>
      </c>
      <c r="L238" s="14">
        <v>73998.649999999994</v>
      </c>
      <c r="M238" s="3">
        <f t="shared" si="9"/>
        <v>1098463.8700000001</v>
      </c>
      <c r="N238" s="14">
        <v>80286.55</v>
      </c>
      <c r="O238" s="14"/>
      <c r="P238" s="14">
        <v>36605.050000000003</v>
      </c>
      <c r="Q238" s="14">
        <v>477.46</v>
      </c>
      <c r="R238" s="14">
        <v>29960.1</v>
      </c>
      <c r="S238" s="14"/>
      <c r="T238" s="14">
        <v>1400</v>
      </c>
      <c r="U238" s="14">
        <v>3650</v>
      </c>
      <c r="V238" s="14"/>
      <c r="W238" s="14"/>
      <c r="X238" s="2">
        <f t="shared" si="10"/>
        <v>1250843.0300000003</v>
      </c>
      <c r="Y238" s="14">
        <v>15624.8</v>
      </c>
      <c r="Z238" s="14"/>
      <c r="AA238" s="14">
        <v>89083.85</v>
      </c>
      <c r="AB238" s="14"/>
      <c r="AC238" s="14">
        <v>56379.85</v>
      </c>
      <c r="AD238" s="14">
        <v>9794.9</v>
      </c>
      <c r="AE238" s="14"/>
      <c r="AF238" s="14"/>
      <c r="AG238" s="14"/>
      <c r="AH238" s="14"/>
      <c r="AI238" s="14"/>
      <c r="AJ238" s="14"/>
      <c r="AK238" s="14"/>
      <c r="AL238" s="48">
        <f t="shared" si="11"/>
        <v>170883.4</v>
      </c>
      <c r="AM238" s="22">
        <v>68</v>
      </c>
      <c r="AN238" s="14">
        <v>600</v>
      </c>
      <c r="AO238" s="14">
        <v>-2029.55</v>
      </c>
      <c r="AP238" s="14"/>
      <c r="AQ238" s="14">
        <v>-129.46</v>
      </c>
      <c r="AR238" s="44">
        <v>1</v>
      </c>
    </row>
    <row r="239" spans="1:44" x14ac:dyDescent="0.25">
      <c r="A239" s="12">
        <v>5764</v>
      </c>
      <c r="B239" s="13" t="s">
        <v>382</v>
      </c>
      <c r="C239" s="14">
        <v>4551451.0199999996</v>
      </c>
      <c r="D239" s="14">
        <v>380995.35</v>
      </c>
      <c r="E239" s="14"/>
      <c r="F239" s="14"/>
      <c r="G239" s="14">
        <v>729190</v>
      </c>
      <c r="H239" s="14">
        <v>24493.200000000001</v>
      </c>
      <c r="I239" s="14"/>
      <c r="J239" s="14">
        <v>275244.33</v>
      </c>
      <c r="K239" s="14">
        <v>19187</v>
      </c>
      <c r="L239" s="14">
        <v>379534.25</v>
      </c>
      <c r="M239" s="3">
        <f t="shared" si="9"/>
        <v>6360095.1499999994</v>
      </c>
      <c r="N239" s="14">
        <v>2510152.4500000002</v>
      </c>
      <c r="O239" s="14">
        <v>15995.2</v>
      </c>
      <c r="P239" s="14">
        <v>168100.95</v>
      </c>
      <c r="Q239" s="14">
        <v>34058.699999999997</v>
      </c>
      <c r="R239" s="14">
        <v>139517.35</v>
      </c>
      <c r="S239" s="14">
        <v>668.75</v>
      </c>
      <c r="T239" s="14">
        <v>7605.65</v>
      </c>
      <c r="U239" s="14">
        <v>17692.5</v>
      </c>
      <c r="V239" s="14">
        <v>51345.599999999999</v>
      </c>
      <c r="W239" s="14">
        <v>6163.3</v>
      </c>
      <c r="X239" s="2">
        <f t="shared" si="10"/>
        <v>9311395.5999999978</v>
      </c>
      <c r="Y239" s="14">
        <v>92024</v>
      </c>
      <c r="Z239" s="14">
        <v>17570</v>
      </c>
      <c r="AA239" s="14">
        <v>535193.49</v>
      </c>
      <c r="AB239" s="14"/>
      <c r="AC239" s="14">
        <v>529139.43999999994</v>
      </c>
      <c r="AD239" s="14">
        <v>49712.2</v>
      </c>
      <c r="AE239" s="14">
        <v>7001.95</v>
      </c>
      <c r="AF239" s="14"/>
      <c r="AG239" s="14">
        <v>7429.45</v>
      </c>
      <c r="AH239" s="14">
        <v>186581.65</v>
      </c>
      <c r="AI239" s="14"/>
      <c r="AJ239" s="14"/>
      <c r="AK239" s="14"/>
      <c r="AL239" s="48">
        <f t="shared" si="11"/>
        <v>1424652.1799999997</v>
      </c>
      <c r="AM239" s="22">
        <v>74</v>
      </c>
      <c r="AN239" s="14">
        <v>3650</v>
      </c>
      <c r="AO239" s="14">
        <v>-148221.28</v>
      </c>
      <c r="AP239" s="14"/>
      <c r="AQ239" s="14">
        <v>-777.05</v>
      </c>
      <c r="AR239" s="44">
        <v>1</v>
      </c>
    </row>
    <row r="240" spans="1:44" x14ac:dyDescent="0.25">
      <c r="A240" s="12">
        <v>5765</v>
      </c>
      <c r="B240" s="13" t="s">
        <v>383</v>
      </c>
      <c r="C240" s="14">
        <v>621128.92000000004</v>
      </c>
      <c r="D240" s="14">
        <v>63080.81</v>
      </c>
      <c r="E240" s="14"/>
      <c r="F240" s="14"/>
      <c r="G240" s="14">
        <v>10609.55</v>
      </c>
      <c r="H240" s="14">
        <v>412.05</v>
      </c>
      <c r="I240" s="14"/>
      <c r="J240" s="14">
        <v>19926.54</v>
      </c>
      <c r="K240" s="14"/>
      <c r="L240" s="14">
        <v>28230.65</v>
      </c>
      <c r="M240" s="3">
        <f t="shared" si="9"/>
        <v>743388.52000000014</v>
      </c>
      <c r="N240" s="14">
        <v>48456.65</v>
      </c>
      <c r="O240" s="14">
        <v>1661.6</v>
      </c>
      <c r="P240" s="14">
        <v>36810.35</v>
      </c>
      <c r="Q240" s="14">
        <v>910.72</v>
      </c>
      <c r="R240" s="14">
        <v>47579.6</v>
      </c>
      <c r="S240" s="14"/>
      <c r="T240" s="14">
        <v>500</v>
      </c>
      <c r="U240" s="14">
        <v>4260</v>
      </c>
      <c r="V240" s="14">
        <v>805.5</v>
      </c>
      <c r="W240" s="14"/>
      <c r="X240" s="2">
        <f t="shared" si="10"/>
        <v>884372.94000000006</v>
      </c>
      <c r="Y240" s="14"/>
      <c r="Z240" s="14">
        <v>7330.6</v>
      </c>
      <c r="AA240" s="14">
        <v>126733.5</v>
      </c>
      <c r="AB240" s="14"/>
      <c r="AC240" s="14">
        <v>65124.800000000003</v>
      </c>
      <c r="AD240" s="14"/>
      <c r="AE240" s="14">
        <v>4036.15</v>
      </c>
      <c r="AF240" s="14"/>
      <c r="AG240" s="14"/>
      <c r="AH240" s="14"/>
      <c r="AI240" s="14"/>
      <c r="AJ240" s="14"/>
      <c r="AK240" s="14"/>
      <c r="AL240" s="48">
        <f t="shared" si="11"/>
        <v>203225.05000000002</v>
      </c>
      <c r="AM240" s="22">
        <v>81</v>
      </c>
      <c r="AN240" s="14">
        <v>491</v>
      </c>
      <c r="AO240" s="14">
        <v>-18777.439999999999</v>
      </c>
      <c r="AP240" s="14"/>
      <c r="AQ240" s="14">
        <v>-2.06</v>
      </c>
      <c r="AR240" s="44">
        <v>0.5</v>
      </c>
    </row>
    <row r="241" spans="1:44" x14ac:dyDescent="0.25">
      <c r="A241" s="12">
        <v>5766</v>
      </c>
      <c r="B241" s="13" t="s">
        <v>384</v>
      </c>
      <c r="C241" s="14">
        <v>719510.64</v>
      </c>
      <c r="D241" s="14">
        <v>84360.42</v>
      </c>
      <c r="E241" s="14"/>
      <c r="F241" s="14"/>
      <c r="G241" s="14">
        <v>-3391.05</v>
      </c>
      <c r="H241" s="14">
        <v>135.15</v>
      </c>
      <c r="I241" s="14"/>
      <c r="J241" s="14">
        <v>28022.61</v>
      </c>
      <c r="K241" s="14">
        <v>3500.5</v>
      </c>
      <c r="L241" s="14">
        <v>47638.65</v>
      </c>
      <c r="M241" s="3">
        <f t="shared" si="9"/>
        <v>879776.92</v>
      </c>
      <c r="N241" s="14">
        <v>24719.4</v>
      </c>
      <c r="O241" s="14"/>
      <c r="P241" s="14">
        <v>50012.4</v>
      </c>
      <c r="Q241" s="14">
        <v>5349.14</v>
      </c>
      <c r="R241" s="14">
        <v>14994.75</v>
      </c>
      <c r="S241" s="14">
        <v>62.5</v>
      </c>
      <c r="T241" s="14"/>
      <c r="U241" s="14">
        <v>1860</v>
      </c>
      <c r="V241" s="14"/>
      <c r="W241" s="14"/>
      <c r="X241" s="2">
        <f t="shared" si="10"/>
        <v>976775.1100000001</v>
      </c>
      <c r="Y241" s="14"/>
      <c r="Z241" s="14"/>
      <c r="AA241" s="14">
        <v>38130.6</v>
      </c>
      <c r="AB241" s="14"/>
      <c r="AC241" s="14">
        <v>21026.7</v>
      </c>
      <c r="AD241" s="14"/>
      <c r="AE241" s="14"/>
      <c r="AF241" s="14"/>
      <c r="AG241" s="14"/>
      <c r="AH241" s="14"/>
      <c r="AI241" s="14"/>
      <c r="AJ241" s="14"/>
      <c r="AK241" s="14"/>
      <c r="AL241" s="48">
        <f t="shared" si="11"/>
        <v>59157.3</v>
      </c>
      <c r="AM241" s="22">
        <v>77</v>
      </c>
      <c r="AN241" s="14">
        <v>538</v>
      </c>
      <c r="AO241" s="14">
        <v>-11189.5</v>
      </c>
      <c r="AP241" s="14"/>
      <c r="AQ241" s="14">
        <v>-0.75</v>
      </c>
      <c r="AR241" s="44">
        <v>0.7</v>
      </c>
    </row>
    <row r="242" spans="1:44" x14ac:dyDescent="0.25">
      <c r="A242" s="12">
        <v>5782</v>
      </c>
      <c r="B242" s="13" t="s">
        <v>318</v>
      </c>
      <c r="C242" s="14">
        <v>1848692.55</v>
      </c>
      <c r="D242" s="14">
        <v>157306.96</v>
      </c>
      <c r="E242" s="14"/>
      <c r="F242" s="14"/>
      <c r="G242" s="14">
        <v>65933.649999999994</v>
      </c>
      <c r="H242" s="14">
        <v>848.35</v>
      </c>
      <c r="I242" s="14"/>
      <c r="J242" s="14">
        <v>57362.42</v>
      </c>
      <c r="K242" s="14">
        <v>7529.5</v>
      </c>
      <c r="L242" s="14">
        <v>176353.8</v>
      </c>
      <c r="M242" s="3">
        <f t="shared" si="9"/>
        <v>2314027.23</v>
      </c>
      <c r="N242" s="14">
        <v>7124.4</v>
      </c>
      <c r="O242" s="14">
        <v>3240.8</v>
      </c>
      <c r="P242" s="14">
        <v>126093.8</v>
      </c>
      <c r="Q242" s="14">
        <v>5354.04</v>
      </c>
      <c r="R242" s="14">
        <v>97115.9</v>
      </c>
      <c r="S242" s="14">
        <v>118.75</v>
      </c>
      <c r="T242" s="14"/>
      <c r="U242" s="14">
        <v>5070</v>
      </c>
      <c r="V242" s="14"/>
      <c r="W242" s="14"/>
      <c r="X242" s="2">
        <f t="shared" si="10"/>
        <v>2558144.9199999995</v>
      </c>
      <c r="Y242" s="14">
        <v>42530.400000000001</v>
      </c>
      <c r="Z242" s="14"/>
      <c r="AA242" s="14">
        <v>182508.55</v>
      </c>
      <c r="AB242" s="14"/>
      <c r="AC242" s="14">
        <v>69657.8</v>
      </c>
      <c r="AD242" s="14">
        <v>19997.5</v>
      </c>
      <c r="AE242" s="14"/>
      <c r="AF242" s="14"/>
      <c r="AG242" s="14">
        <v>2082</v>
      </c>
      <c r="AH242" s="14"/>
      <c r="AI242" s="14"/>
      <c r="AJ242" s="14"/>
      <c r="AK242" s="14"/>
      <c r="AL242" s="48">
        <f t="shared" si="11"/>
        <v>316776.25</v>
      </c>
      <c r="AM242" s="22">
        <v>76</v>
      </c>
      <c r="AN242" s="14">
        <v>1204</v>
      </c>
      <c r="AO242" s="14">
        <v>-33899.300000000003</v>
      </c>
      <c r="AP242" s="14"/>
      <c r="AQ242" s="14">
        <v>-189.45</v>
      </c>
      <c r="AR242" s="44">
        <v>1</v>
      </c>
    </row>
    <row r="243" spans="1:44" x14ac:dyDescent="0.25">
      <c r="A243" s="12">
        <v>5785</v>
      </c>
      <c r="B243" s="13" t="s">
        <v>320</v>
      </c>
      <c r="C243" s="14">
        <v>697174.32</v>
      </c>
      <c r="D243" s="14">
        <v>153735.53</v>
      </c>
      <c r="E243" s="14"/>
      <c r="F243" s="14"/>
      <c r="G243" s="14">
        <v>40636.800000000003</v>
      </c>
      <c r="H243" s="14">
        <v>-519.20000000000005</v>
      </c>
      <c r="I243" s="14"/>
      <c r="J243" s="14">
        <v>15849.26</v>
      </c>
      <c r="K243" s="14">
        <v>1403.5</v>
      </c>
      <c r="L243" s="14">
        <v>63505.9</v>
      </c>
      <c r="M243" s="3">
        <f t="shared" si="9"/>
        <v>971786.1100000001</v>
      </c>
      <c r="N243" s="14">
        <v>2882.75</v>
      </c>
      <c r="O243" s="14"/>
      <c r="P243" s="14">
        <v>24171.95</v>
      </c>
      <c r="Q243" s="14">
        <v>3506.43</v>
      </c>
      <c r="R243" s="14">
        <v>14777.4</v>
      </c>
      <c r="S243" s="14">
        <v>37.5</v>
      </c>
      <c r="T243" s="14"/>
      <c r="U243" s="14">
        <v>2920</v>
      </c>
      <c r="V243" s="14"/>
      <c r="W243" s="14"/>
      <c r="X243" s="2">
        <f t="shared" si="10"/>
        <v>1020082.1400000001</v>
      </c>
      <c r="Y243" s="14">
        <v>12000</v>
      </c>
      <c r="Z243" s="14"/>
      <c r="AA243" s="14">
        <v>67169.649999999994</v>
      </c>
      <c r="AB243" s="14"/>
      <c r="AC243" s="14">
        <v>39228.699999999997</v>
      </c>
      <c r="AD243" s="14">
        <v>23200</v>
      </c>
      <c r="AE243" s="14"/>
      <c r="AF243" s="14"/>
      <c r="AG243" s="14"/>
      <c r="AH243" s="14"/>
      <c r="AI243" s="14"/>
      <c r="AJ243" s="14"/>
      <c r="AK243" s="14"/>
      <c r="AL243" s="48">
        <f t="shared" si="11"/>
        <v>141598.34999999998</v>
      </c>
      <c r="AM243" s="22">
        <v>79</v>
      </c>
      <c r="AN243" s="14">
        <v>421</v>
      </c>
      <c r="AO243" s="14">
        <v>-4128.7700000000004</v>
      </c>
      <c r="AP243" s="14"/>
      <c r="AQ243" s="14">
        <v>-12.16</v>
      </c>
      <c r="AR243" s="44">
        <v>1</v>
      </c>
    </row>
    <row r="244" spans="1:44" x14ac:dyDescent="0.25">
      <c r="A244" s="12">
        <v>5788</v>
      </c>
      <c r="B244" s="13" t="s">
        <v>321</v>
      </c>
      <c r="C244" s="14">
        <v>564861.71</v>
      </c>
      <c r="D244" s="14">
        <v>80415.66</v>
      </c>
      <c r="E244" s="14"/>
      <c r="F244" s="14"/>
      <c r="G244" s="14">
        <v>19100.8</v>
      </c>
      <c r="H244" s="14">
        <v>22.55</v>
      </c>
      <c r="I244" s="14"/>
      <c r="J244" s="14">
        <v>13513.84</v>
      </c>
      <c r="K244" s="14">
        <v>585</v>
      </c>
      <c r="L244" s="14">
        <v>67916.75</v>
      </c>
      <c r="M244" s="3">
        <f t="shared" si="9"/>
        <v>746416.31</v>
      </c>
      <c r="N244" s="14"/>
      <c r="O244" s="14"/>
      <c r="P244" s="14">
        <v>28754.45</v>
      </c>
      <c r="Q244" s="14">
        <v>1691.93</v>
      </c>
      <c r="R244" s="14">
        <v>14682.5</v>
      </c>
      <c r="S244" s="14">
        <v>50</v>
      </c>
      <c r="T244" s="14"/>
      <c r="U244" s="14">
        <v>1260</v>
      </c>
      <c r="V244" s="14"/>
      <c r="W244" s="14"/>
      <c r="X244" s="2">
        <f t="shared" si="10"/>
        <v>792855.19000000006</v>
      </c>
      <c r="Y244" s="14">
        <v>14500</v>
      </c>
      <c r="Z244" s="14"/>
      <c r="AA244" s="14">
        <v>41936</v>
      </c>
      <c r="AB244" s="14"/>
      <c r="AC244" s="14">
        <v>17622.8</v>
      </c>
      <c r="AD244" s="14"/>
      <c r="AE244" s="14"/>
      <c r="AF244" s="14"/>
      <c r="AG244" s="14"/>
      <c r="AH244" s="14"/>
      <c r="AI244" s="14"/>
      <c r="AJ244" s="14"/>
      <c r="AK244" s="14"/>
      <c r="AL244" s="48">
        <f t="shared" si="11"/>
        <v>74058.8</v>
      </c>
      <c r="AM244" s="22">
        <v>70</v>
      </c>
      <c r="AN244" s="14">
        <v>330</v>
      </c>
      <c r="AO244" s="14">
        <v>-5662.5</v>
      </c>
      <c r="AP244" s="14"/>
      <c r="AQ244" s="14"/>
      <c r="AR244" s="44">
        <v>1.25</v>
      </c>
    </row>
    <row r="245" spans="1:44" x14ac:dyDescent="0.25">
      <c r="A245" s="12">
        <v>5789</v>
      </c>
      <c r="B245" s="13" t="s">
        <v>322</v>
      </c>
      <c r="C245" s="14">
        <v>655152.81000000006</v>
      </c>
      <c r="D245" s="14">
        <v>67012.22</v>
      </c>
      <c r="E245" s="14"/>
      <c r="F245" s="14"/>
      <c r="G245" s="14">
        <v>2270.25</v>
      </c>
      <c r="H245" s="14">
        <v>281.8</v>
      </c>
      <c r="I245" s="14"/>
      <c r="J245" s="14">
        <v>8057.28</v>
      </c>
      <c r="K245" s="14">
        <v>29</v>
      </c>
      <c r="L245" s="14">
        <v>48736.45</v>
      </c>
      <c r="M245" s="3">
        <f t="shared" si="9"/>
        <v>781539.81</v>
      </c>
      <c r="N245" s="14"/>
      <c r="O245" s="14">
        <v>2178.9</v>
      </c>
      <c r="P245" s="14">
        <v>17002.650000000001</v>
      </c>
      <c r="Q245" s="14"/>
      <c r="R245" s="14">
        <v>44456.85</v>
      </c>
      <c r="S245" s="14"/>
      <c r="T245" s="14"/>
      <c r="U245" s="14">
        <v>2100</v>
      </c>
      <c r="V245" s="14"/>
      <c r="W245" s="14"/>
      <c r="X245" s="2">
        <f t="shared" si="10"/>
        <v>847278.21000000008</v>
      </c>
      <c r="Y245" s="14">
        <v>1008.2</v>
      </c>
      <c r="Z245" s="14"/>
      <c r="AA245" s="14">
        <v>37124.25</v>
      </c>
      <c r="AB245" s="14"/>
      <c r="AC245" s="14">
        <v>19877.099999999999</v>
      </c>
      <c r="AD245" s="14"/>
      <c r="AE245" s="14"/>
      <c r="AF245" s="14"/>
      <c r="AG245" s="14"/>
      <c r="AH245" s="14"/>
      <c r="AI245" s="14"/>
      <c r="AJ245" s="14"/>
      <c r="AK245" s="14"/>
      <c r="AL245" s="48">
        <f t="shared" si="11"/>
        <v>58009.549999999996</v>
      </c>
      <c r="AM245" s="22">
        <v>77</v>
      </c>
      <c r="AN245" s="14">
        <v>336</v>
      </c>
      <c r="AO245" s="14">
        <v>-5883.02</v>
      </c>
      <c r="AP245" s="14"/>
      <c r="AQ245" s="14"/>
      <c r="AR245" s="44">
        <v>1</v>
      </c>
    </row>
    <row r="246" spans="1:44" x14ac:dyDescent="0.25">
      <c r="A246" s="12">
        <v>5790</v>
      </c>
      <c r="B246" s="13" t="s">
        <v>323</v>
      </c>
      <c r="C246" s="14">
        <v>745551.48</v>
      </c>
      <c r="D246" s="14">
        <v>99518.94</v>
      </c>
      <c r="E246" s="14"/>
      <c r="F246" s="14"/>
      <c r="G246" s="14">
        <v>4610.8999999999996</v>
      </c>
      <c r="H246" s="14">
        <v>89.35</v>
      </c>
      <c r="I246" s="14"/>
      <c r="J246" s="14">
        <v>12721.95</v>
      </c>
      <c r="K246" s="14">
        <v>277.5</v>
      </c>
      <c r="L246" s="14">
        <v>69145.850000000006</v>
      </c>
      <c r="M246" s="3">
        <f t="shared" si="9"/>
        <v>931915.96999999986</v>
      </c>
      <c r="N246" s="14"/>
      <c r="O246" s="14">
        <v>83250</v>
      </c>
      <c r="P246" s="14">
        <v>98365.7</v>
      </c>
      <c r="Q246" s="14"/>
      <c r="R246" s="14">
        <v>33697.050000000003</v>
      </c>
      <c r="S246" s="14"/>
      <c r="T246" s="14">
        <v>52</v>
      </c>
      <c r="U246" s="14">
        <v>4850</v>
      </c>
      <c r="V246" s="14"/>
      <c r="W246" s="14"/>
      <c r="X246" s="2">
        <f t="shared" si="10"/>
        <v>1152130.72</v>
      </c>
      <c r="Y246" s="14">
        <v>28117</v>
      </c>
      <c r="Z246" s="14"/>
      <c r="AA246" s="14">
        <v>57470.8</v>
      </c>
      <c r="AB246" s="14"/>
      <c r="AC246" s="14">
        <v>23687.35</v>
      </c>
      <c r="AD246" s="14">
        <v>3267</v>
      </c>
      <c r="AE246" s="14"/>
      <c r="AF246" s="14"/>
      <c r="AG246" s="14"/>
      <c r="AH246" s="14"/>
      <c r="AI246" s="14"/>
      <c r="AJ246" s="14"/>
      <c r="AK246" s="14"/>
      <c r="AL246" s="48">
        <f t="shared" si="11"/>
        <v>112542.15</v>
      </c>
      <c r="AM246" s="22">
        <v>76</v>
      </c>
      <c r="AN246" s="14">
        <v>444</v>
      </c>
      <c r="AO246" s="14">
        <v>-11711.9</v>
      </c>
      <c r="AP246" s="14"/>
      <c r="AQ246" s="14">
        <v>-18.18</v>
      </c>
      <c r="AR246" s="44">
        <v>1</v>
      </c>
    </row>
    <row r="247" spans="1:44" x14ac:dyDescent="0.25">
      <c r="A247" s="12">
        <v>5791</v>
      </c>
      <c r="B247" s="13" t="s">
        <v>324</v>
      </c>
      <c r="C247" s="14">
        <v>2505940.5299999998</v>
      </c>
      <c r="D247" s="14">
        <v>357855.62</v>
      </c>
      <c r="E247" s="14"/>
      <c r="F247" s="14"/>
      <c r="G247" s="14">
        <v>137015.1</v>
      </c>
      <c r="H247" s="14">
        <v>1160.0999999999999</v>
      </c>
      <c r="I247" s="14">
        <v>54947.5</v>
      </c>
      <c r="J247" s="14">
        <v>56450.44</v>
      </c>
      <c r="K247" s="14">
        <v>6978.5</v>
      </c>
      <c r="L247" s="14">
        <v>303221.90000000002</v>
      </c>
      <c r="M247" s="3">
        <f t="shared" si="9"/>
        <v>3423569.69</v>
      </c>
      <c r="N247" s="14">
        <v>9575.35</v>
      </c>
      <c r="O247" s="14">
        <v>66139.5</v>
      </c>
      <c r="P247" s="14">
        <v>32736.6</v>
      </c>
      <c r="Q247" s="14">
        <v>14282.64</v>
      </c>
      <c r="R247" s="14">
        <v>39460.85</v>
      </c>
      <c r="S247" s="14">
        <v>362.5</v>
      </c>
      <c r="T247" s="14">
        <v>2250</v>
      </c>
      <c r="U247" s="14">
        <v>3850</v>
      </c>
      <c r="V247" s="14">
        <v>20000</v>
      </c>
      <c r="W247" s="14"/>
      <c r="X247" s="2">
        <f t="shared" si="10"/>
        <v>3612227.1300000004</v>
      </c>
      <c r="Y247" s="14">
        <v>48200</v>
      </c>
      <c r="Z247" s="14"/>
      <c r="AA247" s="14">
        <v>133987.54999999999</v>
      </c>
      <c r="AB247" s="14"/>
      <c r="AC247" s="14">
        <v>59305.7</v>
      </c>
      <c r="AD247" s="14">
        <v>48200</v>
      </c>
      <c r="AE247" s="14"/>
      <c r="AF247" s="14"/>
      <c r="AG247" s="14"/>
      <c r="AH247" s="14"/>
      <c r="AI247" s="14"/>
      <c r="AJ247" s="14"/>
      <c r="AK247" s="14"/>
      <c r="AL247" s="48">
        <f t="shared" si="11"/>
        <v>289693.25</v>
      </c>
      <c r="AM247" s="22">
        <v>76</v>
      </c>
      <c r="AN247" s="14">
        <v>1215</v>
      </c>
      <c r="AO247" s="14">
        <v>-75145.73</v>
      </c>
      <c r="AP247" s="14"/>
      <c r="AQ247" s="14">
        <v>-103.42</v>
      </c>
      <c r="AR247" s="44">
        <v>1.5</v>
      </c>
    </row>
    <row r="248" spans="1:44" x14ac:dyDescent="0.25">
      <c r="A248" s="12">
        <v>5792</v>
      </c>
      <c r="B248" s="13" t="s">
        <v>325</v>
      </c>
      <c r="C248" s="14">
        <v>1202912.3</v>
      </c>
      <c r="D248" s="14">
        <v>88722.2</v>
      </c>
      <c r="E248" s="14"/>
      <c r="F248" s="14"/>
      <c r="G248" s="14">
        <v>60123</v>
      </c>
      <c r="H248" s="14">
        <v>828.55</v>
      </c>
      <c r="I248" s="14"/>
      <c r="J248" s="14">
        <v>24804.82</v>
      </c>
      <c r="K248" s="14">
        <v>1418</v>
      </c>
      <c r="L248" s="14">
        <v>98953.7</v>
      </c>
      <c r="M248" s="3">
        <f t="shared" si="9"/>
        <v>1477762.57</v>
      </c>
      <c r="N248" s="14">
        <v>2352.5500000000002</v>
      </c>
      <c r="O248" s="14"/>
      <c r="P248" s="14">
        <v>14575</v>
      </c>
      <c r="Q248" s="14">
        <v>56.1</v>
      </c>
      <c r="R248" s="14">
        <v>42126.85</v>
      </c>
      <c r="S248" s="14">
        <v>62.5</v>
      </c>
      <c r="T248" s="14"/>
      <c r="U248" s="14">
        <v>2550</v>
      </c>
      <c r="V248" s="14"/>
      <c r="W248" s="14"/>
      <c r="X248" s="2">
        <f t="shared" si="10"/>
        <v>1539485.5700000003</v>
      </c>
      <c r="Y248" s="14">
        <v>33169.599999999999</v>
      </c>
      <c r="Z248" s="14"/>
      <c r="AA248" s="14">
        <v>64342.45</v>
      </c>
      <c r="AB248" s="14"/>
      <c r="AC248" s="14">
        <v>40200</v>
      </c>
      <c r="AD248" s="14"/>
      <c r="AE248" s="14"/>
      <c r="AF248" s="14"/>
      <c r="AG248" s="14"/>
      <c r="AH248" s="14">
        <v>12531.95</v>
      </c>
      <c r="AI248" s="14"/>
      <c r="AJ248" s="14"/>
      <c r="AK248" s="14"/>
      <c r="AL248" s="48">
        <f t="shared" si="11"/>
        <v>150244</v>
      </c>
      <c r="AM248" s="22">
        <v>77</v>
      </c>
      <c r="AN248" s="14">
        <v>628</v>
      </c>
      <c r="AO248" s="14">
        <v>-7993.22</v>
      </c>
      <c r="AP248" s="14"/>
      <c r="AQ248" s="14">
        <v>-11.4</v>
      </c>
      <c r="AR248" s="44">
        <v>1</v>
      </c>
    </row>
    <row r="249" spans="1:44" x14ac:dyDescent="0.25">
      <c r="A249" s="12">
        <v>5798</v>
      </c>
      <c r="B249" s="13" t="s">
        <v>326</v>
      </c>
      <c r="C249" s="14">
        <v>624192.64</v>
      </c>
      <c r="D249" s="14">
        <v>65662.95</v>
      </c>
      <c r="E249" s="14"/>
      <c r="F249" s="14"/>
      <c r="G249" s="14">
        <v>2487.6499999999901</v>
      </c>
      <c r="H249" s="14">
        <v>657.05</v>
      </c>
      <c r="I249" s="14"/>
      <c r="J249" s="14">
        <v>19144.34</v>
      </c>
      <c r="K249" s="14">
        <v>3908</v>
      </c>
      <c r="L249" s="14">
        <v>36274.300000000003</v>
      </c>
      <c r="M249" s="3">
        <f t="shared" si="9"/>
        <v>752326.93</v>
      </c>
      <c r="N249" s="14"/>
      <c r="O249" s="14">
        <v>1357.7</v>
      </c>
      <c r="P249" s="14">
        <v>75699.55</v>
      </c>
      <c r="Q249" s="14">
        <v>6526.93</v>
      </c>
      <c r="R249" s="14">
        <v>9677.2999999999993</v>
      </c>
      <c r="S249" s="14">
        <v>87.5</v>
      </c>
      <c r="T249" s="14"/>
      <c r="U249" s="14">
        <v>2340</v>
      </c>
      <c r="V249" s="14"/>
      <c r="W249" s="14"/>
      <c r="X249" s="2">
        <f t="shared" si="10"/>
        <v>848015.91000000015</v>
      </c>
      <c r="Y249" s="14">
        <v>67960</v>
      </c>
      <c r="Z249" s="14"/>
      <c r="AA249" s="14">
        <v>51225</v>
      </c>
      <c r="AB249" s="14"/>
      <c r="AC249" s="14">
        <v>27450.2</v>
      </c>
      <c r="AD249" s="14">
        <v>38652.5</v>
      </c>
      <c r="AE249" s="14"/>
      <c r="AF249" s="14"/>
      <c r="AG249" s="14"/>
      <c r="AH249" s="14"/>
      <c r="AI249" s="14"/>
      <c r="AJ249" s="14"/>
      <c r="AK249" s="14"/>
      <c r="AL249" s="48">
        <f t="shared" si="11"/>
        <v>185287.7</v>
      </c>
      <c r="AM249" s="22">
        <v>77.5</v>
      </c>
      <c r="AN249" s="14">
        <v>405</v>
      </c>
      <c r="AO249" s="14">
        <v>-17870</v>
      </c>
      <c r="AP249" s="14"/>
      <c r="AQ249" s="14">
        <v>-215.09</v>
      </c>
      <c r="AR249" s="44">
        <v>1</v>
      </c>
    </row>
    <row r="250" spans="1:44" x14ac:dyDescent="0.25">
      <c r="A250" s="12">
        <v>5799</v>
      </c>
      <c r="B250" s="13" t="s">
        <v>327</v>
      </c>
      <c r="C250" s="14">
        <v>3219961.95</v>
      </c>
      <c r="D250" s="14">
        <v>334036.23</v>
      </c>
      <c r="E250" s="14"/>
      <c r="F250" s="14"/>
      <c r="G250" s="14">
        <v>-203097.45</v>
      </c>
      <c r="H250" s="14">
        <v>1113.9000000000001</v>
      </c>
      <c r="I250" s="14">
        <v>-31893.4</v>
      </c>
      <c r="J250" s="14">
        <v>-1619.8999999999901</v>
      </c>
      <c r="K250" s="14">
        <v>12399.5</v>
      </c>
      <c r="L250" s="14">
        <v>332522.45</v>
      </c>
      <c r="M250" s="3">
        <f t="shared" si="9"/>
        <v>3663423.2800000003</v>
      </c>
      <c r="N250" s="14">
        <v>12106.1</v>
      </c>
      <c r="O250" s="14">
        <v>166291.29999999999</v>
      </c>
      <c r="P250" s="14">
        <v>141393.15</v>
      </c>
      <c r="Q250" s="14">
        <v>2132.88</v>
      </c>
      <c r="R250" s="14">
        <v>172923.1</v>
      </c>
      <c r="S250" s="14">
        <v>3425</v>
      </c>
      <c r="T250" s="14"/>
      <c r="U250" s="14">
        <v>9275</v>
      </c>
      <c r="V250" s="14">
        <v>64228</v>
      </c>
      <c r="W250" s="14"/>
      <c r="X250" s="2">
        <f t="shared" si="10"/>
        <v>4235197.8100000005</v>
      </c>
      <c r="Y250" s="14">
        <v>12686.4</v>
      </c>
      <c r="Z250" s="14"/>
      <c r="AA250" s="14">
        <v>225052.85</v>
      </c>
      <c r="AB250" s="14"/>
      <c r="AC250" s="14">
        <v>113106.3</v>
      </c>
      <c r="AD250" s="14"/>
      <c r="AE250" s="14"/>
      <c r="AF250" s="14"/>
      <c r="AG250" s="14"/>
      <c r="AH250" s="14">
        <v>53718.9</v>
      </c>
      <c r="AI250" s="14"/>
      <c r="AJ250" s="14"/>
      <c r="AK250" s="14"/>
      <c r="AL250" s="48">
        <f t="shared" si="11"/>
        <v>404564.45</v>
      </c>
      <c r="AM250" s="22">
        <v>69</v>
      </c>
      <c r="AN250" s="14">
        <v>1908</v>
      </c>
      <c r="AO250" s="14">
        <v>-121078.9</v>
      </c>
      <c r="AP250" s="14"/>
      <c r="AQ250" s="14">
        <v>-190.3</v>
      </c>
      <c r="AR250" s="44">
        <v>1</v>
      </c>
    </row>
    <row r="251" spans="1:44" x14ac:dyDescent="0.25">
      <c r="A251" s="12">
        <v>5803</v>
      </c>
      <c r="B251" s="13" t="s">
        <v>431</v>
      </c>
      <c r="C251" s="14">
        <v>821660</v>
      </c>
      <c r="D251" s="14">
        <v>117914.6</v>
      </c>
      <c r="E251" s="14"/>
      <c r="F251" s="14"/>
      <c r="G251" s="14">
        <v>-7241.2</v>
      </c>
      <c r="H251" s="14">
        <v>254.15</v>
      </c>
      <c r="I251" s="14"/>
      <c r="J251" s="14">
        <v>23729.41</v>
      </c>
      <c r="K251" s="14"/>
      <c r="L251" s="14">
        <v>67846.75</v>
      </c>
      <c r="M251" s="3">
        <f t="shared" si="9"/>
        <v>1024163.7100000001</v>
      </c>
      <c r="N251" s="14"/>
      <c r="O251" s="14">
        <v>9342.2999999999993</v>
      </c>
      <c r="P251" s="14">
        <v>58169.8</v>
      </c>
      <c r="Q251" s="14"/>
      <c r="R251" s="14">
        <v>105581.4</v>
      </c>
      <c r="S251" s="14">
        <v>750</v>
      </c>
      <c r="T251" s="14"/>
      <c r="U251" s="14">
        <v>5450</v>
      </c>
      <c r="V251" s="14">
        <v>300</v>
      </c>
      <c r="W251" s="14"/>
      <c r="X251" s="2">
        <f t="shared" si="10"/>
        <v>1203757.21</v>
      </c>
      <c r="Y251" s="14">
        <v>24725</v>
      </c>
      <c r="Z251" s="14"/>
      <c r="AA251" s="14">
        <v>36712</v>
      </c>
      <c r="AB251" s="14"/>
      <c r="AC251" s="14">
        <v>25035.8</v>
      </c>
      <c r="AD251" s="14">
        <v>43510</v>
      </c>
      <c r="AE251" s="14">
        <v>10200</v>
      </c>
      <c r="AF251" s="14"/>
      <c r="AG251" s="14"/>
      <c r="AH251" s="14"/>
      <c r="AI251" s="14"/>
      <c r="AJ251" s="14"/>
      <c r="AK251" s="14"/>
      <c r="AL251" s="48">
        <f t="shared" si="11"/>
        <v>140182.79999999999</v>
      </c>
      <c r="AM251" s="22">
        <v>81</v>
      </c>
      <c r="AN251" s="14">
        <v>462</v>
      </c>
      <c r="AO251" s="14">
        <v>-4227.03</v>
      </c>
      <c r="AP251" s="14"/>
      <c r="AQ251" s="14">
        <v>-215.58</v>
      </c>
      <c r="AR251" s="44">
        <v>1</v>
      </c>
    </row>
    <row r="252" spans="1:44" x14ac:dyDescent="0.25">
      <c r="A252" s="12">
        <v>5804</v>
      </c>
      <c r="B252" s="13" t="s">
        <v>492</v>
      </c>
      <c r="C252" s="14">
        <v>2435371.29</v>
      </c>
      <c r="D252" s="14">
        <v>245178.48</v>
      </c>
      <c r="E252" s="14"/>
      <c r="F252" s="14"/>
      <c r="G252" s="14">
        <v>25178.7</v>
      </c>
      <c r="H252" s="14">
        <v>850.8</v>
      </c>
      <c r="I252" s="14"/>
      <c r="J252" s="14">
        <v>48482.51</v>
      </c>
      <c r="K252" s="14">
        <v>3083</v>
      </c>
      <c r="L252" s="14">
        <v>226004.05</v>
      </c>
      <c r="M252" s="3">
        <f t="shared" si="9"/>
        <v>2984148.8299999996</v>
      </c>
      <c r="N252" s="14">
        <v>11176.1</v>
      </c>
      <c r="O252" s="14">
        <v>80554.899999999994</v>
      </c>
      <c r="P252" s="14">
        <v>39469.449999999997</v>
      </c>
      <c r="Q252" s="14">
        <v>2905.39</v>
      </c>
      <c r="R252" s="14">
        <v>106455.55</v>
      </c>
      <c r="S252" s="14">
        <v>187.5</v>
      </c>
      <c r="T252" s="14">
        <v>1460</v>
      </c>
      <c r="U252" s="14">
        <v>12600</v>
      </c>
      <c r="V252" s="14"/>
      <c r="W252" s="14"/>
      <c r="X252" s="2">
        <f t="shared" si="10"/>
        <v>3238957.7199999997</v>
      </c>
      <c r="Y252" s="14">
        <v>17904.25</v>
      </c>
      <c r="Z252" s="14"/>
      <c r="AA252" s="14">
        <v>262686.95</v>
      </c>
      <c r="AB252" s="14"/>
      <c r="AC252" s="14">
        <v>138392.07</v>
      </c>
      <c r="AD252" s="14">
        <v>23145.55</v>
      </c>
      <c r="AE252" s="14"/>
      <c r="AF252" s="14"/>
      <c r="AG252" s="14"/>
      <c r="AH252" s="14">
        <v>38858.800000000003</v>
      </c>
      <c r="AI252" s="14"/>
      <c r="AJ252" s="14"/>
      <c r="AK252" s="14"/>
      <c r="AL252" s="48">
        <f t="shared" si="11"/>
        <v>480987.62</v>
      </c>
      <c r="AM252" s="22">
        <v>72</v>
      </c>
      <c r="AN252" s="14">
        <v>1518</v>
      </c>
      <c r="AO252" s="14">
        <v>-23139.38</v>
      </c>
      <c r="AP252" s="14"/>
      <c r="AQ252" s="14">
        <v>-130.82</v>
      </c>
      <c r="AR252" s="44">
        <v>1</v>
      </c>
    </row>
    <row r="253" spans="1:44" x14ac:dyDescent="0.25">
      <c r="A253" s="12">
        <v>5805</v>
      </c>
      <c r="B253" s="13" t="s">
        <v>494</v>
      </c>
      <c r="C253" s="14">
        <v>6993796.2999999998</v>
      </c>
      <c r="D253" s="14">
        <v>1015863.01</v>
      </c>
      <c r="E253" s="14"/>
      <c r="F253" s="14"/>
      <c r="G253" s="14">
        <v>1023286.1</v>
      </c>
      <c r="H253" s="14">
        <v>37609.050000000003</v>
      </c>
      <c r="I253" s="14"/>
      <c r="J253" s="14">
        <v>292998.82</v>
      </c>
      <c r="K253" s="14">
        <v>54190.5</v>
      </c>
      <c r="L253" s="14">
        <v>865828.25</v>
      </c>
      <c r="M253" s="3">
        <f t="shared" si="9"/>
        <v>10283572.030000001</v>
      </c>
      <c r="N253" s="14">
        <v>64015.55</v>
      </c>
      <c r="O253" s="14">
        <v>202501</v>
      </c>
      <c r="P253" s="14">
        <v>446393.35</v>
      </c>
      <c r="Q253" s="14">
        <v>91617.54</v>
      </c>
      <c r="R253" s="14">
        <v>235229.15</v>
      </c>
      <c r="S253" s="14">
        <v>4667.5</v>
      </c>
      <c r="T253" s="14"/>
      <c r="U253" s="14">
        <v>37400</v>
      </c>
      <c r="V253" s="14">
        <v>2550</v>
      </c>
      <c r="W253" s="14">
        <v>1959.5</v>
      </c>
      <c r="X253" s="2">
        <f t="shared" si="10"/>
        <v>11369905.620000001</v>
      </c>
      <c r="Y253" s="14">
        <v>197320.5</v>
      </c>
      <c r="Z253" s="14"/>
      <c r="AA253" s="14">
        <v>766725.8</v>
      </c>
      <c r="AB253" s="14"/>
      <c r="AC253" s="14">
        <v>528385.75</v>
      </c>
      <c r="AD253" s="14">
        <v>96902.399999999994</v>
      </c>
      <c r="AE253" s="14"/>
      <c r="AF253" s="14"/>
      <c r="AG253" s="14"/>
      <c r="AH253" s="14"/>
      <c r="AI253" s="14"/>
      <c r="AJ253" s="14"/>
      <c r="AK253" s="14"/>
      <c r="AL253" s="48">
        <f t="shared" si="11"/>
        <v>1589334.45</v>
      </c>
      <c r="AM253" s="22">
        <v>69</v>
      </c>
      <c r="AN253" s="14">
        <v>5297</v>
      </c>
      <c r="AO253" s="14">
        <v>-185423.1</v>
      </c>
      <c r="AP253" s="14"/>
      <c r="AQ253" s="14">
        <v>-2243.63</v>
      </c>
      <c r="AR253" s="44">
        <v>1.1000000000000001</v>
      </c>
    </row>
    <row r="254" spans="1:44" x14ac:dyDescent="0.25">
      <c r="A254" s="12">
        <v>5812</v>
      </c>
      <c r="B254" s="13" t="s">
        <v>432</v>
      </c>
      <c r="C254" s="14">
        <v>163027.28</v>
      </c>
      <c r="D254" s="14">
        <v>11173.2</v>
      </c>
      <c r="E254" s="14"/>
      <c r="F254" s="14"/>
      <c r="G254" s="14">
        <v>1161.5</v>
      </c>
      <c r="H254" s="14">
        <v>155.85</v>
      </c>
      <c r="I254" s="14"/>
      <c r="J254" s="14">
        <v>-308.89</v>
      </c>
      <c r="K254" s="14">
        <v>10</v>
      </c>
      <c r="L254" s="14">
        <v>11621.7</v>
      </c>
      <c r="M254" s="3">
        <f t="shared" si="9"/>
        <v>186840.64</v>
      </c>
      <c r="N254" s="14"/>
      <c r="O254" s="14"/>
      <c r="P254" s="14">
        <v>15914.85</v>
      </c>
      <c r="Q254" s="14">
        <v>70.48</v>
      </c>
      <c r="R254" s="14">
        <v>19161.75</v>
      </c>
      <c r="S254" s="14"/>
      <c r="T254" s="14"/>
      <c r="U254" s="14">
        <v>560</v>
      </c>
      <c r="V254" s="14"/>
      <c r="W254" s="14"/>
      <c r="X254" s="2">
        <f t="shared" si="10"/>
        <v>222547.72000000003</v>
      </c>
      <c r="Y254" s="14"/>
      <c r="Z254" s="14"/>
      <c r="AA254" s="14">
        <v>11158</v>
      </c>
      <c r="AB254" s="14"/>
      <c r="AC254" s="14">
        <v>6973</v>
      </c>
      <c r="AD254" s="14"/>
      <c r="AE254" s="14"/>
      <c r="AF254" s="14">
        <v>120</v>
      </c>
      <c r="AG254" s="14"/>
      <c r="AH254" s="14">
        <v>2834</v>
      </c>
      <c r="AI254" s="14"/>
      <c r="AJ254" s="14"/>
      <c r="AK254" s="14"/>
      <c r="AL254" s="48">
        <f t="shared" si="11"/>
        <v>21085</v>
      </c>
      <c r="AM254" s="22">
        <v>77</v>
      </c>
      <c r="AN254" s="14">
        <v>133</v>
      </c>
      <c r="AO254" s="14">
        <v>-3462.07</v>
      </c>
      <c r="AP254" s="14"/>
      <c r="AQ254" s="14"/>
      <c r="AR254" s="44">
        <v>0.8</v>
      </c>
    </row>
    <row r="255" spans="1:44" x14ac:dyDescent="0.25">
      <c r="A255" s="12">
        <v>5813</v>
      </c>
      <c r="B255" s="13" t="s">
        <v>433</v>
      </c>
      <c r="C255" s="14">
        <v>617060.85</v>
      </c>
      <c r="D255" s="14">
        <v>92185.93</v>
      </c>
      <c r="E255" s="14"/>
      <c r="F255" s="14">
        <v>2730</v>
      </c>
      <c r="G255" s="14">
        <v>21089.7</v>
      </c>
      <c r="H255" s="14">
        <v>359.25</v>
      </c>
      <c r="I255" s="14"/>
      <c r="J255" s="14">
        <v>18253.95</v>
      </c>
      <c r="K255" s="14"/>
      <c r="L255" s="14">
        <v>80261.100000000006</v>
      </c>
      <c r="M255" s="3">
        <f t="shared" si="9"/>
        <v>831940.77999999991</v>
      </c>
      <c r="N255" s="14"/>
      <c r="O255" s="14">
        <v>10436.1</v>
      </c>
      <c r="P255" s="14">
        <v>35255</v>
      </c>
      <c r="Q255" s="14">
        <v>104.31</v>
      </c>
      <c r="R255" s="14">
        <v>20744.099999999999</v>
      </c>
      <c r="S255" s="14"/>
      <c r="T255" s="14">
        <v>960</v>
      </c>
      <c r="U255" s="14">
        <v>3750</v>
      </c>
      <c r="V255" s="14"/>
      <c r="W255" s="14"/>
      <c r="X255" s="2">
        <f t="shared" si="10"/>
        <v>903190.28999999992</v>
      </c>
      <c r="Y255" s="14">
        <v>8122</v>
      </c>
      <c r="Z255" s="14"/>
      <c r="AA255" s="14">
        <v>49160</v>
      </c>
      <c r="AB255" s="14"/>
      <c r="AC255" s="14">
        <v>43372.1</v>
      </c>
      <c r="AD255" s="14">
        <v>4061</v>
      </c>
      <c r="AE255" s="14"/>
      <c r="AF255" s="14"/>
      <c r="AG255" s="14">
        <v>84071.5</v>
      </c>
      <c r="AH255" s="14"/>
      <c r="AI255" s="14">
        <v>16423.099999999999</v>
      </c>
      <c r="AJ255" s="14"/>
      <c r="AK255" s="14"/>
      <c r="AL255" s="48">
        <f t="shared" si="11"/>
        <v>205209.7</v>
      </c>
      <c r="AM255" s="22">
        <v>70</v>
      </c>
      <c r="AN255" s="14">
        <v>430</v>
      </c>
      <c r="AO255" s="14">
        <v>-7224.84</v>
      </c>
      <c r="AP255" s="14"/>
      <c r="AQ255" s="14">
        <v>-122.5</v>
      </c>
      <c r="AR255" s="44">
        <v>1.2</v>
      </c>
    </row>
    <row r="256" spans="1:44" x14ac:dyDescent="0.25">
      <c r="A256" s="12">
        <v>5816</v>
      </c>
      <c r="B256" s="13" t="s">
        <v>11</v>
      </c>
      <c r="C256" s="14">
        <v>2738413.05</v>
      </c>
      <c r="D256" s="14">
        <v>264865.40000000002</v>
      </c>
      <c r="E256" s="14"/>
      <c r="F256" s="14"/>
      <c r="G256" s="14">
        <v>414720.15</v>
      </c>
      <c r="H256" s="14">
        <v>11966.05</v>
      </c>
      <c r="I256" s="14"/>
      <c r="J256" s="14">
        <v>156592.57</v>
      </c>
      <c r="K256" s="14">
        <v>2977</v>
      </c>
      <c r="L256" s="14">
        <v>193843.20000000001</v>
      </c>
      <c r="M256" s="3">
        <f t="shared" si="9"/>
        <v>3783377.4199999995</v>
      </c>
      <c r="N256" s="14">
        <v>7755.25</v>
      </c>
      <c r="O256" s="14">
        <v>72343.8</v>
      </c>
      <c r="P256" s="14">
        <v>259257.65</v>
      </c>
      <c r="Q256" s="14">
        <v>145949.46</v>
      </c>
      <c r="R256" s="14">
        <v>144862.65</v>
      </c>
      <c r="S256" s="14">
        <v>475</v>
      </c>
      <c r="T256" s="14">
        <v>6250</v>
      </c>
      <c r="U256" s="14">
        <v>7950</v>
      </c>
      <c r="V256" s="14"/>
      <c r="W256" s="14"/>
      <c r="X256" s="2">
        <f t="shared" si="10"/>
        <v>4428221.2299999995</v>
      </c>
      <c r="Y256" s="14">
        <v>103253.3</v>
      </c>
      <c r="Z256" s="14"/>
      <c r="AA256" s="14">
        <v>438797.85</v>
      </c>
      <c r="AB256" s="14"/>
      <c r="AC256" s="14">
        <v>144344.25</v>
      </c>
      <c r="AD256" s="14">
        <v>54069.2</v>
      </c>
      <c r="AE256" s="14"/>
      <c r="AF256" s="14"/>
      <c r="AG256" s="14"/>
      <c r="AH256" s="14"/>
      <c r="AI256" s="14"/>
      <c r="AJ256" s="14"/>
      <c r="AK256" s="14"/>
      <c r="AL256" s="48">
        <f t="shared" si="11"/>
        <v>740464.6</v>
      </c>
      <c r="AM256" s="22">
        <v>72</v>
      </c>
      <c r="AN256" s="14">
        <v>2229</v>
      </c>
      <c r="AO256" s="14">
        <v>-199731.88</v>
      </c>
      <c r="AP256" s="14"/>
      <c r="AQ256" s="14">
        <v>-10.87</v>
      </c>
      <c r="AR256" s="44">
        <v>0.7</v>
      </c>
    </row>
    <row r="257" spans="1:44" x14ac:dyDescent="0.25">
      <c r="A257" s="12">
        <v>5817</v>
      </c>
      <c r="B257" s="13" t="s">
        <v>12</v>
      </c>
      <c r="C257" s="14">
        <v>1332096.53</v>
      </c>
      <c r="D257" s="14">
        <v>159079.10999999999</v>
      </c>
      <c r="E257" s="14"/>
      <c r="F257" s="14">
        <v>4740</v>
      </c>
      <c r="G257" s="14">
        <v>44096.55</v>
      </c>
      <c r="H257" s="14">
        <v>800.7</v>
      </c>
      <c r="I257" s="14"/>
      <c r="J257" s="14">
        <v>23848.21</v>
      </c>
      <c r="K257" s="14">
        <v>3299.5</v>
      </c>
      <c r="L257" s="14">
        <v>98504.9</v>
      </c>
      <c r="M257" s="3">
        <f t="shared" si="9"/>
        <v>1666465.5</v>
      </c>
      <c r="N257" s="14"/>
      <c r="O257" s="14">
        <v>2584</v>
      </c>
      <c r="P257" s="14">
        <v>49422.85</v>
      </c>
      <c r="Q257" s="14">
        <v>4131.72</v>
      </c>
      <c r="R257" s="14">
        <v>28132.2</v>
      </c>
      <c r="S257" s="14">
        <v>125</v>
      </c>
      <c r="T257" s="14"/>
      <c r="U257" s="14">
        <v>5475</v>
      </c>
      <c r="V257" s="14"/>
      <c r="W257" s="14"/>
      <c r="X257" s="2">
        <f t="shared" si="10"/>
        <v>1756336.27</v>
      </c>
      <c r="Y257" s="14">
        <v>53378.7</v>
      </c>
      <c r="Z257" s="14"/>
      <c r="AA257" s="14">
        <v>234584.4</v>
      </c>
      <c r="AB257" s="14"/>
      <c r="AC257" s="14">
        <v>70144.600000000006</v>
      </c>
      <c r="AD257" s="14">
        <v>20178.5</v>
      </c>
      <c r="AE257" s="14"/>
      <c r="AF257" s="14"/>
      <c r="AG257" s="14"/>
      <c r="AH257" s="14">
        <v>13136</v>
      </c>
      <c r="AI257" s="14"/>
      <c r="AJ257" s="14"/>
      <c r="AK257" s="14"/>
      <c r="AL257" s="48">
        <f t="shared" si="11"/>
        <v>391422.19999999995</v>
      </c>
      <c r="AM257" s="22">
        <v>79.5</v>
      </c>
      <c r="AN257" s="14">
        <v>856</v>
      </c>
      <c r="AO257" s="14">
        <v>-9354.32</v>
      </c>
      <c r="AP257" s="14"/>
      <c r="AQ257" s="14">
        <v>-27.62</v>
      </c>
      <c r="AR257" s="44">
        <v>1</v>
      </c>
    </row>
    <row r="258" spans="1:44" x14ac:dyDescent="0.25">
      <c r="A258" s="12">
        <v>5819</v>
      </c>
      <c r="B258" s="13" t="s">
        <v>13</v>
      </c>
      <c r="C258" s="14">
        <v>440167.49</v>
      </c>
      <c r="D258" s="14">
        <v>123730.32</v>
      </c>
      <c r="E258" s="14"/>
      <c r="F258" s="14"/>
      <c r="G258" s="14">
        <v>228324.45</v>
      </c>
      <c r="H258" s="14">
        <v>642.4</v>
      </c>
      <c r="I258" s="14"/>
      <c r="J258" s="14">
        <v>23475.03</v>
      </c>
      <c r="K258" s="14">
        <v>1534.5</v>
      </c>
      <c r="L258" s="14">
        <v>72380.649999999994</v>
      </c>
      <c r="M258" s="3">
        <f t="shared" si="9"/>
        <v>890254.84000000008</v>
      </c>
      <c r="N258" s="14">
        <v>21737.15</v>
      </c>
      <c r="O258" s="14">
        <v>1734</v>
      </c>
      <c r="P258" s="14">
        <v>23661</v>
      </c>
      <c r="Q258" s="14">
        <v>2077.54</v>
      </c>
      <c r="R258" s="14">
        <v>11709.65</v>
      </c>
      <c r="S258" s="14"/>
      <c r="T258" s="14"/>
      <c r="U258" s="14">
        <v>750</v>
      </c>
      <c r="V258" s="14"/>
      <c r="W258" s="14"/>
      <c r="X258" s="2">
        <f t="shared" si="10"/>
        <v>951924.18000000017</v>
      </c>
      <c r="Y258" s="14">
        <v>12500</v>
      </c>
      <c r="Z258" s="14"/>
      <c r="AA258" s="14">
        <v>15348.8</v>
      </c>
      <c r="AB258" s="14"/>
      <c r="AC258" s="14">
        <v>31230.799999999999</v>
      </c>
      <c r="AD258" s="14">
        <v>5300</v>
      </c>
      <c r="AE258" s="14"/>
      <c r="AF258" s="14"/>
      <c r="AG258" s="14"/>
      <c r="AH258" s="14"/>
      <c r="AI258" s="14"/>
      <c r="AJ258" s="14"/>
      <c r="AK258" s="14"/>
      <c r="AL258" s="48">
        <f t="shared" si="11"/>
        <v>64379.6</v>
      </c>
      <c r="AM258" s="22">
        <v>67</v>
      </c>
      <c r="AN258" s="14">
        <v>339</v>
      </c>
      <c r="AO258" s="14">
        <v>-14156.45</v>
      </c>
      <c r="AP258" s="14"/>
      <c r="AQ258" s="14">
        <v>-8.31</v>
      </c>
      <c r="AR258" s="44">
        <v>1</v>
      </c>
    </row>
    <row r="259" spans="1:44" x14ac:dyDescent="0.25">
      <c r="A259" s="12">
        <v>5821</v>
      </c>
      <c r="B259" s="13" t="s">
        <v>14</v>
      </c>
      <c r="C259" s="14">
        <v>441139.72</v>
      </c>
      <c r="D259" s="14">
        <v>53135.12</v>
      </c>
      <c r="E259" s="14"/>
      <c r="F259" s="14"/>
      <c r="G259" s="14">
        <v>5334.35</v>
      </c>
      <c r="H259" s="14">
        <v>-23.5</v>
      </c>
      <c r="I259" s="14"/>
      <c r="J259" s="14">
        <v>22945.02</v>
      </c>
      <c r="K259" s="14">
        <v>1306.5</v>
      </c>
      <c r="L259" s="14">
        <v>40708.300000000003</v>
      </c>
      <c r="M259" s="3">
        <f t="shared" si="9"/>
        <v>564545.51</v>
      </c>
      <c r="N259" s="14"/>
      <c r="O259" s="14">
        <v>63755.4</v>
      </c>
      <c r="P259" s="14">
        <v>16148.8</v>
      </c>
      <c r="Q259" s="14">
        <v>-2655.73</v>
      </c>
      <c r="R259" s="14">
        <v>17238.099999999999</v>
      </c>
      <c r="S259" s="14"/>
      <c r="T259" s="14"/>
      <c r="U259" s="14">
        <v>3150</v>
      </c>
      <c r="V259" s="14"/>
      <c r="W259" s="14"/>
      <c r="X259" s="2">
        <f t="shared" si="10"/>
        <v>662182.08000000007</v>
      </c>
      <c r="Y259" s="14">
        <v>17970</v>
      </c>
      <c r="Z259" s="14"/>
      <c r="AA259" s="14">
        <v>52137.5</v>
      </c>
      <c r="AB259" s="14"/>
      <c r="AC259" s="14">
        <v>28765.1</v>
      </c>
      <c r="AD259" s="14">
        <v>27755.35</v>
      </c>
      <c r="AE259" s="14"/>
      <c r="AF259" s="14"/>
      <c r="AG259" s="14"/>
      <c r="AH259" s="14">
        <v>7819.85</v>
      </c>
      <c r="AI259" s="14"/>
      <c r="AJ259" s="14">
        <v>72.75</v>
      </c>
      <c r="AK259" s="14"/>
      <c r="AL259" s="48">
        <f t="shared" si="11"/>
        <v>134520.55000000002</v>
      </c>
      <c r="AM259" s="22">
        <v>72</v>
      </c>
      <c r="AN259" s="14">
        <v>350</v>
      </c>
      <c r="AO259" s="14">
        <v>-35295.67</v>
      </c>
      <c r="AP259" s="14"/>
      <c r="AQ259" s="14"/>
      <c r="AR259" s="44">
        <v>1</v>
      </c>
    </row>
    <row r="260" spans="1:44" x14ac:dyDescent="0.25">
      <c r="A260" s="12">
        <v>5822</v>
      </c>
      <c r="B260" s="13" t="s">
        <v>15</v>
      </c>
      <c r="C260" s="14">
        <v>12232489.859999999</v>
      </c>
      <c r="D260" s="14">
        <v>1317437.3700000001</v>
      </c>
      <c r="E260" s="14"/>
      <c r="F260" s="14"/>
      <c r="G260" s="14">
        <v>1782233.6</v>
      </c>
      <c r="H260" s="14">
        <v>44443.65</v>
      </c>
      <c r="I260" s="14"/>
      <c r="J260" s="14">
        <v>678510.52</v>
      </c>
      <c r="K260" s="14">
        <v>146425.5</v>
      </c>
      <c r="L260" s="14">
        <v>1188663.05</v>
      </c>
      <c r="M260" s="3">
        <f t="shared" si="9"/>
        <v>17390203.550000001</v>
      </c>
      <c r="N260" s="14">
        <v>48080.9</v>
      </c>
      <c r="O260" s="14">
        <v>124887.6</v>
      </c>
      <c r="P260" s="14">
        <v>809056.95</v>
      </c>
      <c r="Q260" s="14">
        <v>116187.35</v>
      </c>
      <c r="R260" s="14">
        <v>407033.35</v>
      </c>
      <c r="S260" s="14">
        <v>69242.95</v>
      </c>
      <c r="T260" s="14">
        <v>32375</v>
      </c>
      <c r="U260" s="14">
        <v>17950</v>
      </c>
      <c r="V260" s="14">
        <v>64896.7</v>
      </c>
      <c r="W260" s="14"/>
      <c r="X260" s="2">
        <f t="shared" si="10"/>
        <v>19079914.350000001</v>
      </c>
      <c r="Y260" s="14">
        <v>572946.5</v>
      </c>
      <c r="Z260" s="14"/>
      <c r="AA260" s="14">
        <v>2198806.2999999998</v>
      </c>
      <c r="AB260" s="14"/>
      <c r="AC260" s="14"/>
      <c r="AD260" s="14">
        <v>1151126.79</v>
      </c>
      <c r="AE260" s="14">
        <v>152289.35</v>
      </c>
      <c r="AF260" s="14"/>
      <c r="AG260" s="14">
        <v>1590</v>
      </c>
      <c r="AH260" s="14"/>
      <c r="AI260" s="14"/>
      <c r="AJ260" s="14"/>
      <c r="AK260" s="14"/>
      <c r="AL260" s="48">
        <f t="shared" si="11"/>
        <v>4076758.94</v>
      </c>
      <c r="AM260" s="22">
        <v>75</v>
      </c>
      <c r="AN260" s="14">
        <v>9302</v>
      </c>
      <c r="AO260" s="14">
        <v>-672577.71</v>
      </c>
      <c r="AP260" s="14"/>
      <c r="AQ260" s="14">
        <v>-400.05</v>
      </c>
      <c r="AR260" s="44">
        <v>1</v>
      </c>
    </row>
    <row r="261" spans="1:44" x14ac:dyDescent="0.25">
      <c r="A261" s="12">
        <v>5827</v>
      </c>
      <c r="B261" s="13" t="s">
        <v>16</v>
      </c>
      <c r="C261" s="14">
        <v>418416.78</v>
      </c>
      <c r="D261" s="14">
        <v>51056.23</v>
      </c>
      <c r="E261" s="14"/>
      <c r="F261" s="14">
        <v>1340</v>
      </c>
      <c r="G261" s="14">
        <v>24322.400000000001</v>
      </c>
      <c r="H261" s="14">
        <v>102</v>
      </c>
      <c r="I261" s="14"/>
      <c r="J261" s="14">
        <v>5080.47</v>
      </c>
      <c r="K261" s="14">
        <v>141</v>
      </c>
      <c r="L261" s="14">
        <v>32169.95</v>
      </c>
      <c r="M261" s="3">
        <f t="shared" si="9"/>
        <v>532628.82999999996</v>
      </c>
      <c r="N261" s="14">
        <v>10533.4</v>
      </c>
      <c r="O261" s="14"/>
      <c r="P261" s="14">
        <v>25559.8</v>
      </c>
      <c r="Q261" s="14">
        <v>2196.1999999999998</v>
      </c>
      <c r="R261" s="14">
        <v>20130</v>
      </c>
      <c r="S261" s="14"/>
      <c r="T261" s="14"/>
      <c r="U261" s="14">
        <v>1700</v>
      </c>
      <c r="V261" s="14"/>
      <c r="W261" s="14"/>
      <c r="X261" s="2">
        <f t="shared" si="10"/>
        <v>592748.23</v>
      </c>
      <c r="Y261" s="14"/>
      <c r="Z261" s="14"/>
      <c r="AA261" s="14">
        <v>43178.6</v>
      </c>
      <c r="AB261" s="14"/>
      <c r="AC261" s="14">
        <v>13090</v>
      </c>
      <c r="AD261" s="14"/>
      <c r="AE261" s="14"/>
      <c r="AF261" s="14"/>
      <c r="AG261" s="14"/>
      <c r="AH261" s="14"/>
      <c r="AI261" s="14"/>
      <c r="AJ261" s="14"/>
      <c r="AK261" s="14"/>
      <c r="AL261" s="48">
        <f t="shared" si="11"/>
        <v>56268.6</v>
      </c>
      <c r="AM261" s="22">
        <v>80</v>
      </c>
      <c r="AN261" s="14">
        <v>255</v>
      </c>
      <c r="AO261" s="14">
        <v>-11268.8</v>
      </c>
      <c r="AP261" s="14"/>
      <c r="AQ261" s="14">
        <v>-9.5399999999999991</v>
      </c>
      <c r="AR261" s="44">
        <v>1</v>
      </c>
    </row>
    <row r="262" spans="1:44" x14ac:dyDescent="0.25">
      <c r="A262" s="12">
        <v>5828</v>
      </c>
      <c r="B262" s="13" t="s">
        <v>639</v>
      </c>
      <c r="C262" s="14">
        <v>154290.03</v>
      </c>
      <c r="D262" s="14">
        <v>13086.9</v>
      </c>
      <c r="E262" s="14"/>
      <c r="F262" s="14"/>
      <c r="G262" s="14">
        <v>458.4</v>
      </c>
      <c r="H262" s="14">
        <v>-9.8499999999999908</v>
      </c>
      <c r="I262" s="14"/>
      <c r="J262" s="14">
        <v>2077.92</v>
      </c>
      <c r="K262" s="14"/>
      <c r="L262" s="14">
        <v>20475.55</v>
      </c>
      <c r="M262" s="3">
        <f t="shared" si="9"/>
        <v>190378.94999999998</v>
      </c>
      <c r="N262" s="14"/>
      <c r="O262" s="14"/>
      <c r="P262" s="14">
        <v>6712.8</v>
      </c>
      <c r="Q262" s="14"/>
      <c r="R262" s="14">
        <v>9585.4500000000007</v>
      </c>
      <c r="S262" s="14"/>
      <c r="T262" s="14"/>
      <c r="U262" s="14">
        <v>580</v>
      </c>
      <c r="V262" s="14"/>
      <c r="W262" s="14"/>
      <c r="X262" s="2">
        <f t="shared" si="10"/>
        <v>207257.19999999998</v>
      </c>
      <c r="Y262" s="14"/>
      <c r="Z262" s="14"/>
      <c r="AA262" s="14">
        <v>18980</v>
      </c>
      <c r="AB262" s="14"/>
      <c r="AC262" s="14">
        <v>9584.2999999999993</v>
      </c>
      <c r="AD262" s="14"/>
      <c r="AE262" s="14"/>
      <c r="AF262" s="14"/>
      <c r="AG262" s="14"/>
      <c r="AH262" s="14">
        <v>2994.8</v>
      </c>
      <c r="AI262" s="14"/>
      <c r="AJ262" s="14"/>
      <c r="AK262" s="14"/>
      <c r="AL262" s="48">
        <f t="shared" si="11"/>
        <v>31559.1</v>
      </c>
      <c r="AM262" s="22">
        <v>84</v>
      </c>
      <c r="AN262" s="14">
        <v>124</v>
      </c>
      <c r="AO262" s="14">
        <v>-4086.27</v>
      </c>
      <c r="AP262" s="14"/>
      <c r="AQ262" s="14">
        <v>-0.08</v>
      </c>
      <c r="AR262" s="44">
        <v>1.5</v>
      </c>
    </row>
    <row r="263" spans="1:44" x14ac:dyDescent="0.25">
      <c r="A263" s="12">
        <v>5830</v>
      </c>
      <c r="B263" s="13" t="s">
        <v>17</v>
      </c>
      <c r="C263" s="14">
        <v>664720.68999999994</v>
      </c>
      <c r="D263" s="14">
        <v>78862.64</v>
      </c>
      <c r="E263" s="14"/>
      <c r="F263" s="14">
        <v>2460</v>
      </c>
      <c r="G263" s="14">
        <v>1968.35</v>
      </c>
      <c r="H263" s="14">
        <v>154.15</v>
      </c>
      <c r="I263" s="14"/>
      <c r="J263" s="14">
        <v>11864.11</v>
      </c>
      <c r="K263" s="14">
        <v>1396.5</v>
      </c>
      <c r="L263" s="14">
        <v>50415.25</v>
      </c>
      <c r="M263" s="3">
        <f t="shared" si="9"/>
        <v>811841.69</v>
      </c>
      <c r="N263" s="14"/>
      <c r="O263" s="14"/>
      <c r="P263" s="14">
        <v>22117.05</v>
      </c>
      <c r="Q263" s="14">
        <v>2833.53</v>
      </c>
      <c r="R263" s="14">
        <v>9342</v>
      </c>
      <c r="S263" s="14"/>
      <c r="T263" s="14"/>
      <c r="U263" s="14">
        <v>2910</v>
      </c>
      <c r="V263" s="14"/>
      <c r="W263" s="14"/>
      <c r="X263" s="2">
        <f t="shared" si="10"/>
        <v>849044.27</v>
      </c>
      <c r="Y263" s="14">
        <v>43000</v>
      </c>
      <c r="Z263" s="14"/>
      <c r="AA263" s="14">
        <v>51961.2</v>
      </c>
      <c r="AB263" s="14"/>
      <c r="AC263" s="14">
        <v>28019.15</v>
      </c>
      <c r="AD263" s="14">
        <v>14000</v>
      </c>
      <c r="AE263" s="14"/>
      <c r="AF263" s="14"/>
      <c r="AG263" s="14"/>
      <c r="AH263" s="14"/>
      <c r="AI263" s="14"/>
      <c r="AJ263" s="14"/>
      <c r="AK263" s="14"/>
      <c r="AL263" s="48">
        <f t="shared" si="11"/>
        <v>136980.35</v>
      </c>
      <c r="AM263" s="22">
        <v>79</v>
      </c>
      <c r="AN263" s="14">
        <v>415</v>
      </c>
      <c r="AO263" s="14">
        <v>-5952.52</v>
      </c>
      <c r="AP263" s="14"/>
      <c r="AQ263" s="14">
        <v>-1.1599999999999999</v>
      </c>
      <c r="AR263" s="44">
        <v>1</v>
      </c>
    </row>
    <row r="264" spans="1:44" x14ac:dyDescent="0.25">
      <c r="A264" s="12">
        <v>5831</v>
      </c>
      <c r="B264" s="13" t="s">
        <v>493</v>
      </c>
      <c r="C264" s="14">
        <v>4103634.55</v>
      </c>
      <c r="D264" s="14">
        <v>555868.30000000005</v>
      </c>
      <c r="E264" s="14"/>
      <c r="F264" s="14"/>
      <c r="G264" s="14">
        <v>535837.80000000005</v>
      </c>
      <c r="H264" s="14">
        <v>9044.1</v>
      </c>
      <c r="I264" s="14"/>
      <c r="J264" s="14">
        <v>158558.10999999999</v>
      </c>
      <c r="K264" s="14">
        <v>14554</v>
      </c>
      <c r="L264" s="14">
        <v>227280.9</v>
      </c>
      <c r="M264" s="3">
        <f t="shared" ref="M264:M324" si="12">SUM(C264:L264)</f>
        <v>5604777.7599999998</v>
      </c>
      <c r="N264" s="14">
        <v>15624.5</v>
      </c>
      <c r="O264" s="14">
        <v>20045.400000000001</v>
      </c>
      <c r="P264" s="14">
        <v>118024.2</v>
      </c>
      <c r="Q264" s="14">
        <v>10214.52</v>
      </c>
      <c r="R264" s="14">
        <v>71420.55</v>
      </c>
      <c r="S264" s="14">
        <v>800</v>
      </c>
      <c r="T264" s="14"/>
      <c r="U264" s="14">
        <v>15700</v>
      </c>
      <c r="V264" s="14"/>
      <c r="W264" s="14"/>
      <c r="X264" s="2">
        <f t="shared" ref="X264:X324" si="13">SUM(M264:W264)</f>
        <v>5856606.9299999997</v>
      </c>
      <c r="Y264" s="14">
        <v>421085</v>
      </c>
      <c r="Z264" s="14"/>
      <c r="AA264" s="14">
        <v>317378.40000000002</v>
      </c>
      <c r="AB264" s="14"/>
      <c r="AC264" s="14">
        <v>252863.92</v>
      </c>
      <c r="AD264" s="14">
        <v>118828.5</v>
      </c>
      <c r="AE264" s="14"/>
      <c r="AF264" s="14"/>
      <c r="AG264" s="14"/>
      <c r="AH264" s="14">
        <v>144044.25</v>
      </c>
      <c r="AI264" s="14"/>
      <c r="AJ264" s="14"/>
      <c r="AK264" s="14"/>
      <c r="AL264" s="48">
        <f t="shared" ref="AL264:AL324" si="14">SUM(Y264:AK264)</f>
        <v>1254200.07</v>
      </c>
      <c r="AM264" s="22">
        <v>73</v>
      </c>
      <c r="AN264" s="14">
        <v>2960</v>
      </c>
      <c r="AO264" s="14">
        <v>-69451.69</v>
      </c>
      <c r="AP264" s="14"/>
      <c r="AQ264" s="14">
        <v>-307.89</v>
      </c>
      <c r="AR264" s="44">
        <v>0.6</v>
      </c>
    </row>
    <row r="265" spans="1:44" x14ac:dyDescent="0.25">
      <c r="A265" s="12">
        <v>5841</v>
      </c>
      <c r="B265" s="13" t="s">
        <v>18</v>
      </c>
      <c r="C265" s="14">
        <v>5157111.03</v>
      </c>
      <c r="D265" s="14">
        <v>1585913.55</v>
      </c>
      <c r="E265" s="14"/>
      <c r="F265" s="14"/>
      <c r="G265" s="14">
        <v>493507.2</v>
      </c>
      <c r="H265" s="14">
        <v>36983.35</v>
      </c>
      <c r="I265" s="14">
        <v>402138.35</v>
      </c>
      <c r="J265" s="14">
        <v>396476.08</v>
      </c>
      <c r="K265" s="14">
        <v>21166</v>
      </c>
      <c r="L265" s="14">
        <v>1319261.95</v>
      </c>
      <c r="M265" s="3">
        <f t="shared" si="12"/>
        <v>9412557.5099999998</v>
      </c>
      <c r="N265" s="14">
        <v>6542.25</v>
      </c>
      <c r="O265" s="14">
        <v>245457.5</v>
      </c>
      <c r="P265" s="14">
        <v>591028.69999999995</v>
      </c>
      <c r="Q265" s="14">
        <v>15507.12</v>
      </c>
      <c r="R265" s="14">
        <v>350583.1</v>
      </c>
      <c r="S265" s="14">
        <v>906.25</v>
      </c>
      <c r="T265" s="14">
        <v>18720</v>
      </c>
      <c r="U265" s="14">
        <v>22860</v>
      </c>
      <c r="V265" s="14"/>
      <c r="W265" s="14"/>
      <c r="X265" s="2">
        <f t="shared" si="13"/>
        <v>10664162.429999998</v>
      </c>
      <c r="Y265" s="14">
        <v>58425.98</v>
      </c>
      <c r="Z265" s="14"/>
      <c r="AA265" s="14">
        <v>1098577.1200000001</v>
      </c>
      <c r="AB265" s="14"/>
      <c r="AC265" s="14">
        <v>595039.43000000005</v>
      </c>
      <c r="AD265" s="14"/>
      <c r="AE265" s="14"/>
      <c r="AF265" s="14"/>
      <c r="AG265" s="14">
        <v>551644.69999999995</v>
      </c>
      <c r="AH265" s="14">
        <v>155082.85</v>
      </c>
      <c r="AI265" s="14"/>
      <c r="AJ265" s="14"/>
      <c r="AK265" s="14"/>
      <c r="AL265" s="48">
        <f t="shared" si="14"/>
        <v>2458770.0800000005</v>
      </c>
      <c r="AM265" s="22">
        <v>83</v>
      </c>
      <c r="AN265" s="14">
        <v>3408</v>
      </c>
      <c r="AO265" s="14">
        <v>-60285.38</v>
      </c>
      <c r="AP265" s="14"/>
      <c r="AQ265" s="14">
        <v>-3389.2</v>
      </c>
      <c r="AR265" s="44">
        <v>1.5</v>
      </c>
    </row>
    <row r="266" spans="1:44" x14ac:dyDescent="0.25">
      <c r="A266" s="12">
        <v>5842</v>
      </c>
      <c r="B266" s="13" t="s">
        <v>19</v>
      </c>
      <c r="C266" s="14">
        <v>919641.33</v>
      </c>
      <c r="D266" s="14">
        <v>350636.72</v>
      </c>
      <c r="E266" s="14"/>
      <c r="F266" s="14"/>
      <c r="G266" s="14">
        <v>15474.6</v>
      </c>
      <c r="H266" s="14">
        <v>221.2</v>
      </c>
      <c r="I266" s="14">
        <v>-50592</v>
      </c>
      <c r="J266" s="14">
        <v>26513.34</v>
      </c>
      <c r="K266" s="14">
        <v>387.5</v>
      </c>
      <c r="L266" s="14">
        <v>124819.7</v>
      </c>
      <c r="M266" s="3">
        <f t="shared" si="12"/>
        <v>1387102.39</v>
      </c>
      <c r="N266" s="14"/>
      <c r="O266" s="14">
        <v>906</v>
      </c>
      <c r="P266" s="14">
        <v>24868.5</v>
      </c>
      <c r="Q266" s="14">
        <v>29275.48</v>
      </c>
      <c r="R266" s="14">
        <v>40321.85</v>
      </c>
      <c r="S266" s="14">
        <v>93.75</v>
      </c>
      <c r="T266" s="14"/>
      <c r="U266" s="14">
        <v>2920</v>
      </c>
      <c r="V266" s="14"/>
      <c r="W266" s="14"/>
      <c r="X266" s="2">
        <f t="shared" si="13"/>
        <v>1485487.97</v>
      </c>
      <c r="Y266" s="14"/>
      <c r="Z266" s="14"/>
      <c r="AA266" s="14">
        <v>64978.55</v>
      </c>
      <c r="AB266" s="14"/>
      <c r="AC266" s="14">
        <v>42058.720000000001</v>
      </c>
      <c r="AD266" s="14"/>
      <c r="AE266" s="14"/>
      <c r="AF266" s="14"/>
      <c r="AG266" s="14"/>
      <c r="AH266" s="14"/>
      <c r="AI266" s="14"/>
      <c r="AJ266" s="14"/>
      <c r="AK266" s="14"/>
      <c r="AL266" s="48">
        <f t="shared" si="14"/>
        <v>107037.27</v>
      </c>
      <c r="AM266" s="22">
        <v>81</v>
      </c>
      <c r="AN266" s="14">
        <v>565</v>
      </c>
      <c r="AO266" s="14">
        <v>-33300.019999999997</v>
      </c>
      <c r="AP266" s="14"/>
      <c r="AQ266" s="14">
        <v>-587.13</v>
      </c>
      <c r="AR266" s="44">
        <v>1.5</v>
      </c>
    </row>
    <row r="267" spans="1:44" x14ac:dyDescent="0.25">
      <c r="A267" s="12">
        <v>5843</v>
      </c>
      <c r="B267" s="13" t="s">
        <v>20</v>
      </c>
      <c r="C267" s="14">
        <v>2340901.62</v>
      </c>
      <c r="D267" s="14">
        <v>1574570.21</v>
      </c>
      <c r="E267" s="14"/>
      <c r="F267" s="14"/>
      <c r="G267" s="14">
        <v>180179.45</v>
      </c>
      <c r="H267" s="14">
        <v>8521.9500000000007</v>
      </c>
      <c r="I267" s="14">
        <v>1369263.38</v>
      </c>
      <c r="J267" s="14">
        <v>223773.67</v>
      </c>
      <c r="K267" s="14">
        <v>14008.5</v>
      </c>
      <c r="L267" s="14">
        <v>1016251.25</v>
      </c>
      <c r="M267" s="3">
        <f t="shared" si="12"/>
        <v>6727470.0300000003</v>
      </c>
      <c r="N267" s="14"/>
      <c r="O267" s="14">
        <v>372020.3</v>
      </c>
      <c r="P267" s="14">
        <v>665186.35</v>
      </c>
      <c r="Q267" s="14">
        <v>479.82</v>
      </c>
      <c r="R267" s="14">
        <v>1087677.2</v>
      </c>
      <c r="S267" s="14">
        <v>387.5</v>
      </c>
      <c r="T267" s="14">
        <v>2290</v>
      </c>
      <c r="U267" s="14">
        <v>4980</v>
      </c>
      <c r="V267" s="14"/>
      <c r="W267" s="14"/>
      <c r="X267" s="2">
        <f t="shared" si="13"/>
        <v>8860491.1999999993</v>
      </c>
      <c r="Y267" s="14">
        <v>90825</v>
      </c>
      <c r="Z267" s="14"/>
      <c r="AA267" s="14">
        <v>228689.35</v>
      </c>
      <c r="AB267" s="14"/>
      <c r="AC267" s="14">
        <v>239340.17</v>
      </c>
      <c r="AD267" s="14">
        <v>144450</v>
      </c>
      <c r="AE267" s="14"/>
      <c r="AF267" s="14"/>
      <c r="AG267" s="14">
        <v>744396.65</v>
      </c>
      <c r="AH267" s="14">
        <v>81623.100000000006</v>
      </c>
      <c r="AI267" s="14"/>
      <c r="AJ267" s="14"/>
      <c r="AK267" s="14"/>
      <c r="AL267" s="48">
        <f t="shared" si="14"/>
        <v>1529324.27</v>
      </c>
      <c r="AM267" s="22">
        <v>69</v>
      </c>
      <c r="AN267" s="14">
        <v>881</v>
      </c>
      <c r="AO267" s="14">
        <v>-15867.56</v>
      </c>
      <c r="AP267" s="14"/>
      <c r="AQ267" s="14">
        <v>-4807.5600000000004</v>
      </c>
      <c r="AR267" s="44">
        <v>1.5</v>
      </c>
    </row>
    <row r="268" spans="1:44" x14ac:dyDescent="0.25">
      <c r="A268" s="12">
        <v>5851</v>
      </c>
      <c r="B268" s="13" t="s">
        <v>21</v>
      </c>
      <c r="C268" s="14">
        <v>820124</v>
      </c>
      <c r="D268" s="14">
        <v>155318.53</v>
      </c>
      <c r="E268" s="14"/>
      <c r="F268" s="14"/>
      <c r="G268" s="14">
        <v>380907.4</v>
      </c>
      <c r="H268" s="14">
        <v>3589</v>
      </c>
      <c r="I268" s="14"/>
      <c r="J268" s="14">
        <v>52232.76</v>
      </c>
      <c r="K268" s="14">
        <v>23919</v>
      </c>
      <c r="L268" s="14">
        <v>218525.8</v>
      </c>
      <c r="M268" s="3">
        <f t="shared" si="12"/>
        <v>1654616.4900000002</v>
      </c>
      <c r="N268" s="14">
        <v>37241.65</v>
      </c>
      <c r="O268" s="14">
        <v>-645981.1</v>
      </c>
      <c r="P268" s="14">
        <v>36630</v>
      </c>
      <c r="Q268" s="14">
        <v>1947.81</v>
      </c>
      <c r="R268" s="14">
        <v>106521.9</v>
      </c>
      <c r="S268" s="14">
        <v>268.75</v>
      </c>
      <c r="T268" s="14"/>
      <c r="U268" s="14">
        <v>1950</v>
      </c>
      <c r="V268" s="14">
        <v>100</v>
      </c>
      <c r="W268" s="14"/>
      <c r="X268" s="2">
        <f t="shared" si="13"/>
        <v>1193295.5</v>
      </c>
      <c r="Y268" s="14">
        <v>2531.1999999999998</v>
      </c>
      <c r="Z268" s="14"/>
      <c r="AA268" s="14">
        <v>187419.47</v>
      </c>
      <c r="AB268" s="14"/>
      <c r="AC268" s="14">
        <v>40069.300000000003</v>
      </c>
      <c r="AD268" s="14"/>
      <c r="AE268" s="14"/>
      <c r="AF268" s="14"/>
      <c r="AG268" s="14"/>
      <c r="AH268" s="14">
        <v>58638.5</v>
      </c>
      <c r="AI268" s="14"/>
      <c r="AJ268" s="14"/>
      <c r="AK268" s="14"/>
      <c r="AL268" s="48">
        <f t="shared" si="14"/>
        <v>288658.47000000003</v>
      </c>
      <c r="AM268" s="22">
        <v>62</v>
      </c>
      <c r="AN268" s="14">
        <v>393</v>
      </c>
      <c r="AO268" s="14">
        <v>-5169.84</v>
      </c>
      <c r="AP268" s="14"/>
      <c r="AQ268" s="14">
        <v>-190.97</v>
      </c>
      <c r="AR268" s="44">
        <v>1.1000000000000001</v>
      </c>
    </row>
    <row r="269" spans="1:44" x14ac:dyDescent="0.25">
      <c r="A269" s="12">
        <v>5852</v>
      </c>
      <c r="B269" s="13" t="s">
        <v>22</v>
      </c>
      <c r="C269" s="14">
        <f>1233072.65-11123.25</f>
        <v>1221949.3999999999</v>
      </c>
      <c r="D269" s="14">
        <v>256850.37</v>
      </c>
      <c r="E269" s="14"/>
      <c r="F269" s="14"/>
      <c r="G269" s="14">
        <v>-2114.1</v>
      </c>
      <c r="H269" s="14">
        <v>1823.95</v>
      </c>
      <c r="I269" s="14">
        <v>368446.95</v>
      </c>
      <c r="J269" s="14">
        <v>-6169.53</v>
      </c>
      <c r="K269" s="14">
        <v>6697.5</v>
      </c>
      <c r="L269" s="14">
        <v>168401.6</v>
      </c>
      <c r="M269" s="3">
        <f t="shared" si="12"/>
        <v>2015886.14</v>
      </c>
      <c r="N269" s="14">
        <v>8016.75</v>
      </c>
      <c r="O269" s="14"/>
      <c r="P269" s="14">
        <v>113025</v>
      </c>
      <c r="Q269" s="14"/>
      <c r="R269" s="14">
        <v>122989.65</v>
      </c>
      <c r="S269" s="14"/>
      <c r="T269" s="14"/>
      <c r="U269" s="14">
        <v>3442.5</v>
      </c>
      <c r="V269" s="14"/>
      <c r="W269" s="14"/>
      <c r="X269" s="2">
        <f t="shared" si="13"/>
        <v>2263360.0399999996</v>
      </c>
      <c r="Y269" s="14">
        <v>857.75</v>
      </c>
      <c r="Z269" s="14"/>
      <c r="AA269" s="14">
        <v>41970</v>
      </c>
      <c r="AB269" s="14"/>
      <c r="AC269" s="14">
        <v>16740</v>
      </c>
      <c r="AD269" s="14"/>
      <c r="AE269" s="14"/>
      <c r="AF269" s="14"/>
      <c r="AG269" s="14">
        <v>8996</v>
      </c>
      <c r="AH269" s="14"/>
      <c r="AI269" s="14"/>
      <c r="AJ269" s="14"/>
      <c r="AK269" s="14"/>
      <c r="AL269" s="48">
        <f t="shared" si="14"/>
        <v>68563.75</v>
      </c>
      <c r="AM269" s="22">
        <v>63.5</v>
      </c>
      <c r="AN269" s="14">
        <v>477</v>
      </c>
      <c r="AO269" s="14">
        <v>-6579.61</v>
      </c>
      <c r="AP269" s="14"/>
      <c r="AQ269" s="14">
        <v>-639.85</v>
      </c>
      <c r="AR269" s="44">
        <v>1</v>
      </c>
    </row>
    <row r="270" spans="1:44" x14ac:dyDescent="0.25">
      <c r="A270" s="12">
        <v>5853</v>
      </c>
      <c r="B270" s="13" t="s">
        <v>23</v>
      </c>
      <c r="C270" s="14">
        <v>1814050.81</v>
      </c>
      <c r="D270" s="14">
        <v>285288.56</v>
      </c>
      <c r="E270" s="14"/>
      <c r="F270" s="14"/>
      <c r="G270" s="14">
        <v>49046.05</v>
      </c>
      <c r="H270" s="14">
        <v>9431.1</v>
      </c>
      <c r="I270" s="14">
        <v>251365.89</v>
      </c>
      <c r="J270" s="14">
        <v>39776.129999999997</v>
      </c>
      <c r="K270" s="14">
        <v>12798</v>
      </c>
      <c r="L270" s="14">
        <v>181020.3</v>
      </c>
      <c r="M270" s="3">
        <f t="shared" si="12"/>
        <v>2642776.84</v>
      </c>
      <c r="N270" s="14">
        <v>55087.7</v>
      </c>
      <c r="O270" s="14">
        <v>30887.1</v>
      </c>
      <c r="P270" s="14">
        <v>144315.75</v>
      </c>
      <c r="Q270" s="14">
        <v>5136.37</v>
      </c>
      <c r="R270" s="14">
        <v>91122.65</v>
      </c>
      <c r="S270" s="14">
        <v>75</v>
      </c>
      <c r="T270" s="14"/>
      <c r="U270" s="14">
        <v>3800</v>
      </c>
      <c r="V270" s="14"/>
      <c r="W270" s="14"/>
      <c r="X270" s="2">
        <f t="shared" si="13"/>
        <v>2973201.41</v>
      </c>
      <c r="Y270" s="14">
        <v>6557.8</v>
      </c>
      <c r="Z270" s="14">
        <v>147324.29999999999</v>
      </c>
      <c r="AA270" s="14"/>
      <c r="AB270" s="14"/>
      <c r="AC270" s="14">
        <v>42911.5</v>
      </c>
      <c r="AD270" s="14"/>
      <c r="AE270" s="14"/>
      <c r="AF270" s="14"/>
      <c r="AG270" s="14">
        <v>6133.9</v>
      </c>
      <c r="AH270" s="14"/>
      <c r="AI270" s="14"/>
      <c r="AJ270" s="14"/>
      <c r="AK270" s="14"/>
      <c r="AL270" s="48">
        <f t="shared" si="14"/>
        <v>202927.49999999997</v>
      </c>
      <c r="AM270" s="22">
        <v>71</v>
      </c>
      <c r="AN270" s="14">
        <v>772</v>
      </c>
      <c r="AO270" s="14">
        <v>-12000.35</v>
      </c>
      <c r="AP270" s="14"/>
      <c r="AQ270" s="14">
        <v>-482.72</v>
      </c>
      <c r="AR270" s="44">
        <v>1</v>
      </c>
    </row>
    <row r="271" spans="1:44" x14ac:dyDescent="0.25">
      <c r="A271" s="12">
        <v>5854</v>
      </c>
      <c r="B271" s="13" t="s">
        <v>24</v>
      </c>
      <c r="C271" s="14">
        <v>642029.30000000005</v>
      </c>
      <c r="D271" s="14">
        <v>94606.64</v>
      </c>
      <c r="E271" s="14"/>
      <c r="F271" s="14"/>
      <c r="G271" s="14">
        <v>19408.05</v>
      </c>
      <c r="H271" s="14">
        <v>424.2</v>
      </c>
      <c r="I271" s="14"/>
      <c r="J271" s="14">
        <v>9172.26</v>
      </c>
      <c r="K271" s="14">
        <v>1274</v>
      </c>
      <c r="L271" s="14">
        <v>91626.35</v>
      </c>
      <c r="M271" s="3">
        <f t="shared" si="12"/>
        <v>858540.8</v>
      </c>
      <c r="N271" s="14">
        <v>24172.9</v>
      </c>
      <c r="O271" s="14"/>
      <c r="P271" s="14">
        <v>7705.75</v>
      </c>
      <c r="Q271" s="14"/>
      <c r="R271" s="14"/>
      <c r="S271" s="14"/>
      <c r="T271" s="14"/>
      <c r="U271" s="14">
        <v>950</v>
      </c>
      <c r="V271" s="14"/>
      <c r="W271" s="14"/>
      <c r="X271" s="2">
        <f t="shared" si="13"/>
        <v>891369.45000000007</v>
      </c>
      <c r="Y271" s="14">
        <v>973</v>
      </c>
      <c r="Z271" s="14"/>
      <c r="AA271" s="14">
        <v>29080</v>
      </c>
      <c r="AB271" s="14"/>
      <c r="AC271" s="14">
        <v>33172.400000000001</v>
      </c>
      <c r="AD271" s="14">
        <v>30</v>
      </c>
      <c r="AE271" s="14"/>
      <c r="AF271" s="14"/>
      <c r="AG271" s="14">
        <v>654.9</v>
      </c>
      <c r="AH271" s="14">
        <v>7675.65</v>
      </c>
      <c r="AI271" s="14"/>
      <c r="AJ271" s="14"/>
      <c r="AK271" s="14"/>
      <c r="AL271" s="48">
        <f t="shared" si="14"/>
        <v>71585.95</v>
      </c>
      <c r="AM271" s="22">
        <v>80</v>
      </c>
      <c r="AN271" s="14">
        <v>352</v>
      </c>
      <c r="AO271" s="14">
        <v>-8356.2199999999993</v>
      </c>
      <c r="AP271" s="14"/>
      <c r="AQ271" s="14">
        <v>-109.34</v>
      </c>
      <c r="AR271" s="44">
        <v>1.5</v>
      </c>
    </row>
    <row r="272" spans="1:44" x14ac:dyDescent="0.25">
      <c r="A272" s="12">
        <v>5855</v>
      </c>
      <c r="B272" s="13" t="s">
        <v>25</v>
      </c>
      <c r="C272" s="14">
        <v>1771746.2</v>
      </c>
      <c r="D272" s="14">
        <v>421277.41</v>
      </c>
      <c r="E272" s="14"/>
      <c r="F272" s="14"/>
      <c r="G272" s="14">
        <v>2221.65</v>
      </c>
      <c r="H272" s="14">
        <v>19644.5</v>
      </c>
      <c r="I272" s="14">
        <v>618638.89</v>
      </c>
      <c r="J272" s="14">
        <v>77095.53</v>
      </c>
      <c r="K272" s="14">
        <v>2549</v>
      </c>
      <c r="L272" s="14">
        <v>149493.70000000001</v>
      </c>
      <c r="M272" s="3">
        <f t="shared" si="12"/>
        <v>3062666.88</v>
      </c>
      <c r="N272" s="14">
        <v>2150.65</v>
      </c>
      <c r="O272" s="14">
        <v>515090</v>
      </c>
      <c r="P272" s="14">
        <v>265586.90000000002</v>
      </c>
      <c r="Q272" s="14"/>
      <c r="R272" s="14">
        <v>133343.04999999999</v>
      </c>
      <c r="S272" s="14">
        <v>93.75</v>
      </c>
      <c r="T272" s="14"/>
      <c r="U272" s="14">
        <v>2280</v>
      </c>
      <c r="V272" s="14"/>
      <c r="W272" s="14"/>
      <c r="X272" s="2">
        <f t="shared" si="13"/>
        <v>3981211.2299999995</v>
      </c>
      <c r="Y272" s="14">
        <v>57128.45</v>
      </c>
      <c r="Z272" s="14"/>
      <c r="AA272" s="14">
        <v>128233.3</v>
      </c>
      <c r="AB272" s="14"/>
      <c r="AC272" s="14">
        <v>20075.849999999999</v>
      </c>
      <c r="AD272" s="14"/>
      <c r="AE272" s="14"/>
      <c r="AF272" s="14"/>
      <c r="AG272" s="14">
        <v>11766.1</v>
      </c>
      <c r="AH272" s="14"/>
      <c r="AI272" s="14"/>
      <c r="AJ272" s="14"/>
      <c r="AK272" s="14"/>
      <c r="AL272" s="48">
        <f t="shared" si="14"/>
        <v>217203.7</v>
      </c>
      <c r="AM272" s="22">
        <v>49</v>
      </c>
      <c r="AN272" s="14">
        <v>636</v>
      </c>
      <c r="AO272" s="14">
        <v>-7712.89</v>
      </c>
      <c r="AP272" s="14"/>
      <c r="AQ272" s="14">
        <v>-2142.0500000000002</v>
      </c>
      <c r="AR272" s="44">
        <v>0.5</v>
      </c>
    </row>
    <row r="273" spans="1:44" x14ac:dyDescent="0.25">
      <c r="A273" s="12">
        <v>5856</v>
      </c>
      <c r="B273" s="13" t="s">
        <v>26</v>
      </c>
      <c r="C273" s="14">
        <v>1341271.72</v>
      </c>
      <c r="D273" s="14">
        <v>190878.22</v>
      </c>
      <c r="E273" s="14"/>
      <c r="F273" s="14"/>
      <c r="G273" s="14">
        <v>506.25</v>
      </c>
      <c r="H273" s="14">
        <v>608.54999999999995</v>
      </c>
      <c r="I273" s="14">
        <v>180427.05</v>
      </c>
      <c r="J273" s="14">
        <v>77898.73</v>
      </c>
      <c r="K273" s="14">
        <v>1786</v>
      </c>
      <c r="L273" s="14">
        <v>218060.2</v>
      </c>
      <c r="M273" s="3">
        <f t="shared" si="12"/>
        <v>2011436.72</v>
      </c>
      <c r="N273" s="14"/>
      <c r="O273" s="14">
        <v>4594.8999999999996</v>
      </c>
      <c r="P273" s="14">
        <v>7396.65</v>
      </c>
      <c r="Q273" s="14">
        <v>2285.09</v>
      </c>
      <c r="R273" s="14">
        <v>25890.05</v>
      </c>
      <c r="S273" s="14"/>
      <c r="T273" s="14"/>
      <c r="U273" s="14">
        <v>2775</v>
      </c>
      <c r="V273" s="14"/>
      <c r="W273" s="14"/>
      <c r="X273" s="2">
        <f t="shared" si="13"/>
        <v>2054378.41</v>
      </c>
      <c r="Y273" s="14">
        <v>1150</v>
      </c>
      <c r="Z273" s="14"/>
      <c r="AA273" s="14">
        <v>132831.1</v>
      </c>
      <c r="AB273" s="14"/>
      <c r="AC273" s="14">
        <v>63565.9</v>
      </c>
      <c r="AD273" s="14">
        <v>78.099999999999994</v>
      </c>
      <c r="AE273" s="14"/>
      <c r="AF273" s="14"/>
      <c r="AG273" s="14"/>
      <c r="AH273" s="14"/>
      <c r="AI273" s="14"/>
      <c r="AJ273" s="14"/>
      <c r="AK273" s="14"/>
      <c r="AL273" s="48">
        <f t="shared" si="14"/>
        <v>197625.1</v>
      </c>
      <c r="AM273" s="22">
        <v>68</v>
      </c>
      <c r="AN273" s="14">
        <v>700</v>
      </c>
      <c r="AO273" s="14">
        <v>-6983.38</v>
      </c>
      <c r="AP273" s="14"/>
      <c r="AQ273" s="14">
        <v>-311.41000000000003</v>
      </c>
      <c r="AR273" s="44">
        <v>1.3</v>
      </c>
    </row>
    <row r="274" spans="1:44" x14ac:dyDescent="0.25">
      <c r="A274" s="12">
        <v>5857</v>
      </c>
      <c r="B274" s="13" t="s">
        <v>27</v>
      </c>
      <c r="C274" s="14">
        <v>2861672.92</v>
      </c>
      <c r="D274" s="14">
        <v>531548.43999999994</v>
      </c>
      <c r="E274" s="14"/>
      <c r="F274" s="14"/>
      <c r="G274" s="14">
        <v>46803.75</v>
      </c>
      <c r="H274" s="14">
        <v>1255.4000000000001</v>
      </c>
      <c r="I274" s="14">
        <v>10166.549999999999</v>
      </c>
      <c r="J274" s="14">
        <v>7886.67</v>
      </c>
      <c r="K274" s="14">
        <v>5690.5</v>
      </c>
      <c r="L274" s="14">
        <v>312500.25</v>
      </c>
      <c r="M274" s="3">
        <f t="shared" si="12"/>
        <v>3777524.4799999995</v>
      </c>
      <c r="N274" s="14">
        <v>62919.5</v>
      </c>
      <c r="O274" s="14">
        <v>123134.3</v>
      </c>
      <c r="P274" s="14">
        <v>276375.75</v>
      </c>
      <c r="Q274" s="14"/>
      <c r="R274" s="14">
        <v>264007.65000000002</v>
      </c>
      <c r="S274" s="14">
        <v>62.5</v>
      </c>
      <c r="T274" s="14"/>
      <c r="U274" s="14">
        <v>1950</v>
      </c>
      <c r="V274" s="14"/>
      <c r="W274" s="14"/>
      <c r="X274" s="2">
        <f t="shared" si="13"/>
        <v>4505974.18</v>
      </c>
      <c r="Y274" s="14">
        <v>19492.5</v>
      </c>
      <c r="Z274" s="14"/>
      <c r="AA274" s="14">
        <v>80189.05</v>
      </c>
      <c r="AB274" s="14"/>
      <c r="AC274" s="14">
        <v>72010.75</v>
      </c>
      <c r="AD274" s="14"/>
      <c r="AE274" s="14"/>
      <c r="AF274" s="14"/>
      <c r="AG274" s="14">
        <v>1510.1</v>
      </c>
      <c r="AH274" s="14">
        <v>27363.55</v>
      </c>
      <c r="AI274" s="14"/>
      <c r="AJ274" s="14"/>
      <c r="AK274" s="14"/>
      <c r="AL274" s="48">
        <f t="shared" si="14"/>
        <v>200565.94999999998</v>
      </c>
      <c r="AM274" s="22">
        <v>66</v>
      </c>
      <c r="AN274" s="14">
        <v>1131</v>
      </c>
      <c r="AO274" s="14">
        <v>-100860.13</v>
      </c>
      <c r="AP274" s="14"/>
      <c r="AQ274" s="14">
        <v>-799.71</v>
      </c>
      <c r="AR274" s="44">
        <v>1</v>
      </c>
    </row>
    <row r="275" spans="1:44" x14ac:dyDescent="0.25">
      <c r="A275" s="12">
        <v>5858</v>
      </c>
      <c r="B275" s="13" t="s">
        <v>28</v>
      </c>
      <c r="C275" s="14">
        <v>1396188.2</v>
      </c>
      <c r="D275" s="14">
        <v>309338.5</v>
      </c>
      <c r="E275" s="14"/>
      <c r="F275" s="14"/>
      <c r="G275" s="14">
        <v>10713.8</v>
      </c>
      <c r="H275" s="14">
        <v>2194.5</v>
      </c>
      <c r="I275" s="14">
        <v>81744.3</v>
      </c>
      <c r="J275" s="14">
        <v>103421.04</v>
      </c>
      <c r="K275" s="14">
        <v>1042.2</v>
      </c>
      <c r="L275" s="14">
        <v>209145.1</v>
      </c>
      <c r="M275" s="3">
        <f t="shared" si="12"/>
        <v>2113787.64</v>
      </c>
      <c r="N275" s="14">
        <v>11284.05</v>
      </c>
      <c r="O275" s="14">
        <v>1393.8</v>
      </c>
      <c r="P275" s="14">
        <v>26820.3</v>
      </c>
      <c r="Q275" s="14">
        <v>4392.01</v>
      </c>
      <c r="R275" s="14">
        <v>24745.75</v>
      </c>
      <c r="S275" s="14"/>
      <c r="T275" s="14"/>
      <c r="U275" s="14">
        <v>1950</v>
      </c>
      <c r="V275" s="14"/>
      <c r="W275" s="14"/>
      <c r="X275" s="2">
        <f t="shared" si="13"/>
        <v>2184373.5499999993</v>
      </c>
      <c r="Y275" s="14">
        <v>41580</v>
      </c>
      <c r="Z275" s="14"/>
      <c r="AA275" s="14">
        <v>24949.7</v>
      </c>
      <c r="AB275" s="14"/>
      <c r="AC275" s="14">
        <v>32570.799999999999</v>
      </c>
      <c r="AD275" s="14"/>
      <c r="AE275" s="14"/>
      <c r="AF275" s="14"/>
      <c r="AG275" s="14">
        <v>27.3</v>
      </c>
      <c r="AH275" s="14">
        <v>19309.3</v>
      </c>
      <c r="AI275" s="14"/>
      <c r="AJ275" s="14"/>
      <c r="AK275" s="14"/>
      <c r="AL275" s="48">
        <f t="shared" si="14"/>
        <v>118437.1</v>
      </c>
      <c r="AM275" s="22">
        <v>60</v>
      </c>
      <c r="AN275" s="14">
        <v>633</v>
      </c>
      <c r="AO275" s="14">
        <v>-32489.95</v>
      </c>
      <c r="AP275" s="14"/>
      <c r="AQ275" s="14">
        <v>-300.37</v>
      </c>
      <c r="AR275" s="44">
        <v>1.5</v>
      </c>
    </row>
    <row r="276" spans="1:44" x14ac:dyDescent="0.25">
      <c r="A276" s="12">
        <v>5859</v>
      </c>
      <c r="B276" s="13" t="s">
        <v>29</v>
      </c>
      <c r="C276" s="14">
        <v>6448741.7599999998</v>
      </c>
      <c r="D276" s="14">
        <v>1649349.52</v>
      </c>
      <c r="E276" s="14"/>
      <c r="F276" s="14"/>
      <c r="G276" s="14">
        <v>136101.20000000001</v>
      </c>
      <c r="H276" s="14">
        <v>-6845.4</v>
      </c>
      <c r="I276" s="14">
        <v>442766.5</v>
      </c>
      <c r="J276" s="14">
        <v>91804.29</v>
      </c>
      <c r="K276" s="14">
        <v>19193.7</v>
      </c>
      <c r="L276" s="14">
        <v>587089.55000000005</v>
      </c>
      <c r="M276" s="3">
        <f t="shared" si="12"/>
        <v>9368201.1199999973</v>
      </c>
      <c r="N276" s="14">
        <v>60557.85</v>
      </c>
      <c r="O276" s="14">
        <v>35430.9</v>
      </c>
      <c r="P276" s="14">
        <v>286768.05</v>
      </c>
      <c r="Q276" s="14">
        <v>359.66</v>
      </c>
      <c r="R276" s="14">
        <v>213633.05</v>
      </c>
      <c r="S276" s="14"/>
      <c r="T276" s="14"/>
      <c r="U276" s="14">
        <v>13250</v>
      </c>
      <c r="V276" s="14"/>
      <c r="W276" s="14"/>
      <c r="X276" s="2">
        <f t="shared" si="13"/>
        <v>9978200.629999999</v>
      </c>
      <c r="Y276" s="14">
        <v>18536.2</v>
      </c>
      <c r="Z276" s="14"/>
      <c r="AA276" s="14">
        <v>376588.1</v>
      </c>
      <c r="AB276" s="14"/>
      <c r="AC276" s="14">
        <v>165769.9</v>
      </c>
      <c r="AD276" s="14"/>
      <c r="AE276" s="14"/>
      <c r="AF276" s="14"/>
      <c r="AG276" s="14"/>
      <c r="AH276" s="14"/>
      <c r="AI276" s="14"/>
      <c r="AJ276" s="14"/>
      <c r="AK276" s="14"/>
      <c r="AL276" s="48">
        <f t="shared" si="14"/>
        <v>560894.19999999995</v>
      </c>
      <c r="AM276" s="22">
        <v>63</v>
      </c>
      <c r="AN276" s="14">
        <v>2594</v>
      </c>
      <c r="AO276" s="14">
        <v>-62389.56</v>
      </c>
      <c r="AP276" s="14"/>
      <c r="AQ276" s="14">
        <v>-5633.05</v>
      </c>
      <c r="AR276" s="44">
        <v>1</v>
      </c>
    </row>
    <row r="277" spans="1:44" x14ac:dyDescent="0.25">
      <c r="A277" s="12">
        <v>5860</v>
      </c>
      <c r="B277" s="13" t="s">
        <v>30</v>
      </c>
      <c r="C277" s="14">
        <v>3615313.97</v>
      </c>
      <c r="D277" s="14">
        <v>808258.73</v>
      </c>
      <c r="E277" s="14"/>
      <c r="F277" s="14"/>
      <c r="G277" s="14">
        <v>113140.7</v>
      </c>
      <c r="H277" s="14">
        <v>7498.5</v>
      </c>
      <c r="I277" s="14">
        <v>282874.5</v>
      </c>
      <c r="J277" s="14">
        <v>135430.39000000001</v>
      </c>
      <c r="K277" s="14">
        <v>-19501</v>
      </c>
      <c r="L277" s="14">
        <v>564590.25</v>
      </c>
      <c r="M277" s="3">
        <f t="shared" si="12"/>
        <v>5507606.04</v>
      </c>
      <c r="N277" s="14">
        <v>18250.349999999999</v>
      </c>
      <c r="O277" s="14">
        <v>720.1</v>
      </c>
      <c r="P277" s="14">
        <v>387454.9</v>
      </c>
      <c r="Q277" s="14">
        <v>16479.36</v>
      </c>
      <c r="R277" s="14">
        <v>359146.65</v>
      </c>
      <c r="S277" s="14"/>
      <c r="T277" s="14"/>
      <c r="U277" s="14">
        <v>7320</v>
      </c>
      <c r="V277" s="14"/>
      <c r="W277" s="14"/>
      <c r="X277" s="2">
        <f t="shared" si="13"/>
        <v>6296977.4000000004</v>
      </c>
      <c r="Y277" s="14">
        <v>79990.75</v>
      </c>
      <c r="Z277" s="14"/>
      <c r="AA277" s="14">
        <v>275664.51</v>
      </c>
      <c r="AB277" s="14"/>
      <c r="AC277" s="14">
        <v>85697.22</v>
      </c>
      <c r="AD277" s="14"/>
      <c r="AE277" s="14"/>
      <c r="AF277" s="14"/>
      <c r="AG277" s="14"/>
      <c r="AH277" s="14"/>
      <c r="AI277" s="14"/>
      <c r="AJ277" s="14"/>
      <c r="AK277" s="14"/>
      <c r="AL277" s="48">
        <f t="shared" si="14"/>
        <v>441352.48</v>
      </c>
      <c r="AM277" s="22">
        <v>60</v>
      </c>
      <c r="AN277" s="14">
        <v>1464</v>
      </c>
      <c r="AO277" s="14">
        <v>-94529.2</v>
      </c>
      <c r="AP277" s="14"/>
      <c r="AQ277" s="14">
        <v>-4762.24</v>
      </c>
      <c r="AR277" s="44">
        <v>1.3</v>
      </c>
    </row>
    <row r="278" spans="1:44" x14ac:dyDescent="0.25">
      <c r="A278" s="12">
        <v>5861</v>
      </c>
      <c r="B278" s="13" t="s">
        <v>31</v>
      </c>
      <c r="C278" s="14">
        <v>10956241.949999999</v>
      </c>
      <c r="D278" s="14">
        <v>2287345.88</v>
      </c>
      <c r="E278" s="14">
        <v>613651</v>
      </c>
      <c r="F278" s="14"/>
      <c r="G278" s="14">
        <v>18944666.100000001</v>
      </c>
      <c r="H278" s="14">
        <v>795856.35</v>
      </c>
      <c r="I278" s="14">
        <v>1313831.51</v>
      </c>
      <c r="J278" s="14">
        <v>1514705.56</v>
      </c>
      <c r="K278" s="14">
        <v>254227.5</v>
      </c>
      <c r="L278" s="14">
        <v>1626037.4</v>
      </c>
      <c r="M278" s="3">
        <f t="shared" si="12"/>
        <v>38306563.25</v>
      </c>
      <c r="N278" s="14">
        <v>1381772.65</v>
      </c>
      <c r="O278" s="14">
        <v>628357.1</v>
      </c>
      <c r="P278" s="14">
        <v>490543.75</v>
      </c>
      <c r="Q278" s="14">
        <v>103484.05</v>
      </c>
      <c r="R278" s="14">
        <v>685925.2</v>
      </c>
      <c r="S278" s="14">
        <v>606.25</v>
      </c>
      <c r="T278" s="14"/>
      <c r="U278" s="14">
        <v>16932</v>
      </c>
      <c r="V278" s="14"/>
      <c r="W278" s="14"/>
      <c r="X278" s="2">
        <f t="shared" si="13"/>
        <v>41614184.25</v>
      </c>
      <c r="Y278" s="14">
        <v>40890.019999999997</v>
      </c>
      <c r="Z278" s="14">
        <v>415580</v>
      </c>
      <c r="AA278" s="14">
        <v>1052946</v>
      </c>
      <c r="AB278" s="14"/>
      <c r="AC278" s="14">
        <v>356529.15</v>
      </c>
      <c r="AD278" s="14"/>
      <c r="AE278" s="14"/>
      <c r="AF278" s="14"/>
      <c r="AG278" s="14">
        <v>107574.3</v>
      </c>
      <c r="AH278" s="14">
        <v>220179.25</v>
      </c>
      <c r="AI278" s="14"/>
      <c r="AJ278" s="14"/>
      <c r="AK278" s="14"/>
      <c r="AL278" s="48">
        <f t="shared" si="14"/>
        <v>2193698.7199999997</v>
      </c>
      <c r="AM278" s="22">
        <v>59.5</v>
      </c>
      <c r="AN278" s="14">
        <v>6047</v>
      </c>
      <c r="AO278" s="14">
        <v>-253640.76</v>
      </c>
      <c r="AP278" s="14"/>
      <c r="AQ278" s="14">
        <v>-9309.49</v>
      </c>
      <c r="AR278" s="44">
        <v>1</v>
      </c>
    </row>
    <row r="279" spans="1:44" x14ac:dyDescent="0.25">
      <c r="A279" s="12">
        <v>5862</v>
      </c>
      <c r="B279" s="13" t="s">
        <v>32</v>
      </c>
      <c r="C279" s="14">
        <v>668193.56000000006</v>
      </c>
      <c r="D279" s="14">
        <v>88530.18</v>
      </c>
      <c r="E279" s="14"/>
      <c r="F279" s="14"/>
      <c r="G279" s="14">
        <v>4942.05</v>
      </c>
      <c r="H279" s="14">
        <v>-12.1</v>
      </c>
      <c r="I279" s="14"/>
      <c r="J279" s="14">
        <v>36158.28</v>
      </c>
      <c r="K279" s="14"/>
      <c r="L279" s="14">
        <v>40354.949999999997</v>
      </c>
      <c r="M279" s="3">
        <f t="shared" si="12"/>
        <v>838166.92</v>
      </c>
      <c r="N279" s="14">
        <v>6283.3</v>
      </c>
      <c r="O279" s="14">
        <v>1224</v>
      </c>
      <c r="P279" s="14">
        <v>13959.15</v>
      </c>
      <c r="Q279" s="14"/>
      <c r="R279" s="14">
        <v>10460.4</v>
      </c>
      <c r="S279" s="14">
        <v>31.25</v>
      </c>
      <c r="T279" s="14"/>
      <c r="U279" s="14">
        <v>750</v>
      </c>
      <c r="V279" s="14"/>
      <c r="W279" s="14"/>
      <c r="X279" s="2">
        <f t="shared" si="13"/>
        <v>870875.02000000014</v>
      </c>
      <c r="Y279" s="14"/>
      <c r="Z279" s="14"/>
      <c r="AA279" s="14">
        <v>46460.4</v>
      </c>
      <c r="AB279" s="14"/>
      <c r="AC279" s="14">
        <v>14251.45</v>
      </c>
      <c r="AD279" s="14"/>
      <c r="AE279" s="14"/>
      <c r="AF279" s="14"/>
      <c r="AG279" s="14"/>
      <c r="AH279" s="14"/>
      <c r="AI279" s="14"/>
      <c r="AJ279" s="14"/>
      <c r="AK279" s="14"/>
      <c r="AL279" s="48">
        <f t="shared" si="14"/>
        <v>60711.850000000006</v>
      </c>
      <c r="AM279" s="22">
        <v>84</v>
      </c>
      <c r="AN279" s="14">
        <v>230</v>
      </c>
      <c r="AO279" s="14">
        <v>-3409.8</v>
      </c>
      <c r="AP279" s="14"/>
      <c r="AQ279" s="14">
        <v>-8.23</v>
      </c>
      <c r="AR279" s="44">
        <v>0.9</v>
      </c>
    </row>
    <row r="280" spans="1:44" x14ac:dyDescent="0.25">
      <c r="A280" s="12">
        <v>5863</v>
      </c>
      <c r="B280" s="13" t="s">
        <v>33</v>
      </c>
      <c r="C280" s="14">
        <v>1506874.53</v>
      </c>
      <c r="D280" s="14">
        <v>131401.9</v>
      </c>
      <c r="E280" s="14"/>
      <c r="F280" s="14"/>
      <c r="G280" s="14">
        <v>43462.3</v>
      </c>
      <c r="H280" s="14">
        <v>57.9</v>
      </c>
      <c r="I280" s="14"/>
      <c r="J280" s="14">
        <v>54790.99</v>
      </c>
      <c r="K280" s="14">
        <v>1387</v>
      </c>
      <c r="L280" s="14">
        <v>73096.399999999994</v>
      </c>
      <c r="M280" s="3">
        <f t="shared" si="12"/>
        <v>1811071.0199999998</v>
      </c>
      <c r="N280" s="14">
        <v>20369.650000000001</v>
      </c>
      <c r="O280" s="14"/>
      <c r="P280" s="14">
        <v>17066.55</v>
      </c>
      <c r="Q280" s="14"/>
      <c r="R280" s="14">
        <v>25137.599999999999</v>
      </c>
      <c r="S280" s="14">
        <v>387.5</v>
      </c>
      <c r="T280" s="14"/>
      <c r="U280" s="14">
        <v>1300</v>
      </c>
      <c r="V280" s="14"/>
      <c r="W280" s="14"/>
      <c r="X280" s="2">
        <f t="shared" si="13"/>
        <v>1875332.3199999998</v>
      </c>
      <c r="Y280" s="14"/>
      <c r="Z280" s="14"/>
      <c r="AA280" s="14">
        <v>13424</v>
      </c>
      <c r="AB280" s="14"/>
      <c r="AC280" s="14">
        <v>34921.800000000003</v>
      </c>
      <c r="AD280" s="14"/>
      <c r="AE280" s="14"/>
      <c r="AF280" s="14"/>
      <c r="AG280" s="14">
        <v>1124.6500000000001</v>
      </c>
      <c r="AH280" s="14">
        <v>6522.65</v>
      </c>
      <c r="AI280" s="14"/>
      <c r="AJ280" s="14"/>
      <c r="AK280" s="14"/>
      <c r="AL280" s="48">
        <f t="shared" si="14"/>
        <v>55993.100000000006</v>
      </c>
      <c r="AM280" s="22">
        <v>70</v>
      </c>
      <c r="AN280" s="14">
        <v>349</v>
      </c>
      <c r="AO280" s="14">
        <v>-12386.62</v>
      </c>
      <c r="AP280" s="14"/>
      <c r="AQ280" s="14">
        <v>-2428.83</v>
      </c>
      <c r="AR280" s="44">
        <v>1</v>
      </c>
    </row>
    <row r="281" spans="1:44" x14ac:dyDescent="0.25">
      <c r="A281" s="12">
        <v>5871</v>
      </c>
      <c r="B281" s="13" t="s">
        <v>34</v>
      </c>
      <c r="C281" s="14">
        <f>486346.08+1220999.5+1042975.77</f>
        <v>2750321.35</v>
      </c>
      <c r="D281" s="14">
        <v>447664.44</v>
      </c>
      <c r="E281" s="14"/>
      <c r="F281" s="14"/>
      <c r="G281" s="14">
        <v>300058.7</v>
      </c>
      <c r="H281" s="14">
        <v>891.45</v>
      </c>
      <c r="I281" s="14">
        <v>-11689.1</v>
      </c>
      <c r="J281" s="14">
        <v>92115.51</v>
      </c>
      <c r="K281" s="14">
        <v>722.25</v>
      </c>
      <c r="L281" s="14">
        <v>229585.95</v>
      </c>
      <c r="M281" s="3">
        <f t="shared" si="12"/>
        <v>3809670.5500000003</v>
      </c>
      <c r="N281" s="14">
        <v>512529.65</v>
      </c>
      <c r="O281" s="14">
        <v>26791.599999999999</v>
      </c>
      <c r="P281" s="14">
        <v>64423</v>
      </c>
      <c r="Q281" s="14">
        <v>14793.13</v>
      </c>
      <c r="R281" s="14">
        <v>114898.95</v>
      </c>
      <c r="S281" s="14">
        <v>250</v>
      </c>
      <c r="T281" s="14"/>
      <c r="U281" s="14">
        <v>7950</v>
      </c>
      <c r="V281" s="14"/>
      <c r="W281" s="14"/>
      <c r="X281" s="2">
        <f t="shared" si="13"/>
        <v>4551306.88</v>
      </c>
      <c r="Y281" s="14">
        <v>84794</v>
      </c>
      <c r="Z281" s="14">
        <v>12702.55</v>
      </c>
      <c r="AA281" s="14">
        <v>293378.09999999998</v>
      </c>
      <c r="AB281" s="14"/>
      <c r="AC281" s="14">
        <v>145923.70000000001</v>
      </c>
      <c r="AD281" s="14"/>
      <c r="AE281" s="14"/>
      <c r="AF281" s="14"/>
      <c r="AG281" s="14">
        <v>61963.65</v>
      </c>
      <c r="AH281" s="14"/>
      <c r="AI281" s="14"/>
      <c r="AJ281" s="14"/>
      <c r="AK281" s="14"/>
      <c r="AL281" s="48">
        <f t="shared" si="14"/>
        <v>598762</v>
      </c>
      <c r="AM281" s="22">
        <v>77.11</v>
      </c>
      <c r="AN281" s="14">
        <v>1423</v>
      </c>
      <c r="AO281" s="14">
        <v>-25115.439999999999</v>
      </c>
      <c r="AP281" s="14"/>
      <c r="AQ281" s="14">
        <v>-91.14</v>
      </c>
      <c r="AR281" s="44">
        <v>1</v>
      </c>
    </row>
    <row r="282" spans="1:44" x14ac:dyDescent="0.25">
      <c r="A282" s="12">
        <v>5872</v>
      </c>
      <c r="B282" s="13" t="s">
        <v>240</v>
      </c>
      <c r="C282" s="14">
        <v>6647562.96</v>
      </c>
      <c r="D282" s="14">
        <v>933260.88</v>
      </c>
      <c r="E282" s="14"/>
      <c r="F282" s="14"/>
      <c r="G282" s="14">
        <v>12698011.800000001</v>
      </c>
      <c r="H282" s="14">
        <v>251010.45</v>
      </c>
      <c r="I282" s="14"/>
      <c r="J282" s="14">
        <v>640725.71</v>
      </c>
      <c r="K282" s="14">
        <v>40783.5</v>
      </c>
      <c r="L282" s="14">
        <v>449151.6</v>
      </c>
      <c r="M282" s="3">
        <f t="shared" si="12"/>
        <v>21660506.900000002</v>
      </c>
      <c r="N282" s="14">
        <v>4336543.1500000004</v>
      </c>
      <c r="O282" s="14">
        <v>67019.899999999994</v>
      </c>
      <c r="P282" s="14">
        <v>287706.5</v>
      </c>
      <c r="Q282" s="14">
        <v>26816.95</v>
      </c>
      <c r="R282" s="14">
        <v>205029.55</v>
      </c>
      <c r="S282" s="14">
        <v>1681.25</v>
      </c>
      <c r="T282" s="14">
        <v>2300</v>
      </c>
      <c r="U282" s="14">
        <v>26400</v>
      </c>
      <c r="V282" s="14"/>
      <c r="W282" s="14"/>
      <c r="X282" s="2">
        <f t="shared" si="13"/>
        <v>26614004.200000003</v>
      </c>
      <c r="Y282" s="14">
        <v>73694</v>
      </c>
      <c r="Z282" s="14">
        <v>36847</v>
      </c>
      <c r="AA282" s="14">
        <v>962389.95</v>
      </c>
      <c r="AB282" s="14"/>
      <c r="AC282" s="14">
        <v>416727.4</v>
      </c>
      <c r="AD282" s="14">
        <v>49129</v>
      </c>
      <c r="AE282" s="14">
        <v>24565</v>
      </c>
      <c r="AF282" s="14"/>
      <c r="AG282" s="14">
        <v>113011.42</v>
      </c>
      <c r="AH282" s="14"/>
      <c r="AI282" s="14"/>
      <c r="AJ282" s="14"/>
      <c r="AK282" s="14"/>
      <c r="AL282" s="48">
        <f t="shared" si="14"/>
        <v>1676363.77</v>
      </c>
      <c r="AM282" s="22">
        <v>69.739999999999995</v>
      </c>
      <c r="AN282" s="14">
        <v>4614</v>
      </c>
      <c r="AO282" s="14">
        <v>-80963.73</v>
      </c>
      <c r="AP282" s="14"/>
      <c r="AQ282" s="14">
        <v>-537.03</v>
      </c>
      <c r="AR282" s="44">
        <v>0.7</v>
      </c>
    </row>
    <row r="283" spans="1:44" x14ac:dyDescent="0.25">
      <c r="A283" s="12">
        <v>5873</v>
      </c>
      <c r="B283" s="13" t="s">
        <v>241</v>
      </c>
      <c r="C283" s="14">
        <v>1345521.02</v>
      </c>
      <c r="D283" s="14">
        <v>226128.54</v>
      </c>
      <c r="E283" s="14"/>
      <c r="F283" s="14"/>
      <c r="G283" s="14">
        <v>520590.8</v>
      </c>
      <c r="H283" s="14">
        <v>-14283.1</v>
      </c>
      <c r="I283" s="14"/>
      <c r="J283" s="14">
        <v>48331.14</v>
      </c>
      <c r="K283" s="14"/>
      <c r="L283" s="14">
        <v>131020.8</v>
      </c>
      <c r="M283" s="3">
        <f t="shared" si="12"/>
        <v>2257309.1999999997</v>
      </c>
      <c r="N283" s="14">
        <v>766492.05</v>
      </c>
      <c r="O283" s="14"/>
      <c r="P283" s="14">
        <v>170036.2</v>
      </c>
      <c r="Q283" s="14">
        <v>7929.71</v>
      </c>
      <c r="R283" s="14">
        <v>53636.5</v>
      </c>
      <c r="S283" s="14">
        <v>156.25</v>
      </c>
      <c r="T283" s="14"/>
      <c r="U283" s="14">
        <v>5850</v>
      </c>
      <c r="V283" s="14"/>
      <c r="W283" s="14"/>
      <c r="X283" s="2">
        <f t="shared" si="13"/>
        <v>3261409.91</v>
      </c>
      <c r="Y283" s="14">
        <v>12840</v>
      </c>
      <c r="Z283" s="14"/>
      <c r="AA283" s="14">
        <v>228102</v>
      </c>
      <c r="AB283" s="14"/>
      <c r="AC283" s="14">
        <v>87280.2</v>
      </c>
      <c r="AD283" s="14">
        <v>8140</v>
      </c>
      <c r="AE283" s="14"/>
      <c r="AF283" s="14"/>
      <c r="AG283" s="14">
        <v>23543.7</v>
      </c>
      <c r="AH283" s="14"/>
      <c r="AI283" s="14"/>
      <c r="AJ283" s="14"/>
      <c r="AK283" s="14"/>
      <c r="AL283" s="48">
        <f t="shared" si="14"/>
        <v>359905.9</v>
      </c>
      <c r="AM283" s="22">
        <v>65</v>
      </c>
      <c r="AN283" s="14">
        <v>859</v>
      </c>
      <c r="AO283" s="14">
        <v>-18562.34</v>
      </c>
      <c r="AP283" s="14"/>
      <c r="AQ283" s="14">
        <v>-97.47</v>
      </c>
      <c r="AR283" s="44">
        <v>0.6</v>
      </c>
    </row>
    <row r="284" spans="1:44" x14ac:dyDescent="0.25">
      <c r="A284" s="12">
        <v>5881</v>
      </c>
      <c r="B284" s="13" t="s">
        <v>242</v>
      </c>
      <c r="C284" s="14">
        <v>18160616.850000001</v>
      </c>
      <c r="D284" s="14">
        <v>2900510.69</v>
      </c>
      <c r="E284" s="14"/>
      <c r="F284" s="14"/>
      <c r="G284" s="14">
        <v>900957.2</v>
      </c>
      <c r="H284" s="14">
        <v>3584.85</v>
      </c>
      <c r="I284" s="14">
        <v>575811.28</v>
      </c>
      <c r="J284" s="14">
        <v>597643.92000000004</v>
      </c>
      <c r="K284" s="14">
        <v>53867</v>
      </c>
      <c r="L284" s="14">
        <v>1523634.85</v>
      </c>
      <c r="M284" s="3">
        <f t="shared" si="12"/>
        <v>24716626.640000008</v>
      </c>
      <c r="N284" s="14">
        <v>84265.7</v>
      </c>
      <c r="O284" s="14">
        <v>70267.899999999994</v>
      </c>
      <c r="P284" s="14">
        <v>939378</v>
      </c>
      <c r="Q284" s="14">
        <v>308976.87</v>
      </c>
      <c r="R284" s="14">
        <v>881290.3</v>
      </c>
      <c r="S284" s="14">
        <v>431.25</v>
      </c>
      <c r="T284" s="14"/>
      <c r="U284" s="14">
        <v>39550</v>
      </c>
      <c r="V284" s="14"/>
      <c r="W284" s="14"/>
      <c r="X284" s="2">
        <f t="shared" si="13"/>
        <v>27040786.660000008</v>
      </c>
      <c r="Y284" s="14">
        <v>254624.15</v>
      </c>
      <c r="Z284" s="14"/>
      <c r="AA284" s="14">
        <v>452000.9</v>
      </c>
      <c r="AB284" s="14"/>
      <c r="AC284" s="14">
        <v>758353.15</v>
      </c>
      <c r="AD284" s="14">
        <v>326635.65000000002</v>
      </c>
      <c r="AE284" s="14"/>
      <c r="AF284" s="14"/>
      <c r="AG284" s="14"/>
      <c r="AH284" s="14"/>
      <c r="AI284" s="14"/>
      <c r="AJ284" s="14"/>
      <c r="AK284" s="14"/>
      <c r="AL284" s="48">
        <f t="shared" si="14"/>
        <v>1791613.85</v>
      </c>
      <c r="AM284" s="22">
        <v>70</v>
      </c>
      <c r="AN284" s="14">
        <v>6132</v>
      </c>
      <c r="AO284" s="14">
        <v>-495350.95</v>
      </c>
      <c r="AP284" s="14"/>
      <c r="AQ284" s="14">
        <v>-9066.18</v>
      </c>
      <c r="AR284" s="44">
        <v>1</v>
      </c>
    </row>
    <row r="285" spans="1:44" x14ac:dyDescent="0.25">
      <c r="A285" s="12">
        <v>5882</v>
      </c>
      <c r="B285" s="13" t="s">
        <v>243</v>
      </c>
      <c r="C285" s="14">
        <v>7148127.3300000001</v>
      </c>
      <c r="D285" s="14">
        <v>1618927.47</v>
      </c>
      <c r="E285" s="14"/>
      <c r="F285" s="14"/>
      <c r="G285" s="14">
        <v>323835.15000000002</v>
      </c>
      <c r="H285" s="14">
        <v>15348.7</v>
      </c>
      <c r="I285" s="14">
        <v>648858.9</v>
      </c>
      <c r="J285" s="14">
        <v>205936.44</v>
      </c>
      <c r="K285" s="14">
        <v>14266</v>
      </c>
      <c r="L285" s="14">
        <v>808765.75</v>
      </c>
      <c r="M285" s="3">
        <f t="shared" si="12"/>
        <v>10784065.74</v>
      </c>
      <c r="N285" s="14"/>
      <c r="O285" s="14">
        <v>714160.5</v>
      </c>
      <c r="P285" s="14">
        <v>472638.5</v>
      </c>
      <c r="Q285" s="14">
        <v>40184.85</v>
      </c>
      <c r="R285" s="14">
        <v>266673.15000000002</v>
      </c>
      <c r="S285" s="14">
        <v>118.9</v>
      </c>
      <c r="T285" s="14"/>
      <c r="U285" s="14">
        <v>11440</v>
      </c>
      <c r="V285" s="14"/>
      <c r="W285" s="14"/>
      <c r="X285" s="2">
        <f t="shared" si="13"/>
        <v>12289281.640000001</v>
      </c>
      <c r="Y285" s="14">
        <v>-17067.25</v>
      </c>
      <c r="Z285" s="14"/>
      <c r="AA285" s="14">
        <v>278639.94</v>
      </c>
      <c r="AB285" s="14"/>
      <c r="AC285" s="14">
        <v>232156.99</v>
      </c>
      <c r="AD285" s="14"/>
      <c r="AE285" s="14"/>
      <c r="AF285" s="14"/>
      <c r="AG285" s="14"/>
      <c r="AH285" s="14"/>
      <c r="AI285" s="14"/>
      <c r="AJ285" s="14"/>
      <c r="AK285" s="14"/>
      <c r="AL285" s="48">
        <f t="shared" si="14"/>
        <v>493729.68</v>
      </c>
      <c r="AM285" s="22">
        <v>66</v>
      </c>
      <c r="AN285" s="14">
        <v>2889</v>
      </c>
      <c r="AO285" s="14">
        <v>-72369.570000000007</v>
      </c>
      <c r="AP285" s="14"/>
      <c r="AQ285" s="14">
        <v>-2180.65</v>
      </c>
      <c r="AR285" s="44">
        <v>1</v>
      </c>
    </row>
    <row r="286" spans="1:44" x14ac:dyDescent="0.25">
      <c r="A286" s="12">
        <v>5883</v>
      </c>
      <c r="B286" s="13" t="s">
        <v>244</v>
      </c>
      <c r="C286" s="14">
        <v>6715163.75</v>
      </c>
      <c r="D286" s="14">
        <v>1410564.35</v>
      </c>
      <c r="E286" s="14"/>
      <c r="F286" s="14"/>
      <c r="G286" s="14">
        <v>263465.84999999998</v>
      </c>
      <c r="H286" s="14">
        <v>4142.3999999999996</v>
      </c>
      <c r="I286" s="14">
        <v>119265.4</v>
      </c>
      <c r="J286" s="14">
        <v>163909.34</v>
      </c>
      <c r="K286" s="14">
        <v>15237.5</v>
      </c>
      <c r="L286" s="14">
        <v>586718.55000000005</v>
      </c>
      <c r="M286" s="3">
        <f t="shared" si="12"/>
        <v>9278467.1400000006</v>
      </c>
      <c r="N286" s="14">
        <v>4430.75</v>
      </c>
      <c r="O286" s="14">
        <v>303292.90000000002</v>
      </c>
      <c r="P286" s="14">
        <v>443659.55</v>
      </c>
      <c r="Q286" s="14">
        <v>179154.01</v>
      </c>
      <c r="R286" s="14">
        <v>375029.3</v>
      </c>
      <c r="S286" s="14">
        <v>62.55</v>
      </c>
      <c r="T286" s="14"/>
      <c r="U286" s="14">
        <v>4975</v>
      </c>
      <c r="V286" s="14"/>
      <c r="W286" s="14"/>
      <c r="X286" s="2">
        <f t="shared" si="13"/>
        <v>10589071.200000003</v>
      </c>
      <c r="Y286" s="14"/>
      <c r="Z286" s="14"/>
      <c r="AA286" s="14"/>
      <c r="AB286" s="14">
        <v>445640</v>
      </c>
      <c r="AC286" s="14">
        <v>374072.41</v>
      </c>
      <c r="AD286" s="14">
        <v>228688.64000000001</v>
      </c>
      <c r="AE286" s="14"/>
      <c r="AF286" s="14"/>
      <c r="AG286" s="14"/>
      <c r="AH286" s="14"/>
      <c r="AI286" s="14"/>
      <c r="AJ286" s="14"/>
      <c r="AK286" s="14"/>
      <c r="AL286" s="48">
        <f t="shared" si="14"/>
        <v>1048401.0499999999</v>
      </c>
      <c r="AM286" s="22">
        <v>64</v>
      </c>
      <c r="AN286" s="14">
        <v>2172</v>
      </c>
      <c r="AO286" s="14">
        <v>-203366.76</v>
      </c>
      <c r="AP286" s="14"/>
      <c r="AQ286" s="14">
        <v>-11498.93</v>
      </c>
      <c r="AR286" s="44">
        <v>1</v>
      </c>
    </row>
    <row r="287" spans="1:44" x14ac:dyDescent="0.25">
      <c r="A287" s="12">
        <v>5884</v>
      </c>
      <c r="B287" s="13" t="s">
        <v>54</v>
      </c>
      <c r="C287" s="14">
        <v>5323248.8600000003</v>
      </c>
      <c r="D287" s="14">
        <v>766003.5</v>
      </c>
      <c r="E287" s="14"/>
      <c r="F287" s="14"/>
      <c r="G287" s="14">
        <v>1526402.79</v>
      </c>
      <c r="H287" s="14">
        <v>15086.8</v>
      </c>
      <c r="I287" s="14">
        <v>16478.900000000001</v>
      </c>
      <c r="J287" s="14">
        <v>273364.46000000002</v>
      </c>
      <c r="K287" s="14">
        <v>166715.5</v>
      </c>
      <c r="L287" s="14">
        <v>878929.3</v>
      </c>
      <c r="M287" s="3">
        <f t="shared" si="12"/>
        <v>8966230.1100000013</v>
      </c>
      <c r="N287" s="14">
        <v>276074.8</v>
      </c>
      <c r="O287" s="14">
        <v>26716.3</v>
      </c>
      <c r="P287" s="14">
        <v>352541.65</v>
      </c>
      <c r="Q287" s="14">
        <v>66588.81</v>
      </c>
      <c r="R287" s="14">
        <v>140627.29999999999</v>
      </c>
      <c r="S287" s="14">
        <v>487.5</v>
      </c>
      <c r="T287" s="14"/>
      <c r="U287" s="14">
        <v>17150</v>
      </c>
      <c r="V287" s="14"/>
      <c r="W287" s="14"/>
      <c r="X287" s="2">
        <f t="shared" si="13"/>
        <v>9846416.4700000044</v>
      </c>
      <c r="Y287" s="14">
        <v>6153.7</v>
      </c>
      <c r="Z287" s="14">
        <v>307721.2</v>
      </c>
      <c r="AA287" s="14"/>
      <c r="AB287" s="14">
        <v>596673.94999999995</v>
      </c>
      <c r="AC287" s="14">
        <v>244009.55</v>
      </c>
      <c r="AD287" s="14"/>
      <c r="AE287" s="14"/>
      <c r="AF287" s="14"/>
      <c r="AG287" s="14">
        <v>14907</v>
      </c>
      <c r="AH287" s="14">
        <v>275914.05</v>
      </c>
      <c r="AI287" s="14"/>
      <c r="AJ287" s="14"/>
      <c r="AK287" s="14"/>
      <c r="AL287" s="48">
        <f t="shared" si="14"/>
        <v>1445379.45</v>
      </c>
      <c r="AM287" s="22">
        <v>66</v>
      </c>
      <c r="AN287" s="14">
        <v>3427</v>
      </c>
      <c r="AO287" s="14">
        <v>-148978.16</v>
      </c>
      <c r="AP287" s="14"/>
      <c r="AQ287" s="14">
        <v>-276.98</v>
      </c>
      <c r="AR287" s="44">
        <v>1.2</v>
      </c>
    </row>
    <row r="288" spans="1:44" x14ac:dyDescent="0.25">
      <c r="A288" s="12">
        <v>5885</v>
      </c>
      <c r="B288" s="13" t="s">
        <v>55</v>
      </c>
      <c r="C288" s="14">
        <v>11194670.01</v>
      </c>
      <c r="D288" s="14">
        <v>1919927.52</v>
      </c>
      <c r="E288" s="14"/>
      <c r="F288" s="14"/>
      <c r="G288" s="14">
        <v>48702.3</v>
      </c>
      <c r="H288" s="14">
        <v>256.5</v>
      </c>
      <c r="I288" s="14">
        <v>108946.15</v>
      </c>
      <c r="J288" s="14">
        <v>41176.28</v>
      </c>
      <c r="K288" s="14">
        <v>7751.5</v>
      </c>
      <c r="L288" s="14">
        <v>378791.05</v>
      </c>
      <c r="M288" s="3">
        <f t="shared" si="12"/>
        <v>13700221.310000001</v>
      </c>
      <c r="N288" s="14"/>
      <c r="O288" s="14">
        <v>55331</v>
      </c>
      <c r="P288" s="14">
        <v>211033.65</v>
      </c>
      <c r="Q288" s="14">
        <v>3664.73</v>
      </c>
      <c r="R288" s="14">
        <v>116776.7</v>
      </c>
      <c r="S288" s="14">
        <v>93.75</v>
      </c>
      <c r="T288" s="14"/>
      <c r="U288" s="14">
        <v>6750</v>
      </c>
      <c r="V288" s="14"/>
      <c r="W288" s="14"/>
      <c r="X288" s="2">
        <f t="shared" si="13"/>
        <v>14093871.140000001</v>
      </c>
      <c r="Y288" s="14"/>
      <c r="Z288" s="14"/>
      <c r="AA288" s="14"/>
      <c r="AB288" s="14"/>
      <c r="AC288" s="14"/>
      <c r="AD288" s="14"/>
      <c r="AE288" s="14"/>
      <c r="AF288" s="14"/>
      <c r="AG288" s="14"/>
      <c r="AH288" s="14"/>
      <c r="AI288" s="14"/>
      <c r="AJ288" s="14"/>
      <c r="AK288" s="14"/>
      <c r="AL288" s="48">
        <f t="shared" si="14"/>
        <v>0</v>
      </c>
      <c r="AM288" s="22">
        <v>69</v>
      </c>
      <c r="AN288" s="14">
        <v>1493</v>
      </c>
      <c r="AO288" s="14">
        <v>-12401.94</v>
      </c>
      <c r="AP288" s="14"/>
      <c r="AQ288" s="14">
        <v>-2502.75</v>
      </c>
      <c r="AR288" s="44">
        <v>1.2</v>
      </c>
    </row>
    <row r="289" spans="1:44" x14ac:dyDescent="0.25">
      <c r="A289" s="12">
        <v>5886</v>
      </c>
      <c r="B289" s="13" t="s">
        <v>56</v>
      </c>
      <c r="C289" s="14">
        <v>43222321.770000003</v>
      </c>
      <c r="D289" s="14">
        <v>9715565.9000000004</v>
      </c>
      <c r="E289" s="14"/>
      <c r="F289" s="14"/>
      <c r="G289" s="14">
        <v>7110900.9500000002</v>
      </c>
      <c r="H289" s="14">
        <v>401990.9</v>
      </c>
      <c r="I289" s="14">
        <v>3544361.28</v>
      </c>
      <c r="J289" s="14">
        <v>2751024.59</v>
      </c>
      <c r="K289" s="14">
        <v>532089.94999999995</v>
      </c>
      <c r="L289" s="14">
        <v>9320391.8100000005</v>
      </c>
      <c r="M289" s="3">
        <f t="shared" si="12"/>
        <v>76598647.150000006</v>
      </c>
      <c r="N289" s="14">
        <v>803251.7</v>
      </c>
      <c r="O289" s="14">
        <v>4393730.5999999996</v>
      </c>
      <c r="P289" s="14">
        <v>5594004.7999999998</v>
      </c>
      <c r="Q289" s="14">
        <v>458969.03</v>
      </c>
      <c r="R289" s="14">
        <v>3407815.55</v>
      </c>
      <c r="S289" s="14">
        <v>4162.5</v>
      </c>
      <c r="T289" s="14"/>
      <c r="U289" s="14">
        <v>118450</v>
      </c>
      <c r="V289" s="14"/>
      <c r="W289" s="14"/>
      <c r="X289" s="2">
        <f t="shared" si="13"/>
        <v>91379031.329999998</v>
      </c>
      <c r="Y289" s="14"/>
      <c r="Z289" s="14"/>
      <c r="AA289" s="14">
        <v>2562734.35</v>
      </c>
      <c r="AB289" s="14"/>
      <c r="AC289" s="14">
        <v>3970623.05</v>
      </c>
      <c r="AD289" s="14"/>
      <c r="AE289" s="14"/>
      <c r="AF289" s="14"/>
      <c r="AG289" s="14"/>
      <c r="AH289" s="14"/>
      <c r="AI289" s="14"/>
      <c r="AJ289" s="14"/>
      <c r="AK289" s="14"/>
      <c r="AL289" s="48">
        <f t="shared" si="14"/>
        <v>6533357.4000000004</v>
      </c>
      <c r="AM289" s="22">
        <v>65</v>
      </c>
      <c r="AN289" s="14">
        <v>26283</v>
      </c>
      <c r="AO289" s="14">
        <v>-1572183.83</v>
      </c>
      <c r="AP289" s="14"/>
      <c r="AQ289" s="14">
        <v>-24187.98</v>
      </c>
      <c r="AR289" s="44">
        <v>1.5</v>
      </c>
    </row>
    <row r="290" spans="1:44" x14ac:dyDescent="0.25">
      <c r="A290" s="12">
        <v>5888</v>
      </c>
      <c r="B290" s="13" t="s">
        <v>640</v>
      </c>
      <c r="C290" s="14">
        <v>15244940.9</v>
      </c>
      <c r="D290" s="14">
        <v>2792625.57</v>
      </c>
      <c r="E290" s="14"/>
      <c r="F290" s="14"/>
      <c r="G290" s="14">
        <v>653135.5</v>
      </c>
      <c r="H290" s="14">
        <v>31749.65</v>
      </c>
      <c r="I290" s="14">
        <v>389017.5</v>
      </c>
      <c r="J290" s="14">
        <v>359004.09</v>
      </c>
      <c r="K290" s="14">
        <v>36325.5</v>
      </c>
      <c r="L290" s="14">
        <v>1332324.5</v>
      </c>
      <c r="M290" s="3">
        <f t="shared" si="12"/>
        <v>20839123.209999997</v>
      </c>
      <c r="N290" s="14">
        <v>140293.25</v>
      </c>
      <c r="O290" s="14">
        <v>188428.5</v>
      </c>
      <c r="P290" s="14">
        <v>616858.65</v>
      </c>
      <c r="Q290" s="14">
        <v>180523.26</v>
      </c>
      <c r="R290" s="14">
        <v>465120.65</v>
      </c>
      <c r="S290" s="14">
        <v>143.75</v>
      </c>
      <c r="T290" s="14"/>
      <c r="U290" s="14">
        <v>34650</v>
      </c>
      <c r="V290" s="14"/>
      <c r="W290" s="14"/>
      <c r="X290" s="2">
        <f t="shared" si="13"/>
        <v>22465141.269999996</v>
      </c>
      <c r="Y290" s="14">
        <v>81125.600000000006</v>
      </c>
      <c r="Z290" s="14"/>
      <c r="AA290" s="14">
        <v>699846.86</v>
      </c>
      <c r="AB290" s="14">
        <v>965603.9</v>
      </c>
      <c r="AC290" s="14">
        <v>375372.84</v>
      </c>
      <c r="AD290" s="14">
        <v>86243.31</v>
      </c>
      <c r="AE290" s="14"/>
      <c r="AF290" s="14"/>
      <c r="AG290" s="14">
        <v>22859</v>
      </c>
      <c r="AH290" s="14"/>
      <c r="AI290" s="14"/>
      <c r="AJ290" s="14"/>
      <c r="AK290" s="14"/>
      <c r="AL290" s="48">
        <f t="shared" si="14"/>
        <v>2231051.5099999998</v>
      </c>
      <c r="AM290" s="22">
        <v>66</v>
      </c>
      <c r="AN290" s="14">
        <v>5071</v>
      </c>
      <c r="AO290" s="14">
        <v>-330586.90999999997</v>
      </c>
      <c r="AP290" s="14"/>
      <c r="AQ290" s="14">
        <v>-8035.57</v>
      </c>
      <c r="AR290" s="44">
        <v>1</v>
      </c>
    </row>
    <row r="291" spans="1:44" x14ac:dyDescent="0.25">
      <c r="A291" s="12">
        <v>5889</v>
      </c>
      <c r="B291" s="13" t="s">
        <v>57</v>
      </c>
      <c r="C291" s="14">
        <v>20993929.710000001</v>
      </c>
      <c r="D291" s="14">
        <v>4430900.1399999997</v>
      </c>
      <c r="E291" s="14"/>
      <c r="F291" s="14"/>
      <c r="G291" s="14">
        <v>3157417.55</v>
      </c>
      <c r="H291" s="14">
        <v>5400112.8499999996</v>
      </c>
      <c r="I291" s="14">
        <v>797235.17</v>
      </c>
      <c r="J291" s="14">
        <v>1160691.54</v>
      </c>
      <c r="K291" s="14">
        <v>146088</v>
      </c>
      <c r="L291" s="14">
        <v>2376504.85</v>
      </c>
      <c r="M291" s="3">
        <f t="shared" si="12"/>
        <v>38462879.810000002</v>
      </c>
      <c r="N291" s="14">
        <v>93323.5</v>
      </c>
      <c r="O291" s="14">
        <v>816285</v>
      </c>
      <c r="P291" s="14">
        <v>794729.85</v>
      </c>
      <c r="Q291" s="14">
        <v>182421.31</v>
      </c>
      <c r="R291" s="14">
        <v>492402.2</v>
      </c>
      <c r="S291" s="14">
        <v>1293.75</v>
      </c>
      <c r="T291" s="14"/>
      <c r="U291" s="14">
        <v>39350</v>
      </c>
      <c r="V291" s="14"/>
      <c r="W291" s="14">
        <v>220224.67</v>
      </c>
      <c r="X291" s="2">
        <f t="shared" si="13"/>
        <v>41102910.090000011</v>
      </c>
      <c r="Y291" s="14">
        <v>2666.25</v>
      </c>
      <c r="Z291" s="14"/>
      <c r="AA291" s="14">
        <v>443443.85</v>
      </c>
      <c r="AB291" s="14">
        <v>1719215.85</v>
      </c>
      <c r="AC291" s="14"/>
      <c r="AD291" s="14"/>
      <c r="AE291" s="14"/>
      <c r="AF291" s="14"/>
      <c r="AG291" s="14"/>
      <c r="AH291" s="14"/>
      <c r="AI291" s="14"/>
      <c r="AJ291" s="14"/>
      <c r="AK291" s="14"/>
      <c r="AL291" s="48">
        <f t="shared" si="14"/>
        <v>2165325.9500000002</v>
      </c>
      <c r="AM291" s="22">
        <v>64</v>
      </c>
      <c r="AN291" s="14">
        <v>11421</v>
      </c>
      <c r="AO291" s="14">
        <v>-467604.81</v>
      </c>
      <c r="AP291" s="14"/>
      <c r="AQ291" s="14">
        <v>-12558.82</v>
      </c>
      <c r="AR291" s="44">
        <v>1.2</v>
      </c>
    </row>
    <row r="292" spans="1:44" x14ac:dyDescent="0.25">
      <c r="A292" s="12">
        <v>5890</v>
      </c>
      <c r="B292" s="13" t="s">
        <v>58</v>
      </c>
      <c r="C292" s="14">
        <v>35167149.359999999</v>
      </c>
      <c r="D292" s="14">
        <v>4057124.99</v>
      </c>
      <c r="E292" s="14"/>
      <c r="F292" s="14"/>
      <c r="G292" s="14">
        <v>8902765.0999999996</v>
      </c>
      <c r="H292" s="14">
        <v>10714168.75</v>
      </c>
      <c r="I292" s="14">
        <v>536442.19999999995</v>
      </c>
      <c r="J292" s="14">
        <v>4762131.2</v>
      </c>
      <c r="K292" s="14">
        <v>513240</v>
      </c>
      <c r="L292" s="14">
        <v>3776968.35</v>
      </c>
      <c r="M292" s="3">
        <f t="shared" si="12"/>
        <v>68429989.950000003</v>
      </c>
      <c r="N292" s="14">
        <v>1004989.85</v>
      </c>
      <c r="O292" s="14">
        <v>1398346.6</v>
      </c>
      <c r="P292" s="14">
        <v>1869909.6</v>
      </c>
      <c r="Q292" s="14">
        <v>508956.31</v>
      </c>
      <c r="R292" s="14">
        <v>816410.1</v>
      </c>
      <c r="S292" s="14">
        <v>4043.75</v>
      </c>
      <c r="T292" s="14"/>
      <c r="U292" s="14">
        <v>52875</v>
      </c>
      <c r="V292" s="14"/>
      <c r="W292" s="14"/>
      <c r="X292" s="2">
        <f t="shared" si="13"/>
        <v>74085521.159999982</v>
      </c>
      <c r="Y292" s="14"/>
      <c r="Z292" s="14"/>
      <c r="AA292" s="14">
        <v>907718.7</v>
      </c>
      <c r="AB292" s="14"/>
      <c r="AC292" s="14">
        <v>1243264.6200000001</v>
      </c>
      <c r="AD292" s="14"/>
      <c r="AE292" s="14"/>
      <c r="AF292" s="14"/>
      <c r="AG292" s="14"/>
      <c r="AH292" s="14">
        <v>663245.1</v>
      </c>
      <c r="AI292" s="14"/>
      <c r="AJ292" s="14">
        <v>190355.75</v>
      </c>
      <c r="AK292" s="14"/>
      <c r="AL292" s="48">
        <f t="shared" si="14"/>
        <v>3004584.1700000004</v>
      </c>
      <c r="AM292" s="22">
        <v>73</v>
      </c>
      <c r="AN292" s="14">
        <v>19217</v>
      </c>
      <c r="AO292" s="14">
        <v>-972164.95</v>
      </c>
      <c r="AP292" s="14"/>
      <c r="AQ292" s="14">
        <v>-19920.97</v>
      </c>
      <c r="AR292" s="44">
        <v>1.2</v>
      </c>
    </row>
    <row r="293" spans="1:44" x14ac:dyDescent="0.25">
      <c r="A293" s="12">
        <v>5891</v>
      </c>
      <c r="B293" s="13" t="s">
        <v>59</v>
      </c>
      <c r="C293" s="14">
        <v>1785770.75</v>
      </c>
      <c r="D293" s="14">
        <v>430514.31</v>
      </c>
      <c r="E293" s="14"/>
      <c r="F293" s="14"/>
      <c r="G293" s="14">
        <v>105101.65</v>
      </c>
      <c r="H293" s="14">
        <v>20792.45</v>
      </c>
      <c r="I293" s="14">
        <v>40102.449999999997</v>
      </c>
      <c r="J293" s="14">
        <v>38962.089999999997</v>
      </c>
      <c r="K293" s="14">
        <v>12181</v>
      </c>
      <c r="L293" s="14">
        <v>269782.40000000002</v>
      </c>
      <c r="M293" s="3">
        <f t="shared" si="12"/>
        <v>2703207.1</v>
      </c>
      <c r="N293" s="14"/>
      <c r="O293" s="14"/>
      <c r="P293" s="14">
        <v>137655.70000000001</v>
      </c>
      <c r="Q293" s="14">
        <v>13169.34</v>
      </c>
      <c r="R293" s="14">
        <v>87678.2</v>
      </c>
      <c r="S293" s="14">
        <v>125</v>
      </c>
      <c r="T293" s="14"/>
      <c r="U293" s="14">
        <v>3750</v>
      </c>
      <c r="V293" s="14">
        <v>243738.85</v>
      </c>
      <c r="W293" s="14"/>
      <c r="X293" s="2">
        <f t="shared" si="13"/>
        <v>3189324.1900000004</v>
      </c>
      <c r="Y293" s="14">
        <v>33839.599999999999</v>
      </c>
      <c r="Z293" s="14"/>
      <c r="AA293" s="14">
        <v>121519.4</v>
      </c>
      <c r="AB293" s="14"/>
      <c r="AC293" s="14">
        <v>89579.9</v>
      </c>
      <c r="AD293" s="14"/>
      <c r="AE293" s="14"/>
      <c r="AF293" s="14"/>
      <c r="AG293" s="14"/>
      <c r="AH293" s="14">
        <v>63454.1</v>
      </c>
      <c r="AI293" s="14"/>
      <c r="AJ293" s="14"/>
      <c r="AK293" s="14">
        <v>18129.75</v>
      </c>
      <c r="AL293" s="48">
        <f t="shared" si="14"/>
        <v>326522.75</v>
      </c>
      <c r="AM293" s="22">
        <v>69</v>
      </c>
      <c r="AN293" s="14">
        <v>854</v>
      </c>
      <c r="AO293" s="14">
        <v>-98596.09</v>
      </c>
      <c r="AP293" s="14"/>
      <c r="AQ293" s="14">
        <v>-1914.92</v>
      </c>
      <c r="AR293" s="44">
        <v>1.2</v>
      </c>
    </row>
    <row r="294" spans="1:44" x14ac:dyDescent="0.25">
      <c r="A294" s="12">
        <v>5902</v>
      </c>
      <c r="B294" s="13" t="s">
        <v>60</v>
      </c>
      <c r="C294" s="14">
        <v>544182.1</v>
      </c>
      <c r="D294" s="14">
        <v>43314.8</v>
      </c>
      <c r="E294" s="14"/>
      <c r="F294" s="14"/>
      <c r="G294" s="14">
        <v>3498.4</v>
      </c>
      <c r="H294" s="14">
        <v>421.1</v>
      </c>
      <c r="I294" s="14"/>
      <c r="J294" s="14">
        <v>16820.37</v>
      </c>
      <c r="K294" s="14"/>
      <c r="L294" s="14">
        <v>48666.8</v>
      </c>
      <c r="M294" s="3">
        <f t="shared" si="12"/>
        <v>656903.57000000007</v>
      </c>
      <c r="N294" s="14">
        <v>7346.95</v>
      </c>
      <c r="O294" s="14">
        <v>7253</v>
      </c>
      <c r="P294" s="14">
        <v>44466.9</v>
      </c>
      <c r="Q294" s="14"/>
      <c r="R294" s="14">
        <v>57201.55</v>
      </c>
      <c r="S294" s="14"/>
      <c r="T294" s="14">
        <v>550</v>
      </c>
      <c r="U294" s="14">
        <v>4300</v>
      </c>
      <c r="V294" s="14">
        <v>90</v>
      </c>
      <c r="W294" s="14"/>
      <c r="X294" s="2">
        <f t="shared" si="13"/>
        <v>778111.97000000009</v>
      </c>
      <c r="Y294" s="14">
        <v>3350</v>
      </c>
      <c r="Z294" s="14"/>
      <c r="AA294" s="14">
        <v>48161.4</v>
      </c>
      <c r="AB294" s="14"/>
      <c r="AC294" s="14">
        <v>24306.2</v>
      </c>
      <c r="AD294" s="14">
        <v>5205</v>
      </c>
      <c r="AE294" s="14"/>
      <c r="AF294" s="14"/>
      <c r="AG294" s="14"/>
      <c r="AH294" s="14"/>
      <c r="AI294" s="14"/>
      <c r="AJ294" s="14"/>
      <c r="AK294" s="14"/>
      <c r="AL294" s="48">
        <f t="shared" si="14"/>
        <v>81022.600000000006</v>
      </c>
      <c r="AM294" s="22">
        <v>76</v>
      </c>
      <c r="AN294" s="14">
        <v>369</v>
      </c>
      <c r="AO294" s="14">
        <v>-94.49</v>
      </c>
      <c r="AP294" s="14"/>
      <c r="AQ294" s="14"/>
      <c r="AR294" s="44">
        <v>1</v>
      </c>
    </row>
    <row r="295" spans="1:44" x14ac:dyDescent="0.25">
      <c r="A295" s="12">
        <v>5903</v>
      </c>
      <c r="B295" s="13" t="s">
        <v>61</v>
      </c>
      <c r="C295" s="14">
        <v>368157.84</v>
      </c>
      <c r="D295" s="14">
        <v>38082.65</v>
      </c>
      <c r="E295" s="14"/>
      <c r="F295" s="14"/>
      <c r="G295" s="14">
        <v>8258.6</v>
      </c>
      <c r="H295" s="14">
        <v>76.25</v>
      </c>
      <c r="I295" s="14"/>
      <c r="J295" s="14">
        <v>5979.54</v>
      </c>
      <c r="K295" s="14"/>
      <c r="L295" s="14">
        <v>20890.45</v>
      </c>
      <c r="M295" s="3">
        <f t="shared" si="12"/>
        <v>441445.33</v>
      </c>
      <c r="N295" s="14">
        <v>2883.45</v>
      </c>
      <c r="O295" s="14">
        <v>34609.599999999999</v>
      </c>
      <c r="P295" s="14">
        <v>18039.95</v>
      </c>
      <c r="Q295" s="14"/>
      <c r="R295" s="14">
        <v>36597.4</v>
      </c>
      <c r="S295" s="14">
        <v>31.25</v>
      </c>
      <c r="T295" s="14"/>
      <c r="U295" s="14">
        <v>1160</v>
      </c>
      <c r="V295" s="14"/>
      <c r="W295" s="14"/>
      <c r="X295" s="2">
        <f t="shared" si="13"/>
        <v>534766.98</v>
      </c>
      <c r="Y295" s="14"/>
      <c r="Z295" s="14"/>
      <c r="AA295" s="14">
        <v>13932</v>
      </c>
      <c r="AB295" s="14"/>
      <c r="AC295" s="14">
        <v>7440.65</v>
      </c>
      <c r="AD295" s="14"/>
      <c r="AE295" s="14"/>
      <c r="AF295" s="14"/>
      <c r="AG295" s="14"/>
      <c r="AH295" s="14"/>
      <c r="AI295" s="14"/>
      <c r="AJ295" s="14"/>
      <c r="AK295" s="14"/>
      <c r="AL295" s="48">
        <f t="shared" si="14"/>
        <v>21372.65</v>
      </c>
      <c r="AM295" s="22">
        <v>74</v>
      </c>
      <c r="AN295" s="14">
        <v>201</v>
      </c>
      <c r="AO295" s="14">
        <v>-2955.37</v>
      </c>
      <c r="AP295" s="14"/>
      <c r="AQ295" s="14"/>
      <c r="AR295" s="44">
        <v>0.7</v>
      </c>
    </row>
    <row r="296" spans="1:44" x14ac:dyDescent="0.25">
      <c r="A296" s="12">
        <v>5904</v>
      </c>
      <c r="B296" s="13" t="s">
        <v>62</v>
      </c>
      <c r="C296" s="14">
        <v>1117503.02</v>
      </c>
      <c r="D296" s="14">
        <v>103821.67</v>
      </c>
      <c r="E296" s="14"/>
      <c r="F296" s="14"/>
      <c r="G296" s="14">
        <v>6555</v>
      </c>
      <c r="H296" s="14">
        <v>519.4</v>
      </c>
      <c r="I296" s="14"/>
      <c r="J296" s="14">
        <v>29155.51</v>
      </c>
      <c r="K296" s="14">
        <v>2632</v>
      </c>
      <c r="L296" s="14">
        <v>90432.6</v>
      </c>
      <c r="M296" s="3">
        <f t="shared" si="12"/>
        <v>1350619.2</v>
      </c>
      <c r="N296" s="14">
        <v>31596.75</v>
      </c>
      <c r="O296" s="14">
        <v>48888.800000000003</v>
      </c>
      <c r="P296" s="14">
        <v>46992.5</v>
      </c>
      <c r="Q296" s="14"/>
      <c r="R296" s="14">
        <v>36470.699999999997</v>
      </c>
      <c r="S296" s="14">
        <v>31.25</v>
      </c>
      <c r="T296" s="14">
        <v>100</v>
      </c>
      <c r="U296" s="14">
        <v>4200</v>
      </c>
      <c r="V296" s="14"/>
      <c r="W296" s="14"/>
      <c r="X296" s="2">
        <f t="shared" si="13"/>
        <v>1518899.2</v>
      </c>
      <c r="Y296" s="14"/>
      <c r="Z296" s="14"/>
      <c r="AA296" s="14">
        <v>92979.8</v>
      </c>
      <c r="AB296" s="14"/>
      <c r="AC296" s="14">
        <v>36368.199999999997</v>
      </c>
      <c r="AD296" s="14"/>
      <c r="AE296" s="14"/>
      <c r="AF296" s="14"/>
      <c r="AG296" s="14"/>
      <c r="AH296" s="14">
        <v>21247.05</v>
      </c>
      <c r="AI296" s="14"/>
      <c r="AJ296" s="14"/>
      <c r="AK296" s="14"/>
      <c r="AL296" s="48">
        <f t="shared" si="14"/>
        <v>150595.04999999999</v>
      </c>
      <c r="AM296" s="22">
        <v>66</v>
      </c>
      <c r="AN296" s="14">
        <v>568</v>
      </c>
      <c r="AO296" s="14">
        <v>-19370.52</v>
      </c>
      <c r="AP296" s="14"/>
      <c r="AQ296" s="14"/>
      <c r="AR296" s="44">
        <v>1</v>
      </c>
    </row>
    <row r="297" spans="1:44" x14ac:dyDescent="0.25">
      <c r="A297" s="12">
        <v>5905</v>
      </c>
      <c r="B297" s="13" t="s">
        <v>63</v>
      </c>
      <c r="C297" s="14">
        <v>939989.2</v>
      </c>
      <c r="D297" s="14">
        <v>94556.24</v>
      </c>
      <c r="E297" s="14"/>
      <c r="F297" s="14"/>
      <c r="G297" s="14">
        <v>168670.95</v>
      </c>
      <c r="H297" s="14">
        <v>3222.45</v>
      </c>
      <c r="I297" s="14"/>
      <c r="J297" s="14">
        <v>10030.450000000001</v>
      </c>
      <c r="K297" s="14">
        <v>3072.3</v>
      </c>
      <c r="L297" s="14">
        <v>82807</v>
      </c>
      <c r="M297" s="3">
        <f t="shared" si="12"/>
        <v>1302348.5899999999</v>
      </c>
      <c r="N297" s="14">
        <v>94811.1</v>
      </c>
      <c r="O297" s="14">
        <v>6520.5</v>
      </c>
      <c r="P297" s="14">
        <v>24304.1</v>
      </c>
      <c r="Q297" s="14"/>
      <c r="R297" s="14">
        <v>8176.4</v>
      </c>
      <c r="S297" s="14"/>
      <c r="T297" s="14"/>
      <c r="U297" s="14"/>
      <c r="V297" s="14"/>
      <c r="W297" s="14"/>
      <c r="X297" s="2">
        <f t="shared" si="13"/>
        <v>1436160.69</v>
      </c>
      <c r="Y297" s="14">
        <v>17068</v>
      </c>
      <c r="Z297" s="14"/>
      <c r="AA297" s="14">
        <v>84568</v>
      </c>
      <c r="AB297" s="14"/>
      <c r="AC297" s="14">
        <v>16592</v>
      </c>
      <c r="AD297" s="14"/>
      <c r="AE297" s="14">
        <v>43012</v>
      </c>
      <c r="AF297" s="14"/>
      <c r="AG297" s="14"/>
      <c r="AH297" s="14"/>
      <c r="AI297" s="14"/>
      <c r="AJ297" s="14"/>
      <c r="AK297" s="14"/>
      <c r="AL297" s="48">
        <f t="shared" si="14"/>
        <v>161240</v>
      </c>
      <c r="AM297" s="22">
        <v>71</v>
      </c>
      <c r="AN297" s="14">
        <v>617</v>
      </c>
      <c r="AO297" s="14">
        <v>-8669.3700000000008</v>
      </c>
      <c r="AP297" s="14"/>
      <c r="AQ297" s="14">
        <v>-4.8600000000000003</v>
      </c>
      <c r="AR297" s="44">
        <v>1</v>
      </c>
    </row>
    <row r="298" spans="1:44" x14ac:dyDescent="0.25">
      <c r="A298" s="12">
        <v>5907</v>
      </c>
      <c r="B298" s="13" t="s">
        <v>64</v>
      </c>
      <c r="C298" s="14">
        <v>440277.53</v>
      </c>
      <c r="D298" s="14">
        <v>72583.72</v>
      </c>
      <c r="E298" s="14"/>
      <c r="F298" s="14">
        <v>1620</v>
      </c>
      <c r="G298" s="14">
        <v>2102.6999999999998</v>
      </c>
      <c r="H298" s="14">
        <v>21.2</v>
      </c>
      <c r="I298" s="14"/>
      <c r="J298" s="14">
        <v>1201.98</v>
      </c>
      <c r="K298" s="14">
        <v>134</v>
      </c>
      <c r="L298" s="14">
        <v>35690.6</v>
      </c>
      <c r="M298" s="3">
        <f t="shared" si="12"/>
        <v>553631.73</v>
      </c>
      <c r="N298" s="14">
        <v>4950.3500000000004</v>
      </c>
      <c r="O298" s="14">
        <v>6897</v>
      </c>
      <c r="P298" s="14">
        <v>14003.2</v>
      </c>
      <c r="Q298" s="14"/>
      <c r="R298" s="14">
        <v>16580.650000000001</v>
      </c>
      <c r="S298" s="14"/>
      <c r="T298" s="14">
        <v>1460</v>
      </c>
      <c r="U298" s="14">
        <v>1680</v>
      </c>
      <c r="V298" s="14"/>
      <c r="W298" s="14"/>
      <c r="X298" s="2">
        <f t="shared" si="13"/>
        <v>599202.92999999993</v>
      </c>
      <c r="Y298" s="14">
        <v>5500</v>
      </c>
      <c r="Z298" s="14"/>
      <c r="AA298" s="14">
        <v>6441.7</v>
      </c>
      <c r="AB298" s="14"/>
      <c r="AC298" s="14">
        <v>11702.5</v>
      </c>
      <c r="AD298" s="14">
        <v>6541.7</v>
      </c>
      <c r="AE298" s="14"/>
      <c r="AF298" s="14"/>
      <c r="AG298" s="14"/>
      <c r="AH298" s="14"/>
      <c r="AI298" s="14"/>
      <c r="AJ298" s="14"/>
      <c r="AK298" s="14"/>
      <c r="AL298" s="48">
        <f t="shared" si="14"/>
        <v>30185.9</v>
      </c>
      <c r="AM298" s="22">
        <v>78</v>
      </c>
      <c r="AN298" s="14">
        <v>278</v>
      </c>
      <c r="AO298" s="14">
        <v>-10467.200000000001</v>
      </c>
      <c r="AP298" s="14"/>
      <c r="AQ298" s="14">
        <v>-928.2</v>
      </c>
      <c r="AR298" s="44">
        <v>1</v>
      </c>
    </row>
    <row r="299" spans="1:44" x14ac:dyDescent="0.25">
      <c r="A299" s="12">
        <v>5908</v>
      </c>
      <c r="B299" s="13" t="s">
        <v>65</v>
      </c>
      <c r="C299" s="14">
        <v>187578.55</v>
      </c>
      <c r="D299" s="14">
        <v>40638.78</v>
      </c>
      <c r="E299" s="14"/>
      <c r="F299" s="14"/>
      <c r="G299" s="14">
        <v>7577.15</v>
      </c>
      <c r="H299" s="14">
        <v>-7.2</v>
      </c>
      <c r="I299" s="14"/>
      <c r="J299" s="14">
        <v>1817.14</v>
      </c>
      <c r="K299" s="14">
        <v>49.5</v>
      </c>
      <c r="L299" s="14">
        <v>15550</v>
      </c>
      <c r="M299" s="3">
        <f t="shared" si="12"/>
        <v>253203.91999999998</v>
      </c>
      <c r="N299" s="14"/>
      <c r="O299" s="14"/>
      <c r="P299" s="14">
        <v>13904</v>
      </c>
      <c r="Q299" s="14"/>
      <c r="R299" s="14"/>
      <c r="S299" s="14"/>
      <c r="T299" s="14"/>
      <c r="U299" s="14">
        <v>1452</v>
      </c>
      <c r="V299" s="14"/>
      <c r="W299" s="14"/>
      <c r="X299" s="2">
        <f t="shared" si="13"/>
        <v>268559.92</v>
      </c>
      <c r="Y299" s="14"/>
      <c r="Z299" s="14"/>
      <c r="AA299" s="14">
        <v>22700</v>
      </c>
      <c r="AB299" s="14"/>
      <c r="AC299" s="14">
        <v>4945</v>
      </c>
      <c r="AD299" s="14"/>
      <c r="AE299" s="14"/>
      <c r="AF299" s="14"/>
      <c r="AG299" s="14"/>
      <c r="AH299" s="14"/>
      <c r="AI299" s="14"/>
      <c r="AJ299" s="14"/>
      <c r="AK299" s="14"/>
      <c r="AL299" s="48">
        <f t="shared" si="14"/>
        <v>27645</v>
      </c>
      <c r="AM299" s="22">
        <v>79</v>
      </c>
      <c r="AN299" s="14">
        <v>125</v>
      </c>
      <c r="AO299" s="14">
        <v>-24182.78</v>
      </c>
      <c r="AP299" s="14"/>
      <c r="AQ299" s="14"/>
      <c r="AR299" s="44">
        <v>1</v>
      </c>
    </row>
    <row r="300" spans="1:44" x14ac:dyDescent="0.25">
      <c r="A300" s="12">
        <v>5909</v>
      </c>
      <c r="B300" s="13" t="s">
        <v>66</v>
      </c>
      <c r="C300" s="14">
        <v>1143532.8600000001</v>
      </c>
      <c r="D300" s="14">
        <v>265754.03999999998</v>
      </c>
      <c r="E300" s="14"/>
      <c r="F300" s="14"/>
      <c r="G300" s="14">
        <v>43196.7</v>
      </c>
      <c r="H300" s="14">
        <v>4372.8</v>
      </c>
      <c r="I300" s="14"/>
      <c r="J300" s="14">
        <v>1383.48</v>
      </c>
      <c r="K300" s="14">
        <v>822.5</v>
      </c>
      <c r="L300" s="14">
        <v>140675.20000000001</v>
      </c>
      <c r="M300" s="3">
        <f t="shared" si="12"/>
        <v>1599737.58</v>
      </c>
      <c r="N300" s="14">
        <v>8154.8</v>
      </c>
      <c r="O300" s="14"/>
      <c r="P300" s="14">
        <v>46098.15</v>
      </c>
      <c r="Q300" s="14"/>
      <c r="R300" s="14">
        <v>58144.35</v>
      </c>
      <c r="S300" s="14"/>
      <c r="T300" s="14"/>
      <c r="U300" s="14">
        <v>860</v>
      </c>
      <c r="V300" s="14"/>
      <c r="W300" s="14">
        <v>2000</v>
      </c>
      <c r="X300" s="2">
        <f t="shared" si="13"/>
        <v>1714994.8800000001</v>
      </c>
      <c r="Y300" s="14">
        <v>18125</v>
      </c>
      <c r="Z300" s="14"/>
      <c r="AA300" s="14">
        <v>60314.23</v>
      </c>
      <c r="AB300" s="14"/>
      <c r="AC300" s="14">
        <v>42237.599999999999</v>
      </c>
      <c r="AD300" s="14">
        <v>18026.2</v>
      </c>
      <c r="AE300" s="14"/>
      <c r="AF300" s="14"/>
      <c r="AG300" s="14">
        <v>72165.55</v>
      </c>
      <c r="AH300" s="14"/>
      <c r="AI300" s="14"/>
      <c r="AJ300" s="14"/>
      <c r="AK300" s="14"/>
      <c r="AL300" s="48">
        <f t="shared" si="14"/>
        <v>210868.58000000002</v>
      </c>
      <c r="AM300" s="22">
        <v>70</v>
      </c>
      <c r="AN300" s="14">
        <v>664</v>
      </c>
      <c r="AO300" s="14">
        <v>-5598.22</v>
      </c>
      <c r="AP300" s="14">
        <v>-7666.65</v>
      </c>
      <c r="AQ300" s="14">
        <v>-143.44</v>
      </c>
      <c r="AR300" s="44">
        <v>1</v>
      </c>
    </row>
    <row r="301" spans="1:44" x14ac:dyDescent="0.25">
      <c r="A301" s="12">
        <v>5910</v>
      </c>
      <c r="B301" s="13" t="s">
        <v>67</v>
      </c>
      <c r="C301" s="14">
        <v>716918.64</v>
      </c>
      <c r="D301" s="14">
        <v>62510.95</v>
      </c>
      <c r="E301" s="14"/>
      <c r="F301" s="14">
        <v>2080</v>
      </c>
      <c r="G301" s="14">
        <v>11976.55</v>
      </c>
      <c r="H301" s="14">
        <v>81.55</v>
      </c>
      <c r="I301" s="14"/>
      <c r="J301" s="14">
        <v>2962.48</v>
      </c>
      <c r="K301" s="14"/>
      <c r="L301" s="14">
        <v>46950</v>
      </c>
      <c r="M301" s="3">
        <f t="shared" si="12"/>
        <v>843480.17</v>
      </c>
      <c r="N301" s="14"/>
      <c r="O301" s="14"/>
      <c r="P301" s="14">
        <v>46770.5</v>
      </c>
      <c r="Q301" s="14">
        <v>1373.15</v>
      </c>
      <c r="R301" s="14">
        <v>56372.2</v>
      </c>
      <c r="S301" s="14"/>
      <c r="T301" s="14">
        <v>610</v>
      </c>
      <c r="U301" s="14">
        <v>3473</v>
      </c>
      <c r="V301" s="14"/>
      <c r="W301" s="14"/>
      <c r="X301" s="2">
        <f t="shared" si="13"/>
        <v>952079.02</v>
      </c>
      <c r="Y301" s="14">
        <v>16007</v>
      </c>
      <c r="Z301" s="14"/>
      <c r="AA301" s="14">
        <v>23650</v>
      </c>
      <c r="AB301" s="14"/>
      <c r="AC301" s="14">
        <v>20587</v>
      </c>
      <c r="AD301" s="14"/>
      <c r="AE301" s="14"/>
      <c r="AF301" s="14"/>
      <c r="AG301" s="14"/>
      <c r="AH301" s="14"/>
      <c r="AI301" s="14"/>
      <c r="AJ301" s="14"/>
      <c r="AK301" s="14"/>
      <c r="AL301" s="48">
        <f t="shared" si="14"/>
        <v>60244</v>
      </c>
      <c r="AM301" s="22">
        <v>81</v>
      </c>
      <c r="AN301" s="14">
        <v>364</v>
      </c>
      <c r="AO301" s="14">
        <v>-1662.47</v>
      </c>
      <c r="AP301" s="14"/>
      <c r="AQ301" s="14">
        <v>-0.84</v>
      </c>
      <c r="AR301" s="44">
        <v>1</v>
      </c>
    </row>
    <row r="302" spans="1:44" x14ac:dyDescent="0.25">
      <c r="A302" s="12">
        <v>5911</v>
      </c>
      <c r="B302" s="13" t="s">
        <v>68</v>
      </c>
      <c r="C302" s="14">
        <v>485271.95</v>
      </c>
      <c r="D302" s="14">
        <v>27359.19</v>
      </c>
      <c r="E302" s="14"/>
      <c r="F302" s="14">
        <v>1250</v>
      </c>
      <c r="G302" s="14">
        <v>13373.25</v>
      </c>
      <c r="H302" s="14">
        <v>78.650000000000006</v>
      </c>
      <c r="I302" s="14"/>
      <c r="J302" s="14">
        <v>1532.42</v>
      </c>
      <c r="K302" s="14">
        <v>348</v>
      </c>
      <c r="L302" s="14">
        <v>23760.35</v>
      </c>
      <c r="M302" s="3">
        <f t="shared" si="12"/>
        <v>552973.81000000006</v>
      </c>
      <c r="N302" s="14"/>
      <c r="O302" s="14">
        <v>691.5</v>
      </c>
      <c r="P302" s="14"/>
      <c r="Q302" s="14"/>
      <c r="R302" s="14"/>
      <c r="S302" s="14"/>
      <c r="T302" s="14"/>
      <c r="U302" s="14">
        <v>800</v>
      </c>
      <c r="V302" s="14"/>
      <c r="W302" s="14"/>
      <c r="X302" s="2">
        <f t="shared" si="13"/>
        <v>554465.31000000006</v>
      </c>
      <c r="Y302" s="14"/>
      <c r="Z302" s="14"/>
      <c r="AA302" s="14">
        <v>31846.400000000001</v>
      </c>
      <c r="AB302" s="14"/>
      <c r="AC302" s="14">
        <v>13567</v>
      </c>
      <c r="AD302" s="14"/>
      <c r="AE302" s="14"/>
      <c r="AF302" s="14"/>
      <c r="AG302" s="14"/>
      <c r="AH302" s="14"/>
      <c r="AI302" s="14"/>
      <c r="AJ302" s="14"/>
      <c r="AK302" s="14"/>
      <c r="AL302" s="48">
        <f t="shared" si="14"/>
        <v>45413.4</v>
      </c>
      <c r="AM302" s="22">
        <v>81</v>
      </c>
      <c r="AN302" s="14">
        <v>216</v>
      </c>
      <c r="AO302" s="14">
        <v>-2867.13</v>
      </c>
      <c r="AP302" s="14"/>
      <c r="AQ302" s="14">
        <v>-632.80999999999995</v>
      </c>
      <c r="AR302" s="44">
        <v>1</v>
      </c>
    </row>
    <row r="303" spans="1:44" x14ac:dyDescent="0.25">
      <c r="A303" s="12">
        <v>5912</v>
      </c>
      <c r="B303" s="13" t="s">
        <v>69</v>
      </c>
      <c r="C303" s="14">
        <v>208480.69</v>
      </c>
      <c r="D303" s="14">
        <v>27792.11</v>
      </c>
      <c r="E303" s="14"/>
      <c r="F303" s="14">
        <v>800</v>
      </c>
      <c r="G303" s="14">
        <v>2618.6</v>
      </c>
      <c r="H303" s="14">
        <v>-1.4</v>
      </c>
      <c r="I303" s="14"/>
      <c r="J303" s="14">
        <v>530.30999999999995</v>
      </c>
      <c r="K303" s="14"/>
      <c r="L303" s="14">
        <v>14718.7</v>
      </c>
      <c r="M303" s="3">
        <f t="shared" si="12"/>
        <v>254939.01</v>
      </c>
      <c r="N303" s="14"/>
      <c r="O303" s="14">
        <v>100384.8</v>
      </c>
      <c r="P303" s="14"/>
      <c r="Q303" s="14"/>
      <c r="R303" s="14"/>
      <c r="S303" s="14"/>
      <c r="T303" s="14"/>
      <c r="U303" s="14">
        <v>1200</v>
      </c>
      <c r="V303" s="14"/>
      <c r="W303" s="14"/>
      <c r="X303" s="2">
        <f t="shared" si="13"/>
        <v>356523.81</v>
      </c>
      <c r="Y303" s="14">
        <v>5000</v>
      </c>
      <c r="Z303" s="14"/>
      <c r="AA303" s="14">
        <v>14928</v>
      </c>
      <c r="AB303" s="14"/>
      <c r="AC303" s="14">
        <v>7050</v>
      </c>
      <c r="AD303" s="14">
        <v>4200</v>
      </c>
      <c r="AE303" s="14"/>
      <c r="AF303" s="14"/>
      <c r="AG303" s="14"/>
      <c r="AH303" s="14"/>
      <c r="AI303" s="14"/>
      <c r="AJ303" s="14"/>
      <c r="AK303" s="14"/>
      <c r="AL303" s="48">
        <f t="shared" si="14"/>
        <v>31178</v>
      </c>
      <c r="AM303" s="22">
        <v>81</v>
      </c>
      <c r="AN303" s="14">
        <v>123</v>
      </c>
      <c r="AO303" s="14">
        <v>-64.2</v>
      </c>
      <c r="AP303" s="14"/>
      <c r="AQ303" s="14"/>
      <c r="AR303" s="44">
        <v>1</v>
      </c>
    </row>
    <row r="304" spans="1:44" x14ac:dyDescent="0.25">
      <c r="A304" s="12">
        <v>5913</v>
      </c>
      <c r="B304" s="13" t="s">
        <v>70</v>
      </c>
      <c r="C304" s="14">
        <v>1317199.1299999999</v>
      </c>
      <c r="D304" s="14">
        <v>225318.11</v>
      </c>
      <c r="E304" s="14"/>
      <c r="F304" s="14"/>
      <c r="G304" s="14">
        <v>47915.8</v>
      </c>
      <c r="H304" s="14">
        <v>182.2</v>
      </c>
      <c r="I304" s="14"/>
      <c r="J304" s="14">
        <v>9154.9</v>
      </c>
      <c r="K304" s="14">
        <v>1518.5</v>
      </c>
      <c r="L304" s="14">
        <v>92662.2</v>
      </c>
      <c r="M304" s="3">
        <f t="shared" si="12"/>
        <v>1693950.8399999996</v>
      </c>
      <c r="N304" s="14">
        <v>11064.15</v>
      </c>
      <c r="O304" s="14">
        <v>543.79999999999995</v>
      </c>
      <c r="P304" s="14">
        <v>60358.75</v>
      </c>
      <c r="Q304" s="14">
        <v>4248.55</v>
      </c>
      <c r="R304" s="14">
        <v>59792.6</v>
      </c>
      <c r="S304" s="14"/>
      <c r="T304" s="14">
        <v>300</v>
      </c>
      <c r="U304" s="14">
        <v>5496.5</v>
      </c>
      <c r="V304" s="14">
        <v>88</v>
      </c>
      <c r="W304" s="14"/>
      <c r="X304" s="2">
        <f t="shared" si="13"/>
        <v>1835843.1899999997</v>
      </c>
      <c r="Y304" s="14">
        <v>8835</v>
      </c>
      <c r="Z304" s="14"/>
      <c r="AA304" s="14">
        <v>66471.75</v>
      </c>
      <c r="AB304" s="14"/>
      <c r="AC304" s="14">
        <v>34487.5</v>
      </c>
      <c r="AD304" s="14">
        <v>41254.75</v>
      </c>
      <c r="AE304" s="14"/>
      <c r="AF304" s="14"/>
      <c r="AG304" s="14"/>
      <c r="AH304" s="14">
        <v>21349.599999999999</v>
      </c>
      <c r="AI304" s="14"/>
      <c r="AJ304" s="14"/>
      <c r="AK304" s="14"/>
      <c r="AL304" s="48">
        <f t="shared" si="14"/>
        <v>172398.6</v>
      </c>
      <c r="AM304" s="22">
        <v>73</v>
      </c>
      <c r="AN304" s="14">
        <v>765</v>
      </c>
      <c r="AO304" s="14">
        <v>-10697.47</v>
      </c>
      <c r="AP304" s="14"/>
      <c r="AQ304" s="14">
        <v>-16.489999999999998</v>
      </c>
      <c r="AR304" s="44">
        <v>1</v>
      </c>
    </row>
    <row r="305" spans="1:44" x14ac:dyDescent="0.25">
      <c r="A305" s="12">
        <v>5914</v>
      </c>
      <c r="B305" s="13" t="s">
        <v>71</v>
      </c>
      <c r="C305" s="14">
        <v>531212.73</v>
      </c>
      <c r="D305" s="14">
        <v>48855.69</v>
      </c>
      <c r="E305" s="14"/>
      <c r="F305" s="14">
        <v>2070</v>
      </c>
      <c r="G305" s="14">
        <v>23531.7</v>
      </c>
      <c r="H305" s="14">
        <v>7417.25</v>
      </c>
      <c r="I305" s="14"/>
      <c r="J305" s="14">
        <v>5017.58</v>
      </c>
      <c r="K305" s="14">
        <v>4447.5</v>
      </c>
      <c r="L305" s="14">
        <v>42792.15</v>
      </c>
      <c r="M305" s="3">
        <f t="shared" si="12"/>
        <v>665344.59999999986</v>
      </c>
      <c r="N305" s="14"/>
      <c r="O305" s="14"/>
      <c r="P305" s="14">
        <v>8941.9</v>
      </c>
      <c r="Q305" s="14">
        <v>6210.75</v>
      </c>
      <c r="R305" s="14">
        <v>7594.5</v>
      </c>
      <c r="S305" s="14"/>
      <c r="T305" s="14">
        <v>1126</v>
      </c>
      <c r="U305" s="14">
        <v>1340</v>
      </c>
      <c r="V305" s="14"/>
      <c r="W305" s="14"/>
      <c r="X305" s="2">
        <f t="shared" si="13"/>
        <v>690557.74999999988</v>
      </c>
      <c r="Y305" s="14">
        <v>9730</v>
      </c>
      <c r="Z305" s="14"/>
      <c r="AA305" s="14">
        <v>81168.149999999994</v>
      </c>
      <c r="AB305" s="14"/>
      <c r="AC305" s="14">
        <v>31063.25</v>
      </c>
      <c r="AD305" s="14">
        <v>2147.5</v>
      </c>
      <c r="AE305" s="14"/>
      <c r="AF305" s="14"/>
      <c r="AG305" s="14"/>
      <c r="AH305" s="14"/>
      <c r="AI305" s="14"/>
      <c r="AJ305" s="14"/>
      <c r="AK305" s="14"/>
      <c r="AL305" s="48">
        <f t="shared" si="14"/>
        <v>124108.9</v>
      </c>
      <c r="AM305" s="22">
        <v>75</v>
      </c>
      <c r="AN305" s="14">
        <v>345</v>
      </c>
      <c r="AO305" s="14">
        <v>-15283.42</v>
      </c>
      <c r="AP305" s="14"/>
      <c r="AQ305" s="14"/>
      <c r="AR305" s="44">
        <v>1</v>
      </c>
    </row>
    <row r="306" spans="1:44" x14ac:dyDescent="0.25">
      <c r="A306" s="12">
        <v>5915</v>
      </c>
      <c r="B306" s="13" t="s">
        <v>72</v>
      </c>
      <c r="C306" s="14">
        <v>312401.96999999997</v>
      </c>
      <c r="D306" s="14">
        <v>34314.79</v>
      </c>
      <c r="E306" s="14"/>
      <c r="F306" s="14"/>
      <c r="G306" s="14">
        <v>6009.15</v>
      </c>
      <c r="H306" s="14">
        <v>10.8</v>
      </c>
      <c r="I306" s="14"/>
      <c r="J306" s="14">
        <v>16528.63</v>
      </c>
      <c r="K306" s="14"/>
      <c r="L306" s="14">
        <v>17888.400000000001</v>
      </c>
      <c r="M306" s="3">
        <f t="shared" si="12"/>
        <v>387153.74</v>
      </c>
      <c r="N306" s="14"/>
      <c r="O306" s="14"/>
      <c r="P306" s="14">
        <v>6985</v>
      </c>
      <c r="Q306" s="14"/>
      <c r="R306" s="14">
        <v>6854.15</v>
      </c>
      <c r="S306" s="14"/>
      <c r="T306" s="14"/>
      <c r="U306" s="14">
        <v>2050</v>
      </c>
      <c r="V306" s="14"/>
      <c r="W306" s="14"/>
      <c r="X306" s="2">
        <f t="shared" si="13"/>
        <v>403042.89</v>
      </c>
      <c r="Y306" s="14"/>
      <c r="Z306" s="14"/>
      <c r="AA306" s="14">
        <v>39456</v>
      </c>
      <c r="AB306" s="14"/>
      <c r="AC306" s="14">
        <v>2400</v>
      </c>
      <c r="AD306" s="14"/>
      <c r="AE306" s="14"/>
      <c r="AF306" s="14"/>
      <c r="AG306" s="14"/>
      <c r="AH306" s="14"/>
      <c r="AI306" s="14"/>
      <c r="AJ306" s="14"/>
      <c r="AK306" s="14"/>
      <c r="AL306" s="48">
        <f t="shared" si="14"/>
        <v>41856</v>
      </c>
      <c r="AM306" s="22">
        <v>75</v>
      </c>
      <c r="AN306" s="14">
        <v>164</v>
      </c>
      <c r="AO306" s="14">
        <v>-1418.15</v>
      </c>
      <c r="AP306" s="14"/>
      <c r="AQ306" s="14">
        <v>-264.42</v>
      </c>
      <c r="AR306" s="44">
        <v>0.85</v>
      </c>
    </row>
    <row r="307" spans="1:44" x14ac:dyDescent="0.25">
      <c r="A307" s="12">
        <v>5919</v>
      </c>
      <c r="B307" s="13" t="s">
        <v>439</v>
      </c>
      <c r="C307" s="14">
        <v>943133.09</v>
      </c>
      <c r="D307" s="14">
        <v>101881.52</v>
      </c>
      <c r="E307" s="14"/>
      <c r="F307" s="14">
        <v>3100</v>
      </c>
      <c r="G307" s="14">
        <v>53091.35</v>
      </c>
      <c r="H307" s="14">
        <v>63.35</v>
      </c>
      <c r="I307" s="14"/>
      <c r="J307" s="14">
        <v>17554.25</v>
      </c>
      <c r="K307" s="14">
        <v>1569</v>
      </c>
      <c r="L307" s="14">
        <v>103169.55</v>
      </c>
      <c r="M307" s="3">
        <f t="shared" si="12"/>
        <v>1223562.1100000001</v>
      </c>
      <c r="N307" s="14">
        <v>13044.25</v>
      </c>
      <c r="O307" s="14">
        <v>2564.1</v>
      </c>
      <c r="P307" s="14">
        <v>965.9</v>
      </c>
      <c r="Q307" s="14">
        <v>1887.92</v>
      </c>
      <c r="R307" s="14">
        <v>1015.3</v>
      </c>
      <c r="S307" s="14"/>
      <c r="T307" s="14">
        <v>2152.5</v>
      </c>
      <c r="U307" s="14">
        <v>3350</v>
      </c>
      <c r="V307" s="14"/>
      <c r="W307" s="14"/>
      <c r="X307" s="2">
        <f t="shared" si="13"/>
        <v>1248542.08</v>
      </c>
      <c r="Y307" s="14">
        <v>9379.6</v>
      </c>
      <c r="Z307" s="14"/>
      <c r="AA307" s="14">
        <v>92517.7</v>
      </c>
      <c r="AB307" s="14"/>
      <c r="AC307" s="14">
        <v>39964.75</v>
      </c>
      <c r="AD307" s="14">
        <v>11473.6</v>
      </c>
      <c r="AE307" s="14"/>
      <c r="AF307" s="14"/>
      <c r="AG307" s="14"/>
      <c r="AH307" s="14"/>
      <c r="AI307" s="14"/>
      <c r="AJ307" s="14"/>
      <c r="AK307" s="14"/>
      <c r="AL307" s="48">
        <f t="shared" si="14"/>
        <v>153335.65</v>
      </c>
      <c r="AM307" s="22">
        <v>74</v>
      </c>
      <c r="AN307" s="14">
        <v>581</v>
      </c>
      <c r="AO307" s="14">
        <v>-4933.58</v>
      </c>
      <c r="AP307" s="14"/>
      <c r="AQ307" s="14">
        <v>-27.96</v>
      </c>
      <c r="AR307" s="44">
        <v>1.2</v>
      </c>
    </row>
    <row r="308" spans="1:44" x14ac:dyDescent="0.25">
      <c r="A308" s="12">
        <v>5921</v>
      </c>
      <c r="B308" s="13" t="s">
        <v>440</v>
      </c>
      <c r="C308" s="14">
        <v>298496.62</v>
      </c>
      <c r="D308" s="14">
        <v>32472.28</v>
      </c>
      <c r="E308" s="14"/>
      <c r="F308" s="14">
        <v>1450</v>
      </c>
      <c r="G308" s="14">
        <v>20733.7</v>
      </c>
      <c r="H308" s="14">
        <v>1022.65</v>
      </c>
      <c r="I308" s="14"/>
      <c r="J308" s="14">
        <v>22129.89</v>
      </c>
      <c r="K308" s="14"/>
      <c r="L308" s="14">
        <v>25898.55</v>
      </c>
      <c r="M308" s="3">
        <f t="shared" si="12"/>
        <v>402203.69000000006</v>
      </c>
      <c r="N308" s="14">
        <v>5539.15</v>
      </c>
      <c r="O308" s="14">
        <v>39567.800000000003</v>
      </c>
      <c r="P308" s="14">
        <v>6905.85</v>
      </c>
      <c r="Q308" s="14">
        <v>0</v>
      </c>
      <c r="R308" s="14">
        <v>14626.75</v>
      </c>
      <c r="S308" s="14"/>
      <c r="T308" s="14">
        <v>450</v>
      </c>
      <c r="U308" s="14">
        <v>1462.5</v>
      </c>
      <c r="V308" s="14">
        <v>424</v>
      </c>
      <c r="W308" s="14"/>
      <c r="X308" s="2">
        <f t="shared" si="13"/>
        <v>471179.74000000005</v>
      </c>
      <c r="Y308" s="14"/>
      <c r="Z308" s="14"/>
      <c r="AA308" s="14">
        <v>38700</v>
      </c>
      <c r="AB308" s="14"/>
      <c r="AC308" s="14">
        <v>9000</v>
      </c>
      <c r="AD308" s="14"/>
      <c r="AE308" s="14"/>
      <c r="AF308" s="14"/>
      <c r="AG308" s="14"/>
      <c r="AH308" s="14"/>
      <c r="AI308" s="14"/>
      <c r="AJ308" s="14"/>
      <c r="AK308" s="14"/>
      <c r="AL308" s="48">
        <f t="shared" si="14"/>
        <v>47700</v>
      </c>
      <c r="AM308" s="22">
        <v>81</v>
      </c>
      <c r="AN308" s="14">
        <v>224</v>
      </c>
      <c r="AO308" s="14">
        <v>-2702.45</v>
      </c>
      <c r="AP308" s="14"/>
      <c r="AQ308" s="14"/>
      <c r="AR308" s="44">
        <v>1</v>
      </c>
    </row>
    <row r="309" spans="1:44" x14ac:dyDescent="0.25">
      <c r="A309" s="12">
        <v>5922</v>
      </c>
      <c r="B309" s="13" t="s">
        <v>313</v>
      </c>
      <c r="C309" s="14">
        <v>1499433.15</v>
      </c>
      <c r="D309" s="14">
        <v>231084.73</v>
      </c>
      <c r="E309" s="14"/>
      <c r="F309" s="14"/>
      <c r="G309" s="14">
        <v>1242550.95</v>
      </c>
      <c r="H309" s="14">
        <v>3810.65</v>
      </c>
      <c r="I309" s="14">
        <v>-12624.05</v>
      </c>
      <c r="J309" s="14">
        <v>40055.81</v>
      </c>
      <c r="K309" s="14">
        <v>28510</v>
      </c>
      <c r="L309" s="14">
        <v>235115.75</v>
      </c>
      <c r="M309" s="3">
        <f t="shared" si="12"/>
        <v>3267936.99</v>
      </c>
      <c r="N309" s="14">
        <v>175609.5</v>
      </c>
      <c r="O309" s="14"/>
      <c r="P309" s="14">
        <v>54031.25</v>
      </c>
      <c r="Q309" s="14">
        <v>3335.64</v>
      </c>
      <c r="R309" s="14">
        <v>38872.400000000001</v>
      </c>
      <c r="S309" s="14">
        <v>1870</v>
      </c>
      <c r="T309" s="14">
        <v>64772.6</v>
      </c>
      <c r="U309" s="14">
        <v>1480</v>
      </c>
      <c r="V309" s="14">
        <v>77.400000000000006</v>
      </c>
      <c r="W309" s="14"/>
      <c r="X309" s="2">
        <f t="shared" si="13"/>
        <v>3607985.7800000003</v>
      </c>
      <c r="Y309" s="14">
        <v>15250.1</v>
      </c>
      <c r="Z309" s="14"/>
      <c r="AA309" s="14">
        <v>113830.5</v>
      </c>
      <c r="AB309" s="14"/>
      <c r="AC309" s="14">
        <v>114888.25</v>
      </c>
      <c r="AD309" s="14">
        <v>17946.5</v>
      </c>
      <c r="AE309" s="14"/>
      <c r="AF309" s="14"/>
      <c r="AG309" s="14">
        <v>3196.15</v>
      </c>
      <c r="AH309" s="14">
        <v>96156.75</v>
      </c>
      <c r="AI309" s="14"/>
      <c r="AJ309" s="14"/>
      <c r="AK309" s="14"/>
      <c r="AL309" s="48">
        <f t="shared" si="14"/>
        <v>361268.25</v>
      </c>
      <c r="AM309" s="22">
        <v>61</v>
      </c>
      <c r="AN309" s="14">
        <v>713</v>
      </c>
      <c r="AO309" s="14">
        <v>-19282.41</v>
      </c>
      <c r="AP309" s="14"/>
      <c r="AQ309" s="14">
        <v>-44.15</v>
      </c>
      <c r="AR309" s="44">
        <v>0.8</v>
      </c>
    </row>
    <row r="310" spans="1:44" x14ac:dyDescent="0.25">
      <c r="A310" s="12">
        <v>5923</v>
      </c>
      <c r="B310" s="13" t="s">
        <v>314</v>
      </c>
      <c r="C310" s="14">
        <v>316544.68</v>
      </c>
      <c r="D310" s="14">
        <v>34671.550000000003</v>
      </c>
      <c r="E310" s="14"/>
      <c r="F310" s="14"/>
      <c r="G310" s="14">
        <v>5779</v>
      </c>
      <c r="H310" s="14">
        <v>355</v>
      </c>
      <c r="I310" s="14"/>
      <c r="J310" s="14">
        <v>17865.66</v>
      </c>
      <c r="K310" s="14"/>
      <c r="L310" s="14">
        <v>21942</v>
      </c>
      <c r="M310" s="3">
        <f t="shared" si="12"/>
        <v>397157.88999999996</v>
      </c>
      <c r="N310" s="14">
        <v>15199.8</v>
      </c>
      <c r="O310" s="14">
        <v>237.6</v>
      </c>
      <c r="P310" s="14">
        <v>20081.5</v>
      </c>
      <c r="Q310" s="14"/>
      <c r="R310" s="14">
        <v>24727.65</v>
      </c>
      <c r="S310" s="14"/>
      <c r="T310" s="14"/>
      <c r="U310" s="14">
        <v>1589.5</v>
      </c>
      <c r="V310" s="14"/>
      <c r="W310" s="14"/>
      <c r="X310" s="2">
        <f t="shared" si="13"/>
        <v>458993.93999999994</v>
      </c>
      <c r="Y310" s="14">
        <v>2800</v>
      </c>
      <c r="Z310" s="14"/>
      <c r="AA310" s="14">
        <v>44170</v>
      </c>
      <c r="AB310" s="14"/>
      <c r="AC310" s="14">
        <v>12507</v>
      </c>
      <c r="AD310" s="14">
        <v>7818.2</v>
      </c>
      <c r="AE310" s="14"/>
      <c r="AF310" s="14"/>
      <c r="AG310" s="14"/>
      <c r="AH310" s="14"/>
      <c r="AI310" s="14"/>
      <c r="AJ310" s="14"/>
      <c r="AK310" s="14"/>
      <c r="AL310" s="48">
        <f t="shared" si="14"/>
        <v>67295.199999999997</v>
      </c>
      <c r="AM310" s="22">
        <v>81</v>
      </c>
      <c r="AN310" s="14">
        <v>182</v>
      </c>
      <c r="AO310" s="14">
        <v>-85.57</v>
      </c>
      <c r="AP310" s="14"/>
      <c r="AQ310" s="14"/>
      <c r="AR310" s="44">
        <v>1</v>
      </c>
    </row>
    <row r="311" spans="1:44" x14ac:dyDescent="0.25">
      <c r="A311" s="12">
        <v>5924</v>
      </c>
      <c r="B311" s="13" t="s">
        <v>315</v>
      </c>
      <c r="C311" s="14">
        <v>495277.13</v>
      </c>
      <c r="D311" s="14">
        <v>53169.04</v>
      </c>
      <c r="E311" s="14"/>
      <c r="F311" s="14"/>
      <c r="G311" s="14">
        <v>60485.3</v>
      </c>
      <c r="H311" s="14">
        <v>518.20000000000005</v>
      </c>
      <c r="I311" s="14"/>
      <c r="J311" s="14">
        <v>11394.76</v>
      </c>
      <c r="K311" s="14"/>
      <c r="L311" s="14">
        <v>41250.300000000003</v>
      </c>
      <c r="M311" s="3">
        <f t="shared" si="12"/>
        <v>662094.7300000001</v>
      </c>
      <c r="N311" s="14">
        <v>22835.85</v>
      </c>
      <c r="O311" s="14"/>
      <c r="P311" s="14">
        <v>31483.65</v>
      </c>
      <c r="Q311" s="14">
        <v>4847.07</v>
      </c>
      <c r="R311" s="14">
        <v>44305.8</v>
      </c>
      <c r="S311" s="14"/>
      <c r="T311" s="14">
        <v>1170</v>
      </c>
      <c r="U311" s="14">
        <v>2750</v>
      </c>
      <c r="V311" s="14"/>
      <c r="W311" s="14"/>
      <c r="X311" s="2">
        <f t="shared" si="13"/>
        <v>769487.10000000009</v>
      </c>
      <c r="Y311" s="14">
        <v>12678</v>
      </c>
      <c r="Z311" s="14"/>
      <c r="AA311" s="14">
        <v>17648.2</v>
      </c>
      <c r="AB311" s="14"/>
      <c r="AC311" s="14">
        <v>12740</v>
      </c>
      <c r="AD311" s="14">
        <v>6339</v>
      </c>
      <c r="AE311" s="14"/>
      <c r="AF311" s="14"/>
      <c r="AG311" s="14">
        <v>3319.8</v>
      </c>
      <c r="AH311" s="14"/>
      <c r="AI311" s="14"/>
      <c r="AJ311" s="14"/>
      <c r="AK311" s="14"/>
      <c r="AL311" s="48">
        <f t="shared" si="14"/>
        <v>52725</v>
      </c>
      <c r="AM311" s="22">
        <v>74</v>
      </c>
      <c r="AN311" s="14">
        <v>275</v>
      </c>
      <c r="AO311" s="14">
        <v>-715.45</v>
      </c>
      <c r="AP311" s="14"/>
      <c r="AQ311" s="14">
        <v>-15.04</v>
      </c>
      <c r="AR311" s="44">
        <v>1</v>
      </c>
    </row>
    <row r="312" spans="1:44" x14ac:dyDescent="0.25">
      <c r="A312" s="12">
        <v>5925</v>
      </c>
      <c r="B312" s="13" t="s">
        <v>444</v>
      </c>
      <c r="C312" s="14">
        <v>331897.37</v>
      </c>
      <c r="D312" s="14">
        <v>36150.53</v>
      </c>
      <c r="E312" s="14"/>
      <c r="F312" s="14">
        <v>1170</v>
      </c>
      <c r="G312" s="14">
        <v>2605.75</v>
      </c>
      <c r="H312" s="14">
        <v>197.05</v>
      </c>
      <c r="I312" s="14"/>
      <c r="J312" s="14">
        <v>5831.67</v>
      </c>
      <c r="K312" s="14"/>
      <c r="L312" s="14">
        <v>26308.7</v>
      </c>
      <c r="M312" s="3">
        <f t="shared" si="12"/>
        <v>404161.07</v>
      </c>
      <c r="N312" s="14">
        <v>5230.1000000000004</v>
      </c>
      <c r="O312" s="14"/>
      <c r="P312" s="14">
        <v>5206.7</v>
      </c>
      <c r="Q312" s="14"/>
      <c r="R312" s="14"/>
      <c r="S312" s="14"/>
      <c r="T312" s="14">
        <v>40</v>
      </c>
      <c r="U312" s="14">
        <v>1720</v>
      </c>
      <c r="V312" s="14"/>
      <c r="W312" s="14"/>
      <c r="X312" s="2">
        <f t="shared" si="13"/>
        <v>416357.87</v>
      </c>
      <c r="Y312" s="14">
        <v>2800</v>
      </c>
      <c r="Z312" s="14"/>
      <c r="AA312" s="14">
        <v>37993.5</v>
      </c>
      <c r="AB312" s="14"/>
      <c r="AC312" s="14">
        <v>13612.8</v>
      </c>
      <c r="AD312" s="14">
        <v>1503.5</v>
      </c>
      <c r="AE312" s="14"/>
      <c r="AF312" s="14"/>
      <c r="AG312" s="14"/>
      <c r="AH312" s="14"/>
      <c r="AI312" s="14"/>
      <c r="AJ312" s="14"/>
      <c r="AK312" s="14"/>
      <c r="AL312" s="48">
        <f t="shared" si="14"/>
        <v>55909.8</v>
      </c>
      <c r="AM312" s="22">
        <v>79</v>
      </c>
      <c r="AN312" s="14">
        <v>211</v>
      </c>
      <c r="AO312" s="14">
        <v>-923.15</v>
      </c>
      <c r="AP312" s="14">
        <v>-3982.45</v>
      </c>
      <c r="AQ312" s="14">
        <v>-9</v>
      </c>
      <c r="AR312" s="44">
        <v>1</v>
      </c>
    </row>
    <row r="313" spans="1:44" x14ac:dyDescent="0.25">
      <c r="A313" s="12">
        <v>5926</v>
      </c>
      <c r="B313" s="13" t="s">
        <v>445</v>
      </c>
      <c r="C313" s="14">
        <v>1169348.8700000001</v>
      </c>
      <c r="D313" s="14">
        <v>165108.76</v>
      </c>
      <c r="E313" s="14"/>
      <c r="F313" s="14"/>
      <c r="G313" s="14">
        <v>41691.9</v>
      </c>
      <c r="H313" s="14">
        <v>115.2</v>
      </c>
      <c r="I313" s="14"/>
      <c r="J313" s="14">
        <v>17363.099999999999</v>
      </c>
      <c r="K313" s="14"/>
      <c r="L313" s="14">
        <v>107127.8</v>
      </c>
      <c r="M313" s="3">
        <f t="shared" si="12"/>
        <v>1500755.6300000001</v>
      </c>
      <c r="N313" s="14">
        <v>7530.45</v>
      </c>
      <c r="O313" s="14">
        <v>679.1</v>
      </c>
      <c r="P313" s="14">
        <v>45814.15</v>
      </c>
      <c r="Q313" s="14">
        <v>1405.39</v>
      </c>
      <c r="R313" s="14">
        <v>50367.05</v>
      </c>
      <c r="S313" s="14"/>
      <c r="T313" s="14">
        <v>620</v>
      </c>
      <c r="U313" s="14">
        <v>4800</v>
      </c>
      <c r="V313" s="14"/>
      <c r="W313" s="14"/>
      <c r="X313" s="2">
        <f t="shared" si="13"/>
        <v>1611971.77</v>
      </c>
      <c r="Y313" s="14">
        <v>39524</v>
      </c>
      <c r="Z313" s="14"/>
      <c r="AA313" s="14">
        <v>46011.65</v>
      </c>
      <c r="AB313" s="14"/>
      <c r="AC313" s="14">
        <v>25577.9</v>
      </c>
      <c r="AD313" s="14">
        <v>23000</v>
      </c>
      <c r="AE313" s="14">
        <v>5445.2</v>
      </c>
      <c r="AF313" s="14"/>
      <c r="AG313" s="14"/>
      <c r="AH313" s="14"/>
      <c r="AI313" s="14"/>
      <c r="AJ313" s="14"/>
      <c r="AK313" s="14"/>
      <c r="AL313" s="48">
        <f t="shared" si="14"/>
        <v>139558.75</v>
      </c>
      <c r="AM313" s="22">
        <v>71</v>
      </c>
      <c r="AN313" s="14">
        <v>730</v>
      </c>
      <c r="AO313" s="14">
        <v>-9018.7900000000009</v>
      </c>
      <c r="AP313" s="14"/>
      <c r="AQ313" s="14">
        <v>-74.27</v>
      </c>
      <c r="AR313" s="44">
        <v>1</v>
      </c>
    </row>
    <row r="314" spans="1:44" x14ac:dyDescent="0.25">
      <c r="A314" s="12">
        <v>5928</v>
      </c>
      <c r="B314" s="13" t="s">
        <v>446</v>
      </c>
      <c r="C314" s="14">
        <v>302743.67</v>
      </c>
      <c r="D314" s="14">
        <v>36319.050000000003</v>
      </c>
      <c r="E314" s="14"/>
      <c r="F314" s="14"/>
      <c r="G314" s="14">
        <v>4137.6000000000004</v>
      </c>
      <c r="H314" s="14">
        <v>25.85</v>
      </c>
      <c r="I314" s="14"/>
      <c r="J314" s="14">
        <v>4613.42</v>
      </c>
      <c r="K314" s="14"/>
      <c r="L314" s="14">
        <v>19477.8</v>
      </c>
      <c r="M314" s="3">
        <f t="shared" si="12"/>
        <v>367317.3899999999</v>
      </c>
      <c r="N314" s="14"/>
      <c r="O314" s="14">
        <v>27518.1</v>
      </c>
      <c r="P314" s="14"/>
      <c r="Q314" s="14"/>
      <c r="R314" s="14"/>
      <c r="S314" s="14"/>
      <c r="T314" s="14"/>
      <c r="U314" s="14">
        <v>1170</v>
      </c>
      <c r="V314" s="14"/>
      <c r="W314" s="14"/>
      <c r="X314" s="2">
        <f t="shared" si="13"/>
        <v>396005.48999999987</v>
      </c>
      <c r="Y314" s="14"/>
      <c r="Z314" s="14"/>
      <c r="AA314" s="14">
        <v>29741.65</v>
      </c>
      <c r="AB314" s="14"/>
      <c r="AC314" s="14">
        <v>7996.45</v>
      </c>
      <c r="AD314" s="14"/>
      <c r="AE314" s="14"/>
      <c r="AF314" s="14"/>
      <c r="AG314" s="14"/>
      <c r="AH314" s="14"/>
      <c r="AI314" s="14"/>
      <c r="AJ314" s="14"/>
      <c r="AK314" s="14"/>
      <c r="AL314" s="48">
        <f t="shared" si="14"/>
        <v>37738.1</v>
      </c>
      <c r="AM314" s="22">
        <v>75</v>
      </c>
      <c r="AN314" s="14">
        <v>176</v>
      </c>
      <c r="AO314" s="14">
        <v>-30.93</v>
      </c>
      <c r="AP314" s="14"/>
      <c r="AQ314" s="14">
        <v>-0.53</v>
      </c>
      <c r="AR314" s="44">
        <v>1</v>
      </c>
    </row>
    <row r="315" spans="1:44" x14ac:dyDescent="0.25">
      <c r="A315" s="12">
        <v>5929</v>
      </c>
      <c r="B315" s="13" t="s">
        <v>447</v>
      </c>
      <c r="C315" s="14">
        <v>867609.78</v>
      </c>
      <c r="D315" s="14">
        <v>82697.63</v>
      </c>
      <c r="E315" s="14"/>
      <c r="F315" s="14"/>
      <c r="G315" s="14">
        <v>27519.35</v>
      </c>
      <c r="H315" s="14">
        <v>356.9</v>
      </c>
      <c r="I315" s="14">
        <v>39925.85</v>
      </c>
      <c r="J315" s="14">
        <v>-3166.46</v>
      </c>
      <c r="K315" s="14"/>
      <c r="L315" s="14">
        <v>52073.15</v>
      </c>
      <c r="M315" s="3">
        <f t="shared" si="12"/>
        <v>1067016.2</v>
      </c>
      <c r="N315" s="14">
        <v>8492.6</v>
      </c>
      <c r="O315" s="14"/>
      <c r="P315" s="14">
        <v>17156.150000000001</v>
      </c>
      <c r="Q315" s="14"/>
      <c r="R315" s="14">
        <v>14080.55</v>
      </c>
      <c r="S315" s="14">
        <v>93.75</v>
      </c>
      <c r="T315" s="14"/>
      <c r="U315" s="14">
        <v>2130</v>
      </c>
      <c r="V315" s="14"/>
      <c r="W315" s="14"/>
      <c r="X315" s="2">
        <f t="shared" si="13"/>
        <v>1108969.25</v>
      </c>
      <c r="Y315" s="14">
        <v>16122.65</v>
      </c>
      <c r="Z315" s="14"/>
      <c r="AA315" s="14">
        <v>188013.1</v>
      </c>
      <c r="AB315" s="14"/>
      <c r="AC315" s="14">
        <v>39858.85</v>
      </c>
      <c r="AD315" s="14"/>
      <c r="AE315" s="14"/>
      <c r="AF315" s="14"/>
      <c r="AG315" s="14"/>
      <c r="AH315" s="14">
        <v>11328.75</v>
      </c>
      <c r="AI315" s="14"/>
      <c r="AJ315" s="14"/>
      <c r="AK315" s="14"/>
      <c r="AL315" s="48">
        <f t="shared" si="14"/>
        <v>255323.35</v>
      </c>
      <c r="AM315" s="22">
        <v>68</v>
      </c>
      <c r="AN315" s="14">
        <v>542</v>
      </c>
      <c r="AO315" s="14">
        <v>-7804.95</v>
      </c>
      <c r="AP315" s="14"/>
      <c r="AQ315" s="14">
        <v>-220.58</v>
      </c>
      <c r="AR315" s="44">
        <v>0.6</v>
      </c>
    </row>
    <row r="316" spans="1:44" x14ac:dyDescent="0.25">
      <c r="A316" s="12">
        <v>5930</v>
      </c>
      <c r="B316" s="13" t="s">
        <v>448</v>
      </c>
      <c r="C316" s="14">
        <v>287349.56</v>
      </c>
      <c r="D316" s="14">
        <v>28145.57</v>
      </c>
      <c r="E316" s="14"/>
      <c r="F316" s="14"/>
      <c r="G316" s="14">
        <v>167.15</v>
      </c>
      <c r="H316" s="14">
        <v>33.700000000000003</v>
      </c>
      <c r="I316" s="14"/>
      <c r="J316" s="14">
        <v>2155.39</v>
      </c>
      <c r="K316" s="14"/>
      <c r="L316" s="14">
        <v>26246.6</v>
      </c>
      <c r="M316" s="3">
        <f t="shared" si="12"/>
        <v>344097.97000000003</v>
      </c>
      <c r="N316" s="14">
        <v>7873.25</v>
      </c>
      <c r="O316" s="14">
        <v>75.3</v>
      </c>
      <c r="P316" s="14">
        <v>4649.6499999999996</v>
      </c>
      <c r="Q316" s="14"/>
      <c r="R316" s="14"/>
      <c r="S316" s="14"/>
      <c r="T316" s="14">
        <v>50</v>
      </c>
      <c r="U316" s="14">
        <v>320</v>
      </c>
      <c r="V316" s="14"/>
      <c r="W316" s="14"/>
      <c r="X316" s="2">
        <f t="shared" si="13"/>
        <v>357066.17000000004</v>
      </c>
      <c r="Y316" s="14">
        <v>11750</v>
      </c>
      <c r="Z316" s="14"/>
      <c r="AA316" s="14">
        <v>17418.7</v>
      </c>
      <c r="AB316" s="14"/>
      <c r="AC316" s="14">
        <v>6718.25</v>
      </c>
      <c r="AD316" s="14">
        <v>5821.5</v>
      </c>
      <c r="AE316" s="14"/>
      <c r="AF316" s="14"/>
      <c r="AG316" s="14"/>
      <c r="AH316" s="14"/>
      <c r="AI316" s="14"/>
      <c r="AJ316" s="14"/>
      <c r="AK316" s="14"/>
      <c r="AL316" s="48">
        <f t="shared" si="14"/>
        <v>41708.449999999997</v>
      </c>
      <c r="AM316" s="22">
        <v>66</v>
      </c>
      <c r="AN316" s="14">
        <v>199</v>
      </c>
      <c r="AO316" s="14">
        <v>-51.83</v>
      </c>
      <c r="AP316" s="14"/>
      <c r="AQ316" s="14">
        <v>-312.61</v>
      </c>
      <c r="AR316" s="44">
        <v>1</v>
      </c>
    </row>
    <row r="317" spans="1:44" x14ac:dyDescent="0.25">
      <c r="A317" s="12">
        <v>5931</v>
      </c>
      <c r="B317" s="13" t="s">
        <v>449</v>
      </c>
      <c r="C317" s="14">
        <v>891282.73</v>
      </c>
      <c r="D317" s="14">
        <v>91479.43</v>
      </c>
      <c r="E317" s="14"/>
      <c r="F317" s="14"/>
      <c r="G317" s="14">
        <v>10562.4</v>
      </c>
      <c r="H317" s="14">
        <v>988.15</v>
      </c>
      <c r="I317" s="14"/>
      <c r="J317" s="14">
        <v>15062.89</v>
      </c>
      <c r="K317" s="14">
        <v>94.5</v>
      </c>
      <c r="L317" s="14">
        <v>69666.7</v>
      </c>
      <c r="M317" s="3">
        <f t="shared" si="12"/>
        <v>1079136.8</v>
      </c>
      <c r="N317" s="14">
        <v>12599.25</v>
      </c>
      <c r="O317" s="14">
        <v>4332.1000000000004</v>
      </c>
      <c r="P317" s="14">
        <v>39723.800000000003</v>
      </c>
      <c r="Q317" s="14">
        <v>219.5</v>
      </c>
      <c r="R317" s="14">
        <v>31537.1</v>
      </c>
      <c r="S317" s="14"/>
      <c r="T317" s="14">
        <v>350</v>
      </c>
      <c r="U317" s="14">
        <v>4100</v>
      </c>
      <c r="V317" s="14"/>
      <c r="W317" s="14"/>
      <c r="X317" s="2">
        <f t="shared" si="13"/>
        <v>1171998.5500000003</v>
      </c>
      <c r="Y317" s="14">
        <v>2000</v>
      </c>
      <c r="Z317" s="14"/>
      <c r="AA317" s="14">
        <v>35302.85</v>
      </c>
      <c r="AB317" s="14"/>
      <c r="AC317" s="14">
        <v>26775.9</v>
      </c>
      <c r="AD317" s="14">
        <v>500</v>
      </c>
      <c r="AE317" s="14"/>
      <c r="AF317" s="14"/>
      <c r="AG317" s="14"/>
      <c r="AH317" s="14">
        <v>13024.05</v>
      </c>
      <c r="AI317" s="14"/>
      <c r="AJ317" s="14"/>
      <c r="AK317" s="14"/>
      <c r="AL317" s="48">
        <f t="shared" si="14"/>
        <v>77602.8</v>
      </c>
      <c r="AM317" s="22">
        <v>77</v>
      </c>
      <c r="AN317" s="14">
        <v>462</v>
      </c>
      <c r="AO317" s="14">
        <v>-7355.87</v>
      </c>
      <c r="AP317" s="14"/>
      <c r="AQ317" s="14">
        <v>-0.72</v>
      </c>
      <c r="AR317" s="44">
        <v>1</v>
      </c>
    </row>
    <row r="318" spans="1:44" x14ac:dyDescent="0.25">
      <c r="A318" s="12">
        <v>5932</v>
      </c>
      <c r="B318" s="13" t="s">
        <v>316</v>
      </c>
      <c r="C318" s="14">
        <v>342237.93</v>
      </c>
      <c r="D318" s="14">
        <v>24436.42</v>
      </c>
      <c r="E318" s="14"/>
      <c r="F318" s="14">
        <v>1220</v>
      </c>
      <c r="G318" s="14">
        <v>1253.9000000000001</v>
      </c>
      <c r="H318" s="14">
        <v>43.8</v>
      </c>
      <c r="I318" s="14">
        <v>24715.45</v>
      </c>
      <c r="J318" s="14">
        <v>2928.81</v>
      </c>
      <c r="K318" s="14">
        <v>50</v>
      </c>
      <c r="L318" s="14">
        <v>27673.7</v>
      </c>
      <c r="M318" s="3">
        <f t="shared" si="12"/>
        <v>424560.01</v>
      </c>
      <c r="N318" s="14"/>
      <c r="O318" s="14"/>
      <c r="P318" s="14">
        <v>561</v>
      </c>
      <c r="Q318" s="14">
        <v>0</v>
      </c>
      <c r="R318" s="14"/>
      <c r="S318" s="14"/>
      <c r="T318" s="14">
        <v>370</v>
      </c>
      <c r="U318" s="14">
        <v>1850</v>
      </c>
      <c r="V318" s="14"/>
      <c r="W318" s="14"/>
      <c r="X318" s="2">
        <f t="shared" si="13"/>
        <v>427341.01</v>
      </c>
      <c r="Y318" s="14">
        <v>16475</v>
      </c>
      <c r="Z318" s="14"/>
      <c r="AA318" s="14">
        <v>13293.4</v>
      </c>
      <c r="AB318" s="14"/>
      <c r="AC318" s="14">
        <v>8608.4</v>
      </c>
      <c r="AD318" s="14">
        <v>16046.65</v>
      </c>
      <c r="AE318" s="14"/>
      <c r="AF318" s="14"/>
      <c r="AG318" s="14"/>
      <c r="AH318" s="14"/>
      <c r="AI318" s="14"/>
      <c r="AJ318" s="14"/>
      <c r="AK318" s="14"/>
      <c r="AL318" s="48">
        <f t="shared" si="14"/>
        <v>54423.450000000004</v>
      </c>
      <c r="AM318" s="22">
        <v>78</v>
      </c>
      <c r="AN318" s="14">
        <v>207</v>
      </c>
      <c r="AO318" s="14">
        <v>-1074.07</v>
      </c>
      <c r="AP318" s="14"/>
      <c r="AQ318" s="14"/>
      <c r="AR318" s="44">
        <v>1</v>
      </c>
    </row>
    <row r="319" spans="1:44" x14ac:dyDescent="0.25">
      <c r="A319" s="12">
        <v>5933</v>
      </c>
      <c r="B319" s="13" t="s">
        <v>442</v>
      </c>
      <c r="C319" s="14">
        <v>1025120.11</v>
      </c>
      <c r="D319" s="14">
        <v>114035.92</v>
      </c>
      <c r="E319" s="14"/>
      <c r="F319" s="14"/>
      <c r="G319" s="14">
        <v>12392.4</v>
      </c>
      <c r="H319" s="14">
        <v>144.1</v>
      </c>
      <c r="I319" s="14"/>
      <c r="J319" s="14">
        <v>21006.32</v>
      </c>
      <c r="K319" s="14">
        <v>1764.5</v>
      </c>
      <c r="L319" s="14">
        <v>97423.75</v>
      </c>
      <c r="M319" s="3">
        <f t="shared" si="12"/>
        <v>1271887.1000000001</v>
      </c>
      <c r="N319" s="14">
        <v>8149.15</v>
      </c>
      <c r="O319" s="14"/>
      <c r="P319" s="14">
        <v>65006.15</v>
      </c>
      <c r="Q319" s="14">
        <v>7070.37</v>
      </c>
      <c r="R319" s="14">
        <v>34157.449999999997</v>
      </c>
      <c r="S319" s="14">
        <v>62.5</v>
      </c>
      <c r="T319" s="14">
        <v>500</v>
      </c>
      <c r="U319" s="14">
        <v>3840</v>
      </c>
      <c r="V319" s="14"/>
      <c r="W319" s="14"/>
      <c r="X319" s="2">
        <f t="shared" si="13"/>
        <v>1390672.72</v>
      </c>
      <c r="Y319" s="14">
        <v>6214</v>
      </c>
      <c r="Z319" s="14"/>
      <c r="AA319" s="14">
        <v>71332.55</v>
      </c>
      <c r="AB319" s="14"/>
      <c r="AC319" s="14">
        <v>29944</v>
      </c>
      <c r="AD319" s="14">
        <v>2436</v>
      </c>
      <c r="AE319" s="14"/>
      <c r="AF319" s="14"/>
      <c r="AG319" s="14"/>
      <c r="AH319" s="14"/>
      <c r="AI319" s="14"/>
      <c r="AJ319" s="14"/>
      <c r="AK319" s="14"/>
      <c r="AL319" s="48">
        <f t="shared" si="14"/>
        <v>109926.55</v>
      </c>
      <c r="AM319" s="22">
        <v>72</v>
      </c>
      <c r="AN319" s="14">
        <v>661</v>
      </c>
      <c r="AO319" s="14">
        <v>-28404.55</v>
      </c>
      <c r="AP319" s="14">
        <v>-14603</v>
      </c>
      <c r="AQ319" s="14"/>
      <c r="AR319" s="44">
        <v>1</v>
      </c>
    </row>
    <row r="320" spans="1:44" x14ac:dyDescent="0.25">
      <c r="A320" s="12">
        <v>5934</v>
      </c>
      <c r="B320" s="13" t="s">
        <v>443</v>
      </c>
      <c r="C320" s="14">
        <v>446111.45</v>
      </c>
      <c r="D320" s="14">
        <v>51124.34</v>
      </c>
      <c r="E320" s="14"/>
      <c r="F320" s="14">
        <v>1290</v>
      </c>
      <c r="G320" s="14">
        <v>812.65</v>
      </c>
      <c r="H320" s="14">
        <v>25.9</v>
      </c>
      <c r="I320" s="14"/>
      <c r="J320" s="14">
        <v>1358.36</v>
      </c>
      <c r="K320" s="14">
        <v>95</v>
      </c>
      <c r="L320" s="14">
        <v>25139.1</v>
      </c>
      <c r="M320" s="3">
        <f t="shared" si="12"/>
        <v>525956.80000000005</v>
      </c>
      <c r="N320" s="14">
        <v>11606.85</v>
      </c>
      <c r="O320" s="14">
        <v>27.5</v>
      </c>
      <c r="P320" s="14">
        <v>14084.9</v>
      </c>
      <c r="Q320" s="14"/>
      <c r="R320" s="14">
        <v>22803.95</v>
      </c>
      <c r="S320" s="14"/>
      <c r="T320" s="14"/>
      <c r="U320" s="14">
        <v>1020</v>
      </c>
      <c r="V320" s="14"/>
      <c r="W320" s="14"/>
      <c r="X320" s="2">
        <f t="shared" si="13"/>
        <v>575500</v>
      </c>
      <c r="Y320" s="14">
        <v>3080.95</v>
      </c>
      <c r="Z320" s="14"/>
      <c r="AA320" s="14">
        <v>27750</v>
      </c>
      <c r="AB320" s="14"/>
      <c r="AC320" s="14">
        <v>10928.35</v>
      </c>
      <c r="AD320" s="14">
        <v>484</v>
      </c>
      <c r="AE320" s="14"/>
      <c r="AF320" s="14"/>
      <c r="AG320" s="14"/>
      <c r="AH320" s="14"/>
      <c r="AI320" s="14"/>
      <c r="AJ320" s="14"/>
      <c r="AK320" s="14"/>
      <c r="AL320" s="48">
        <f t="shared" si="14"/>
        <v>42243.3</v>
      </c>
      <c r="AM320" s="22">
        <v>79</v>
      </c>
      <c r="AN320" s="14">
        <v>245</v>
      </c>
      <c r="AO320" s="14">
        <v>-4364.79</v>
      </c>
      <c r="AP320" s="14"/>
      <c r="AQ320" s="14"/>
      <c r="AR320" s="44">
        <v>1</v>
      </c>
    </row>
    <row r="321" spans="1:44" x14ac:dyDescent="0.25">
      <c r="A321" s="12">
        <v>5935</v>
      </c>
      <c r="B321" s="13" t="s">
        <v>343</v>
      </c>
      <c r="C321" s="14">
        <v>385864.25</v>
      </c>
      <c r="D321" s="14">
        <v>28257.8</v>
      </c>
      <c r="E321" s="14"/>
      <c r="F321" s="14"/>
      <c r="G321" s="14">
        <v>19680.75</v>
      </c>
      <c r="H321" s="14">
        <v>0.2</v>
      </c>
      <c r="I321" s="14"/>
      <c r="J321" s="14">
        <v>-142.63</v>
      </c>
      <c r="K321" s="14"/>
      <c r="L321" s="14">
        <v>17267.95</v>
      </c>
      <c r="M321" s="3">
        <f t="shared" si="12"/>
        <v>450928.32</v>
      </c>
      <c r="N321" s="14"/>
      <c r="O321" s="14"/>
      <c r="P321" s="14">
        <v>1540</v>
      </c>
      <c r="Q321" s="14">
        <v>12421.09</v>
      </c>
      <c r="R321" s="14"/>
      <c r="S321" s="14"/>
      <c r="T321" s="14"/>
      <c r="U321" s="14">
        <v>140</v>
      </c>
      <c r="V321" s="14"/>
      <c r="W321" s="14"/>
      <c r="X321" s="2">
        <f t="shared" si="13"/>
        <v>465029.41000000003</v>
      </c>
      <c r="Y321" s="14"/>
      <c r="Z321" s="14">
        <v>1225</v>
      </c>
      <c r="AA321" s="14">
        <v>5698</v>
      </c>
      <c r="AB321" s="14"/>
      <c r="AC321" s="14">
        <v>5104</v>
      </c>
      <c r="AD321" s="14">
        <v>2050</v>
      </c>
      <c r="AE321" s="14"/>
      <c r="AF321" s="14"/>
      <c r="AG321" s="14"/>
      <c r="AH321" s="14"/>
      <c r="AI321" s="14"/>
      <c r="AJ321" s="14"/>
      <c r="AK321" s="14"/>
      <c r="AL321" s="48">
        <f t="shared" si="14"/>
        <v>14077</v>
      </c>
      <c r="AM321" s="22">
        <v>60</v>
      </c>
      <c r="AN321" s="14">
        <v>90</v>
      </c>
      <c r="AO321" s="14">
        <v>-12458.46</v>
      </c>
      <c r="AP321" s="14"/>
      <c r="AQ321" s="14">
        <v>-115.1</v>
      </c>
      <c r="AR321" s="44">
        <v>1</v>
      </c>
    </row>
    <row r="322" spans="1:44" x14ac:dyDescent="0.25">
      <c r="A322" s="12">
        <v>5937</v>
      </c>
      <c r="B322" s="13" t="s">
        <v>317</v>
      </c>
      <c r="C322" s="14">
        <v>126555.07</v>
      </c>
      <c r="D322" s="14">
        <v>8125.58</v>
      </c>
      <c r="E322" s="14"/>
      <c r="F322" s="14"/>
      <c r="G322" s="14">
        <v>-378.4</v>
      </c>
      <c r="H322" s="14">
        <v>64.150000000000006</v>
      </c>
      <c r="I322" s="14"/>
      <c r="J322" s="14">
        <v>5563.94</v>
      </c>
      <c r="K322" s="14"/>
      <c r="L322" s="14">
        <v>10179.9</v>
      </c>
      <c r="M322" s="3">
        <f t="shared" si="12"/>
        <v>150110.24</v>
      </c>
      <c r="N322" s="14"/>
      <c r="O322" s="14"/>
      <c r="P322" s="14"/>
      <c r="Q322" s="14">
        <v>353.47</v>
      </c>
      <c r="R322" s="14"/>
      <c r="S322" s="14"/>
      <c r="T322" s="14"/>
      <c r="U322" s="14">
        <v>1400</v>
      </c>
      <c r="V322" s="14"/>
      <c r="W322" s="14"/>
      <c r="X322" s="2">
        <f t="shared" si="13"/>
        <v>151863.71</v>
      </c>
      <c r="Y322" s="14"/>
      <c r="Z322" s="14"/>
      <c r="AA322" s="14">
        <v>14700</v>
      </c>
      <c r="AB322" s="14"/>
      <c r="AC322" s="14">
        <v>5336</v>
      </c>
      <c r="AD322" s="14"/>
      <c r="AE322" s="14"/>
      <c r="AF322" s="14"/>
      <c r="AG322" s="14"/>
      <c r="AH322" s="14"/>
      <c r="AI322" s="14"/>
      <c r="AJ322" s="14"/>
      <c r="AK322" s="14"/>
      <c r="AL322" s="48">
        <f t="shared" si="14"/>
        <v>20036</v>
      </c>
      <c r="AM322" s="22">
        <v>70</v>
      </c>
      <c r="AN322" s="14">
        <v>135</v>
      </c>
      <c r="AO322" s="14">
        <v>-5795.97</v>
      </c>
      <c r="AP322" s="14"/>
      <c r="AQ322" s="14">
        <v>-2.09</v>
      </c>
      <c r="AR322" s="44">
        <v>0.7</v>
      </c>
    </row>
    <row r="323" spans="1:44" x14ac:dyDescent="0.25">
      <c r="A323" s="12">
        <v>5938</v>
      </c>
      <c r="B323" s="13" t="s">
        <v>184</v>
      </c>
      <c r="C323" s="14">
        <v>43365912.770000003</v>
      </c>
      <c r="D323" s="14">
        <v>4341486.7</v>
      </c>
      <c r="E323" s="14"/>
      <c r="F323" s="14"/>
      <c r="G323" s="14">
        <v>5510414.25</v>
      </c>
      <c r="H323" s="14">
        <v>334773.05</v>
      </c>
      <c r="I323" s="14">
        <v>54045.85</v>
      </c>
      <c r="J323" s="14">
        <v>1978267.83</v>
      </c>
      <c r="K323" s="14">
        <v>482717</v>
      </c>
      <c r="L323" s="14">
        <v>3809221.55</v>
      </c>
      <c r="M323" s="3">
        <f t="shared" si="12"/>
        <v>59876839</v>
      </c>
      <c r="N323" s="14">
        <v>3351601.5</v>
      </c>
      <c r="O323" s="14">
        <v>1090768.3999999999</v>
      </c>
      <c r="P323" s="14">
        <v>2050380.1</v>
      </c>
      <c r="Q323" s="14">
        <v>420276.52</v>
      </c>
      <c r="R323" s="14">
        <v>692489.6</v>
      </c>
      <c r="S323" s="14">
        <v>3850</v>
      </c>
      <c r="T323" s="14"/>
      <c r="U323" s="14">
        <v>55125</v>
      </c>
      <c r="V323" s="14"/>
      <c r="W323" s="14"/>
      <c r="X323" s="2">
        <f t="shared" si="13"/>
        <v>67541330.120000005</v>
      </c>
      <c r="Y323" s="14">
        <v>916717</v>
      </c>
      <c r="Z323" s="14"/>
      <c r="AA323" s="14">
        <v>4280052</v>
      </c>
      <c r="AB323" s="14">
        <v>1153249</v>
      </c>
      <c r="AC323" s="14">
        <v>99363</v>
      </c>
      <c r="AD323" s="14">
        <v>168730</v>
      </c>
      <c r="AE323" s="14"/>
      <c r="AF323" s="14"/>
      <c r="AG323" s="14">
        <v>244451</v>
      </c>
      <c r="AH323" s="14">
        <v>887566</v>
      </c>
      <c r="AI323" s="14">
        <v>812335</v>
      </c>
      <c r="AJ323" s="14">
        <v>760758</v>
      </c>
      <c r="AK323" s="14"/>
      <c r="AL323" s="48">
        <f>SUM(Y323:AK323)</f>
        <v>9323221</v>
      </c>
      <c r="AM323" s="22">
        <v>76.5</v>
      </c>
      <c r="AN323" s="14">
        <v>29308</v>
      </c>
      <c r="AO323" s="14">
        <v>-1257159.72</v>
      </c>
      <c r="AP323" s="14"/>
      <c r="AQ323" s="14">
        <v>-32443.69</v>
      </c>
      <c r="AR323" s="44">
        <v>1</v>
      </c>
    </row>
    <row r="324" spans="1:44" x14ac:dyDescent="0.25">
      <c r="A324" s="12">
        <v>5939</v>
      </c>
      <c r="B324" s="13" t="s">
        <v>183</v>
      </c>
      <c r="C324" s="25">
        <v>4949714.42</v>
      </c>
      <c r="D324" s="25">
        <v>445811.81</v>
      </c>
      <c r="E324" s="25"/>
      <c r="F324" s="25"/>
      <c r="G324" s="25">
        <v>441771.45</v>
      </c>
      <c r="H324" s="25">
        <v>16731.2</v>
      </c>
      <c r="I324" s="25"/>
      <c r="J324" s="25">
        <v>187787.51</v>
      </c>
      <c r="K324" s="25">
        <v>12870.5</v>
      </c>
      <c r="L324" s="25">
        <v>458687.55</v>
      </c>
      <c r="M324" s="3">
        <f t="shared" si="12"/>
        <v>6513374.4399999995</v>
      </c>
      <c r="N324" s="25">
        <v>187954.15</v>
      </c>
      <c r="O324" s="25">
        <v>92200.5</v>
      </c>
      <c r="P324" s="25">
        <v>252725.4</v>
      </c>
      <c r="Q324" s="25"/>
      <c r="R324" s="25">
        <v>100263.95</v>
      </c>
      <c r="S324" s="25">
        <v>1830</v>
      </c>
      <c r="T324" s="25"/>
      <c r="U324" s="25">
        <v>20550</v>
      </c>
      <c r="V324" s="25">
        <v>461</v>
      </c>
      <c r="W324" s="25"/>
      <c r="X324" s="2">
        <f t="shared" si="13"/>
        <v>7169359.4400000004</v>
      </c>
      <c r="Y324" s="25">
        <v>217186.4</v>
      </c>
      <c r="Z324" s="25"/>
      <c r="AA324" s="25">
        <v>649628.9</v>
      </c>
      <c r="AB324" s="25"/>
      <c r="AC324" s="25"/>
      <c r="AD324" s="25">
        <v>117216</v>
      </c>
      <c r="AE324" s="25"/>
      <c r="AF324" s="25"/>
      <c r="AG324" s="25">
        <v>9751.9500000000007</v>
      </c>
      <c r="AH324" s="25"/>
      <c r="AI324" s="25"/>
      <c r="AJ324" s="25"/>
      <c r="AK324" s="25"/>
      <c r="AL324" s="48">
        <f t="shared" si="14"/>
        <v>993783.25</v>
      </c>
      <c r="AM324" s="22">
        <v>73</v>
      </c>
      <c r="AN324" s="25">
        <v>3152</v>
      </c>
      <c r="AO324" s="25">
        <v>-72468.94</v>
      </c>
      <c r="AP324" s="25"/>
      <c r="AQ324" s="25">
        <v>-732.21</v>
      </c>
      <c r="AR324" s="44">
        <v>1</v>
      </c>
    </row>
    <row r="325" spans="1:44" x14ac:dyDescent="0.25">
      <c r="A325" s="11"/>
      <c r="B325" s="34">
        <f>COUNTA(B7:B324)</f>
        <v>318</v>
      </c>
      <c r="C325" s="15">
        <f>SUM(C7:C324)</f>
        <v>1531935348.7299998</v>
      </c>
      <c r="D325" s="15">
        <f t="shared" ref="D325:L325" si="15">SUM(D7:D324)</f>
        <v>260947756.72999999</v>
      </c>
      <c r="E325" s="15">
        <f t="shared" si="15"/>
        <v>682404</v>
      </c>
      <c r="F325" s="15">
        <f t="shared" si="15"/>
        <v>106137.85</v>
      </c>
      <c r="G325" s="15">
        <f t="shared" si="15"/>
        <v>282867864.75999987</v>
      </c>
      <c r="H325" s="15">
        <f t="shared" si="15"/>
        <v>35423780.499999985</v>
      </c>
      <c r="I325" s="15">
        <f t="shared" si="15"/>
        <v>53700410.380000003</v>
      </c>
      <c r="J325" s="15">
        <f t="shared" si="15"/>
        <v>84543437.860000089</v>
      </c>
      <c r="K325" s="15">
        <f t="shared" si="15"/>
        <v>14511793.299999997</v>
      </c>
      <c r="L325" s="15">
        <f t="shared" si="15"/>
        <v>171092252.88000005</v>
      </c>
      <c r="M325" s="15">
        <f t="shared" ref="M325:AL325" si="16">SUM(M7:M324)</f>
        <v>2435811186.9900002</v>
      </c>
      <c r="N325" s="15">
        <f t="shared" si="16"/>
        <v>66364349.699999996</v>
      </c>
      <c r="O325" s="15">
        <f t="shared" si="16"/>
        <v>80728122.999999911</v>
      </c>
      <c r="P325" s="15">
        <f t="shared" si="16"/>
        <v>79976846.030000061</v>
      </c>
      <c r="Q325" s="15">
        <f t="shared" si="16"/>
        <v>11801586.810000006</v>
      </c>
      <c r="R325" s="15">
        <f t="shared" si="16"/>
        <v>63250321.100000001</v>
      </c>
      <c r="S325" s="15">
        <f t="shared" si="16"/>
        <v>334680.54999999993</v>
      </c>
      <c r="T325" s="15">
        <f t="shared" si="16"/>
        <v>485337.64999999997</v>
      </c>
      <c r="U325" s="15">
        <f t="shared" si="16"/>
        <v>3145642.05</v>
      </c>
      <c r="V325" s="15">
        <f t="shared" si="16"/>
        <v>6276500.9700000007</v>
      </c>
      <c r="W325" s="15">
        <f t="shared" si="16"/>
        <v>429492.02</v>
      </c>
      <c r="X325" s="15">
        <f t="shared" si="16"/>
        <v>2748604066.8699951</v>
      </c>
      <c r="Y325" s="15">
        <f t="shared" si="16"/>
        <v>24999413.449999999</v>
      </c>
      <c r="Z325" s="15">
        <f t="shared" si="16"/>
        <v>2103564.2500000005</v>
      </c>
      <c r="AA325" s="15">
        <f t="shared" si="16"/>
        <v>97773540.480000034</v>
      </c>
      <c r="AB325" s="15">
        <f t="shared" si="16"/>
        <v>9663444.3699999992</v>
      </c>
      <c r="AC325" s="15">
        <f t="shared" si="16"/>
        <v>77753222.010000005</v>
      </c>
      <c r="AD325" s="15">
        <f t="shared" si="16"/>
        <v>24263295.379999992</v>
      </c>
      <c r="AE325" s="15">
        <f t="shared" si="16"/>
        <v>1550934.88</v>
      </c>
      <c r="AF325" s="15">
        <f t="shared" si="16"/>
        <v>122609.54999999999</v>
      </c>
      <c r="AG325" s="15">
        <f t="shared" si="16"/>
        <v>12409593.169999998</v>
      </c>
      <c r="AH325" s="15">
        <f t="shared" si="16"/>
        <v>21951552.000000004</v>
      </c>
      <c r="AI325" s="15">
        <f t="shared" si="16"/>
        <v>10645376.99</v>
      </c>
      <c r="AJ325" s="15">
        <f t="shared" si="16"/>
        <v>4075446.08</v>
      </c>
      <c r="AK325" s="15">
        <f t="shared" si="16"/>
        <v>2592818.2699999996</v>
      </c>
      <c r="AL325" s="49">
        <f t="shared" si="16"/>
        <v>289904810.88</v>
      </c>
      <c r="AM325" s="26"/>
      <c r="AN325" s="15">
        <f>SUM(AN7:AN324)</f>
        <v>767496</v>
      </c>
      <c r="AO325" s="15">
        <f>SUM(AO7:AO324)</f>
        <v>-35132717.890000008</v>
      </c>
      <c r="AP325" s="15">
        <f>SUM(AP7:AP324)</f>
        <v>-87182.15</v>
      </c>
      <c r="AQ325" s="15">
        <f>SUM(AQ7:AQ324)</f>
        <v>-1317067.7100000002</v>
      </c>
      <c r="AR325" s="45"/>
    </row>
    <row r="326" spans="1:44" x14ac:dyDescent="0.25">
      <c r="B326" s="16"/>
      <c r="AN326" s="20"/>
    </row>
    <row r="327" spans="1:44" x14ac:dyDescent="0.25">
      <c r="B327" s="17"/>
      <c r="AN327" s="16"/>
    </row>
  </sheetData>
  <sheetProtection sheet="1" objects="1" scenarios="1"/>
  <protectedRanges>
    <protectedRange sqref="A7:L324 N7:W324 Y7:AK324 AM7:AQ324" name="Plage1"/>
  </protectedRanges>
  <mergeCells count="44">
    <mergeCell ref="AN4:AN5"/>
    <mergeCell ref="AO4:AO6"/>
    <mergeCell ref="AQ4:AQ6"/>
    <mergeCell ref="AP4:AP6"/>
    <mergeCell ref="AK4:AK6"/>
    <mergeCell ref="AC4:AC5"/>
    <mergeCell ref="AJ4:AJ6"/>
    <mergeCell ref="AI4:AI6"/>
    <mergeCell ref="AL4:AL5"/>
    <mergeCell ref="AM4:AM5"/>
    <mergeCell ref="AG4:AG5"/>
    <mergeCell ref="AD4:AD5"/>
    <mergeCell ref="AE4:AE5"/>
    <mergeCell ref="AF4:AF5"/>
    <mergeCell ref="AH4:AH6"/>
    <mergeCell ref="A4:A6"/>
    <mergeCell ref="B4:B6"/>
    <mergeCell ref="Q4:Q6"/>
    <mergeCell ref="S4:S6"/>
    <mergeCell ref="L4:L5"/>
    <mergeCell ref="G4:G5"/>
    <mergeCell ref="H4:H5"/>
    <mergeCell ref="I4:I5"/>
    <mergeCell ref="J4:J5"/>
    <mergeCell ref="C4:C5"/>
    <mergeCell ref="D4:D5"/>
    <mergeCell ref="E4:E5"/>
    <mergeCell ref="N4:N5"/>
    <mergeCell ref="AR4:AR6"/>
    <mergeCell ref="F4:F5"/>
    <mergeCell ref="K4:K5"/>
    <mergeCell ref="M4:M5"/>
    <mergeCell ref="Y4:Y5"/>
    <mergeCell ref="Z4:Z5"/>
    <mergeCell ref="X4:X5"/>
    <mergeCell ref="O4:O5"/>
    <mergeCell ref="P4:P5"/>
    <mergeCell ref="R4:R5"/>
    <mergeCell ref="T4:T5"/>
    <mergeCell ref="U4:U5"/>
    <mergeCell ref="V4:V5"/>
    <mergeCell ref="AA4:AA5"/>
    <mergeCell ref="AB4:AB5"/>
    <mergeCell ref="W4:W5"/>
  </mergeCells>
  <phoneticPr fontId="7" type="noConversion"/>
  <pageMargins left="0.78740157499999996" right="0.78740157499999996" top="0.984251969" bottom="0.984251969" header="0.4921259845" footer="0.4921259845"/>
  <pageSetup paperSize="9" scale="70"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R333"/>
  <sheetViews>
    <sheetView zoomScaleNormal="100" workbookViewId="0"/>
  </sheetViews>
  <sheetFormatPr baseColWidth="10" defaultColWidth="8.625" defaultRowHeight="15" x14ac:dyDescent="0.25"/>
  <cols>
    <col min="1" max="1" width="7.625" style="6" customWidth="1"/>
    <col min="2" max="2" width="20.25" style="18" bestFit="1" customWidth="1"/>
    <col min="3" max="3" width="15.75" style="18" hidden="1" customWidth="1"/>
    <col min="4" max="4" width="9.875" style="8" hidden="1" customWidth="1"/>
    <col min="5" max="5" width="7.75" style="18" hidden="1" customWidth="1"/>
    <col min="6" max="6" width="13.25" style="8" hidden="1" customWidth="1"/>
    <col min="7" max="7" width="18.25" style="18" hidden="1" customWidth="1"/>
    <col min="8" max="8" width="9.25" style="8" hidden="1" customWidth="1"/>
    <col min="9" max="9" width="10" style="18" hidden="1" customWidth="1"/>
    <col min="10" max="10" width="15.875" style="18" hidden="1" customWidth="1"/>
    <col min="11" max="12" width="12.125" style="18" hidden="1" customWidth="1"/>
    <col min="13" max="14" width="9.125" style="18" hidden="1" customWidth="1"/>
    <col min="15" max="15" width="10" style="18" hidden="1" customWidth="1"/>
    <col min="16" max="16" width="13" style="18" hidden="1" customWidth="1"/>
    <col min="17" max="17" width="8.625" style="18" hidden="1" customWidth="1"/>
    <col min="18" max="18" width="12.125" style="18" bestFit="1" customWidth="1"/>
    <col min="19" max="19" width="9.125" style="20" bestFit="1" customWidth="1"/>
    <col min="20" max="20" width="11.25" style="20" bestFit="1" customWidth="1"/>
    <col min="21" max="21" width="12.125" style="18" customWidth="1"/>
    <col min="22" max="22" width="13.375" style="18" hidden="1" customWidth="1"/>
    <col min="23" max="24" width="12.125" style="18" hidden="1" customWidth="1"/>
    <col min="25" max="25" width="12.125" style="18" customWidth="1"/>
    <col min="26" max="26" width="9.375" style="18" hidden="1" customWidth="1"/>
    <col min="27" max="27" width="10" style="18" hidden="1" customWidth="1"/>
    <col min="28" max="29" width="11.25" style="18" hidden="1" customWidth="1"/>
    <col min="30" max="30" width="10.125" style="20" hidden="1" customWidth="1"/>
    <col min="31" max="31" width="12.125" style="18" hidden="1" customWidth="1"/>
    <col min="32" max="32" width="11.25" style="18" hidden="1" customWidth="1"/>
    <col min="33" max="33" width="12.125" style="18" hidden="1" customWidth="1"/>
    <col min="34" max="34" width="10.125" style="18" hidden="1" customWidth="1"/>
    <col min="35" max="36" width="12.125" style="18" hidden="1" customWidth="1"/>
    <col min="37" max="38" width="10.125" style="18" hidden="1" customWidth="1"/>
    <col min="39" max="40" width="12.125" style="18" hidden="1" customWidth="1"/>
    <col min="41" max="41" width="11.75" style="18" hidden="1" customWidth="1"/>
    <col min="42" max="42" width="13.875" style="18" hidden="1" customWidth="1"/>
    <col min="43" max="43" width="11.75" style="18" hidden="1" customWidth="1"/>
    <col min="44" max="44" width="8.625" style="18" customWidth="1"/>
    <col min="45" max="16384" width="8.625" style="18"/>
  </cols>
  <sheetData>
    <row r="1" spans="1:44" ht="21" x14ac:dyDescent="0.35">
      <c r="A1" s="35" t="s">
        <v>512</v>
      </c>
      <c r="B1" s="36"/>
      <c r="C1" s="36"/>
      <c r="E1" s="38"/>
      <c r="G1" s="6"/>
      <c r="H1" s="7"/>
      <c r="I1" s="6"/>
      <c r="J1" s="6"/>
      <c r="K1" s="6"/>
      <c r="L1" s="6"/>
      <c r="AC1" s="37"/>
    </row>
    <row r="2" spans="1:44" ht="21" x14ac:dyDescent="0.35">
      <c r="A2" s="35" t="str">
        <f>Paramètres!B5</f>
        <v>décompte 2015</v>
      </c>
      <c r="C2" s="35"/>
      <c r="E2" s="38"/>
      <c r="G2" s="39"/>
      <c r="H2" s="7"/>
      <c r="I2" s="6"/>
      <c r="J2" s="6"/>
      <c r="K2" s="6"/>
      <c r="L2" s="6"/>
      <c r="AC2" s="37"/>
      <c r="AE2" s="23"/>
      <c r="AF2" s="23"/>
      <c r="AG2" s="23"/>
      <c r="AH2" s="23"/>
      <c r="AI2" s="23"/>
      <c r="AJ2" s="23"/>
      <c r="AK2" s="23"/>
      <c r="AL2" s="23"/>
      <c r="AM2" s="23"/>
      <c r="AN2" s="23"/>
      <c r="AO2" s="23"/>
      <c r="AP2" s="23"/>
      <c r="AQ2" s="23"/>
    </row>
    <row r="3" spans="1:44" x14ac:dyDescent="0.25">
      <c r="A3" s="5"/>
      <c r="B3" s="6"/>
      <c r="C3" s="6"/>
      <c r="E3" s="38"/>
      <c r="G3" s="6"/>
      <c r="H3" s="7"/>
      <c r="I3" s="6"/>
      <c r="J3" s="6"/>
      <c r="K3" s="6"/>
      <c r="L3" s="6"/>
      <c r="O3" s="37"/>
    </row>
    <row r="4" spans="1:44" s="21" customFormat="1" ht="38.1" customHeight="1" x14ac:dyDescent="0.2">
      <c r="A4" s="484" t="s">
        <v>51</v>
      </c>
      <c r="B4" s="487" t="s">
        <v>121</v>
      </c>
      <c r="C4" s="493" t="s">
        <v>287</v>
      </c>
      <c r="D4" s="478" t="s">
        <v>282</v>
      </c>
      <c r="E4" s="475" t="s">
        <v>283</v>
      </c>
      <c r="F4" s="478" t="s">
        <v>284</v>
      </c>
      <c r="G4" s="493" t="s">
        <v>285</v>
      </c>
      <c r="H4" s="478" t="s">
        <v>295</v>
      </c>
      <c r="I4" s="493" t="s">
        <v>296</v>
      </c>
      <c r="J4" s="493" t="s">
        <v>297</v>
      </c>
      <c r="K4" s="493" t="s">
        <v>427</v>
      </c>
      <c r="L4" s="493" t="s">
        <v>428</v>
      </c>
      <c r="M4" s="493" t="s">
        <v>429</v>
      </c>
      <c r="N4" s="478" t="s">
        <v>463</v>
      </c>
      <c r="O4" s="493" t="s">
        <v>53</v>
      </c>
      <c r="P4" s="493" t="s">
        <v>430</v>
      </c>
      <c r="Q4" s="475" t="s">
        <v>571</v>
      </c>
      <c r="R4" s="497" t="s">
        <v>535</v>
      </c>
      <c r="S4" s="491" t="s">
        <v>92</v>
      </c>
      <c r="T4" s="497" t="s">
        <v>386</v>
      </c>
      <c r="U4" s="497" t="s">
        <v>515</v>
      </c>
      <c r="V4" s="493" t="s">
        <v>229</v>
      </c>
      <c r="W4" s="493" t="s">
        <v>230</v>
      </c>
      <c r="X4" s="493" t="s">
        <v>231</v>
      </c>
      <c r="Y4" s="500" t="s">
        <v>484</v>
      </c>
      <c r="Z4" s="493" t="s">
        <v>228</v>
      </c>
      <c r="AA4" s="493" t="s">
        <v>232</v>
      </c>
      <c r="AB4" s="493" t="s">
        <v>122</v>
      </c>
      <c r="AC4" s="493" t="s">
        <v>123</v>
      </c>
      <c r="AD4" s="491" t="s">
        <v>124</v>
      </c>
      <c r="AE4" s="493" t="s">
        <v>125</v>
      </c>
      <c r="AF4" s="493" t="s">
        <v>126</v>
      </c>
      <c r="AG4" s="493" t="s">
        <v>85</v>
      </c>
      <c r="AH4" s="493" t="s">
        <v>289</v>
      </c>
      <c r="AI4" s="493" t="s">
        <v>86</v>
      </c>
      <c r="AJ4" s="493" t="s">
        <v>87</v>
      </c>
      <c r="AK4" s="493" t="s">
        <v>513</v>
      </c>
      <c r="AL4" s="493" t="s">
        <v>89</v>
      </c>
      <c r="AM4" s="493" t="s">
        <v>90</v>
      </c>
      <c r="AN4" s="493" t="s">
        <v>470</v>
      </c>
      <c r="AO4" s="493" t="s">
        <v>471</v>
      </c>
      <c r="AP4" s="493" t="s">
        <v>472</v>
      </c>
      <c r="AQ4" s="493" t="s">
        <v>473</v>
      </c>
      <c r="AR4" s="493" t="s">
        <v>348</v>
      </c>
    </row>
    <row r="5" spans="1:44" s="21" customFormat="1" ht="38.1" customHeight="1" x14ac:dyDescent="0.2">
      <c r="A5" s="485"/>
      <c r="B5" s="488"/>
      <c r="C5" s="496"/>
      <c r="D5" s="490"/>
      <c r="E5" s="476"/>
      <c r="F5" s="490"/>
      <c r="G5" s="496"/>
      <c r="H5" s="479"/>
      <c r="I5" s="496"/>
      <c r="J5" s="496"/>
      <c r="K5" s="496"/>
      <c r="L5" s="496"/>
      <c r="M5" s="496"/>
      <c r="N5" s="490"/>
      <c r="O5" s="495"/>
      <c r="P5" s="496"/>
      <c r="Q5" s="476"/>
      <c r="R5" s="499"/>
      <c r="S5" s="492"/>
      <c r="T5" s="499"/>
      <c r="U5" s="498"/>
      <c r="V5" s="496"/>
      <c r="W5" s="496"/>
      <c r="X5" s="496"/>
      <c r="Y5" s="501"/>
      <c r="Z5" s="496"/>
      <c r="AA5" s="496"/>
      <c r="AB5" s="496"/>
      <c r="AC5" s="496"/>
      <c r="AD5" s="492"/>
      <c r="AE5" s="496"/>
      <c r="AF5" s="496"/>
      <c r="AG5" s="496"/>
      <c r="AH5" s="496"/>
      <c r="AI5" s="495"/>
      <c r="AJ5" s="495"/>
      <c r="AK5" s="495"/>
      <c r="AL5" s="495"/>
      <c r="AM5" s="496"/>
      <c r="AN5" s="495"/>
      <c r="AO5" s="495"/>
      <c r="AP5" s="495"/>
      <c r="AQ5" s="495"/>
      <c r="AR5" s="496"/>
    </row>
    <row r="6" spans="1:44" ht="14.25" customHeight="1" x14ac:dyDescent="0.25">
      <c r="A6" s="486"/>
      <c r="B6" s="489"/>
      <c r="C6" s="50" t="s">
        <v>288</v>
      </c>
      <c r="D6" s="479"/>
      <c r="E6" s="477"/>
      <c r="F6" s="479"/>
      <c r="G6" s="50" t="s">
        <v>286</v>
      </c>
      <c r="H6" s="27" t="s">
        <v>93</v>
      </c>
      <c r="I6" s="28" t="s">
        <v>94</v>
      </c>
      <c r="J6" s="28" t="s">
        <v>95</v>
      </c>
      <c r="K6" s="50" t="s">
        <v>96</v>
      </c>
      <c r="L6" s="28" t="s">
        <v>97</v>
      </c>
      <c r="M6" s="28" t="s">
        <v>98</v>
      </c>
      <c r="N6" s="479"/>
      <c r="O6" s="496"/>
      <c r="P6" s="28" t="s">
        <v>99</v>
      </c>
      <c r="Q6" s="477"/>
      <c r="R6" s="498"/>
      <c r="S6" s="51">
        <f>Paramètres!B8</f>
        <v>2015</v>
      </c>
      <c r="T6" s="498"/>
      <c r="U6" s="303" t="str">
        <f>Paramètres!B5</f>
        <v>décompte 2015</v>
      </c>
      <c r="V6" s="28" t="s">
        <v>102</v>
      </c>
      <c r="W6" s="28" t="s">
        <v>103</v>
      </c>
      <c r="X6" s="28" t="s">
        <v>104</v>
      </c>
      <c r="Y6" s="502"/>
      <c r="Z6" s="50" t="s">
        <v>101</v>
      </c>
      <c r="AA6" s="50" t="s">
        <v>105</v>
      </c>
      <c r="AB6" s="28" t="s">
        <v>106</v>
      </c>
      <c r="AC6" s="28" t="s">
        <v>107</v>
      </c>
      <c r="AD6" s="30" t="s">
        <v>108</v>
      </c>
      <c r="AE6" s="50" t="s">
        <v>110</v>
      </c>
      <c r="AF6" s="28" t="s">
        <v>111</v>
      </c>
      <c r="AG6" s="28" t="s">
        <v>112</v>
      </c>
      <c r="AH6" s="28" t="s">
        <v>113</v>
      </c>
      <c r="AI6" s="496"/>
      <c r="AJ6" s="496"/>
      <c r="AK6" s="496"/>
      <c r="AL6" s="496"/>
      <c r="AM6" s="28" t="s">
        <v>299</v>
      </c>
      <c r="AN6" s="496"/>
      <c r="AO6" s="496"/>
      <c r="AP6" s="496"/>
      <c r="AQ6" s="496"/>
      <c r="AR6" s="33">
        <f>Paramètres!B7</f>
        <v>40907</v>
      </c>
    </row>
    <row r="7" spans="1:44" x14ac:dyDescent="0.25">
      <c r="A7" s="12">
        <f>'A) Base RI'!A7</f>
        <v>5401</v>
      </c>
      <c r="B7" s="42" t="str">
        <f>'A) Base RI'!B7</f>
        <v>Aigle</v>
      </c>
      <c r="C7" s="14">
        <f>'A) Base RI'!C7+'A) Base RI'!D7</f>
        <v>12697997.91</v>
      </c>
      <c r="D7" s="14">
        <f>'A) Base RI'!AO7</f>
        <v>-531955.15</v>
      </c>
      <c r="E7" s="41">
        <f>'A) Base RI'!AP7</f>
        <v>0</v>
      </c>
      <c r="F7" s="41">
        <f>'A) Base RI'!AQ7</f>
        <v>-1201.55</v>
      </c>
      <c r="G7" s="4">
        <f>SUM(C7:F7)</f>
        <v>12164841.209999999</v>
      </c>
      <c r="H7" s="14">
        <f>'A) Base RI'!E7</f>
        <v>0</v>
      </c>
      <c r="I7" s="14">
        <f>'A) Base RI'!F7</f>
        <v>0</v>
      </c>
      <c r="J7" s="14">
        <f>'A) Base RI'!G7+'A) Base RI'!H7</f>
        <v>2821843.3499999996</v>
      </c>
      <c r="K7" s="14">
        <f>'A) Base RI'!I7</f>
        <v>-27502.85</v>
      </c>
      <c r="L7" s="14">
        <f>'A) Base RI'!J7</f>
        <v>836253</v>
      </c>
      <c r="M7" s="14">
        <f>'A) Base RI'!K7</f>
        <v>186509.5</v>
      </c>
      <c r="N7" s="14">
        <f>'A) Base RI'!Q7</f>
        <v>99123.66</v>
      </c>
      <c r="O7" s="14">
        <f>(P7/Q7)*1</f>
        <v>1525999.75</v>
      </c>
      <c r="P7" s="14">
        <f>'A) Base RI'!L7</f>
        <v>1831199.7</v>
      </c>
      <c r="Q7" s="44">
        <f>'A) Base RI'!AR7</f>
        <v>1.2</v>
      </c>
      <c r="R7" s="4">
        <f>SUM(G7:O7)</f>
        <v>17607067.619999997</v>
      </c>
      <c r="S7" s="43">
        <f>'A) Base RI'!AM7</f>
        <v>67.5</v>
      </c>
      <c r="T7" s="4">
        <f>(G7+H7+J7+K7+L7+N7)</f>
        <v>15894558.369999999</v>
      </c>
      <c r="U7" s="4">
        <f>R7/S7</f>
        <v>260845.44622222218</v>
      </c>
      <c r="V7" s="14">
        <f>'A) Base RI'!O7</f>
        <v>290666.40000000002</v>
      </c>
      <c r="W7" s="14">
        <f>'A) Base RI'!P7</f>
        <v>638931.6</v>
      </c>
      <c r="X7" s="14">
        <f>'A) Base RI'!R7</f>
        <v>159363.79999999999</v>
      </c>
      <c r="Y7" s="4">
        <f>SUM(V7:X7)</f>
        <v>1088961.8</v>
      </c>
      <c r="Z7" s="14">
        <f>'A) Base RI'!N7</f>
        <v>1028213.05</v>
      </c>
      <c r="AA7" s="14">
        <f>'A) Base RI'!S7+'A) Base RI'!T7</f>
        <v>71714.899999999994</v>
      </c>
      <c r="AB7" s="14">
        <f>'A) Base RI'!U7</f>
        <v>37350</v>
      </c>
      <c r="AC7" s="14">
        <f>'A) Base RI'!V7</f>
        <v>0</v>
      </c>
      <c r="AD7" s="14">
        <f>'A) Base RI'!W7</f>
        <v>0</v>
      </c>
      <c r="AE7" s="14">
        <f>'A) Base RI'!Y7</f>
        <v>381914.35</v>
      </c>
      <c r="AF7" s="14">
        <f>'A) Base RI'!Z7</f>
        <v>0</v>
      </c>
      <c r="AG7" s="14">
        <f>'A) Base RI'!AA7</f>
        <v>775571.75</v>
      </c>
      <c r="AH7" s="14">
        <f>'A) Base RI'!AB7</f>
        <v>0</v>
      </c>
      <c r="AI7" s="14">
        <f>'A) Base RI'!AC7</f>
        <v>1360216.85</v>
      </c>
      <c r="AJ7" s="14">
        <f>'A) Base RI'!AD7</f>
        <v>306665.65000000002</v>
      </c>
      <c r="AK7" s="14">
        <f>'A) Base RI'!AE7</f>
        <v>0</v>
      </c>
      <c r="AL7" s="14">
        <f>'A) Base RI'!AF7</f>
        <v>1118.1500000000001</v>
      </c>
      <c r="AM7" s="14">
        <f>'A) Base RI'!AG7</f>
        <v>36797.25</v>
      </c>
      <c r="AN7" s="14">
        <f>'A) Base RI'!AH7</f>
        <v>373437.45</v>
      </c>
      <c r="AO7" s="14">
        <f>'A) Base RI'!AI7</f>
        <v>0</v>
      </c>
      <c r="AP7" s="14">
        <f>'A) Base RI'!AJ7</f>
        <v>0</v>
      </c>
      <c r="AQ7" s="14">
        <f>'A) Base RI'!AK7</f>
        <v>212964.25</v>
      </c>
      <c r="AR7" s="14">
        <f>'A) Base RI'!AN7</f>
        <v>9757</v>
      </c>
    </row>
    <row r="8" spans="1:44" x14ac:dyDescent="0.25">
      <c r="A8" s="12">
        <f>'A) Base RI'!A8</f>
        <v>5402</v>
      </c>
      <c r="B8" s="42" t="str">
        <f>'A) Base RI'!B8</f>
        <v>Bex</v>
      </c>
      <c r="C8" s="14">
        <f>'A) Base RI'!C8+'A) Base RI'!D8</f>
        <v>9324562.620000001</v>
      </c>
      <c r="D8" s="14">
        <f>'A) Base RI'!AO8</f>
        <v>-398918.89</v>
      </c>
      <c r="E8" s="41">
        <f>'A) Base RI'!AP8</f>
        <v>0</v>
      </c>
      <c r="F8" s="41">
        <f>'A) Base RI'!AQ8</f>
        <v>-384.93</v>
      </c>
      <c r="G8" s="4">
        <f t="shared" ref="G8:G71" si="0">SUM(C8:F8)</f>
        <v>8925258.8000000007</v>
      </c>
      <c r="H8" s="14">
        <f>'A) Base RI'!E8</f>
        <v>0</v>
      </c>
      <c r="I8" s="14">
        <f>'A) Base RI'!F8</f>
        <v>0</v>
      </c>
      <c r="J8" s="14">
        <f>'A) Base RI'!G8+'A) Base RI'!H8</f>
        <v>1847293.6</v>
      </c>
      <c r="K8" s="14">
        <f>'A) Base RI'!I8</f>
        <v>95185.75</v>
      </c>
      <c r="L8" s="14">
        <f>'A) Base RI'!J8</f>
        <v>511249.4</v>
      </c>
      <c r="M8" s="14">
        <f>'A) Base RI'!K8</f>
        <v>88061</v>
      </c>
      <c r="N8" s="14">
        <f>'A) Base RI'!Q8</f>
        <v>148637</v>
      </c>
      <c r="O8" s="14">
        <f t="shared" ref="O8:O71" si="1">(P8/Q8)*1</f>
        <v>872568.5199999999</v>
      </c>
      <c r="P8" s="14">
        <f>'A) Base RI'!L8</f>
        <v>1090710.6499999999</v>
      </c>
      <c r="Q8" s="44">
        <f>'A) Base RI'!AR8</f>
        <v>1.25</v>
      </c>
      <c r="R8" s="4">
        <f t="shared" ref="R8:R71" si="2">SUM(G8:O8)</f>
        <v>12488254.07</v>
      </c>
      <c r="S8" s="43">
        <f>'A) Base RI'!AM8</f>
        <v>71</v>
      </c>
      <c r="T8" s="4">
        <f t="shared" ref="T8:T71" si="3">(G8+H8+J8+K8+L8+N8)</f>
        <v>11527624.550000001</v>
      </c>
      <c r="U8" s="4">
        <f t="shared" ref="U8:U71" si="4">R8/S8</f>
        <v>175890.90239436619</v>
      </c>
      <c r="V8" s="14">
        <f>'A) Base RI'!O8</f>
        <v>833825.1</v>
      </c>
      <c r="W8" s="14">
        <f>'A) Base RI'!P8</f>
        <v>595457.80000000005</v>
      </c>
      <c r="X8" s="14">
        <f>'A) Base RI'!R8</f>
        <v>297991.05</v>
      </c>
      <c r="Y8" s="4">
        <f t="shared" ref="Y8:Y71" si="5">SUM(V8:X8)</f>
        <v>1727273.95</v>
      </c>
      <c r="Z8" s="14">
        <f>'A) Base RI'!N8</f>
        <v>184714.75</v>
      </c>
      <c r="AA8" s="14">
        <f>'A) Base RI'!S8+'A) Base RI'!T8</f>
        <v>23731.25</v>
      </c>
      <c r="AB8" s="14">
        <f>'A) Base RI'!U8</f>
        <v>38050</v>
      </c>
      <c r="AC8" s="14">
        <f>'A) Base RI'!V8</f>
        <v>93979.15</v>
      </c>
      <c r="AD8" s="14">
        <f>'A) Base RI'!W8</f>
        <v>1766</v>
      </c>
      <c r="AE8" s="14">
        <f>'A) Base RI'!Y8</f>
        <v>41115.339999999997</v>
      </c>
      <c r="AF8" s="14">
        <f>'A) Base RI'!Z8</f>
        <v>162097.14000000001</v>
      </c>
      <c r="AG8" s="14">
        <f>'A) Base RI'!AA8</f>
        <v>1847085.15</v>
      </c>
      <c r="AH8" s="14">
        <f>'A) Base RI'!AB8</f>
        <v>0</v>
      </c>
      <c r="AI8" s="14">
        <f>'A) Base RI'!AC8</f>
        <v>925214.31</v>
      </c>
      <c r="AJ8" s="14">
        <f>'A) Base RI'!AD8</f>
        <v>166822.14000000001</v>
      </c>
      <c r="AK8" s="14">
        <f>'A) Base RI'!AE8</f>
        <v>0</v>
      </c>
      <c r="AL8" s="14">
        <f>'A) Base RI'!AF8</f>
        <v>0</v>
      </c>
      <c r="AM8" s="14">
        <f>'A) Base RI'!AG8</f>
        <v>91272.7</v>
      </c>
      <c r="AN8" s="14">
        <f>'A) Base RI'!AH8</f>
        <v>242834.5</v>
      </c>
      <c r="AO8" s="14">
        <f>'A) Base RI'!AI8</f>
        <v>0</v>
      </c>
      <c r="AP8" s="14">
        <f>'A) Base RI'!AJ8</f>
        <v>0</v>
      </c>
      <c r="AQ8" s="14">
        <f>'A) Base RI'!AK8</f>
        <v>0</v>
      </c>
      <c r="AR8" s="14">
        <f>'A) Base RI'!AN8</f>
        <v>7236</v>
      </c>
    </row>
    <row r="9" spans="1:44" x14ac:dyDescent="0.25">
      <c r="A9" s="12">
        <f>'A) Base RI'!A9</f>
        <v>5403</v>
      </c>
      <c r="B9" s="42" t="str">
        <f>'A) Base RI'!B9</f>
        <v>Chessel</v>
      </c>
      <c r="C9" s="14">
        <f>'A) Base RI'!C9+'A) Base RI'!D9</f>
        <v>559202.1</v>
      </c>
      <c r="D9" s="14">
        <f>'A) Base RI'!AO9</f>
        <v>-40245.81</v>
      </c>
      <c r="E9" s="41">
        <f>'A) Base RI'!AP9</f>
        <v>0</v>
      </c>
      <c r="F9" s="41">
        <f>'A) Base RI'!AQ9</f>
        <v>-8.34</v>
      </c>
      <c r="G9" s="4">
        <f t="shared" si="0"/>
        <v>518947.94999999995</v>
      </c>
      <c r="H9" s="14">
        <f>'A) Base RI'!E9</f>
        <v>0</v>
      </c>
      <c r="I9" s="14">
        <f>'A) Base RI'!F9</f>
        <v>0</v>
      </c>
      <c r="J9" s="14">
        <f>'A) Base RI'!G9+'A) Base RI'!H9</f>
        <v>11199.75</v>
      </c>
      <c r="K9" s="14">
        <f>'A) Base RI'!I9</f>
        <v>0</v>
      </c>
      <c r="L9" s="14">
        <f>'A) Base RI'!J9</f>
        <v>15318.17</v>
      </c>
      <c r="M9" s="14">
        <f>'A) Base RI'!K9</f>
        <v>1545.5</v>
      </c>
      <c r="N9" s="14">
        <f>'A) Base RI'!Q9</f>
        <v>30299.040000000001</v>
      </c>
      <c r="O9" s="14">
        <f t="shared" si="1"/>
        <v>52317.55</v>
      </c>
      <c r="P9" s="14">
        <f>'A) Base RI'!L9</f>
        <v>52317.55</v>
      </c>
      <c r="Q9" s="44">
        <f>'A) Base RI'!AR9</f>
        <v>1</v>
      </c>
      <c r="R9" s="4">
        <f t="shared" si="2"/>
        <v>629627.96000000008</v>
      </c>
      <c r="S9" s="43">
        <f>'A) Base RI'!AM9</f>
        <v>76</v>
      </c>
      <c r="T9" s="4">
        <f t="shared" si="3"/>
        <v>575764.91</v>
      </c>
      <c r="U9" s="4">
        <f t="shared" si="4"/>
        <v>8284.5784210526326</v>
      </c>
      <c r="V9" s="14">
        <f>'A) Base RI'!O9</f>
        <v>0</v>
      </c>
      <c r="W9" s="14">
        <f>'A) Base RI'!P9</f>
        <v>15609.85</v>
      </c>
      <c r="X9" s="14">
        <f>'A) Base RI'!R9</f>
        <v>10848.4</v>
      </c>
      <c r="Y9" s="4">
        <f t="shared" si="5"/>
        <v>26458.25</v>
      </c>
      <c r="Z9" s="14">
        <f>'A) Base RI'!N9</f>
        <v>6667.2</v>
      </c>
      <c r="AA9" s="14">
        <f>'A) Base RI'!S9+'A) Base RI'!T9</f>
        <v>43.75</v>
      </c>
      <c r="AB9" s="14">
        <f>'A) Base RI'!U9</f>
        <v>4800</v>
      </c>
      <c r="AC9" s="14">
        <f>'A) Base RI'!V9</f>
        <v>0</v>
      </c>
      <c r="AD9" s="14">
        <f>'A) Base RI'!W9</f>
        <v>0</v>
      </c>
      <c r="AE9" s="14">
        <f>'A) Base RI'!Y9</f>
        <v>139797</v>
      </c>
      <c r="AF9" s="14">
        <f>'A) Base RI'!Z9</f>
        <v>0</v>
      </c>
      <c r="AG9" s="14">
        <f>'A) Base RI'!AA9</f>
        <v>63573.4</v>
      </c>
      <c r="AH9" s="14">
        <f>'A) Base RI'!AB9</f>
        <v>0</v>
      </c>
      <c r="AI9" s="14">
        <f>'A) Base RI'!AC9</f>
        <v>33283.800000000003</v>
      </c>
      <c r="AJ9" s="14">
        <f>'A) Base RI'!AD9</f>
        <v>0</v>
      </c>
      <c r="AK9" s="14">
        <f>'A) Base RI'!AE9</f>
        <v>142553</v>
      </c>
      <c r="AL9" s="14">
        <f>'A) Base RI'!AF9</f>
        <v>0</v>
      </c>
      <c r="AM9" s="14">
        <f>'A) Base RI'!AG9</f>
        <v>28349.75</v>
      </c>
      <c r="AN9" s="14">
        <f>'A) Base RI'!AH9</f>
        <v>0</v>
      </c>
      <c r="AO9" s="14">
        <f>'A) Base RI'!AI9</f>
        <v>0</v>
      </c>
      <c r="AP9" s="14">
        <f>'A) Base RI'!AJ9</f>
        <v>0</v>
      </c>
      <c r="AQ9" s="14">
        <f>'A) Base RI'!AK9</f>
        <v>0</v>
      </c>
      <c r="AR9" s="14">
        <f>'A) Base RI'!AN9</f>
        <v>396</v>
      </c>
    </row>
    <row r="10" spans="1:44" x14ac:dyDescent="0.25">
      <c r="A10" s="12">
        <f>'A) Base RI'!A10</f>
        <v>5404</v>
      </c>
      <c r="B10" s="42" t="str">
        <f>'A) Base RI'!B10</f>
        <v>Corbeyrier</v>
      </c>
      <c r="C10" s="14">
        <f>'A) Base RI'!C10+'A) Base RI'!D10</f>
        <v>608846.85</v>
      </c>
      <c r="D10" s="14">
        <f>'A) Base RI'!AO10</f>
        <v>-8711.4599999999991</v>
      </c>
      <c r="E10" s="41">
        <f>'A) Base RI'!AP10</f>
        <v>0</v>
      </c>
      <c r="F10" s="41">
        <f>'A) Base RI'!AQ10</f>
        <v>-5.31</v>
      </c>
      <c r="G10" s="4">
        <f t="shared" si="0"/>
        <v>600130.07999999996</v>
      </c>
      <c r="H10" s="14">
        <f>'A) Base RI'!E10</f>
        <v>0</v>
      </c>
      <c r="I10" s="14">
        <f>'A) Base RI'!F10</f>
        <v>0</v>
      </c>
      <c r="J10" s="14">
        <f>'A) Base RI'!G10+'A) Base RI'!H10</f>
        <v>8739.1</v>
      </c>
      <c r="K10" s="14">
        <f>'A) Base RI'!I10</f>
        <v>0</v>
      </c>
      <c r="L10" s="14">
        <f>'A) Base RI'!J10</f>
        <v>11939.79</v>
      </c>
      <c r="M10" s="14">
        <f>'A) Base RI'!K10</f>
        <v>389.5</v>
      </c>
      <c r="N10" s="14">
        <f>'A) Base RI'!Q10</f>
        <v>5538.33</v>
      </c>
      <c r="O10" s="14">
        <f t="shared" si="1"/>
        <v>70896.400000000009</v>
      </c>
      <c r="P10" s="14">
        <f>'A) Base RI'!L10</f>
        <v>106344.6</v>
      </c>
      <c r="Q10" s="44">
        <f>'A) Base RI'!AR10</f>
        <v>1.5</v>
      </c>
      <c r="R10" s="4">
        <f t="shared" si="2"/>
        <v>697633.2</v>
      </c>
      <c r="S10" s="43">
        <f>'A) Base RI'!AM10</f>
        <v>70</v>
      </c>
      <c r="T10" s="4">
        <f t="shared" si="3"/>
        <v>626347.29999999993</v>
      </c>
      <c r="U10" s="4">
        <f t="shared" si="4"/>
        <v>9966.1885714285709</v>
      </c>
      <c r="V10" s="14">
        <f>'A) Base RI'!O10</f>
        <v>24388.3</v>
      </c>
      <c r="W10" s="14">
        <f>'A) Base RI'!P10</f>
        <v>44530</v>
      </c>
      <c r="X10" s="14">
        <f>'A) Base RI'!R10</f>
        <v>19160.2</v>
      </c>
      <c r="Y10" s="4">
        <f t="shared" si="5"/>
        <v>88078.5</v>
      </c>
      <c r="Z10" s="14">
        <f>'A) Base RI'!N10</f>
        <v>11807.3</v>
      </c>
      <c r="AA10" s="14">
        <f>'A) Base RI'!S10+'A) Base RI'!T10</f>
        <v>0</v>
      </c>
      <c r="AB10" s="14">
        <f>'A) Base RI'!U10</f>
        <v>5800</v>
      </c>
      <c r="AC10" s="14">
        <f>'A) Base RI'!V10</f>
        <v>0</v>
      </c>
      <c r="AD10" s="14">
        <f>'A) Base RI'!W10</f>
        <v>0</v>
      </c>
      <c r="AE10" s="14">
        <f>'A) Base RI'!Y10</f>
        <v>13682</v>
      </c>
      <c r="AF10" s="14">
        <f>'A) Base RI'!Z10</f>
        <v>1875</v>
      </c>
      <c r="AG10" s="14">
        <f>'A) Base RI'!AA10</f>
        <v>109974.75</v>
      </c>
      <c r="AH10" s="14">
        <f>'A) Base RI'!AB10</f>
        <v>0</v>
      </c>
      <c r="AI10" s="14">
        <f>'A) Base RI'!AC10</f>
        <v>32424.5</v>
      </c>
      <c r="AJ10" s="14">
        <f>'A) Base RI'!AD10</f>
        <v>9121</v>
      </c>
      <c r="AK10" s="14">
        <f>'A) Base RI'!AE10</f>
        <v>1312.95</v>
      </c>
      <c r="AL10" s="14">
        <f>'A) Base RI'!AF10</f>
        <v>0</v>
      </c>
      <c r="AM10" s="14">
        <f>'A) Base RI'!AG10</f>
        <v>6091.2</v>
      </c>
      <c r="AN10" s="14">
        <f>'A) Base RI'!AH10</f>
        <v>11636.6</v>
      </c>
      <c r="AO10" s="14">
        <f>'A) Base RI'!AI10</f>
        <v>0</v>
      </c>
      <c r="AP10" s="14">
        <f>'A) Base RI'!AJ10</f>
        <v>0</v>
      </c>
      <c r="AQ10" s="14">
        <f>'A) Base RI'!AK10</f>
        <v>0</v>
      </c>
      <c r="AR10" s="14">
        <f>'A) Base RI'!AN10</f>
        <v>433</v>
      </c>
    </row>
    <row r="11" spans="1:44" x14ac:dyDescent="0.25">
      <c r="A11" s="12">
        <f>'A) Base RI'!A11</f>
        <v>5405</v>
      </c>
      <c r="B11" s="42" t="str">
        <f>'A) Base RI'!B11</f>
        <v>Gryon</v>
      </c>
      <c r="C11" s="14">
        <f>'A) Base RI'!C11+'A) Base RI'!D11</f>
        <v>4372807.0600000005</v>
      </c>
      <c r="D11" s="14">
        <f>'A) Base RI'!AO11</f>
        <v>-62900</v>
      </c>
      <c r="E11" s="41">
        <f>'A) Base RI'!AP11</f>
        <v>0</v>
      </c>
      <c r="F11" s="41">
        <f>'A) Base RI'!AQ11</f>
        <v>-244.57</v>
      </c>
      <c r="G11" s="4">
        <f t="shared" si="0"/>
        <v>4309662.49</v>
      </c>
      <c r="H11" s="14">
        <f>'A) Base RI'!E11</f>
        <v>0</v>
      </c>
      <c r="I11" s="14">
        <f>'A) Base RI'!F11</f>
        <v>0</v>
      </c>
      <c r="J11" s="14">
        <f>'A) Base RI'!G11+'A) Base RI'!H11</f>
        <v>50140.85</v>
      </c>
      <c r="K11" s="14">
        <f>'A) Base RI'!I11</f>
        <v>212553.56</v>
      </c>
      <c r="L11" s="14">
        <f>'A) Base RI'!J11</f>
        <v>122272.39</v>
      </c>
      <c r="M11" s="14">
        <f>'A) Base RI'!K11</f>
        <v>13950</v>
      </c>
      <c r="N11" s="14">
        <f>'A) Base RI'!Q11</f>
        <v>227424.25</v>
      </c>
      <c r="O11" s="14">
        <f t="shared" si="1"/>
        <v>478182</v>
      </c>
      <c r="P11" s="14">
        <f>'A) Base RI'!L11</f>
        <v>717273</v>
      </c>
      <c r="Q11" s="44">
        <f>'A) Base RI'!AR11</f>
        <v>1.5</v>
      </c>
      <c r="R11" s="4">
        <f t="shared" si="2"/>
        <v>5414185.5399999991</v>
      </c>
      <c r="S11" s="43">
        <f>'A) Base RI'!AM11</f>
        <v>75</v>
      </c>
      <c r="T11" s="4">
        <f t="shared" si="3"/>
        <v>4922053.5399999991</v>
      </c>
      <c r="U11" s="4">
        <f t="shared" si="4"/>
        <v>72189.140533333324</v>
      </c>
      <c r="V11" s="14">
        <f>'A) Base RI'!O11</f>
        <v>95035</v>
      </c>
      <c r="W11" s="14">
        <f>'A) Base RI'!P11</f>
        <v>349245</v>
      </c>
      <c r="X11" s="14">
        <f>'A) Base RI'!R11</f>
        <v>240426.45</v>
      </c>
      <c r="Y11" s="4">
        <f t="shared" si="5"/>
        <v>684706.45</v>
      </c>
      <c r="Z11" s="14">
        <f>'A) Base RI'!N11</f>
        <v>0</v>
      </c>
      <c r="AA11" s="14">
        <f>'A) Base RI'!S11+'A) Base RI'!T11</f>
        <v>5587</v>
      </c>
      <c r="AB11" s="14">
        <f>'A) Base RI'!U11</f>
        <v>9110</v>
      </c>
      <c r="AC11" s="14">
        <f>'A) Base RI'!V11</f>
        <v>942</v>
      </c>
      <c r="AD11" s="14">
        <f>'A) Base RI'!W11</f>
        <v>0</v>
      </c>
      <c r="AE11" s="14">
        <f>'A) Base RI'!Y11</f>
        <v>49704.5</v>
      </c>
      <c r="AF11" s="14">
        <f>'A) Base RI'!Z11</f>
        <v>0</v>
      </c>
      <c r="AG11" s="14">
        <f>'A) Base RI'!AA11</f>
        <v>170093.6</v>
      </c>
      <c r="AH11" s="14">
        <f>'A) Base RI'!AB11</f>
        <v>0</v>
      </c>
      <c r="AI11" s="14">
        <f>'A) Base RI'!AC11</f>
        <v>405997.45</v>
      </c>
      <c r="AJ11" s="14">
        <f>'A) Base RI'!AD11</f>
        <v>144147.29999999999</v>
      </c>
      <c r="AK11" s="14">
        <f>'A) Base RI'!AE11</f>
        <v>0</v>
      </c>
      <c r="AL11" s="14">
        <f>'A) Base RI'!AF11</f>
        <v>0</v>
      </c>
      <c r="AM11" s="14">
        <f>'A) Base RI'!AG11</f>
        <v>0</v>
      </c>
      <c r="AN11" s="14">
        <f>'A) Base RI'!AH11</f>
        <v>0</v>
      </c>
      <c r="AO11" s="14">
        <f>'A) Base RI'!AI11</f>
        <v>0</v>
      </c>
      <c r="AP11" s="14">
        <f>'A) Base RI'!AJ11</f>
        <v>0</v>
      </c>
      <c r="AQ11" s="14">
        <f>'A) Base RI'!AK11</f>
        <v>0</v>
      </c>
      <c r="AR11" s="14">
        <f>'A) Base RI'!AN11</f>
        <v>1265</v>
      </c>
    </row>
    <row r="12" spans="1:44" x14ac:dyDescent="0.25">
      <c r="A12" s="12">
        <f>'A) Base RI'!A12</f>
        <v>5406</v>
      </c>
      <c r="B12" s="42" t="str">
        <f>'A) Base RI'!B12</f>
        <v>Lavey-Morcles</v>
      </c>
      <c r="C12" s="14">
        <f>'A) Base RI'!C12+'A) Base RI'!D12</f>
        <v>1107009.05</v>
      </c>
      <c r="D12" s="14">
        <f>'A) Base RI'!AO12</f>
        <v>-20255.080000000002</v>
      </c>
      <c r="E12" s="41">
        <f>'A) Base RI'!AP12</f>
        <v>0</v>
      </c>
      <c r="F12" s="41">
        <f>'A) Base RI'!AQ12</f>
        <v>-24.06</v>
      </c>
      <c r="G12" s="4">
        <f t="shared" si="0"/>
        <v>1086729.9099999999</v>
      </c>
      <c r="H12" s="14">
        <f>'A) Base RI'!E12</f>
        <v>0</v>
      </c>
      <c r="I12" s="14">
        <f>'A) Base RI'!F12</f>
        <v>0</v>
      </c>
      <c r="J12" s="14">
        <f>'A) Base RI'!G12+'A) Base RI'!H12</f>
        <v>128373.25</v>
      </c>
      <c r="K12" s="14">
        <f>'A) Base RI'!I12</f>
        <v>0</v>
      </c>
      <c r="L12" s="14">
        <f>'A) Base RI'!J12</f>
        <v>53715.4</v>
      </c>
      <c r="M12" s="14">
        <f>'A) Base RI'!K12</f>
        <v>3797</v>
      </c>
      <c r="N12" s="14">
        <f>'A) Base RI'!Q12</f>
        <v>3110.77</v>
      </c>
      <c r="O12" s="14">
        <f t="shared" si="1"/>
        <v>132306.53846153847</v>
      </c>
      <c r="P12" s="14">
        <f>'A) Base RI'!L12</f>
        <v>171998.5</v>
      </c>
      <c r="Q12" s="44">
        <f>'A) Base RI'!AR12</f>
        <v>1.3</v>
      </c>
      <c r="R12" s="4">
        <f t="shared" si="2"/>
        <v>1408032.8684615383</v>
      </c>
      <c r="S12" s="43">
        <f>'A) Base RI'!AM12</f>
        <v>71</v>
      </c>
      <c r="T12" s="4">
        <f t="shared" si="3"/>
        <v>1271929.3299999998</v>
      </c>
      <c r="U12" s="4">
        <f t="shared" si="4"/>
        <v>19831.448851570964</v>
      </c>
      <c r="V12" s="14">
        <f>'A) Base RI'!O12</f>
        <v>2376.5</v>
      </c>
      <c r="W12" s="14">
        <f>'A) Base RI'!P12</f>
        <v>43542.8</v>
      </c>
      <c r="X12" s="14">
        <f>'A) Base RI'!R12</f>
        <v>38223.85</v>
      </c>
      <c r="Y12" s="4">
        <f t="shared" si="5"/>
        <v>84143.15</v>
      </c>
      <c r="Z12" s="14">
        <f>'A) Base RI'!N12</f>
        <v>0</v>
      </c>
      <c r="AA12" s="14">
        <f>'A) Base RI'!S12+'A) Base RI'!T12</f>
        <v>156.25</v>
      </c>
      <c r="AB12" s="14">
        <f>'A) Base RI'!U12</f>
        <v>6830</v>
      </c>
      <c r="AC12" s="14">
        <f>'A) Base RI'!V12</f>
        <v>208959</v>
      </c>
      <c r="AD12" s="14">
        <f>'A) Base RI'!W12</f>
        <v>0</v>
      </c>
      <c r="AE12" s="14">
        <f>'A) Base RI'!Y12</f>
        <v>17706.599999999999</v>
      </c>
      <c r="AF12" s="14">
        <f>'A) Base RI'!Z12</f>
        <v>0</v>
      </c>
      <c r="AG12" s="14">
        <f>'A) Base RI'!AA12</f>
        <v>246822.8</v>
      </c>
      <c r="AH12" s="14">
        <f>'A) Base RI'!AB12</f>
        <v>0</v>
      </c>
      <c r="AI12" s="14">
        <f>'A) Base RI'!AC12</f>
        <v>145184.95000000001</v>
      </c>
      <c r="AJ12" s="14">
        <f>'A) Base RI'!AD12</f>
        <v>10280.65</v>
      </c>
      <c r="AK12" s="14">
        <f>'A) Base RI'!AE12</f>
        <v>3976.15</v>
      </c>
      <c r="AL12" s="14">
        <f>'A) Base RI'!AF12</f>
        <v>0</v>
      </c>
      <c r="AM12" s="14">
        <f>'A) Base RI'!AG12</f>
        <v>38785</v>
      </c>
      <c r="AN12" s="14">
        <f>'A) Base RI'!AH12</f>
        <v>63645.09</v>
      </c>
      <c r="AO12" s="14">
        <f>'A) Base RI'!AI12</f>
        <v>0</v>
      </c>
      <c r="AP12" s="14">
        <f>'A) Base RI'!AJ12</f>
        <v>0</v>
      </c>
      <c r="AQ12" s="14">
        <f>'A) Base RI'!AK12</f>
        <v>0</v>
      </c>
      <c r="AR12" s="14">
        <f>'A) Base RI'!AN12</f>
        <v>907</v>
      </c>
    </row>
    <row r="13" spans="1:44" x14ac:dyDescent="0.25">
      <c r="A13" s="12">
        <f>'A) Base RI'!A13</f>
        <v>5407</v>
      </c>
      <c r="B13" s="42" t="str">
        <f>'A) Base RI'!B13</f>
        <v>Leysin</v>
      </c>
      <c r="C13" s="14">
        <f>'A) Base RI'!C13+'A) Base RI'!D13</f>
        <v>4501562.3</v>
      </c>
      <c r="D13" s="14">
        <f>'A) Base RI'!AO13</f>
        <v>-85383.679999999993</v>
      </c>
      <c r="E13" s="41">
        <f>'A) Base RI'!AP13</f>
        <v>0</v>
      </c>
      <c r="F13" s="41">
        <f>'A) Base RI'!AQ13</f>
        <v>-271.95</v>
      </c>
      <c r="G13" s="4">
        <f t="shared" si="0"/>
        <v>4415906.67</v>
      </c>
      <c r="H13" s="14">
        <f>'A) Base RI'!E13</f>
        <v>0</v>
      </c>
      <c r="I13" s="14">
        <f>'A) Base RI'!F13</f>
        <v>0</v>
      </c>
      <c r="J13" s="14">
        <f>'A) Base RI'!G13+'A) Base RI'!H13</f>
        <v>1784351.22</v>
      </c>
      <c r="K13" s="14">
        <f>'A) Base RI'!I13</f>
        <v>98001.08</v>
      </c>
      <c r="L13" s="14">
        <f>'A) Base RI'!J13</f>
        <v>923055.47</v>
      </c>
      <c r="M13" s="14">
        <f>'A) Base RI'!K13</f>
        <v>26714</v>
      </c>
      <c r="N13" s="14">
        <f>'A) Base RI'!Q13</f>
        <v>15048.95</v>
      </c>
      <c r="O13" s="14">
        <f t="shared" si="1"/>
        <v>755251.70000000007</v>
      </c>
      <c r="P13" s="14">
        <f>'A) Base RI'!L13</f>
        <v>1132877.55</v>
      </c>
      <c r="Q13" s="44">
        <f>'A) Base RI'!AR13</f>
        <v>1.5</v>
      </c>
      <c r="R13" s="4">
        <f t="shared" si="2"/>
        <v>8018329.0899999999</v>
      </c>
      <c r="S13" s="43">
        <f>'A) Base RI'!AM13</f>
        <v>78</v>
      </c>
      <c r="T13" s="4">
        <f t="shared" si="3"/>
        <v>7236363.3899999997</v>
      </c>
      <c r="U13" s="4">
        <f t="shared" si="4"/>
        <v>102799.09089743589</v>
      </c>
      <c r="V13" s="14">
        <f>'A) Base RI'!O13</f>
        <v>56827.5</v>
      </c>
      <c r="W13" s="14">
        <f>'A) Base RI'!P13</f>
        <v>361831.05</v>
      </c>
      <c r="X13" s="14">
        <f>'A) Base RI'!R13</f>
        <v>350162.75</v>
      </c>
      <c r="Y13" s="4">
        <f t="shared" si="5"/>
        <v>768821.3</v>
      </c>
      <c r="Z13" s="14">
        <f>'A) Base RI'!N13</f>
        <v>27734</v>
      </c>
      <c r="AA13" s="14">
        <f>'A) Base RI'!S13+'A) Base RI'!T13</f>
        <v>625</v>
      </c>
      <c r="AB13" s="14">
        <f>'A) Base RI'!U13</f>
        <v>22150</v>
      </c>
      <c r="AC13" s="14">
        <f>'A) Base RI'!V13</f>
        <v>12625.6</v>
      </c>
      <c r="AD13" s="14">
        <f>'A) Base RI'!W13</f>
        <v>540</v>
      </c>
      <c r="AE13" s="14">
        <f>'A) Base RI'!Y13</f>
        <v>362745.2</v>
      </c>
      <c r="AF13" s="14">
        <f>'A) Base RI'!Z13</f>
        <v>0</v>
      </c>
      <c r="AG13" s="14">
        <f>'A) Base RI'!AA13</f>
        <v>469808.25</v>
      </c>
      <c r="AH13" s="14">
        <f>'A) Base RI'!AB13</f>
        <v>0</v>
      </c>
      <c r="AI13" s="14">
        <f>'A) Base RI'!AC13</f>
        <v>508038.65</v>
      </c>
      <c r="AJ13" s="14">
        <f>'A) Base RI'!AD13</f>
        <v>365553.15</v>
      </c>
      <c r="AK13" s="14">
        <f>'A) Base RI'!AE13</f>
        <v>0</v>
      </c>
      <c r="AL13" s="14">
        <f>'A) Base RI'!AF13</f>
        <v>0</v>
      </c>
      <c r="AM13" s="14">
        <f>'A) Base RI'!AG13</f>
        <v>0</v>
      </c>
      <c r="AN13" s="14">
        <f>'A) Base RI'!AH13</f>
        <v>0</v>
      </c>
      <c r="AO13" s="14">
        <f>'A) Base RI'!AI13</f>
        <v>61747.75</v>
      </c>
      <c r="AP13" s="14">
        <f>'A) Base RI'!AJ13</f>
        <v>0</v>
      </c>
      <c r="AQ13" s="14">
        <f>'A) Base RI'!AK13</f>
        <v>0</v>
      </c>
      <c r="AR13" s="14">
        <f>'A) Base RI'!AN13</f>
        <v>4148</v>
      </c>
    </row>
    <row r="14" spans="1:44" x14ac:dyDescent="0.25">
      <c r="A14" s="12">
        <f>'A) Base RI'!A14</f>
        <v>5408</v>
      </c>
      <c r="B14" s="42" t="str">
        <f>'A) Base RI'!B14</f>
        <v>Noville</v>
      </c>
      <c r="C14" s="14">
        <f>'A) Base RI'!C14+'A) Base RI'!D14</f>
        <v>2159879.9300000002</v>
      </c>
      <c r="D14" s="14">
        <f>'A) Base RI'!AO14</f>
        <v>-22116.87</v>
      </c>
      <c r="E14" s="41">
        <f>'A) Base RI'!AP14</f>
        <v>0</v>
      </c>
      <c r="F14" s="41">
        <f>'A) Base RI'!AQ14</f>
        <v>-1251.8399999999999</v>
      </c>
      <c r="G14" s="4">
        <f t="shared" si="0"/>
        <v>2136511.2200000002</v>
      </c>
      <c r="H14" s="14">
        <f>'A) Base RI'!E14</f>
        <v>0</v>
      </c>
      <c r="I14" s="14">
        <f>'A) Base RI'!F14</f>
        <v>0</v>
      </c>
      <c r="J14" s="14">
        <f>'A) Base RI'!G14+'A) Base RI'!H14</f>
        <v>382976.4</v>
      </c>
      <c r="K14" s="14">
        <f>'A) Base RI'!I14</f>
        <v>0</v>
      </c>
      <c r="L14" s="14">
        <f>'A) Base RI'!J14</f>
        <v>51833.27</v>
      </c>
      <c r="M14" s="14">
        <f>'A) Base RI'!K14</f>
        <v>9338</v>
      </c>
      <c r="N14" s="14">
        <f>'A) Base RI'!Q14</f>
        <v>9494.74</v>
      </c>
      <c r="O14" s="14">
        <f t="shared" si="1"/>
        <v>137346.86666666667</v>
      </c>
      <c r="P14" s="14">
        <f>'A) Base RI'!L14</f>
        <v>206020.3</v>
      </c>
      <c r="Q14" s="44">
        <f>'A) Base RI'!AR14</f>
        <v>1.5</v>
      </c>
      <c r="R14" s="4">
        <f t="shared" si="2"/>
        <v>2727500.4966666671</v>
      </c>
      <c r="S14" s="43">
        <f>'A) Base RI'!AM14</f>
        <v>78.5</v>
      </c>
      <c r="T14" s="4">
        <f t="shared" si="3"/>
        <v>2580815.6300000004</v>
      </c>
      <c r="U14" s="4">
        <f t="shared" si="4"/>
        <v>34745.229256900217</v>
      </c>
      <c r="V14" s="14">
        <f>'A) Base RI'!O14</f>
        <v>0</v>
      </c>
      <c r="W14" s="14">
        <f>'A) Base RI'!P14</f>
        <v>170666.15</v>
      </c>
      <c r="X14" s="14">
        <f>'A) Base RI'!R14</f>
        <v>72440.100000000006</v>
      </c>
      <c r="Y14" s="4">
        <f t="shared" si="5"/>
        <v>243106.25</v>
      </c>
      <c r="Z14" s="14">
        <f>'A) Base RI'!N14</f>
        <v>71128.55</v>
      </c>
      <c r="AA14" s="14">
        <f>'A) Base RI'!S14+'A) Base RI'!T14</f>
        <v>250</v>
      </c>
      <c r="AB14" s="14">
        <f>'A) Base RI'!U14</f>
        <v>7250</v>
      </c>
      <c r="AC14" s="14">
        <f>'A) Base RI'!V14</f>
        <v>0</v>
      </c>
      <c r="AD14" s="14">
        <f>'A) Base RI'!W14</f>
        <v>0</v>
      </c>
      <c r="AE14" s="14">
        <f>'A) Base RI'!Y14</f>
        <v>130251.6</v>
      </c>
      <c r="AF14" s="14">
        <f>'A) Base RI'!Z14</f>
        <v>0</v>
      </c>
      <c r="AG14" s="14">
        <f>'A) Base RI'!AA14</f>
        <v>67897.75</v>
      </c>
      <c r="AH14" s="14">
        <f>'A) Base RI'!AB14</f>
        <v>0</v>
      </c>
      <c r="AI14" s="14">
        <f>'A) Base RI'!AC14</f>
        <v>95586.95</v>
      </c>
      <c r="AJ14" s="14">
        <f>'A) Base RI'!AD14</f>
        <v>93036.85</v>
      </c>
      <c r="AK14" s="14">
        <f>'A) Base RI'!AE14</f>
        <v>0</v>
      </c>
      <c r="AL14" s="14">
        <f>'A) Base RI'!AF14</f>
        <v>0</v>
      </c>
      <c r="AM14" s="14">
        <f>'A) Base RI'!AG14</f>
        <v>61188.5</v>
      </c>
      <c r="AN14" s="14">
        <f>'A) Base RI'!AH14</f>
        <v>0</v>
      </c>
      <c r="AO14" s="14">
        <f>'A) Base RI'!AI14</f>
        <v>0</v>
      </c>
      <c r="AP14" s="14">
        <f>'A) Base RI'!AJ14</f>
        <v>0</v>
      </c>
      <c r="AQ14" s="14">
        <f>'A) Base RI'!AK14</f>
        <v>0</v>
      </c>
      <c r="AR14" s="14">
        <f>'A) Base RI'!AN14</f>
        <v>1029</v>
      </c>
    </row>
    <row r="15" spans="1:44" x14ac:dyDescent="0.25">
      <c r="A15" s="12">
        <f>'A) Base RI'!A15</f>
        <v>5409</v>
      </c>
      <c r="B15" s="42" t="str">
        <f>'A) Base RI'!B15</f>
        <v>Ollon</v>
      </c>
      <c r="C15" s="14">
        <f>'A) Base RI'!C15+'A) Base RI'!D15</f>
        <v>18329652.600000001</v>
      </c>
      <c r="D15" s="14">
        <f>'A) Base RI'!AO15</f>
        <v>-253263.89</v>
      </c>
      <c r="E15" s="41">
        <f>'A) Base RI'!AP15</f>
        <v>0</v>
      </c>
      <c r="F15" s="41">
        <f>'A) Base RI'!AQ15</f>
        <v>-7511.16</v>
      </c>
      <c r="G15" s="4">
        <f t="shared" si="0"/>
        <v>18068877.550000001</v>
      </c>
      <c r="H15" s="14">
        <f>'A) Base RI'!E15</f>
        <v>0</v>
      </c>
      <c r="I15" s="14">
        <f>'A) Base RI'!F15</f>
        <v>0</v>
      </c>
      <c r="J15" s="14">
        <f>'A) Base RI'!G15+'A) Base RI'!H15</f>
        <v>1368704.5</v>
      </c>
      <c r="K15" s="14">
        <f>'A) Base RI'!I15</f>
        <v>17167206.57</v>
      </c>
      <c r="L15" s="14">
        <f>'A) Base RI'!J15</f>
        <v>702969.16</v>
      </c>
      <c r="M15" s="14">
        <f>'A) Base RI'!K15</f>
        <v>107316.5</v>
      </c>
      <c r="N15" s="14">
        <f>'A) Base RI'!Q15</f>
        <v>102151.91</v>
      </c>
      <c r="O15" s="14">
        <f t="shared" si="1"/>
        <v>2771204.2307692305</v>
      </c>
      <c r="P15" s="14">
        <f>'A) Base RI'!L15</f>
        <v>3602565.5</v>
      </c>
      <c r="Q15" s="44">
        <f>'A) Base RI'!AR15</f>
        <v>1.3</v>
      </c>
      <c r="R15" s="4">
        <f t="shared" si="2"/>
        <v>40288430.42076923</v>
      </c>
      <c r="S15" s="43">
        <f>'A) Base RI'!AM15</f>
        <v>68</v>
      </c>
      <c r="T15" s="4">
        <f t="shared" si="3"/>
        <v>37409909.689999998</v>
      </c>
      <c r="U15" s="4">
        <f t="shared" si="4"/>
        <v>592476.91795248864</v>
      </c>
      <c r="V15" s="14">
        <f>'A) Base RI'!O15</f>
        <v>16169437.4</v>
      </c>
      <c r="W15" s="14">
        <f>'A) Base RI'!P15</f>
        <v>1240857.3</v>
      </c>
      <c r="X15" s="14">
        <f>'A) Base RI'!R15</f>
        <v>1641376.3</v>
      </c>
      <c r="Y15" s="4">
        <f t="shared" si="5"/>
        <v>19051671</v>
      </c>
      <c r="Z15" s="14">
        <f>'A) Base RI'!N15</f>
        <v>49965.8</v>
      </c>
      <c r="AA15" s="14">
        <f>'A) Base RI'!S15+'A) Base RI'!T15</f>
        <v>20688.75</v>
      </c>
      <c r="AB15" s="14">
        <f>'A) Base RI'!U15</f>
        <v>43050</v>
      </c>
      <c r="AC15" s="14">
        <f>'A) Base RI'!V15</f>
        <v>0</v>
      </c>
      <c r="AD15" s="14">
        <f>'A) Base RI'!W15</f>
        <v>0</v>
      </c>
      <c r="AE15" s="14">
        <f>'A) Base RI'!Y15</f>
        <v>343761.25</v>
      </c>
      <c r="AF15" s="14">
        <f>'A) Base RI'!Z15</f>
        <v>22170</v>
      </c>
      <c r="AG15" s="14">
        <f>'A) Base RI'!AA15</f>
        <v>0</v>
      </c>
      <c r="AH15" s="14">
        <f>'A) Base RI'!AB15</f>
        <v>2364990.7999999998</v>
      </c>
      <c r="AI15" s="14">
        <f>'A) Base RI'!AC15</f>
        <v>1427342.17</v>
      </c>
      <c r="AJ15" s="14">
        <f>'A) Base RI'!AD15</f>
        <v>619631.75</v>
      </c>
      <c r="AK15" s="14">
        <f>'A) Base RI'!AE15</f>
        <v>42412.1</v>
      </c>
      <c r="AL15" s="14">
        <f>'A) Base RI'!AF15</f>
        <v>0</v>
      </c>
      <c r="AM15" s="14">
        <f>'A) Base RI'!AG15</f>
        <v>2840740.54</v>
      </c>
      <c r="AN15" s="14">
        <f>'A) Base RI'!AH15</f>
        <v>0</v>
      </c>
      <c r="AO15" s="14">
        <f>'A) Base RI'!AI15</f>
        <v>0</v>
      </c>
      <c r="AP15" s="14">
        <f>'A) Base RI'!AJ15</f>
        <v>0</v>
      </c>
      <c r="AQ15" s="14">
        <f>'A) Base RI'!AK15</f>
        <v>0</v>
      </c>
      <c r="AR15" s="14">
        <f>'A) Base RI'!AN15</f>
        <v>7419</v>
      </c>
    </row>
    <row r="16" spans="1:44" x14ac:dyDescent="0.25">
      <c r="A16" s="12">
        <f>'A) Base RI'!A16</f>
        <v>5410</v>
      </c>
      <c r="B16" s="42" t="str">
        <f>'A) Base RI'!B16</f>
        <v>Ormont-Dessous</v>
      </c>
      <c r="C16" s="14">
        <f>'A) Base RI'!C16+'A) Base RI'!D16</f>
        <v>2298837.7199999997</v>
      </c>
      <c r="D16" s="14">
        <f>'A) Base RI'!AO16</f>
        <v>-45257.27</v>
      </c>
      <c r="E16" s="41">
        <f>'A) Base RI'!AP16</f>
        <v>0</v>
      </c>
      <c r="F16" s="41">
        <f>'A) Base RI'!AQ16</f>
        <v>-86.41</v>
      </c>
      <c r="G16" s="4">
        <f t="shared" si="0"/>
        <v>2253494.0399999996</v>
      </c>
      <c r="H16" s="14">
        <f>'A) Base RI'!E16</f>
        <v>0</v>
      </c>
      <c r="I16" s="14">
        <f>'A) Base RI'!F16</f>
        <v>0</v>
      </c>
      <c r="J16" s="14">
        <f>'A) Base RI'!G16+'A) Base RI'!H16</f>
        <v>87047.6</v>
      </c>
      <c r="K16" s="14">
        <f>'A) Base RI'!I16</f>
        <v>0</v>
      </c>
      <c r="L16" s="14">
        <f>'A) Base RI'!J16</f>
        <v>81670.73</v>
      </c>
      <c r="M16" s="14">
        <f>'A) Base RI'!K16</f>
        <v>4859</v>
      </c>
      <c r="N16" s="14">
        <f>'A) Base RI'!Q16</f>
        <v>2828.42</v>
      </c>
      <c r="O16" s="14">
        <f t="shared" si="1"/>
        <v>335984.76666666666</v>
      </c>
      <c r="P16" s="14">
        <f>'A) Base RI'!L16</f>
        <v>503977.15</v>
      </c>
      <c r="Q16" s="44">
        <f>'A) Base RI'!AR16</f>
        <v>1.5</v>
      </c>
      <c r="R16" s="4">
        <f t="shared" si="2"/>
        <v>2765884.5566666662</v>
      </c>
      <c r="S16" s="43">
        <f>'A) Base RI'!AM16</f>
        <v>78.5</v>
      </c>
      <c r="T16" s="4">
        <f t="shared" si="3"/>
        <v>2425040.7899999996</v>
      </c>
      <c r="U16" s="4">
        <f t="shared" si="4"/>
        <v>35234.198174097655</v>
      </c>
      <c r="V16" s="14">
        <f>'A) Base RI'!O16</f>
        <v>114149.4</v>
      </c>
      <c r="W16" s="14">
        <f>'A) Base RI'!P16</f>
        <v>91259.8</v>
      </c>
      <c r="X16" s="14">
        <f>'A) Base RI'!R16</f>
        <v>122100.6</v>
      </c>
      <c r="Y16" s="4">
        <f t="shared" si="5"/>
        <v>327509.80000000005</v>
      </c>
      <c r="Z16" s="14">
        <f>'A) Base RI'!N16</f>
        <v>0</v>
      </c>
      <c r="AA16" s="14">
        <f>'A) Base RI'!S16+'A) Base RI'!T16</f>
        <v>8556.25</v>
      </c>
      <c r="AB16" s="14">
        <f>'A) Base RI'!U16</f>
        <v>18520</v>
      </c>
      <c r="AC16" s="14">
        <f>'A) Base RI'!V16</f>
        <v>3391.55</v>
      </c>
      <c r="AD16" s="14">
        <f>'A) Base RI'!W16</f>
        <v>0</v>
      </c>
      <c r="AE16" s="14">
        <f>'A) Base RI'!Y16</f>
        <v>100957.15</v>
      </c>
      <c r="AF16" s="14">
        <f>'A) Base RI'!Z16</f>
        <v>0</v>
      </c>
      <c r="AG16" s="14">
        <f>'A) Base RI'!AA16</f>
        <v>443683.3</v>
      </c>
      <c r="AH16" s="14">
        <f>'A) Base RI'!AB16</f>
        <v>0</v>
      </c>
      <c r="AI16" s="14">
        <f>'A) Base RI'!AC16</f>
        <v>308610.98</v>
      </c>
      <c r="AJ16" s="14">
        <f>'A) Base RI'!AD16</f>
        <v>39094.199999999997</v>
      </c>
      <c r="AK16" s="14">
        <f>'A) Base RI'!AE16</f>
        <v>0</v>
      </c>
      <c r="AL16" s="14">
        <f>'A) Base RI'!AF16</f>
        <v>0</v>
      </c>
      <c r="AM16" s="14">
        <f>'A) Base RI'!AG16</f>
        <v>297751.21000000002</v>
      </c>
      <c r="AN16" s="14">
        <f>'A) Base RI'!AH16</f>
        <v>62134.15</v>
      </c>
      <c r="AO16" s="14">
        <f>'A) Base RI'!AI16</f>
        <v>0</v>
      </c>
      <c r="AP16" s="14">
        <f>'A) Base RI'!AJ16</f>
        <v>35505.25</v>
      </c>
      <c r="AQ16" s="14">
        <f>'A) Base RI'!AK16</f>
        <v>0</v>
      </c>
      <c r="AR16" s="14">
        <f>'A) Base RI'!AN16</f>
        <v>1119</v>
      </c>
    </row>
    <row r="17" spans="1:44" x14ac:dyDescent="0.25">
      <c r="A17" s="12">
        <f>'A) Base RI'!A17</f>
        <v>5411</v>
      </c>
      <c r="B17" s="42" t="str">
        <f>'A) Base RI'!B17</f>
        <v>Ormont-Dessus</v>
      </c>
      <c r="C17" s="14">
        <f>'A) Base RI'!C17+'A) Base RI'!D17</f>
        <v>4272453.9399999995</v>
      </c>
      <c r="D17" s="14">
        <f>'A) Base RI'!AO17</f>
        <v>-65486.26</v>
      </c>
      <c r="E17" s="41">
        <f>'A) Base RI'!AP17</f>
        <v>0</v>
      </c>
      <c r="F17" s="41">
        <f>'A) Base RI'!AQ17</f>
        <v>-2640.09</v>
      </c>
      <c r="G17" s="4">
        <f t="shared" si="0"/>
        <v>4204327.59</v>
      </c>
      <c r="H17" s="14">
        <f>'A) Base RI'!E17</f>
        <v>0</v>
      </c>
      <c r="I17" s="14">
        <f>'A) Base RI'!F17</f>
        <v>0</v>
      </c>
      <c r="J17" s="14">
        <f>'A) Base RI'!G17+'A) Base RI'!H17</f>
        <v>149729.15</v>
      </c>
      <c r="K17" s="14">
        <f>'A) Base RI'!I17</f>
        <v>141919.69</v>
      </c>
      <c r="L17" s="14">
        <f>'A) Base RI'!J17</f>
        <v>152338.87</v>
      </c>
      <c r="M17" s="14">
        <f>'A) Base RI'!K17</f>
        <v>22011.5</v>
      </c>
      <c r="N17" s="14">
        <f>'A) Base RI'!Q17</f>
        <v>42592.22</v>
      </c>
      <c r="O17" s="14">
        <f t="shared" si="1"/>
        <v>743137.2333333334</v>
      </c>
      <c r="P17" s="14">
        <f>'A) Base RI'!L17</f>
        <v>1114705.8500000001</v>
      </c>
      <c r="Q17" s="44">
        <f>'A) Base RI'!AR17</f>
        <v>1.5</v>
      </c>
      <c r="R17" s="4">
        <f t="shared" si="2"/>
        <v>5456056.2533333339</v>
      </c>
      <c r="S17" s="43">
        <f>'A) Base RI'!AM17</f>
        <v>76</v>
      </c>
      <c r="T17" s="4">
        <f t="shared" si="3"/>
        <v>4690907.5200000005</v>
      </c>
      <c r="U17" s="4">
        <f t="shared" si="4"/>
        <v>71790.213859649128</v>
      </c>
      <c r="V17" s="14">
        <f>'A) Base RI'!O17</f>
        <v>33663.9</v>
      </c>
      <c r="W17" s="14">
        <f>'A) Base RI'!P17</f>
        <v>259857.75</v>
      </c>
      <c r="X17" s="14">
        <f>'A) Base RI'!R17</f>
        <v>219085.3</v>
      </c>
      <c r="Y17" s="4">
        <f t="shared" si="5"/>
        <v>512606.95</v>
      </c>
      <c r="Z17" s="14">
        <f>'A) Base RI'!N17</f>
        <v>4683.3</v>
      </c>
      <c r="AA17" s="14">
        <f>'A) Base RI'!S17+'A) Base RI'!T17</f>
        <v>1987.5</v>
      </c>
      <c r="AB17" s="14">
        <f>'A) Base RI'!U17</f>
        <v>8450</v>
      </c>
      <c r="AC17" s="14">
        <f>'A) Base RI'!V17</f>
        <v>0</v>
      </c>
      <c r="AD17" s="14">
        <f>'A) Base RI'!W17</f>
        <v>1676.65</v>
      </c>
      <c r="AE17" s="14">
        <f>'A) Base RI'!Y17</f>
        <v>41202</v>
      </c>
      <c r="AF17" s="14">
        <f>'A) Base RI'!Z17</f>
        <v>0</v>
      </c>
      <c r="AG17" s="14">
        <f>'A) Base RI'!AA17</f>
        <v>365077.8</v>
      </c>
      <c r="AH17" s="14">
        <f>'A) Base RI'!AB17</f>
        <v>0</v>
      </c>
      <c r="AI17" s="14">
        <f>'A) Base RI'!AC17</f>
        <v>270447.8</v>
      </c>
      <c r="AJ17" s="14">
        <f>'A) Base RI'!AD17</f>
        <v>96448</v>
      </c>
      <c r="AK17" s="14">
        <f>'A) Base RI'!AE17</f>
        <v>0</v>
      </c>
      <c r="AL17" s="14">
        <f>'A) Base RI'!AF17</f>
        <v>0</v>
      </c>
      <c r="AM17" s="14">
        <f>'A) Base RI'!AG17</f>
        <v>896544.65</v>
      </c>
      <c r="AN17" s="14">
        <f>'A) Base RI'!AH17</f>
        <v>99041.75</v>
      </c>
      <c r="AO17" s="14">
        <f>'A) Base RI'!AI17</f>
        <v>0</v>
      </c>
      <c r="AP17" s="14">
        <f>'A) Base RI'!AJ17</f>
        <v>0</v>
      </c>
      <c r="AQ17" s="14">
        <f>'A) Base RI'!AK17</f>
        <v>28297.65</v>
      </c>
      <c r="AR17" s="14">
        <f>'A) Base RI'!AN17</f>
        <v>1481</v>
      </c>
    </row>
    <row r="18" spans="1:44" x14ac:dyDescent="0.25">
      <c r="A18" s="12">
        <f>'A) Base RI'!A18</f>
        <v>5412</v>
      </c>
      <c r="B18" s="42" t="str">
        <f>'A) Base RI'!B18</f>
        <v>Rennaz</v>
      </c>
      <c r="C18" s="14">
        <f>'A) Base RI'!C18+'A) Base RI'!D18</f>
        <v>1281263.17</v>
      </c>
      <c r="D18" s="14">
        <f>'A) Base RI'!AO18</f>
        <v>-67217.5</v>
      </c>
      <c r="E18" s="41">
        <f>'A) Base RI'!AP18</f>
        <v>0</v>
      </c>
      <c r="F18" s="41">
        <f>'A) Base RI'!AQ18</f>
        <v>-30.57</v>
      </c>
      <c r="G18" s="4">
        <f t="shared" si="0"/>
        <v>1214015.0999999999</v>
      </c>
      <c r="H18" s="14">
        <f>'A) Base RI'!E18</f>
        <v>0</v>
      </c>
      <c r="I18" s="14">
        <f>'A) Base RI'!F18</f>
        <v>0</v>
      </c>
      <c r="J18" s="14">
        <f>'A) Base RI'!G18+'A) Base RI'!H18</f>
        <v>243549.65</v>
      </c>
      <c r="K18" s="14">
        <f>'A) Base RI'!I18</f>
        <v>21735.3</v>
      </c>
      <c r="L18" s="14">
        <f>'A) Base RI'!J18</f>
        <v>101351.14</v>
      </c>
      <c r="M18" s="14">
        <f>'A) Base RI'!K18</f>
        <v>15320.5</v>
      </c>
      <c r="N18" s="14">
        <f>'A) Base RI'!Q18</f>
        <v>14037.44</v>
      </c>
      <c r="O18" s="14">
        <f t="shared" si="1"/>
        <v>178858.3</v>
      </c>
      <c r="P18" s="14">
        <f>'A) Base RI'!L18</f>
        <v>178858.3</v>
      </c>
      <c r="Q18" s="44">
        <f>'A) Base RI'!AR18</f>
        <v>1</v>
      </c>
      <c r="R18" s="4">
        <f t="shared" si="2"/>
        <v>1788867.4299999997</v>
      </c>
      <c r="S18" s="43">
        <f>'A) Base RI'!AM18</f>
        <v>67.5</v>
      </c>
      <c r="T18" s="4">
        <f t="shared" si="3"/>
        <v>1594688.6299999997</v>
      </c>
      <c r="U18" s="4">
        <f t="shared" si="4"/>
        <v>26501.739703703701</v>
      </c>
      <c r="V18" s="14">
        <f>'A) Base RI'!O18</f>
        <v>0</v>
      </c>
      <c r="W18" s="14">
        <f>'A) Base RI'!P18</f>
        <v>53190.45</v>
      </c>
      <c r="X18" s="14">
        <f>'A) Base RI'!R18</f>
        <v>75144.899999999994</v>
      </c>
      <c r="Y18" s="4">
        <f t="shared" si="5"/>
        <v>128335.34999999999</v>
      </c>
      <c r="Z18" s="14">
        <f>'A) Base RI'!N18</f>
        <v>92887.85</v>
      </c>
      <c r="AA18" s="14">
        <f>'A) Base RI'!S18+'A) Base RI'!T18</f>
        <v>435</v>
      </c>
      <c r="AB18" s="14">
        <f>'A) Base RI'!U18</f>
        <v>3900</v>
      </c>
      <c r="AC18" s="14">
        <f>'A) Base RI'!V18</f>
        <v>0</v>
      </c>
      <c r="AD18" s="14">
        <f>'A) Base RI'!W18</f>
        <v>0</v>
      </c>
      <c r="AE18" s="14">
        <f>'A) Base RI'!Y18</f>
        <v>772595.32</v>
      </c>
      <c r="AF18" s="14">
        <f>'A) Base RI'!Z18</f>
        <v>0</v>
      </c>
      <c r="AG18" s="14">
        <f>'A) Base RI'!AA18</f>
        <v>148729.53</v>
      </c>
      <c r="AH18" s="14">
        <f>'A) Base RI'!AB18</f>
        <v>0</v>
      </c>
      <c r="AI18" s="14">
        <f>'A) Base RI'!AC18</f>
        <v>97869.2</v>
      </c>
      <c r="AJ18" s="14">
        <f>'A) Base RI'!AD18</f>
        <v>927114.29</v>
      </c>
      <c r="AK18" s="14">
        <f>'A) Base RI'!AE18</f>
        <v>0</v>
      </c>
      <c r="AL18" s="14">
        <f>'A) Base RI'!AF18</f>
        <v>0</v>
      </c>
      <c r="AM18" s="14">
        <f>'A) Base RI'!AG18</f>
        <v>643.5</v>
      </c>
      <c r="AN18" s="14">
        <f>'A) Base RI'!AH18</f>
        <v>46833.35</v>
      </c>
      <c r="AO18" s="14">
        <f>'A) Base RI'!AI18</f>
        <v>0</v>
      </c>
      <c r="AP18" s="14">
        <f>'A) Base RI'!AJ18</f>
        <v>0</v>
      </c>
      <c r="AQ18" s="14">
        <f>'A) Base RI'!AK18</f>
        <v>0</v>
      </c>
      <c r="AR18" s="14">
        <f>'A) Base RI'!AN18</f>
        <v>843</v>
      </c>
    </row>
    <row r="19" spans="1:44" x14ac:dyDescent="0.25">
      <c r="A19" s="12">
        <f>'A) Base RI'!A19</f>
        <v>5413</v>
      </c>
      <c r="B19" s="42" t="str">
        <f>'A) Base RI'!B19</f>
        <v>Roche</v>
      </c>
      <c r="C19" s="14">
        <f>'A) Base RI'!C19+'A) Base RI'!D19</f>
        <v>1714123.5</v>
      </c>
      <c r="D19" s="14">
        <f>'A) Base RI'!AO19</f>
        <v>-68557.78</v>
      </c>
      <c r="E19" s="41">
        <f>'A) Base RI'!AP19</f>
        <v>0</v>
      </c>
      <c r="F19" s="41">
        <f>'A) Base RI'!AQ19</f>
        <v>-36.96</v>
      </c>
      <c r="G19" s="4">
        <f t="shared" si="0"/>
        <v>1645528.76</v>
      </c>
      <c r="H19" s="14">
        <f>'A) Base RI'!E19</f>
        <v>0</v>
      </c>
      <c r="I19" s="14">
        <f>'A) Base RI'!F19</f>
        <v>0</v>
      </c>
      <c r="J19" s="14">
        <f>'A) Base RI'!G19+'A) Base RI'!H19</f>
        <v>377798.39999999997</v>
      </c>
      <c r="K19" s="14">
        <f>'A) Base RI'!I19</f>
        <v>0</v>
      </c>
      <c r="L19" s="14">
        <f>'A) Base RI'!J19</f>
        <v>110824.57</v>
      </c>
      <c r="M19" s="14">
        <f>'A) Base RI'!K19</f>
        <v>15694.5</v>
      </c>
      <c r="N19" s="14">
        <f>'A) Base RI'!Q19</f>
        <v>8373.2900000000009</v>
      </c>
      <c r="O19" s="14">
        <f t="shared" si="1"/>
        <v>212343.55</v>
      </c>
      <c r="P19" s="14">
        <f>'A) Base RI'!L19</f>
        <v>212343.55</v>
      </c>
      <c r="Q19" s="44">
        <f>'A) Base RI'!AR19</f>
        <v>1</v>
      </c>
      <c r="R19" s="4">
        <f t="shared" si="2"/>
        <v>2370563.0699999998</v>
      </c>
      <c r="S19" s="43">
        <f>'A) Base RI'!AM19</f>
        <v>68</v>
      </c>
      <c r="T19" s="4">
        <f t="shared" si="3"/>
        <v>2142525.02</v>
      </c>
      <c r="U19" s="4">
        <f t="shared" si="4"/>
        <v>34861.221617647054</v>
      </c>
      <c r="V19" s="14">
        <f>'A) Base RI'!O19</f>
        <v>12292.5</v>
      </c>
      <c r="W19" s="14">
        <f>'A) Base RI'!P19</f>
        <v>112157.65</v>
      </c>
      <c r="X19" s="14">
        <f>'A) Base RI'!R19</f>
        <v>91841.7</v>
      </c>
      <c r="Y19" s="4">
        <f t="shared" si="5"/>
        <v>216291.84999999998</v>
      </c>
      <c r="Z19" s="14">
        <f>'A) Base RI'!N19</f>
        <v>208419.15</v>
      </c>
      <c r="AA19" s="14">
        <f>'A) Base RI'!S19+'A) Base RI'!T19</f>
        <v>250</v>
      </c>
      <c r="AB19" s="14">
        <f>'A) Base RI'!U19</f>
        <v>11100</v>
      </c>
      <c r="AC19" s="14">
        <f>'A) Base RI'!V19</f>
        <v>0</v>
      </c>
      <c r="AD19" s="14">
        <f>'A) Base RI'!W19</f>
        <v>0</v>
      </c>
      <c r="AE19" s="14">
        <f>'A) Base RI'!Y19</f>
        <v>0</v>
      </c>
      <c r="AF19" s="14">
        <f>'A) Base RI'!Z19</f>
        <v>0</v>
      </c>
      <c r="AG19" s="14">
        <f>'A) Base RI'!AA19</f>
        <v>146967.95000000001</v>
      </c>
      <c r="AH19" s="14">
        <f>'A) Base RI'!AB19</f>
        <v>0</v>
      </c>
      <c r="AI19" s="14">
        <f>'A) Base RI'!AC19</f>
        <v>190610.94</v>
      </c>
      <c r="AJ19" s="14">
        <f>'A) Base RI'!AD19</f>
        <v>0</v>
      </c>
      <c r="AK19" s="14">
        <f>'A) Base RI'!AE19</f>
        <v>0</v>
      </c>
      <c r="AL19" s="14">
        <f>'A) Base RI'!AF19</f>
        <v>0</v>
      </c>
      <c r="AM19" s="14">
        <f>'A) Base RI'!AG19</f>
        <v>0</v>
      </c>
      <c r="AN19" s="14">
        <f>'A) Base RI'!AH19</f>
        <v>60847.9</v>
      </c>
      <c r="AO19" s="14">
        <f>'A) Base RI'!AI19</f>
        <v>17899.400000000001</v>
      </c>
      <c r="AP19" s="14">
        <f>'A) Base RI'!AJ19</f>
        <v>0</v>
      </c>
      <c r="AQ19" s="14">
        <f>'A) Base RI'!AK19</f>
        <v>0</v>
      </c>
      <c r="AR19" s="14">
        <f>'A) Base RI'!AN19</f>
        <v>1507</v>
      </c>
    </row>
    <row r="20" spans="1:44" x14ac:dyDescent="0.25">
      <c r="A20" s="12">
        <f>'A) Base RI'!A20</f>
        <v>5414</v>
      </c>
      <c r="B20" s="42" t="str">
        <f>'A) Base RI'!B20</f>
        <v>Villeneuve</v>
      </c>
      <c r="C20" s="14">
        <f>'A) Base RI'!C20+'A) Base RI'!D20</f>
        <v>8426714.5999999996</v>
      </c>
      <c r="D20" s="14">
        <f>'A) Base RI'!AO20</f>
        <v>-314336.40999999997</v>
      </c>
      <c r="E20" s="41">
        <f>'A) Base RI'!AP20</f>
        <v>0</v>
      </c>
      <c r="F20" s="41">
        <f>'A) Base RI'!AQ20</f>
        <v>-1617.66</v>
      </c>
      <c r="G20" s="4">
        <f t="shared" si="0"/>
        <v>8110760.5299999993</v>
      </c>
      <c r="H20" s="14">
        <f>'A) Base RI'!E20</f>
        <v>0</v>
      </c>
      <c r="I20" s="14">
        <f>'A) Base RI'!F20</f>
        <v>0</v>
      </c>
      <c r="J20" s="14">
        <f>'A) Base RI'!G20+'A) Base RI'!H20</f>
        <v>1781326.4</v>
      </c>
      <c r="K20" s="14">
        <f>'A) Base RI'!I20</f>
        <v>90368.1</v>
      </c>
      <c r="L20" s="14">
        <f>'A) Base RI'!J20</f>
        <v>507884.35</v>
      </c>
      <c r="M20" s="14">
        <f>'A) Base RI'!K20</f>
        <v>55146</v>
      </c>
      <c r="N20" s="14">
        <f>'A) Base RI'!Q20</f>
        <v>62919.24</v>
      </c>
      <c r="O20" s="14">
        <f t="shared" si="1"/>
        <v>984238.5</v>
      </c>
      <c r="P20" s="14">
        <f>'A) Base RI'!L20</f>
        <v>984238.5</v>
      </c>
      <c r="Q20" s="44">
        <f>'A) Base RI'!AR20</f>
        <v>1</v>
      </c>
      <c r="R20" s="4">
        <f t="shared" si="2"/>
        <v>11592643.119999999</v>
      </c>
      <c r="S20" s="43">
        <f>'A) Base RI'!AM20</f>
        <v>69</v>
      </c>
      <c r="T20" s="4">
        <f t="shared" si="3"/>
        <v>10553258.619999999</v>
      </c>
      <c r="U20" s="4">
        <f t="shared" si="4"/>
        <v>168009.32057971013</v>
      </c>
      <c r="V20" s="14">
        <f>'A) Base RI'!O20</f>
        <v>37804.9</v>
      </c>
      <c r="W20" s="14">
        <f>'A) Base RI'!P20</f>
        <v>943115.05</v>
      </c>
      <c r="X20" s="14">
        <f>'A) Base RI'!R20</f>
        <v>403483.55</v>
      </c>
      <c r="Y20" s="4">
        <f t="shared" si="5"/>
        <v>1384403.5</v>
      </c>
      <c r="Z20" s="14">
        <f>'A) Base RI'!N20</f>
        <v>772343.75</v>
      </c>
      <c r="AA20" s="14">
        <f>'A) Base RI'!S20+'A) Base RI'!T20</f>
        <v>9955</v>
      </c>
      <c r="AB20" s="14">
        <f>'A) Base RI'!U20</f>
        <v>27715</v>
      </c>
      <c r="AC20" s="14">
        <f>'A) Base RI'!V20</f>
        <v>3421.2</v>
      </c>
      <c r="AD20" s="14">
        <f>'A) Base RI'!W20</f>
        <v>0</v>
      </c>
      <c r="AE20" s="14">
        <f>'A) Base RI'!Y20</f>
        <v>75759.350000000006</v>
      </c>
      <c r="AF20" s="14">
        <f>'A) Base RI'!Z20</f>
        <v>0</v>
      </c>
      <c r="AG20" s="14">
        <f>'A) Base RI'!AA20</f>
        <v>1074841.6000000001</v>
      </c>
      <c r="AH20" s="14">
        <f>'A) Base RI'!AB20</f>
        <v>0</v>
      </c>
      <c r="AI20" s="14">
        <f>'A) Base RI'!AC20</f>
        <v>865058.55</v>
      </c>
      <c r="AJ20" s="14">
        <f>'A) Base RI'!AD20</f>
        <v>91217.15</v>
      </c>
      <c r="AK20" s="14">
        <f>'A) Base RI'!AE20</f>
        <v>0</v>
      </c>
      <c r="AL20" s="14">
        <f>'A) Base RI'!AF20</f>
        <v>0</v>
      </c>
      <c r="AM20" s="14">
        <f>'A) Base RI'!AG20</f>
        <v>82334</v>
      </c>
      <c r="AN20" s="14">
        <f>'A) Base RI'!AH20</f>
        <v>0</v>
      </c>
      <c r="AO20" s="14">
        <f>'A) Base RI'!AI20</f>
        <v>0</v>
      </c>
      <c r="AP20" s="14">
        <f>'A) Base RI'!AJ20</f>
        <v>0</v>
      </c>
      <c r="AQ20" s="14">
        <f>'A) Base RI'!AK20</f>
        <v>0</v>
      </c>
      <c r="AR20" s="14">
        <f>'A) Base RI'!AN20</f>
        <v>5428</v>
      </c>
    </row>
    <row r="21" spans="1:44" x14ac:dyDescent="0.25">
      <c r="A21" s="12">
        <f>'A) Base RI'!A21</f>
        <v>5415</v>
      </c>
      <c r="B21" s="42" t="str">
        <f>'A) Base RI'!B21</f>
        <v>Yvorne</v>
      </c>
      <c r="C21" s="14">
        <f>'A) Base RI'!C21+'A) Base RI'!D21</f>
        <v>2516551.56</v>
      </c>
      <c r="D21" s="14">
        <f>'A) Base RI'!AO21</f>
        <v>-28046.14</v>
      </c>
      <c r="E21" s="41">
        <f>'A) Base RI'!AP21</f>
        <v>0</v>
      </c>
      <c r="F21" s="41">
        <f>'A) Base RI'!AQ21</f>
        <v>-155.81</v>
      </c>
      <c r="G21" s="4">
        <f t="shared" si="0"/>
        <v>2488349.61</v>
      </c>
      <c r="H21" s="14">
        <f>'A) Base RI'!E21</f>
        <v>0</v>
      </c>
      <c r="I21" s="14">
        <f>'A) Base RI'!F21</f>
        <v>0</v>
      </c>
      <c r="J21" s="14">
        <f>'A) Base RI'!G21+'A) Base RI'!H21</f>
        <v>161884.65</v>
      </c>
      <c r="K21" s="14">
        <f>'A) Base RI'!I21</f>
        <v>0</v>
      </c>
      <c r="L21" s="14">
        <f>'A) Base RI'!J21</f>
        <v>60339.81</v>
      </c>
      <c r="M21" s="14">
        <f>'A) Base RI'!K21</f>
        <v>8071.5</v>
      </c>
      <c r="N21" s="14">
        <f>'A) Base RI'!Q21</f>
        <v>23438.63</v>
      </c>
      <c r="O21" s="14">
        <f t="shared" si="1"/>
        <v>207250</v>
      </c>
      <c r="P21" s="14">
        <f>'A) Base RI'!L21</f>
        <v>310875</v>
      </c>
      <c r="Q21" s="44">
        <f>'A) Base RI'!AR21</f>
        <v>1.5</v>
      </c>
      <c r="R21" s="4">
        <f t="shared" si="2"/>
        <v>2949334.1999999997</v>
      </c>
      <c r="S21" s="43">
        <f>'A) Base RI'!AM21</f>
        <v>68.5</v>
      </c>
      <c r="T21" s="4">
        <f t="shared" si="3"/>
        <v>2734012.6999999997</v>
      </c>
      <c r="U21" s="4">
        <f t="shared" si="4"/>
        <v>43055.973722627736</v>
      </c>
      <c r="V21" s="14">
        <f>'A) Base RI'!O21</f>
        <v>9303.7999999999993</v>
      </c>
      <c r="W21" s="14">
        <f>'A) Base RI'!P21</f>
        <v>76988.149999999994</v>
      </c>
      <c r="X21" s="14">
        <f>'A) Base RI'!R21</f>
        <v>42763.75</v>
      </c>
      <c r="Y21" s="4">
        <f t="shared" si="5"/>
        <v>129055.7</v>
      </c>
      <c r="Z21" s="14">
        <f>'A) Base RI'!N21</f>
        <v>38421.300000000003</v>
      </c>
      <c r="AA21" s="14">
        <f>'A) Base RI'!S21+'A) Base RI'!T21</f>
        <v>237.5</v>
      </c>
      <c r="AB21" s="14">
        <f>'A) Base RI'!U21</f>
        <v>7950</v>
      </c>
      <c r="AC21" s="14">
        <f>'A) Base RI'!V21</f>
        <v>0</v>
      </c>
      <c r="AD21" s="14">
        <f>'A) Base RI'!W21</f>
        <v>0</v>
      </c>
      <c r="AE21" s="14">
        <f>'A) Base RI'!Y21</f>
        <v>16415.7</v>
      </c>
      <c r="AF21" s="14">
        <f>'A) Base RI'!Z21</f>
        <v>0</v>
      </c>
      <c r="AG21" s="14">
        <f>'A) Base RI'!AA21</f>
        <v>130166.35</v>
      </c>
      <c r="AH21" s="14">
        <f>'A) Base RI'!AB21</f>
        <v>0</v>
      </c>
      <c r="AI21" s="14">
        <f>'A) Base RI'!AC21</f>
        <v>56476.85</v>
      </c>
      <c r="AJ21" s="14">
        <f>'A) Base RI'!AD21</f>
        <v>26387.25</v>
      </c>
      <c r="AK21" s="14">
        <f>'A) Base RI'!AE21</f>
        <v>0</v>
      </c>
      <c r="AL21" s="14">
        <f>'A) Base RI'!AF21</f>
        <v>0</v>
      </c>
      <c r="AM21" s="14">
        <f>'A) Base RI'!AG21</f>
        <v>29359</v>
      </c>
      <c r="AN21" s="14">
        <f>'A) Base RI'!AH21</f>
        <v>19400</v>
      </c>
      <c r="AO21" s="14">
        <f>'A) Base RI'!AI21</f>
        <v>0</v>
      </c>
      <c r="AP21" s="14">
        <f>'A) Base RI'!AJ21</f>
        <v>0</v>
      </c>
      <c r="AQ21" s="14">
        <f>'A) Base RI'!AK21</f>
        <v>19400</v>
      </c>
      <c r="AR21" s="14">
        <f>'A) Base RI'!AN21</f>
        <v>1032</v>
      </c>
    </row>
    <row r="22" spans="1:44" x14ac:dyDescent="0.25">
      <c r="A22" s="12">
        <f>'A) Base RI'!A22</f>
        <v>5421</v>
      </c>
      <c r="B22" s="42" t="str">
        <f>'A) Base RI'!B22</f>
        <v>Apples</v>
      </c>
      <c r="C22" s="14">
        <f>'A) Base RI'!C22+'A) Base RI'!D22</f>
        <v>3173314.41</v>
      </c>
      <c r="D22" s="14">
        <f>'A) Base RI'!AO22</f>
        <v>-7642.03</v>
      </c>
      <c r="E22" s="41">
        <f>'A) Base RI'!AP22</f>
        <v>0</v>
      </c>
      <c r="F22" s="41">
        <f>'A) Base RI'!AQ22</f>
        <v>-1369.52</v>
      </c>
      <c r="G22" s="4">
        <f t="shared" si="0"/>
        <v>3164302.8600000003</v>
      </c>
      <c r="H22" s="14">
        <f>'A) Base RI'!E22</f>
        <v>0</v>
      </c>
      <c r="I22" s="14">
        <f>'A) Base RI'!F22</f>
        <v>0</v>
      </c>
      <c r="J22" s="14">
        <f>'A) Base RI'!G22+'A) Base RI'!H22</f>
        <v>236617.9</v>
      </c>
      <c r="K22" s="14">
        <f>'A) Base RI'!I22</f>
        <v>163459.46</v>
      </c>
      <c r="L22" s="14">
        <f>'A) Base RI'!J22</f>
        <v>231686.48</v>
      </c>
      <c r="M22" s="14">
        <f>'A) Base RI'!K22</f>
        <v>7957.5</v>
      </c>
      <c r="N22" s="14">
        <f>'A) Base RI'!Q22</f>
        <v>13198.84</v>
      </c>
      <c r="O22" s="14">
        <f t="shared" si="1"/>
        <v>257587.05</v>
      </c>
      <c r="P22" s="14">
        <f>'A) Base RI'!L22</f>
        <v>257587.05</v>
      </c>
      <c r="Q22" s="44">
        <f>'A) Base RI'!AR22</f>
        <v>1</v>
      </c>
      <c r="R22" s="4">
        <f t="shared" si="2"/>
        <v>4074810.09</v>
      </c>
      <c r="S22" s="43">
        <f>'A) Base RI'!AM22</f>
        <v>71</v>
      </c>
      <c r="T22" s="4">
        <f t="shared" si="3"/>
        <v>3809265.54</v>
      </c>
      <c r="U22" s="4">
        <f t="shared" si="4"/>
        <v>57391.691408450701</v>
      </c>
      <c r="V22" s="14">
        <f>'A) Base RI'!O22</f>
        <v>266539.5</v>
      </c>
      <c r="W22" s="14">
        <f>'A) Base RI'!P22</f>
        <v>93963.6</v>
      </c>
      <c r="X22" s="14">
        <f>'A) Base RI'!R22</f>
        <v>232419.95</v>
      </c>
      <c r="Y22" s="4">
        <f t="shared" si="5"/>
        <v>592923.05000000005</v>
      </c>
      <c r="Z22" s="14">
        <f>'A) Base RI'!N22</f>
        <v>21306.2</v>
      </c>
      <c r="AA22" s="14">
        <f>'A) Base RI'!S22+'A) Base RI'!T22</f>
        <v>281.25</v>
      </c>
      <c r="AB22" s="14">
        <f>'A) Base RI'!U22</f>
        <v>8400</v>
      </c>
      <c r="AC22" s="14">
        <f>'A) Base RI'!V22</f>
        <v>0</v>
      </c>
      <c r="AD22" s="14">
        <f>'A) Base RI'!W22</f>
        <v>0</v>
      </c>
      <c r="AE22" s="14">
        <f>'A) Base RI'!Y22</f>
        <v>39416</v>
      </c>
      <c r="AF22" s="14">
        <f>'A) Base RI'!Z22</f>
        <v>0</v>
      </c>
      <c r="AG22" s="14">
        <f>'A) Base RI'!AA22</f>
        <v>341863.2</v>
      </c>
      <c r="AH22" s="14">
        <f>'A) Base RI'!AB22</f>
        <v>0</v>
      </c>
      <c r="AI22" s="14">
        <f>'A) Base RI'!AC22</f>
        <v>143890.74</v>
      </c>
      <c r="AJ22" s="14">
        <f>'A) Base RI'!AD22</f>
        <v>75296</v>
      </c>
      <c r="AK22" s="14">
        <f>'A) Base RI'!AE22</f>
        <v>0</v>
      </c>
      <c r="AL22" s="14">
        <f>'A) Base RI'!AF22</f>
        <v>0</v>
      </c>
      <c r="AM22" s="14">
        <f>'A) Base RI'!AG22</f>
        <v>0</v>
      </c>
      <c r="AN22" s="14">
        <f>'A) Base RI'!AH22</f>
        <v>0</v>
      </c>
      <c r="AO22" s="14">
        <f>'A) Base RI'!AI22</f>
        <v>0</v>
      </c>
      <c r="AP22" s="14">
        <f>'A) Base RI'!AJ22</f>
        <v>0</v>
      </c>
      <c r="AQ22" s="14">
        <f>'A) Base RI'!AK22</f>
        <v>0</v>
      </c>
      <c r="AR22" s="14">
        <f>'A) Base RI'!AN22</f>
        <v>1363</v>
      </c>
    </row>
    <row r="23" spans="1:44" x14ac:dyDescent="0.25">
      <c r="A23" s="12">
        <f>'A) Base RI'!A23</f>
        <v>5422</v>
      </c>
      <c r="B23" s="42" t="str">
        <f>'A) Base RI'!B23</f>
        <v>Aubonne</v>
      </c>
      <c r="C23" s="14">
        <f>'A) Base RI'!C23+'A) Base RI'!D23</f>
        <v>10806485.329999998</v>
      </c>
      <c r="D23" s="14">
        <f>'A) Base RI'!AO23</f>
        <v>-148490.84</v>
      </c>
      <c r="E23" s="41">
        <f>'A) Base RI'!AP23</f>
        <v>0</v>
      </c>
      <c r="F23" s="41">
        <f>'A) Base RI'!AQ23</f>
        <v>-723.34</v>
      </c>
      <c r="G23" s="4">
        <f t="shared" si="0"/>
        <v>10657271.149999999</v>
      </c>
      <c r="H23" s="14">
        <f>'A) Base RI'!E23</f>
        <v>0</v>
      </c>
      <c r="I23" s="14">
        <f>'A) Base RI'!F23</f>
        <v>0</v>
      </c>
      <c r="J23" s="14">
        <f>'A) Base RI'!G23+'A) Base RI'!H23</f>
        <v>3049950</v>
      </c>
      <c r="K23" s="14">
        <f>'A) Base RI'!I23</f>
        <v>290892.59999999998</v>
      </c>
      <c r="L23" s="14">
        <f>'A) Base RI'!J23</f>
        <v>762070.33</v>
      </c>
      <c r="M23" s="14">
        <f>'A) Base RI'!K23</f>
        <v>110832</v>
      </c>
      <c r="N23" s="14">
        <f>'A) Base RI'!Q23</f>
        <v>8857.01</v>
      </c>
      <c r="O23" s="14">
        <f t="shared" si="1"/>
        <v>865588.33</v>
      </c>
      <c r="P23" s="14">
        <f>'A) Base RI'!L23</f>
        <v>865588.33</v>
      </c>
      <c r="Q23" s="44">
        <f>'A) Base RI'!AR23</f>
        <v>1</v>
      </c>
      <c r="R23" s="4">
        <f t="shared" si="2"/>
        <v>15745461.419999998</v>
      </c>
      <c r="S23" s="43">
        <f>'A) Base RI'!AM23</f>
        <v>68</v>
      </c>
      <c r="T23" s="4">
        <f t="shared" si="3"/>
        <v>14769041.089999998</v>
      </c>
      <c r="U23" s="4">
        <f t="shared" si="4"/>
        <v>231550.9032352941</v>
      </c>
      <c r="V23" s="14">
        <f>'A) Base RI'!O23</f>
        <v>231155</v>
      </c>
      <c r="W23" s="14">
        <f>'A) Base RI'!P23</f>
        <v>429140.55</v>
      </c>
      <c r="X23" s="14">
        <f>'A) Base RI'!R23</f>
        <v>492714.65</v>
      </c>
      <c r="Y23" s="4">
        <f t="shared" si="5"/>
        <v>1153010.2000000002</v>
      </c>
      <c r="Z23" s="14">
        <f>'A) Base RI'!N23</f>
        <v>474225</v>
      </c>
      <c r="AA23" s="14">
        <f>'A) Base RI'!S23+'A) Base RI'!T23</f>
        <v>4300</v>
      </c>
      <c r="AB23" s="14">
        <f>'A) Base RI'!U23</f>
        <v>20200</v>
      </c>
      <c r="AC23" s="14">
        <f>'A) Base RI'!V23</f>
        <v>0</v>
      </c>
      <c r="AD23" s="14">
        <f>'A) Base RI'!W23</f>
        <v>0</v>
      </c>
      <c r="AE23" s="14">
        <f>'A) Base RI'!Y23</f>
        <v>214079.39</v>
      </c>
      <c r="AF23" s="14">
        <f>'A) Base RI'!Z23</f>
        <v>0</v>
      </c>
      <c r="AG23" s="14">
        <f>'A) Base RI'!AA23</f>
        <v>303572</v>
      </c>
      <c r="AH23" s="14">
        <f>'A) Base RI'!AB23</f>
        <v>0</v>
      </c>
      <c r="AI23" s="14">
        <f>'A) Base RI'!AC23</f>
        <v>242953.35</v>
      </c>
      <c r="AJ23" s="14">
        <f>'A) Base RI'!AD23</f>
        <v>198405.18</v>
      </c>
      <c r="AK23" s="14">
        <f>'A) Base RI'!AE23</f>
        <v>0</v>
      </c>
      <c r="AL23" s="14">
        <f>'A) Base RI'!AF23</f>
        <v>0</v>
      </c>
      <c r="AM23" s="14">
        <f>'A) Base RI'!AG23</f>
        <v>0</v>
      </c>
      <c r="AN23" s="14">
        <f>'A) Base RI'!AH23</f>
        <v>206325.7</v>
      </c>
      <c r="AO23" s="14">
        <f>'A) Base RI'!AI23</f>
        <v>0</v>
      </c>
      <c r="AP23" s="14">
        <f>'A) Base RI'!AJ23</f>
        <v>0</v>
      </c>
      <c r="AQ23" s="14">
        <f>'A) Base RI'!AK23</f>
        <v>0</v>
      </c>
      <c r="AR23" s="14">
        <f>'A) Base RI'!AN23</f>
        <v>3227</v>
      </c>
    </row>
    <row r="24" spans="1:44" x14ac:dyDescent="0.25">
      <c r="A24" s="12">
        <f>'A) Base RI'!A24</f>
        <v>5423</v>
      </c>
      <c r="B24" s="42" t="str">
        <f>'A) Base RI'!B24</f>
        <v>Ballens</v>
      </c>
      <c r="C24" s="14">
        <f>'A) Base RI'!C24+'A) Base RI'!D24</f>
        <v>1192268.6299999999</v>
      </c>
      <c r="D24" s="14">
        <f>'A) Base RI'!AO24</f>
        <v>-9074.1</v>
      </c>
      <c r="E24" s="41">
        <f>'A) Base RI'!AP24</f>
        <v>0</v>
      </c>
      <c r="F24" s="41">
        <f>'A) Base RI'!AQ24</f>
        <v>-215.88</v>
      </c>
      <c r="G24" s="4">
        <f t="shared" si="0"/>
        <v>1182978.6499999999</v>
      </c>
      <c r="H24" s="14">
        <f>'A) Base RI'!E24</f>
        <v>0</v>
      </c>
      <c r="I24" s="14">
        <f>'A) Base RI'!F24</f>
        <v>2720</v>
      </c>
      <c r="J24" s="14">
        <f>'A) Base RI'!G24+'A) Base RI'!H24</f>
        <v>45601.65</v>
      </c>
      <c r="K24" s="14">
        <f>'A) Base RI'!I24</f>
        <v>0</v>
      </c>
      <c r="L24" s="14">
        <f>'A) Base RI'!J24</f>
        <v>58066.400000000001</v>
      </c>
      <c r="M24" s="14">
        <f>'A) Base RI'!K24</f>
        <v>1801</v>
      </c>
      <c r="N24" s="14">
        <f>'A) Base RI'!Q24</f>
        <v>1198.76</v>
      </c>
      <c r="O24" s="14">
        <f t="shared" si="1"/>
        <v>71202.7</v>
      </c>
      <c r="P24" s="14">
        <f>'A) Base RI'!L24</f>
        <v>35601.35</v>
      </c>
      <c r="Q24" s="44">
        <f>'A) Base RI'!AR24</f>
        <v>0.5</v>
      </c>
      <c r="R24" s="4">
        <f t="shared" si="2"/>
        <v>1363569.1599999997</v>
      </c>
      <c r="S24" s="43">
        <f>'A) Base RI'!AM24</f>
        <v>69</v>
      </c>
      <c r="T24" s="4">
        <f t="shared" si="3"/>
        <v>1287845.4599999997</v>
      </c>
      <c r="U24" s="4">
        <f t="shared" si="4"/>
        <v>19761.871884057968</v>
      </c>
      <c r="V24" s="14">
        <f>'A) Base RI'!O24</f>
        <v>45426.7</v>
      </c>
      <c r="W24" s="14">
        <f>'A) Base RI'!P24</f>
        <v>37579.300000000003</v>
      </c>
      <c r="X24" s="14">
        <f>'A) Base RI'!R24</f>
        <v>19948.400000000001</v>
      </c>
      <c r="Y24" s="4">
        <f t="shared" si="5"/>
        <v>102954.4</v>
      </c>
      <c r="Z24" s="14">
        <f>'A) Base RI'!N24</f>
        <v>13307.25</v>
      </c>
      <c r="AA24" s="14">
        <f>'A) Base RI'!S24+'A) Base RI'!T24</f>
        <v>622.29999999999995</v>
      </c>
      <c r="AB24" s="14">
        <f>'A) Base RI'!U24</f>
        <v>1450</v>
      </c>
      <c r="AC24" s="14">
        <f>'A) Base RI'!V24</f>
        <v>0</v>
      </c>
      <c r="AD24" s="14">
        <f>'A) Base RI'!W24</f>
        <v>0</v>
      </c>
      <c r="AE24" s="14">
        <f>'A) Base RI'!Y24</f>
        <v>13795.9</v>
      </c>
      <c r="AF24" s="14">
        <f>'A) Base RI'!Z24</f>
        <v>0</v>
      </c>
      <c r="AG24" s="14">
        <f>'A) Base RI'!AA24</f>
        <v>150023.4</v>
      </c>
      <c r="AH24" s="14">
        <f>'A) Base RI'!AB24</f>
        <v>0</v>
      </c>
      <c r="AI24" s="14">
        <f>'A) Base RI'!AC24</f>
        <v>27118.799999999999</v>
      </c>
      <c r="AJ24" s="14">
        <f>'A) Base RI'!AD24</f>
        <v>0</v>
      </c>
      <c r="AK24" s="14">
        <f>'A) Base RI'!AE24</f>
        <v>0</v>
      </c>
      <c r="AL24" s="14">
        <f>'A) Base RI'!AF24</f>
        <v>0</v>
      </c>
      <c r="AM24" s="14">
        <f>'A) Base RI'!AG24</f>
        <v>0</v>
      </c>
      <c r="AN24" s="14">
        <f>'A) Base RI'!AH24</f>
        <v>13514.9</v>
      </c>
      <c r="AO24" s="14">
        <f>'A) Base RI'!AI24</f>
        <v>0</v>
      </c>
      <c r="AP24" s="14">
        <f>'A) Base RI'!AJ24</f>
        <v>0</v>
      </c>
      <c r="AQ24" s="14">
        <f>'A) Base RI'!AK24</f>
        <v>0</v>
      </c>
      <c r="AR24" s="14">
        <f>'A) Base RI'!AN24</f>
        <v>509</v>
      </c>
    </row>
    <row r="25" spans="1:44" x14ac:dyDescent="0.25">
      <c r="A25" s="12">
        <f>'A) Base RI'!A25</f>
        <v>5424</v>
      </c>
      <c r="B25" s="42" t="str">
        <f>'A) Base RI'!B25</f>
        <v>Berolle</v>
      </c>
      <c r="C25" s="14">
        <f>'A) Base RI'!C25+'A) Base RI'!D25</f>
        <v>676811.01</v>
      </c>
      <c r="D25" s="14">
        <f>'A) Base RI'!AO25</f>
        <v>-1354.9</v>
      </c>
      <c r="E25" s="41">
        <f>'A) Base RI'!AP25</f>
        <v>0</v>
      </c>
      <c r="F25" s="41">
        <f>'A) Base RI'!AQ25</f>
        <v>0</v>
      </c>
      <c r="G25" s="4">
        <f t="shared" si="0"/>
        <v>675456.11</v>
      </c>
      <c r="H25" s="14">
        <f>'A) Base RI'!E25</f>
        <v>0</v>
      </c>
      <c r="I25" s="14">
        <f>'A) Base RI'!F25</f>
        <v>0</v>
      </c>
      <c r="J25" s="14">
        <f>'A) Base RI'!G25+'A) Base RI'!H25</f>
        <v>1450.7</v>
      </c>
      <c r="K25" s="14">
        <f>'A) Base RI'!I25</f>
        <v>61279.6</v>
      </c>
      <c r="L25" s="14">
        <f>'A) Base RI'!J25</f>
        <v>-71905.960000000006</v>
      </c>
      <c r="M25" s="14">
        <f>'A) Base RI'!K25</f>
        <v>94.5</v>
      </c>
      <c r="N25" s="14">
        <f>'A) Base RI'!Q25</f>
        <v>6914.47</v>
      </c>
      <c r="O25" s="14">
        <f t="shared" si="1"/>
        <v>47440.3</v>
      </c>
      <c r="P25" s="14">
        <f>'A) Base RI'!L25</f>
        <v>47440.3</v>
      </c>
      <c r="Q25" s="44">
        <f>'A) Base RI'!AR25</f>
        <v>1</v>
      </c>
      <c r="R25" s="4">
        <f t="shared" si="2"/>
        <v>720729.72</v>
      </c>
      <c r="S25" s="43">
        <f>'A) Base RI'!AM25</f>
        <v>77</v>
      </c>
      <c r="T25" s="4">
        <f t="shared" si="3"/>
        <v>673194.91999999993</v>
      </c>
      <c r="U25" s="4">
        <f t="shared" si="4"/>
        <v>9360.1262337662338</v>
      </c>
      <c r="V25" s="14">
        <f>'A) Base RI'!O25</f>
        <v>11107.8</v>
      </c>
      <c r="W25" s="14">
        <f>'A) Base RI'!P25</f>
        <v>21070.5</v>
      </c>
      <c r="X25" s="14">
        <f>'A) Base RI'!R25</f>
        <v>19804.8</v>
      </c>
      <c r="Y25" s="4">
        <f t="shared" si="5"/>
        <v>51983.1</v>
      </c>
      <c r="Z25" s="14">
        <f>'A) Base RI'!N25</f>
        <v>0</v>
      </c>
      <c r="AA25" s="14">
        <f>'A) Base RI'!S25+'A) Base RI'!T25</f>
        <v>0</v>
      </c>
      <c r="AB25" s="14">
        <f>'A) Base RI'!U25</f>
        <v>1850</v>
      </c>
      <c r="AC25" s="14">
        <f>'A) Base RI'!V25</f>
        <v>0</v>
      </c>
      <c r="AD25" s="14">
        <f>'A) Base RI'!W25</f>
        <v>0</v>
      </c>
      <c r="AE25" s="14">
        <f>'A) Base RI'!Y25</f>
        <v>0</v>
      </c>
      <c r="AF25" s="14">
        <f>'A) Base RI'!Z25</f>
        <v>1150</v>
      </c>
      <c r="AG25" s="14">
        <f>'A) Base RI'!AA25</f>
        <v>42784.1</v>
      </c>
      <c r="AH25" s="14">
        <f>'A) Base RI'!AB25</f>
        <v>0</v>
      </c>
      <c r="AI25" s="14">
        <f>'A) Base RI'!AC25</f>
        <v>13348.5</v>
      </c>
      <c r="AJ25" s="14">
        <f>'A) Base RI'!AD25</f>
        <v>0</v>
      </c>
      <c r="AK25" s="14">
        <f>'A) Base RI'!AE25</f>
        <v>702.25</v>
      </c>
      <c r="AL25" s="14">
        <f>'A) Base RI'!AF25</f>
        <v>0</v>
      </c>
      <c r="AM25" s="14">
        <f>'A) Base RI'!AG25</f>
        <v>0</v>
      </c>
      <c r="AN25" s="14">
        <f>'A) Base RI'!AH25</f>
        <v>7206.3</v>
      </c>
      <c r="AO25" s="14">
        <f>'A) Base RI'!AI25</f>
        <v>0</v>
      </c>
      <c r="AP25" s="14">
        <f>'A) Base RI'!AJ25</f>
        <v>0</v>
      </c>
      <c r="AQ25" s="14">
        <f>'A) Base RI'!AK25</f>
        <v>0</v>
      </c>
      <c r="AR25" s="14">
        <f>'A) Base RI'!AN25</f>
        <v>292</v>
      </c>
    </row>
    <row r="26" spans="1:44" x14ac:dyDescent="0.25">
      <c r="A26" s="12">
        <f>'A) Base RI'!A26</f>
        <v>5425</v>
      </c>
      <c r="B26" s="42" t="str">
        <f>'A) Base RI'!B26</f>
        <v>Bière</v>
      </c>
      <c r="C26" s="14">
        <f>'A) Base RI'!C26+'A) Base RI'!D26</f>
        <v>2296964.5</v>
      </c>
      <c r="D26" s="14">
        <f>'A) Base RI'!AO26</f>
        <v>-63642.13</v>
      </c>
      <c r="E26" s="41">
        <f>'A) Base RI'!AP26</f>
        <v>0</v>
      </c>
      <c r="F26" s="41">
        <f>'A) Base RI'!AQ26</f>
        <v>-26.14</v>
      </c>
      <c r="G26" s="4">
        <f t="shared" si="0"/>
        <v>2233296.23</v>
      </c>
      <c r="H26" s="14">
        <f>'A) Base RI'!E26</f>
        <v>0</v>
      </c>
      <c r="I26" s="14">
        <f>'A) Base RI'!F26</f>
        <v>0</v>
      </c>
      <c r="J26" s="14">
        <f>'A) Base RI'!G26+'A) Base RI'!H26</f>
        <v>183257.5</v>
      </c>
      <c r="K26" s="14">
        <f>'A) Base RI'!I26</f>
        <v>0</v>
      </c>
      <c r="L26" s="14">
        <f>'A) Base RI'!J26</f>
        <v>122230.69</v>
      </c>
      <c r="M26" s="14">
        <f>'A) Base RI'!K26</f>
        <v>13657.5</v>
      </c>
      <c r="N26" s="14">
        <f>'A) Base RI'!Q26</f>
        <v>37100.15</v>
      </c>
      <c r="O26" s="14">
        <f t="shared" si="1"/>
        <v>184001.4</v>
      </c>
      <c r="P26" s="14">
        <f>'A) Base RI'!L26</f>
        <v>92000.7</v>
      </c>
      <c r="Q26" s="44">
        <f>'A) Base RI'!AR26</f>
        <v>0.5</v>
      </c>
      <c r="R26" s="4">
        <f t="shared" si="2"/>
        <v>2773543.4699999997</v>
      </c>
      <c r="S26" s="43">
        <f>'A) Base RI'!AM26</f>
        <v>68</v>
      </c>
      <c r="T26" s="4">
        <f t="shared" si="3"/>
        <v>2575884.5699999998</v>
      </c>
      <c r="U26" s="4">
        <f t="shared" si="4"/>
        <v>40787.403970588231</v>
      </c>
      <c r="V26" s="14">
        <f>'A) Base RI'!O26</f>
        <v>18861.900000000001</v>
      </c>
      <c r="W26" s="14">
        <f>'A) Base RI'!P26</f>
        <v>94742.35</v>
      </c>
      <c r="X26" s="14">
        <f>'A) Base RI'!R26</f>
        <v>93207.2</v>
      </c>
      <c r="Y26" s="4">
        <f t="shared" si="5"/>
        <v>206811.45</v>
      </c>
      <c r="Z26" s="14">
        <f>'A) Base RI'!N26</f>
        <v>37180.1</v>
      </c>
      <c r="AA26" s="14">
        <f>'A) Base RI'!S26+'A) Base RI'!T26</f>
        <v>1995</v>
      </c>
      <c r="AB26" s="14">
        <f>'A) Base RI'!U26</f>
        <v>11950</v>
      </c>
      <c r="AC26" s="14">
        <f>'A) Base RI'!V26</f>
        <v>8621.5499999999993</v>
      </c>
      <c r="AD26" s="14">
        <f>'A) Base RI'!W26</f>
        <v>0</v>
      </c>
      <c r="AE26" s="14">
        <f>'A) Base RI'!Y26</f>
        <v>8184.5</v>
      </c>
      <c r="AF26" s="14">
        <f>'A) Base RI'!Z26</f>
        <v>0</v>
      </c>
      <c r="AG26" s="14">
        <f>'A) Base RI'!AA26</f>
        <v>192210.5</v>
      </c>
      <c r="AH26" s="14">
        <f>'A) Base RI'!AB26</f>
        <v>0</v>
      </c>
      <c r="AI26" s="14">
        <f>'A) Base RI'!AC26</f>
        <v>0</v>
      </c>
      <c r="AJ26" s="14">
        <f>'A) Base RI'!AD26</f>
        <v>3448</v>
      </c>
      <c r="AK26" s="14">
        <f>'A) Base RI'!AE26</f>
        <v>0</v>
      </c>
      <c r="AL26" s="14">
        <f>'A) Base RI'!AF26</f>
        <v>0</v>
      </c>
      <c r="AM26" s="14">
        <f>'A) Base RI'!AG26</f>
        <v>0</v>
      </c>
      <c r="AN26" s="14">
        <f>'A) Base RI'!AH26</f>
        <v>58219.55</v>
      </c>
      <c r="AO26" s="14">
        <f>'A) Base RI'!AI26</f>
        <v>0</v>
      </c>
      <c r="AP26" s="14">
        <f>'A) Base RI'!AJ26</f>
        <v>0</v>
      </c>
      <c r="AQ26" s="14">
        <f>'A) Base RI'!AK26</f>
        <v>0</v>
      </c>
      <c r="AR26" s="14">
        <f>'A) Base RI'!AN26</f>
        <v>1550</v>
      </c>
    </row>
    <row r="27" spans="1:44" x14ac:dyDescent="0.25">
      <c r="A27" s="12">
        <f>'A) Base RI'!A27</f>
        <v>5426</v>
      </c>
      <c r="B27" s="42" t="str">
        <f>'A) Base RI'!B27</f>
        <v>Bougy-Villars</v>
      </c>
      <c r="C27" s="14">
        <f>'A) Base RI'!C27+'A) Base RI'!D27</f>
        <v>2067400.96</v>
      </c>
      <c r="D27" s="14">
        <f>'A) Base RI'!AO27</f>
        <v>-7181.72</v>
      </c>
      <c r="E27" s="41">
        <f>'A) Base RI'!AP27</f>
        <v>0</v>
      </c>
      <c r="F27" s="41">
        <f>'A) Base RI'!AQ27</f>
        <v>-857.8</v>
      </c>
      <c r="G27" s="4">
        <f t="shared" si="0"/>
        <v>2059361.44</v>
      </c>
      <c r="H27" s="14">
        <f>'A) Base RI'!E27</f>
        <v>0</v>
      </c>
      <c r="I27" s="14">
        <f>'A) Base RI'!F27</f>
        <v>0</v>
      </c>
      <c r="J27" s="14">
        <f>'A) Base RI'!G27+'A) Base RI'!H27</f>
        <v>61075.3</v>
      </c>
      <c r="K27" s="14">
        <f>'A) Base RI'!I27</f>
        <v>407014.2</v>
      </c>
      <c r="L27" s="14">
        <f>'A) Base RI'!J27</f>
        <v>-145747.32999999999</v>
      </c>
      <c r="M27" s="14">
        <f>'A) Base RI'!K27</f>
        <v>4426</v>
      </c>
      <c r="N27" s="14">
        <f>'A) Base RI'!Q27</f>
        <v>624.28</v>
      </c>
      <c r="O27" s="14">
        <f t="shared" si="1"/>
        <v>224280.15</v>
      </c>
      <c r="P27" s="14">
        <f>'A) Base RI'!L27</f>
        <v>224280.15</v>
      </c>
      <c r="Q27" s="44">
        <f>'A) Base RI'!AR27</f>
        <v>1</v>
      </c>
      <c r="R27" s="4">
        <f t="shared" si="2"/>
        <v>2611034.0399999996</v>
      </c>
      <c r="S27" s="43">
        <f>'A) Base RI'!AM27</f>
        <v>62</v>
      </c>
      <c r="T27" s="4">
        <f t="shared" si="3"/>
        <v>2382327.8899999997</v>
      </c>
      <c r="U27" s="4">
        <f t="shared" si="4"/>
        <v>42113.452258064506</v>
      </c>
      <c r="V27" s="14">
        <f>'A) Base RI'!O27</f>
        <v>24603.5</v>
      </c>
      <c r="W27" s="14">
        <f>'A) Base RI'!P27</f>
        <v>140360</v>
      </c>
      <c r="X27" s="14">
        <f>'A) Base RI'!R27</f>
        <v>73711.75</v>
      </c>
      <c r="Y27" s="4">
        <f t="shared" si="5"/>
        <v>238675.25</v>
      </c>
      <c r="Z27" s="14">
        <f>'A) Base RI'!N27</f>
        <v>15206.55</v>
      </c>
      <c r="AA27" s="14">
        <f>'A) Base RI'!S27+'A) Base RI'!T27</f>
        <v>850</v>
      </c>
      <c r="AB27" s="14">
        <f>'A) Base RI'!U27</f>
        <v>3160</v>
      </c>
      <c r="AC27" s="14">
        <f>'A) Base RI'!V27</f>
        <v>0</v>
      </c>
      <c r="AD27" s="14">
        <f>'A) Base RI'!W27</f>
        <v>0</v>
      </c>
      <c r="AE27" s="14">
        <f>'A) Base RI'!Y27</f>
        <v>2131</v>
      </c>
      <c r="AF27" s="14">
        <f>'A) Base RI'!Z27</f>
        <v>0</v>
      </c>
      <c r="AG27" s="14">
        <f>'A) Base RI'!AA27</f>
        <v>167473</v>
      </c>
      <c r="AH27" s="14">
        <f>'A) Base RI'!AB27</f>
        <v>0</v>
      </c>
      <c r="AI27" s="14">
        <f>'A) Base RI'!AC27</f>
        <v>38898.5</v>
      </c>
      <c r="AJ27" s="14">
        <f>'A) Base RI'!AD27</f>
        <v>0</v>
      </c>
      <c r="AK27" s="14">
        <f>'A) Base RI'!AE27</f>
        <v>0</v>
      </c>
      <c r="AL27" s="14">
        <f>'A) Base RI'!AF27</f>
        <v>0</v>
      </c>
      <c r="AM27" s="14">
        <f>'A) Base RI'!AG27</f>
        <v>0</v>
      </c>
      <c r="AN27" s="14">
        <f>'A) Base RI'!AH27</f>
        <v>0</v>
      </c>
      <c r="AO27" s="14">
        <f>'A) Base RI'!AI27</f>
        <v>0</v>
      </c>
      <c r="AP27" s="14">
        <f>'A) Base RI'!AJ27</f>
        <v>0</v>
      </c>
      <c r="AQ27" s="14">
        <f>'A) Base RI'!AK27</f>
        <v>0</v>
      </c>
      <c r="AR27" s="14">
        <f>'A) Base RI'!AN27</f>
        <v>481</v>
      </c>
    </row>
    <row r="28" spans="1:44" x14ac:dyDescent="0.25">
      <c r="A28" s="12">
        <f>'A) Base RI'!A28</f>
        <v>5427</v>
      </c>
      <c r="B28" s="42" t="str">
        <f>'A) Base RI'!B28</f>
        <v>Féchy</v>
      </c>
      <c r="C28" s="14">
        <f>'A) Base RI'!C28+'A) Base RI'!D28</f>
        <v>2938447.9</v>
      </c>
      <c r="D28" s="14">
        <f>'A) Base RI'!AO28</f>
        <v>-16247.93</v>
      </c>
      <c r="E28" s="41">
        <f>'A) Base RI'!AP28</f>
        <v>0</v>
      </c>
      <c r="F28" s="41">
        <f>'A) Base RI'!AQ28</f>
        <v>0</v>
      </c>
      <c r="G28" s="4">
        <f t="shared" si="0"/>
        <v>2922199.9699999997</v>
      </c>
      <c r="H28" s="14">
        <f>'A) Base RI'!E28</f>
        <v>0</v>
      </c>
      <c r="I28" s="14">
        <f>'A) Base RI'!F28</f>
        <v>0</v>
      </c>
      <c r="J28" s="14">
        <f>'A) Base RI'!G28+'A) Base RI'!H28</f>
        <v>-45079</v>
      </c>
      <c r="K28" s="14">
        <f>'A) Base RI'!I28</f>
        <v>751196.2</v>
      </c>
      <c r="L28" s="14">
        <f>'A) Base RI'!J28</f>
        <v>170171.57</v>
      </c>
      <c r="M28" s="14">
        <f>'A) Base RI'!K28</f>
        <v>2502.5</v>
      </c>
      <c r="N28" s="14">
        <f>'A) Base RI'!Q28</f>
        <v>0</v>
      </c>
      <c r="O28" s="14">
        <f t="shared" si="1"/>
        <v>317861.80769230769</v>
      </c>
      <c r="P28" s="14">
        <f>'A) Base RI'!L28</f>
        <v>413220.35</v>
      </c>
      <c r="Q28" s="44">
        <f>'A) Base RI'!AR28</f>
        <v>1.3</v>
      </c>
      <c r="R28" s="4">
        <f t="shared" si="2"/>
        <v>4118853.0476923073</v>
      </c>
      <c r="S28" s="43">
        <f>'A) Base RI'!AM28</f>
        <v>64</v>
      </c>
      <c r="T28" s="4">
        <f t="shared" si="3"/>
        <v>3798488.7399999998</v>
      </c>
      <c r="U28" s="4">
        <f t="shared" si="4"/>
        <v>64357.078870192301</v>
      </c>
      <c r="V28" s="14">
        <f>'A) Base RI'!O28</f>
        <v>2626.8</v>
      </c>
      <c r="W28" s="14">
        <f>'A) Base RI'!P28</f>
        <v>138943.35</v>
      </c>
      <c r="X28" s="14">
        <f>'A) Base RI'!R28</f>
        <v>98087.45</v>
      </c>
      <c r="Y28" s="4">
        <f t="shared" si="5"/>
        <v>239657.59999999998</v>
      </c>
      <c r="Z28" s="14">
        <f>'A) Base RI'!N28</f>
        <v>8714.9</v>
      </c>
      <c r="AA28" s="14">
        <f>'A) Base RI'!S28+'A) Base RI'!T28</f>
        <v>534</v>
      </c>
      <c r="AB28" s="14">
        <f>'A) Base RI'!U28</f>
        <v>4470</v>
      </c>
      <c r="AC28" s="14">
        <f>'A) Base RI'!V28</f>
        <v>0</v>
      </c>
      <c r="AD28" s="14">
        <f>'A) Base RI'!W28</f>
        <v>0</v>
      </c>
      <c r="AE28" s="14">
        <f>'A) Base RI'!Y28</f>
        <v>20433.05</v>
      </c>
      <c r="AF28" s="14">
        <f>'A) Base RI'!Z28</f>
        <v>0</v>
      </c>
      <c r="AG28" s="14">
        <f>'A) Base RI'!AA28</f>
        <v>281608.65000000002</v>
      </c>
      <c r="AH28" s="14">
        <f>'A) Base RI'!AB28</f>
        <v>0</v>
      </c>
      <c r="AI28" s="14">
        <f>'A) Base RI'!AC28</f>
        <v>95061.4</v>
      </c>
      <c r="AJ28" s="14">
        <f>'A) Base RI'!AD28</f>
        <v>0</v>
      </c>
      <c r="AK28" s="14">
        <f>'A) Base RI'!AE28</f>
        <v>0</v>
      </c>
      <c r="AL28" s="14">
        <f>'A) Base RI'!AF28</f>
        <v>0</v>
      </c>
      <c r="AM28" s="14">
        <f>'A) Base RI'!AG28</f>
        <v>0</v>
      </c>
      <c r="AN28" s="14">
        <f>'A) Base RI'!AH28</f>
        <v>0</v>
      </c>
      <c r="AO28" s="14">
        <f>'A) Base RI'!AI28</f>
        <v>0</v>
      </c>
      <c r="AP28" s="14">
        <f>'A) Base RI'!AJ28</f>
        <v>0</v>
      </c>
      <c r="AQ28" s="14">
        <f>'A) Base RI'!AK28</f>
        <v>0</v>
      </c>
      <c r="AR28" s="14">
        <f>'A) Base RI'!AN28</f>
        <v>860</v>
      </c>
    </row>
    <row r="29" spans="1:44" x14ac:dyDescent="0.25">
      <c r="A29" s="12">
        <f>'A) Base RI'!A29</f>
        <v>5428</v>
      </c>
      <c r="B29" s="42" t="str">
        <f>'A) Base RI'!B29</f>
        <v>Gimel</v>
      </c>
      <c r="C29" s="14">
        <f>'A) Base RI'!C29+'A) Base RI'!D29</f>
        <v>3416798.72</v>
      </c>
      <c r="D29" s="14">
        <f>'A) Base RI'!AO29</f>
        <v>-60457.94</v>
      </c>
      <c r="E29" s="41">
        <f>'A) Base RI'!AP29</f>
        <v>0</v>
      </c>
      <c r="F29" s="41">
        <f>'A) Base RI'!AQ29</f>
        <v>-120.46</v>
      </c>
      <c r="G29" s="4">
        <f t="shared" si="0"/>
        <v>3356220.3200000003</v>
      </c>
      <c r="H29" s="14">
        <f>'A) Base RI'!E29</f>
        <v>0</v>
      </c>
      <c r="I29" s="14">
        <f>'A) Base RI'!F29</f>
        <v>0</v>
      </c>
      <c r="J29" s="14">
        <f>'A) Base RI'!G29+'A) Base RI'!H29</f>
        <v>195750.6</v>
      </c>
      <c r="K29" s="14">
        <f>'A) Base RI'!I29</f>
        <v>79183.55</v>
      </c>
      <c r="L29" s="14">
        <f>'A) Base RI'!J29</f>
        <v>151769.79</v>
      </c>
      <c r="M29" s="14">
        <f>'A) Base RI'!K29</f>
        <v>10539.5</v>
      </c>
      <c r="N29" s="14">
        <f>'A) Base RI'!Q29</f>
        <v>19173</v>
      </c>
      <c r="O29" s="14">
        <f t="shared" si="1"/>
        <v>301906.08333333331</v>
      </c>
      <c r="P29" s="14">
        <f>'A) Base RI'!L29</f>
        <v>362287.3</v>
      </c>
      <c r="Q29" s="44">
        <f>'A) Base RI'!AR29</f>
        <v>1.2</v>
      </c>
      <c r="R29" s="4">
        <f t="shared" si="2"/>
        <v>4114542.8433333337</v>
      </c>
      <c r="S29" s="43">
        <f>'A) Base RI'!AM29</f>
        <v>71.5</v>
      </c>
      <c r="T29" s="4">
        <f t="shared" si="3"/>
        <v>3802097.2600000002</v>
      </c>
      <c r="U29" s="4">
        <f t="shared" si="4"/>
        <v>57546.053752913758</v>
      </c>
      <c r="V29" s="14">
        <f>'A) Base RI'!O29</f>
        <v>216014.6</v>
      </c>
      <c r="W29" s="14">
        <f>'A) Base RI'!P29</f>
        <v>141392.1</v>
      </c>
      <c r="X29" s="14">
        <f>'A) Base RI'!R29</f>
        <v>47357.4</v>
      </c>
      <c r="Y29" s="4">
        <f t="shared" si="5"/>
        <v>404764.10000000003</v>
      </c>
      <c r="Z29" s="14">
        <f>'A) Base RI'!N29</f>
        <v>225987.15</v>
      </c>
      <c r="AA29" s="14">
        <f>'A) Base RI'!S29+'A) Base RI'!T29</f>
        <v>2325</v>
      </c>
      <c r="AB29" s="14">
        <f>'A) Base RI'!U29</f>
        <v>9200</v>
      </c>
      <c r="AC29" s="14">
        <f>'A) Base RI'!V29</f>
        <v>0</v>
      </c>
      <c r="AD29" s="14">
        <f>'A) Base RI'!W29</f>
        <v>0</v>
      </c>
      <c r="AE29" s="14">
        <f>'A) Base RI'!Y29</f>
        <v>10484.6</v>
      </c>
      <c r="AF29" s="14">
        <f>'A) Base RI'!Z29</f>
        <v>0</v>
      </c>
      <c r="AG29" s="14">
        <f>'A) Base RI'!AA29</f>
        <v>0</v>
      </c>
      <c r="AH29" s="14">
        <f>'A) Base RI'!AB29</f>
        <v>239234.66</v>
      </c>
      <c r="AI29" s="14">
        <f>'A) Base RI'!AC29</f>
        <v>184999.57</v>
      </c>
      <c r="AJ29" s="14">
        <f>'A) Base RI'!AD29</f>
        <v>10484.6</v>
      </c>
      <c r="AK29" s="14">
        <f>'A) Base RI'!AE29</f>
        <v>0</v>
      </c>
      <c r="AL29" s="14">
        <f>'A) Base RI'!AF29</f>
        <v>0</v>
      </c>
      <c r="AM29" s="14">
        <f>'A) Base RI'!AG29</f>
        <v>0</v>
      </c>
      <c r="AN29" s="14">
        <f>'A) Base RI'!AH29</f>
        <v>0</v>
      </c>
      <c r="AO29" s="14">
        <f>'A) Base RI'!AI29</f>
        <v>44444.75</v>
      </c>
      <c r="AP29" s="14">
        <f>'A) Base RI'!AJ29</f>
        <v>0</v>
      </c>
      <c r="AQ29" s="14">
        <f>'A) Base RI'!AK29</f>
        <v>0</v>
      </c>
      <c r="AR29" s="14">
        <f>'A) Base RI'!AN29</f>
        <v>1907</v>
      </c>
    </row>
    <row r="30" spans="1:44" x14ac:dyDescent="0.25">
      <c r="A30" s="12">
        <f>'A) Base RI'!A30</f>
        <v>5429</v>
      </c>
      <c r="B30" s="42" t="str">
        <f>'A) Base RI'!B30</f>
        <v>Longirod</v>
      </c>
      <c r="C30" s="14">
        <f>'A) Base RI'!C30+'A) Base RI'!D30</f>
        <v>1048157.7</v>
      </c>
      <c r="D30" s="14">
        <f>'A) Base RI'!AO30</f>
        <v>-79874.59</v>
      </c>
      <c r="E30" s="41">
        <f>'A) Base RI'!AP30</f>
        <v>0</v>
      </c>
      <c r="F30" s="41">
        <f>'A) Base RI'!AQ30</f>
        <v>0</v>
      </c>
      <c r="G30" s="4">
        <f t="shared" si="0"/>
        <v>968283.11</v>
      </c>
      <c r="H30" s="14">
        <f>'A) Base RI'!E30</f>
        <v>0</v>
      </c>
      <c r="I30" s="14">
        <f>'A) Base RI'!F30</f>
        <v>0</v>
      </c>
      <c r="J30" s="14">
        <f>'A) Base RI'!G30+'A) Base RI'!H30</f>
        <v>19026.650000000001</v>
      </c>
      <c r="K30" s="14">
        <f>'A) Base RI'!I30</f>
        <v>0</v>
      </c>
      <c r="L30" s="14">
        <f>'A) Base RI'!J30</f>
        <v>6865.05</v>
      </c>
      <c r="M30" s="14">
        <f>'A) Base RI'!K30</f>
        <v>890</v>
      </c>
      <c r="N30" s="14">
        <f>'A) Base RI'!Q30</f>
        <v>26837.25</v>
      </c>
      <c r="O30" s="14">
        <f t="shared" si="1"/>
        <v>83354.5</v>
      </c>
      <c r="P30" s="14">
        <f>'A) Base RI'!L30</f>
        <v>83354.5</v>
      </c>
      <c r="Q30" s="44">
        <f>'A) Base RI'!AR30</f>
        <v>1</v>
      </c>
      <c r="R30" s="4">
        <f t="shared" si="2"/>
        <v>1105256.56</v>
      </c>
      <c r="S30" s="43">
        <f>'A) Base RI'!AM30</f>
        <v>81</v>
      </c>
      <c r="T30" s="4">
        <f t="shared" si="3"/>
        <v>1021012.06</v>
      </c>
      <c r="U30" s="4">
        <f t="shared" si="4"/>
        <v>13645.142716049384</v>
      </c>
      <c r="V30" s="14">
        <f>'A) Base RI'!O30</f>
        <v>0</v>
      </c>
      <c r="W30" s="14">
        <f>'A) Base RI'!P30</f>
        <v>50913.65</v>
      </c>
      <c r="X30" s="14">
        <f>'A) Base RI'!R30</f>
        <v>18123.900000000001</v>
      </c>
      <c r="Y30" s="4">
        <f t="shared" si="5"/>
        <v>69037.55</v>
      </c>
      <c r="Z30" s="14">
        <f>'A) Base RI'!N30</f>
        <v>0</v>
      </c>
      <c r="AA30" s="14">
        <f>'A) Base RI'!S30+'A) Base RI'!T30</f>
        <v>0</v>
      </c>
      <c r="AB30" s="14">
        <f>'A) Base RI'!U30</f>
        <v>3960</v>
      </c>
      <c r="AC30" s="14">
        <f>'A) Base RI'!V30</f>
        <v>0</v>
      </c>
      <c r="AD30" s="14">
        <f>'A) Base RI'!W30</f>
        <v>0</v>
      </c>
      <c r="AE30" s="14">
        <f>'A) Base RI'!Y30</f>
        <v>10743</v>
      </c>
      <c r="AF30" s="14">
        <f>'A) Base RI'!Z30</f>
        <v>0</v>
      </c>
      <c r="AG30" s="14">
        <f>'A) Base RI'!AA30</f>
        <v>32323.200000000001</v>
      </c>
      <c r="AH30" s="14">
        <f>'A) Base RI'!AB30</f>
        <v>0</v>
      </c>
      <c r="AI30" s="14">
        <f>'A) Base RI'!AC30</f>
        <v>57130.5</v>
      </c>
      <c r="AJ30" s="14">
        <f>'A) Base RI'!AD30</f>
        <v>11668</v>
      </c>
      <c r="AK30" s="14">
        <f>'A) Base RI'!AE30</f>
        <v>0</v>
      </c>
      <c r="AL30" s="14">
        <f>'A) Base RI'!AF30</f>
        <v>0</v>
      </c>
      <c r="AM30" s="14">
        <f>'A) Base RI'!AG30</f>
        <v>3612.95</v>
      </c>
      <c r="AN30" s="14">
        <f>'A) Base RI'!AH30</f>
        <v>0</v>
      </c>
      <c r="AO30" s="14">
        <f>'A) Base RI'!AI30</f>
        <v>0</v>
      </c>
      <c r="AP30" s="14">
        <f>'A) Base RI'!AJ30</f>
        <v>0</v>
      </c>
      <c r="AQ30" s="14">
        <f>'A) Base RI'!AK30</f>
        <v>0</v>
      </c>
      <c r="AR30" s="14">
        <f>'A) Base RI'!AN30</f>
        <v>463</v>
      </c>
    </row>
    <row r="31" spans="1:44" x14ac:dyDescent="0.25">
      <c r="A31" s="12">
        <f>'A) Base RI'!A31</f>
        <v>5430</v>
      </c>
      <c r="B31" s="42" t="str">
        <f>'A) Base RI'!B31</f>
        <v>Marchissy</v>
      </c>
      <c r="C31" s="14">
        <f>'A) Base RI'!C31+'A) Base RI'!D31</f>
        <v>966660.85</v>
      </c>
      <c r="D31" s="14">
        <f>'A) Base RI'!AO31</f>
        <v>-12611.96</v>
      </c>
      <c r="E31" s="41">
        <f>'A) Base RI'!AP31</f>
        <v>0</v>
      </c>
      <c r="F31" s="41">
        <f>'A) Base RI'!AQ31</f>
        <v>-23.33</v>
      </c>
      <c r="G31" s="4">
        <f t="shared" si="0"/>
        <v>954025.56</v>
      </c>
      <c r="H31" s="14">
        <f>'A) Base RI'!E31</f>
        <v>0</v>
      </c>
      <c r="I31" s="14">
        <f>'A) Base RI'!F31</f>
        <v>0</v>
      </c>
      <c r="J31" s="14">
        <f>'A) Base RI'!G31+'A) Base RI'!H31</f>
        <v>1463.4</v>
      </c>
      <c r="K31" s="14">
        <f>'A) Base RI'!I31</f>
        <v>0</v>
      </c>
      <c r="L31" s="14">
        <f>'A) Base RI'!J31</f>
        <v>10124.34</v>
      </c>
      <c r="M31" s="14">
        <f>'A) Base RI'!K31</f>
        <v>230</v>
      </c>
      <c r="N31" s="14">
        <f>'A) Base RI'!Q31</f>
        <v>3227.36</v>
      </c>
      <c r="O31" s="14">
        <f t="shared" si="1"/>
        <v>75965.95</v>
      </c>
      <c r="P31" s="14">
        <f>'A) Base RI'!L31</f>
        <v>75965.95</v>
      </c>
      <c r="Q31" s="44">
        <f>'A) Base RI'!AR31</f>
        <v>1</v>
      </c>
      <c r="R31" s="4">
        <f t="shared" si="2"/>
        <v>1045036.61</v>
      </c>
      <c r="S31" s="43">
        <f>'A) Base RI'!AM31</f>
        <v>81</v>
      </c>
      <c r="T31" s="4">
        <f t="shared" si="3"/>
        <v>968840.66</v>
      </c>
      <c r="U31" s="4">
        <f t="shared" si="4"/>
        <v>12901.686543209877</v>
      </c>
      <c r="V31" s="14">
        <f>'A) Base RI'!O31</f>
        <v>0</v>
      </c>
      <c r="W31" s="14">
        <f>'A) Base RI'!P31</f>
        <v>106511.6</v>
      </c>
      <c r="X31" s="14">
        <f>'A) Base RI'!R31</f>
        <v>80837.600000000006</v>
      </c>
      <c r="Y31" s="4">
        <f t="shared" si="5"/>
        <v>187349.2</v>
      </c>
      <c r="Z31" s="14">
        <f>'A) Base RI'!N31</f>
        <v>14332.65</v>
      </c>
      <c r="AA31" s="14">
        <f>'A) Base RI'!S31+'A) Base RI'!T31</f>
        <v>0</v>
      </c>
      <c r="AB31" s="14">
        <f>'A) Base RI'!U31</f>
        <v>2560</v>
      </c>
      <c r="AC31" s="14">
        <f>'A) Base RI'!V31</f>
        <v>0</v>
      </c>
      <c r="AD31" s="14">
        <f>'A) Base RI'!W31</f>
        <v>0</v>
      </c>
      <c r="AE31" s="14">
        <f>'A) Base RI'!Y31</f>
        <v>42085.1</v>
      </c>
      <c r="AF31" s="14">
        <f>'A) Base RI'!Z31</f>
        <v>0</v>
      </c>
      <c r="AG31" s="14">
        <f>'A) Base RI'!AA31</f>
        <v>36466.1</v>
      </c>
      <c r="AH31" s="14">
        <f>'A) Base RI'!AB31</f>
        <v>0</v>
      </c>
      <c r="AI31" s="14">
        <f>'A) Base RI'!AC31</f>
        <v>44667.85</v>
      </c>
      <c r="AJ31" s="14">
        <f>'A) Base RI'!AD31</f>
        <v>42725.1</v>
      </c>
      <c r="AK31" s="14">
        <f>'A) Base RI'!AE31</f>
        <v>0</v>
      </c>
      <c r="AL31" s="14">
        <f>'A) Base RI'!AF31</f>
        <v>0</v>
      </c>
      <c r="AM31" s="14">
        <f>'A) Base RI'!AG31</f>
        <v>311.10000000000002</v>
      </c>
      <c r="AN31" s="14">
        <f>'A) Base RI'!AH31</f>
        <v>0</v>
      </c>
      <c r="AO31" s="14">
        <f>'A) Base RI'!AI31</f>
        <v>0</v>
      </c>
      <c r="AP31" s="14">
        <f>'A) Base RI'!AJ31</f>
        <v>0</v>
      </c>
      <c r="AQ31" s="14">
        <f>'A) Base RI'!AK31</f>
        <v>0</v>
      </c>
      <c r="AR31" s="14">
        <f>'A) Base RI'!AN31</f>
        <v>448</v>
      </c>
    </row>
    <row r="32" spans="1:44" x14ac:dyDescent="0.25">
      <c r="A32" s="12">
        <f>'A) Base RI'!A32</f>
        <v>5431</v>
      </c>
      <c r="B32" s="42" t="str">
        <f>'A) Base RI'!B32</f>
        <v>Mollens</v>
      </c>
      <c r="C32" s="14">
        <f>'A) Base RI'!C32+'A) Base RI'!D32</f>
        <v>609662.82000000007</v>
      </c>
      <c r="D32" s="14">
        <f>'A) Base RI'!AO32</f>
        <v>-8783.07</v>
      </c>
      <c r="E32" s="41">
        <f>'A) Base RI'!AP32</f>
        <v>0</v>
      </c>
      <c r="F32" s="41">
        <f>'A) Base RI'!AQ32</f>
        <v>-543.92999999999995</v>
      </c>
      <c r="G32" s="4">
        <f t="shared" si="0"/>
        <v>600335.82000000007</v>
      </c>
      <c r="H32" s="14">
        <f>'A) Base RI'!E32</f>
        <v>0</v>
      </c>
      <c r="I32" s="14">
        <f>'A) Base RI'!F32</f>
        <v>0</v>
      </c>
      <c r="J32" s="14">
        <f>'A) Base RI'!G32+'A) Base RI'!H32</f>
        <v>684.8</v>
      </c>
      <c r="K32" s="14">
        <f>'A) Base RI'!I32</f>
        <v>0</v>
      </c>
      <c r="L32" s="14">
        <f>'A) Base RI'!J32</f>
        <v>15097.47</v>
      </c>
      <c r="M32" s="14">
        <f>'A) Base RI'!K32</f>
        <v>300.5</v>
      </c>
      <c r="N32" s="14">
        <f>'A) Base RI'!Q32</f>
        <v>704.65</v>
      </c>
      <c r="O32" s="14">
        <f t="shared" si="1"/>
        <v>46310.1</v>
      </c>
      <c r="P32" s="14">
        <f>'A) Base RI'!L32</f>
        <v>46310.1</v>
      </c>
      <c r="Q32" s="44">
        <f>'A) Base RI'!AR32</f>
        <v>1</v>
      </c>
      <c r="R32" s="4">
        <f t="shared" si="2"/>
        <v>663433.34000000008</v>
      </c>
      <c r="S32" s="43">
        <f>'A) Base RI'!AM32</f>
        <v>74</v>
      </c>
      <c r="T32" s="4">
        <f t="shared" si="3"/>
        <v>616822.74000000011</v>
      </c>
      <c r="U32" s="4">
        <f t="shared" si="4"/>
        <v>8965.3154054054066</v>
      </c>
      <c r="V32" s="14">
        <f>'A) Base RI'!O32</f>
        <v>0</v>
      </c>
      <c r="W32" s="14">
        <f>'A) Base RI'!P32</f>
        <v>14181.8</v>
      </c>
      <c r="X32" s="14">
        <f>'A) Base RI'!R32</f>
        <v>23229.8</v>
      </c>
      <c r="Y32" s="4">
        <f t="shared" si="5"/>
        <v>37411.599999999999</v>
      </c>
      <c r="Z32" s="14">
        <f>'A) Base RI'!N32</f>
        <v>0</v>
      </c>
      <c r="AA32" s="14">
        <f>'A) Base RI'!S32+'A) Base RI'!T32</f>
        <v>0</v>
      </c>
      <c r="AB32" s="14">
        <f>'A) Base RI'!U32</f>
        <v>1850</v>
      </c>
      <c r="AC32" s="14">
        <f>'A) Base RI'!V32</f>
        <v>0</v>
      </c>
      <c r="AD32" s="14">
        <f>'A) Base RI'!W32</f>
        <v>0</v>
      </c>
      <c r="AE32" s="14">
        <f>'A) Base RI'!Y32</f>
        <v>1372.7</v>
      </c>
      <c r="AF32" s="14">
        <f>'A) Base RI'!Z32</f>
        <v>0</v>
      </c>
      <c r="AG32" s="14">
        <f>'A) Base RI'!AA32</f>
        <v>92350</v>
      </c>
      <c r="AH32" s="14">
        <f>'A) Base RI'!AB32</f>
        <v>0</v>
      </c>
      <c r="AI32" s="14">
        <f>'A) Base RI'!AC32</f>
        <v>14950.1</v>
      </c>
      <c r="AJ32" s="14">
        <f>'A) Base RI'!AD32</f>
        <v>1372.7</v>
      </c>
      <c r="AK32" s="14">
        <f>'A) Base RI'!AE32</f>
        <v>0</v>
      </c>
      <c r="AL32" s="14">
        <f>'A) Base RI'!AF32</f>
        <v>0</v>
      </c>
      <c r="AM32" s="14">
        <f>'A) Base RI'!AG32</f>
        <v>0</v>
      </c>
      <c r="AN32" s="14">
        <f>'A) Base RI'!AH32</f>
        <v>0</v>
      </c>
      <c r="AO32" s="14">
        <f>'A) Base RI'!AI32</f>
        <v>0</v>
      </c>
      <c r="AP32" s="14">
        <f>'A) Base RI'!AJ32</f>
        <v>0</v>
      </c>
      <c r="AQ32" s="14">
        <f>'A) Base RI'!AK32</f>
        <v>0</v>
      </c>
      <c r="AR32" s="14">
        <f>'A) Base RI'!AN32</f>
        <v>294</v>
      </c>
    </row>
    <row r="33" spans="1:44" x14ac:dyDescent="0.25">
      <c r="A33" s="12">
        <f>'A) Base RI'!A33</f>
        <v>5432</v>
      </c>
      <c r="B33" s="42" t="str">
        <f>'A) Base RI'!B33</f>
        <v>Montherod</v>
      </c>
      <c r="C33" s="14">
        <f>'A) Base RI'!C33+'A) Base RI'!D33</f>
        <v>1223661.21</v>
      </c>
      <c r="D33" s="14">
        <f>'A) Base RI'!AO33</f>
        <v>-13300.32</v>
      </c>
      <c r="E33" s="41">
        <f>'A) Base RI'!AP33</f>
        <v>0</v>
      </c>
      <c r="F33" s="41">
        <f>'A) Base RI'!AQ33</f>
        <v>-307.38</v>
      </c>
      <c r="G33" s="4">
        <f t="shared" si="0"/>
        <v>1210053.51</v>
      </c>
      <c r="H33" s="14">
        <f>'A) Base RI'!E33</f>
        <v>0</v>
      </c>
      <c r="I33" s="14">
        <f>'A) Base RI'!F33</f>
        <v>0</v>
      </c>
      <c r="J33" s="14">
        <f>'A) Base RI'!G33+'A) Base RI'!H33</f>
        <v>54137.25</v>
      </c>
      <c r="K33" s="14">
        <f>'A) Base RI'!I33</f>
        <v>0</v>
      </c>
      <c r="L33" s="14">
        <f>'A) Base RI'!J33</f>
        <v>48763.72</v>
      </c>
      <c r="M33" s="14">
        <f>'A) Base RI'!K33</f>
        <v>2767</v>
      </c>
      <c r="N33" s="14">
        <f>'A) Base RI'!Q33</f>
        <v>0</v>
      </c>
      <c r="O33" s="14">
        <f t="shared" si="1"/>
        <v>85740.4</v>
      </c>
      <c r="P33" s="14">
        <f>'A) Base RI'!L33</f>
        <v>85740.4</v>
      </c>
      <c r="Q33" s="44">
        <f>'A) Base RI'!AR33</f>
        <v>1</v>
      </c>
      <c r="R33" s="4">
        <f t="shared" si="2"/>
        <v>1401461.88</v>
      </c>
      <c r="S33" s="43">
        <f>'A) Base RI'!AM33</f>
        <v>74</v>
      </c>
      <c r="T33" s="4">
        <f t="shared" si="3"/>
        <v>1312954.48</v>
      </c>
      <c r="U33" s="4">
        <f t="shared" si="4"/>
        <v>18938.674054054052</v>
      </c>
      <c r="V33" s="14">
        <f>'A) Base RI'!O33</f>
        <v>8542.9</v>
      </c>
      <c r="W33" s="14">
        <f>'A) Base RI'!P33</f>
        <v>95590</v>
      </c>
      <c r="X33" s="14">
        <f>'A) Base RI'!R33</f>
        <v>58006.85</v>
      </c>
      <c r="Y33" s="4">
        <f t="shared" si="5"/>
        <v>162139.75</v>
      </c>
      <c r="Z33" s="14">
        <f>'A) Base RI'!N33</f>
        <v>14943.5</v>
      </c>
      <c r="AA33" s="14">
        <f>'A) Base RI'!S33+'A) Base RI'!T33</f>
        <v>405</v>
      </c>
      <c r="AB33" s="14">
        <f>'A) Base RI'!U33</f>
        <v>3920</v>
      </c>
      <c r="AC33" s="14">
        <f>'A) Base RI'!V33</f>
        <v>0</v>
      </c>
      <c r="AD33" s="14">
        <f>'A) Base RI'!W33</f>
        <v>0</v>
      </c>
      <c r="AE33" s="14">
        <f>'A) Base RI'!Y33</f>
        <v>10526.5</v>
      </c>
      <c r="AF33" s="14">
        <f>'A) Base RI'!Z33</f>
        <v>0</v>
      </c>
      <c r="AG33" s="14">
        <f>'A) Base RI'!AA33</f>
        <v>37517.4</v>
      </c>
      <c r="AH33" s="14">
        <f>'A) Base RI'!AB33</f>
        <v>0</v>
      </c>
      <c r="AI33" s="14">
        <f>'A) Base RI'!AC33</f>
        <v>49300</v>
      </c>
      <c r="AJ33" s="14">
        <f>'A) Base RI'!AD33</f>
        <v>10526.5</v>
      </c>
      <c r="AK33" s="14">
        <f>'A) Base RI'!AE33</f>
        <v>0</v>
      </c>
      <c r="AL33" s="14">
        <f>'A) Base RI'!AF33</f>
        <v>0</v>
      </c>
      <c r="AM33" s="14">
        <f>'A) Base RI'!AG33</f>
        <v>0</v>
      </c>
      <c r="AN33" s="14">
        <f>'A) Base RI'!AH33</f>
        <v>11236.45</v>
      </c>
      <c r="AO33" s="14">
        <f>'A) Base RI'!AI33</f>
        <v>0</v>
      </c>
      <c r="AP33" s="14">
        <f>'A) Base RI'!AJ33</f>
        <v>0</v>
      </c>
      <c r="AQ33" s="14">
        <f>'A) Base RI'!AK33</f>
        <v>0</v>
      </c>
      <c r="AR33" s="14">
        <f>'A) Base RI'!AN33</f>
        <v>518</v>
      </c>
    </row>
    <row r="34" spans="1:44" x14ac:dyDescent="0.25">
      <c r="A34" s="12">
        <f>'A) Base RI'!A34</f>
        <v>5434</v>
      </c>
      <c r="B34" s="42" t="str">
        <f>'A) Base RI'!B34</f>
        <v>Saint-George</v>
      </c>
      <c r="C34" s="14">
        <f>'A) Base RI'!C34+'A) Base RI'!D34</f>
        <v>2004420.29</v>
      </c>
      <c r="D34" s="14">
        <f>'A) Base RI'!AO34</f>
        <v>-9426.9</v>
      </c>
      <c r="E34" s="41">
        <f>'A) Base RI'!AP34</f>
        <v>0</v>
      </c>
      <c r="F34" s="41">
        <f>'A) Base RI'!AQ34</f>
        <v>0</v>
      </c>
      <c r="G34" s="4">
        <f t="shared" si="0"/>
        <v>1994993.3900000001</v>
      </c>
      <c r="H34" s="14">
        <f>'A) Base RI'!E34</f>
        <v>0</v>
      </c>
      <c r="I34" s="14">
        <f>'A) Base RI'!F34</f>
        <v>0</v>
      </c>
      <c r="J34" s="14">
        <f>'A) Base RI'!G34+'A) Base RI'!H34</f>
        <v>49240.3</v>
      </c>
      <c r="K34" s="14">
        <f>'A) Base RI'!I34</f>
        <v>0</v>
      </c>
      <c r="L34" s="14">
        <f>'A) Base RI'!J34</f>
        <v>22132.35</v>
      </c>
      <c r="M34" s="14">
        <f>'A) Base RI'!K34</f>
        <v>0</v>
      </c>
      <c r="N34" s="14">
        <f>'A) Base RI'!Q34</f>
        <v>236.35</v>
      </c>
      <c r="O34" s="14">
        <f t="shared" si="1"/>
        <v>194978</v>
      </c>
      <c r="P34" s="14">
        <f>'A) Base RI'!L34</f>
        <v>194978</v>
      </c>
      <c r="Q34" s="44">
        <f>'A) Base RI'!AR34</f>
        <v>1</v>
      </c>
      <c r="R34" s="4">
        <f t="shared" si="2"/>
        <v>2261580.3900000006</v>
      </c>
      <c r="S34" s="43">
        <f>'A) Base RI'!AM34</f>
        <v>68.5</v>
      </c>
      <c r="T34" s="4">
        <f t="shared" si="3"/>
        <v>2066602.3900000004</v>
      </c>
      <c r="U34" s="4">
        <f t="shared" si="4"/>
        <v>33015.772116788328</v>
      </c>
      <c r="V34" s="14">
        <f>'A) Base RI'!O34</f>
        <v>5334.9</v>
      </c>
      <c r="W34" s="14">
        <f>'A) Base RI'!P34</f>
        <v>108520.5</v>
      </c>
      <c r="X34" s="14">
        <f>'A) Base RI'!R34</f>
        <v>136818.79999999999</v>
      </c>
      <c r="Y34" s="4">
        <f t="shared" si="5"/>
        <v>250674.19999999998</v>
      </c>
      <c r="Z34" s="14">
        <f>'A) Base RI'!N34</f>
        <v>34403.599999999999</v>
      </c>
      <c r="AA34" s="14">
        <f>'A) Base RI'!S34+'A) Base RI'!T34</f>
        <v>543.5</v>
      </c>
      <c r="AB34" s="14">
        <f>'A) Base RI'!U34</f>
        <v>7640</v>
      </c>
      <c r="AC34" s="14">
        <f>'A) Base RI'!V34</f>
        <v>0</v>
      </c>
      <c r="AD34" s="14">
        <f>'A) Base RI'!W34</f>
        <v>0</v>
      </c>
      <c r="AE34" s="14">
        <f>'A) Base RI'!Y34</f>
        <v>11979</v>
      </c>
      <c r="AF34" s="14">
        <f>'A) Base RI'!Z34</f>
        <v>0</v>
      </c>
      <c r="AG34" s="14">
        <f>'A) Base RI'!AA34</f>
        <v>94852.55</v>
      </c>
      <c r="AH34" s="14">
        <f>'A) Base RI'!AB34</f>
        <v>0</v>
      </c>
      <c r="AI34" s="14">
        <f>'A) Base RI'!AC34</f>
        <v>76351.05</v>
      </c>
      <c r="AJ34" s="14">
        <f>'A) Base RI'!AD34</f>
        <v>46575</v>
      </c>
      <c r="AK34" s="14">
        <f>'A) Base RI'!AE34</f>
        <v>0</v>
      </c>
      <c r="AL34" s="14">
        <f>'A) Base RI'!AF34</f>
        <v>0</v>
      </c>
      <c r="AM34" s="14">
        <f>'A) Base RI'!AG34</f>
        <v>10672.1</v>
      </c>
      <c r="AN34" s="14">
        <f>'A) Base RI'!AH34</f>
        <v>0</v>
      </c>
      <c r="AO34" s="14">
        <f>'A) Base RI'!AI34</f>
        <v>0</v>
      </c>
      <c r="AP34" s="14">
        <f>'A) Base RI'!AJ34</f>
        <v>0</v>
      </c>
      <c r="AQ34" s="14">
        <f>'A) Base RI'!AK34</f>
        <v>0</v>
      </c>
      <c r="AR34" s="14">
        <f>'A) Base RI'!AN34</f>
        <v>949</v>
      </c>
    </row>
    <row r="35" spans="1:44" x14ac:dyDescent="0.25">
      <c r="A35" s="12">
        <f>'A) Base RI'!A35</f>
        <v>5435</v>
      </c>
      <c r="B35" s="42" t="str">
        <f>'A) Base RI'!B35</f>
        <v>Saint-Livres</v>
      </c>
      <c r="C35" s="14">
        <f>'A) Base RI'!C35+'A) Base RI'!D35</f>
        <v>1447457.68</v>
      </c>
      <c r="D35" s="14">
        <f>'A) Base RI'!AO35</f>
        <v>-11012.75</v>
      </c>
      <c r="E35" s="41">
        <f>'A) Base RI'!AP35</f>
        <v>0</v>
      </c>
      <c r="F35" s="41">
        <f>'A) Base RI'!AQ35</f>
        <v>-1.4</v>
      </c>
      <c r="G35" s="4">
        <f t="shared" si="0"/>
        <v>1436443.53</v>
      </c>
      <c r="H35" s="14">
        <f>'A) Base RI'!E35</f>
        <v>0</v>
      </c>
      <c r="I35" s="14">
        <f>'A) Base RI'!F35</f>
        <v>0</v>
      </c>
      <c r="J35" s="14">
        <f>'A) Base RI'!G35+'A) Base RI'!H35</f>
        <v>10206.6</v>
      </c>
      <c r="K35" s="14">
        <f>'A) Base RI'!I35</f>
        <v>83.290000000000902</v>
      </c>
      <c r="L35" s="14">
        <f>'A) Base RI'!J35</f>
        <v>121701</v>
      </c>
      <c r="M35" s="14">
        <f>'A) Base RI'!K35</f>
        <v>0</v>
      </c>
      <c r="N35" s="14">
        <f>'A) Base RI'!Q35</f>
        <v>-367.99</v>
      </c>
      <c r="O35" s="14">
        <f t="shared" si="1"/>
        <v>111066.2</v>
      </c>
      <c r="P35" s="14">
        <f>'A) Base RI'!L35</f>
        <v>111066.2</v>
      </c>
      <c r="Q35" s="44">
        <f>'A) Base RI'!AR35</f>
        <v>1</v>
      </c>
      <c r="R35" s="4">
        <f t="shared" si="2"/>
        <v>1679132.6300000001</v>
      </c>
      <c r="S35" s="43">
        <f>'A) Base RI'!AM35</f>
        <v>69</v>
      </c>
      <c r="T35" s="4">
        <f t="shared" si="3"/>
        <v>1568066.4300000002</v>
      </c>
      <c r="U35" s="4">
        <f t="shared" si="4"/>
        <v>24335.25550724638</v>
      </c>
      <c r="V35" s="14">
        <f>'A) Base RI'!O35</f>
        <v>31798.400000000001</v>
      </c>
      <c r="W35" s="14">
        <f>'A) Base RI'!P35</f>
        <v>3231.7</v>
      </c>
      <c r="X35" s="14">
        <f>'A) Base RI'!R35</f>
        <v>-5296.05</v>
      </c>
      <c r="Y35" s="4">
        <f t="shared" si="5"/>
        <v>29734.05</v>
      </c>
      <c r="Z35" s="14">
        <f>'A) Base RI'!N35</f>
        <v>0</v>
      </c>
      <c r="AA35" s="14">
        <f>'A) Base RI'!S35+'A) Base RI'!T35</f>
        <v>300</v>
      </c>
      <c r="AB35" s="14">
        <f>'A) Base RI'!U35</f>
        <v>5020</v>
      </c>
      <c r="AC35" s="14">
        <f>'A) Base RI'!V35</f>
        <v>0</v>
      </c>
      <c r="AD35" s="14">
        <f>'A) Base RI'!W35</f>
        <v>0</v>
      </c>
      <c r="AE35" s="14">
        <f>'A) Base RI'!Y35</f>
        <v>4953.1000000000004</v>
      </c>
      <c r="AF35" s="14">
        <f>'A) Base RI'!Z35</f>
        <v>0</v>
      </c>
      <c r="AG35" s="14">
        <f>'A) Base RI'!AA35</f>
        <v>89916.49</v>
      </c>
      <c r="AH35" s="14">
        <f>'A) Base RI'!AB35</f>
        <v>0</v>
      </c>
      <c r="AI35" s="14">
        <f>'A) Base RI'!AC35</f>
        <v>59650</v>
      </c>
      <c r="AJ35" s="14">
        <f>'A) Base RI'!AD35</f>
        <v>22388.15</v>
      </c>
      <c r="AK35" s="14">
        <f>'A) Base RI'!AE35</f>
        <v>0</v>
      </c>
      <c r="AL35" s="14">
        <f>'A) Base RI'!AF35</f>
        <v>0</v>
      </c>
      <c r="AM35" s="14">
        <f>'A) Base RI'!AG35</f>
        <v>0</v>
      </c>
      <c r="AN35" s="14">
        <f>'A) Base RI'!AH35</f>
        <v>12320.5</v>
      </c>
      <c r="AO35" s="14">
        <f>'A) Base RI'!AI35</f>
        <v>0</v>
      </c>
      <c r="AP35" s="14">
        <f>'A) Base RI'!AJ35</f>
        <v>0</v>
      </c>
      <c r="AQ35" s="14">
        <f>'A) Base RI'!AK35</f>
        <v>0</v>
      </c>
      <c r="AR35" s="14">
        <f>'A) Base RI'!AN35</f>
        <v>713</v>
      </c>
    </row>
    <row r="36" spans="1:44" x14ac:dyDescent="0.25">
      <c r="A36" s="12">
        <f>'A) Base RI'!A36</f>
        <v>5436</v>
      </c>
      <c r="B36" s="42" t="str">
        <f>'A) Base RI'!B36</f>
        <v>Saint-Oyens</v>
      </c>
      <c r="C36" s="14">
        <f>'A) Base RI'!C36+'A) Base RI'!D36</f>
        <v>758703.47</v>
      </c>
      <c r="D36" s="14">
        <f>'A) Base RI'!AO36</f>
        <v>-2437.77</v>
      </c>
      <c r="E36" s="41">
        <f>'A) Base RI'!AP36</f>
        <v>0</v>
      </c>
      <c r="F36" s="41">
        <f>'A) Base RI'!AQ36</f>
        <v>-7.91</v>
      </c>
      <c r="G36" s="4">
        <f t="shared" si="0"/>
        <v>756257.78999999992</v>
      </c>
      <c r="H36" s="14">
        <f>'A) Base RI'!E36</f>
        <v>0</v>
      </c>
      <c r="I36" s="14">
        <f>'A) Base RI'!F36</f>
        <v>0</v>
      </c>
      <c r="J36" s="14">
        <f>'A) Base RI'!G36+'A) Base RI'!H36</f>
        <v>2192.8000000000002</v>
      </c>
      <c r="K36" s="14">
        <f>'A) Base RI'!I36</f>
        <v>0</v>
      </c>
      <c r="L36" s="14">
        <f>'A) Base RI'!J36</f>
        <v>-14221.02</v>
      </c>
      <c r="M36" s="14">
        <f>'A) Base RI'!K36</f>
        <v>0</v>
      </c>
      <c r="N36" s="14">
        <f>'A) Base RI'!Q36</f>
        <v>1800</v>
      </c>
      <c r="O36" s="14">
        <f t="shared" si="1"/>
        <v>58929.624999999993</v>
      </c>
      <c r="P36" s="14">
        <f>'A) Base RI'!L36</f>
        <v>47143.7</v>
      </c>
      <c r="Q36" s="44">
        <f>'A) Base RI'!AR36</f>
        <v>0.8</v>
      </c>
      <c r="R36" s="4">
        <f t="shared" si="2"/>
        <v>804959.19499999995</v>
      </c>
      <c r="S36" s="43">
        <f>'A) Base RI'!AM36</f>
        <v>81</v>
      </c>
      <c r="T36" s="4">
        <f t="shared" si="3"/>
        <v>746029.57</v>
      </c>
      <c r="U36" s="4">
        <f t="shared" si="4"/>
        <v>9937.7678395061721</v>
      </c>
      <c r="V36" s="14">
        <f>'A) Base RI'!O36</f>
        <v>0</v>
      </c>
      <c r="W36" s="14">
        <f>'A) Base RI'!P36</f>
        <v>19276.400000000001</v>
      </c>
      <c r="X36" s="14">
        <f>'A) Base RI'!R36</f>
        <v>57871.55</v>
      </c>
      <c r="Y36" s="4">
        <f t="shared" si="5"/>
        <v>77147.950000000012</v>
      </c>
      <c r="Z36" s="14">
        <f>'A) Base RI'!N36</f>
        <v>0</v>
      </c>
      <c r="AA36" s="14">
        <f>'A) Base RI'!S36+'A) Base RI'!T36</f>
        <v>0</v>
      </c>
      <c r="AB36" s="14">
        <f>'A) Base RI'!U36</f>
        <v>2812.5</v>
      </c>
      <c r="AC36" s="14">
        <f>'A) Base RI'!V36</f>
        <v>0</v>
      </c>
      <c r="AD36" s="14">
        <f>'A) Base RI'!W36</f>
        <v>0</v>
      </c>
      <c r="AE36" s="14">
        <f>'A) Base RI'!Y36</f>
        <v>25199</v>
      </c>
      <c r="AF36" s="14">
        <f>'A) Base RI'!Z36</f>
        <v>0</v>
      </c>
      <c r="AG36" s="14">
        <f>'A) Base RI'!AA36</f>
        <v>53223</v>
      </c>
      <c r="AH36" s="14">
        <f>'A) Base RI'!AB36</f>
        <v>0</v>
      </c>
      <c r="AI36" s="14">
        <f>'A) Base RI'!AC36</f>
        <v>27289</v>
      </c>
      <c r="AJ36" s="14">
        <f>'A) Base RI'!AD36</f>
        <v>25199</v>
      </c>
      <c r="AK36" s="14">
        <f>'A) Base RI'!AE36</f>
        <v>0</v>
      </c>
      <c r="AL36" s="14">
        <f>'A) Base RI'!AF36</f>
        <v>0</v>
      </c>
      <c r="AM36" s="14">
        <f>'A) Base RI'!AG36</f>
        <v>0</v>
      </c>
      <c r="AN36" s="14">
        <f>'A) Base RI'!AH36</f>
        <v>7749</v>
      </c>
      <c r="AO36" s="14">
        <f>'A) Base RI'!AI36</f>
        <v>0</v>
      </c>
      <c r="AP36" s="14">
        <f>'A) Base RI'!AJ36</f>
        <v>0</v>
      </c>
      <c r="AQ36" s="14">
        <f>'A) Base RI'!AK36</f>
        <v>0</v>
      </c>
      <c r="AR36" s="14">
        <f>'A) Base RI'!AN36</f>
        <v>345</v>
      </c>
    </row>
    <row r="37" spans="1:44" x14ac:dyDescent="0.25">
      <c r="A37" s="12">
        <f>'A) Base RI'!A37</f>
        <v>5437</v>
      </c>
      <c r="B37" s="42" t="str">
        <f>'A) Base RI'!B37</f>
        <v>Saubraz</v>
      </c>
      <c r="C37" s="14">
        <f>'A) Base RI'!C37+'A) Base RI'!D37</f>
        <v>674994.8899999999</v>
      </c>
      <c r="D37" s="14">
        <f>'A) Base RI'!AO37</f>
        <v>-3649.53</v>
      </c>
      <c r="E37" s="41">
        <f>'A) Base RI'!AP37</f>
        <v>0</v>
      </c>
      <c r="F37" s="41">
        <f>'A) Base RI'!AQ37</f>
        <v>-22.06</v>
      </c>
      <c r="G37" s="4">
        <f t="shared" si="0"/>
        <v>671323.29999999981</v>
      </c>
      <c r="H37" s="14">
        <f>'A) Base RI'!E37</f>
        <v>0</v>
      </c>
      <c r="I37" s="14">
        <f>'A) Base RI'!F37</f>
        <v>2111.1</v>
      </c>
      <c r="J37" s="14">
        <f>'A) Base RI'!G37+'A) Base RI'!H37</f>
        <v>8523.4500000000007</v>
      </c>
      <c r="K37" s="14">
        <f>'A) Base RI'!I37</f>
        <v>0</v>
      </c>
      <c r="L37" s="14">
        <f>'A) Base RI'!J37</f>
        <v>22541.86</v>
      </c>
      <c r="M37" s="14">
        <f>'A) Base RI'!K37</f>
        <v>770</v>
      </c>
      <c r="N37" s="14">
        <f>'A) Base RI'!Q37</f>
        <v>0</v>
      </c>
      <c r="O37" s="14">
        <f t="shared" si="1"/>
        <v>53736.75</v>
      </c>
      <c r="P37" s="14">
        <f>'A) Base RI'!L37</f>
        <v>53736.75</v>
      </c>
      <c r="Q37" s="44">
        <f>'A) Base RI'!AR37</f>
        <v>1</v>
      </c>
      <c r="R37" s="4">
        <f t="shared" si="2"/>
        <v>759006.45999999973</v>
      </c>
      <c r="S37" s="43">
        <f>'A) Base RI'!AM37</f>
        <v>83</v>
      </c>
      <c r="T37" s="4">
        <f t="shared" si="3"/>
        <v>702388.60999999975</v>
      </c>
      <c r="U37" s="4">
        <f t="shared" si="4"/>
        <v>9144.65614457831</v>
      </c>
      <c r="V37" s="14">
        <f>'A) Base RI'!O37</f>
        <v>189220.8</v>
      </c>
      <c r="W37" s="14">
        <f>'A) Base RI'!P37</f>
        <v>38555</v>
      </c>
      <c r="X37" s="14">
        <f>'A) Base RI'!R37</f>
        <v>20638.349999999999</v>
      </c>
      <c r="Y37" s="4">
        <f t="shared" si="5"/>
        <v>248414.15</v>
      </c>
      <c r="Z37" s="14">
        <f>'A) Base RI'!N37</f>
        <v>0</v>
      </c>
      <c r="AA37" s="14">
        <f>'A) Base RI'!S37+'A) Base RI'!T37</f>
        <v>0</v>
      </c>
      <c r="AB37" s="14">
        <f>'A) Base RI'!U37</f>
        <v>1050</v>
      </c>
      <c r="AC37" s="14">
        <f>'A) Base RI'!V37</f>
        <v>0</v>
      </c>
      <c r="AD37" s="14">
        <f>'A) Base RI'!W37</f>
        <v>0</v>
      </c>
      <c r="AE37" s="14">
        <f>'A) Base RI'!Y37</f>
        <v>0</v>
      </c>
      <c r="AF37" s="14">
        <f>'A) Base RI'!Z37</f>
        <v>0</v>
      </c>
      <c r="AG37" s="14">
        <f>'A) Base RI'!AA37</f>
        <v>0</v>
      </c>
      <c r="AH37" s="14">
        <f>'A) Base RI'!AB37</f>
        <v>0</v>
      </c>
      <c r="AI37" s="14">
        <f>'A) Base RI'!AC37</f>
        <v>39370</v>
      </c>
      <c r="AJ37" s="14">
        <f>'A) Base RI'!AD37</f>
        <v>0</v>
      </c>
      <c r="AK37" s="14">
        <f>'A) Base RI'!AE37</f>
        <v>0</v>
      </c>
      <c r="AL37" s="14">
        <f>'A) Base RI'!AF37</f>
        <v>0</v>
      </c>
      <c r="AM37" s="14">
        <f>'A) Base RI'!AG37</f>
        <v>0</v>
      </c>
      <c r="AN37" s="14">
        <f>'A) Base RI'!AH37</f>
        <v>0</v>
      </c>
      <c r="AO37" s="14">
        <f>'A) Base RI'!AI37</f>
        <v>0</v>
      </c>
      <c r="AP37" s="14">
        <f>'A) Base RI'!AJ37</f>
        <v>0</v>
      </c>
      <c r="AQ37" s="14">
        <f>'A) Base RI'!AK37</f>
        <v>0</v>
      </c>
      <c r="AR37" s="14">
        <f>'A) Base RI'!AN37</f>
        <v>391</v>
      </c>
    </row>
    <row r="38" spans="1:44" x14ac:dyDescent="0.25">
      <c r="A38" s="12">
        <f>'A) Base RI'!A38</f>
        <v>5451</v>
      </c>
      <c r="B38" s="42" t="str">
        <f>'A) Base RI'!B38</f>
        <v>Avenches</v>
      </c>
      <c r="C38" s="14">
        <f>'A) Base RI'!C38+'A) Base RI'!D38</f>
        <v>5159045.03</v>
      </c>
      <c r="D38" s="14">
        <f>'A) Base RI'!AO38</f>
        <v>-202947.82</v>
      </c>
      <c r="E38" s="41">
        <f>'A) Base RI'!AP38</f>
        <v>0</v>
      </c>
      <c r="F38" s="41">
        <f>'A) Base RI'!AQ38</f>
        <v>-277.02999999999997</v>
      </c>
      <c r="G38" s="4">
        <f t="shared" si="0"/>
        <v>4955820.18</v>
      </c>
      <c r="H38" s="14">
        <f>'A) Base RI'!E38</f>
        <v>0</v>
      </c>
      <c r="I38" s="14">
        <f>'A) Base RI'!F38</f>
        <v>0</v>
      </c>
      <c r="J38" s="14">
        <f>'A) Base RI'!G38+'A) Base RI'!H38</f>
        <v>694446.5</v>
      </c>
      <c r="K38" s="14">
        <f>'A) Base RI'!I38</f>
        <v>0</v>
      </c>
      <c r="L38" s="14">
        <f>'A) Base RI'!J38</f>
        <v>499497.65</v>
      </c>
      <c r="M38" s="14">
        <f>'A) Base RI'!K38</f>
        <v>97613</v>
      </c>
      <c r="N38" s="14">
        <f>'A) Base RI'!Q38</f>
        <v>54239.06</v>
      </c>
      <c r="O38" s="14">
        <f t="shared" si="1"/>
        <v>636343.1333333333</v>
      </c>
      <c r="P38" s="14">
        <f>'A) Base RI'!L38</f>
        <v>954514.7</v>
      </c>
      <c r="Q38" s="44">
        <f>'A) Base RI'!AR38</f>
        <v>1.5</v>
      </c>
      <c r="R38" s="4">
        <f t="shared" si="2"/>
        <v>6937959.5233333334</v>
      </c>
      <c r="S38" s="43">
        <f>'A) Base RI'!AM38</f>
        <v>68</v>
      </c>
      <c r="T38" s="4">
        <f t="shared" si="3"/>
        <v>6204003.3899999997</v>
      </c>
      <c r="U38" s="4">
        <f t="shared" si="4"/>
        <v>102028.81651960785</v>
      </c>
      <c r="V38" s="14">
        <f>'A) Base RI'!O38</f>
        <v>0</v>
      </c>
      <c r="W38" s="14">
        <f>'A) Base RI'!P38</f>
        <v>273872.09999999998</v>
      </c>
      <c r="X38" s="14">
        <f>'A) Base RI'!R38</f>
        <v>251937.55</v>
      </c>
      <c r="Y38" s="4">
        <f t="shared" si="5"/>
        <v>525809.64999999991</v>
      </c>
      <c r="Z38" s="14">
        <f>'A) Base RI'!N38</f>
        <v>596347.94999999995</v>
      </c>
      <c r="AA38" s="14">
        <f>'A) Base RI'!S38+'A) Base RI'!T38</f>
        <v>35013.65</v>
      </c>
      <c r="AB38" s="14">
        <f>'A) Base RI'!U38</f>
        <v>20350</v>
      </c>
      <c r="AC38" s="14">
        <f>'A) Base RI'!V38</f>
        <v>0</v>
      </c>
      <c r="AD38" s="14">
        <f>'A) Base RI'!W38</f>
        <v>0</v>
      </c>
      <c r="AE38" s="14">
        <f>'A) Base RI'!Y38</f>
        <v>40374.35</v>
      </c>
      <c r="AF38" s="14">
        <f>'A) Base RI'!Z38</f>
        <v>5863.2</v>
      </c>
      <c r="AG38" s="14">
        <f>'A) Base RI'!AA38</f>
        <v>816299.1</v>
      </c>
      <c r="AH38" s="14">
        <f>'A) Base RI'!AB38</f>
        <v>0</v>
      </c>
      <c r="AI38" s="14">
        <f>'A) Base RI'!AC38</f>
        <v>457584.86</v>
      </c>
      <c r="AJ38" s="14">
        <f>'A) Base RI'!AD38</f>
        <v>12316.15</v>
      </c>
      <c r="AK38" s="14">
        <f>'A) Base RI'!AE38</f>
        <v>6027.4</v>
      </c>
      <c r="AL38" s="14">
        <f>'A) Base RI'!AF38</f>
        <v>0</v>
      </c>
      <c r="AM38" s="14">
        <f>'A) Base RI'!AG38</f>
        <v>243754.5</v>
      </c>
      <c r="AN38" s="14">
        <f>'A) Base RI'!AH38</f>
        <v>0</v>
      </c>
      <c r="AO38" s="14">
        <f>'A) Base RI'!AI38</f>
        <v>0</v>
      </c>
      <c r="AP38" s="14">
        <f>'A) Base RI'!AJ38</f>
        <v>0</v>
      </c>
      <c r="AQ38" s="14">
        <f>'A) Base RI'!AK38</f>
        <v>0</v>
      </c>
      <c r="AR38" s="14">
        <f>'A) Base RI'!AN38</f>
        <v>4090</v>
      </c>
    </row>
    <row r="39" spans="1:44" x14ac:dyDescent="0.25">
      <c r="A39" s="12">
        <f>'A) Base RI'!A39</f>
        <v>5456</v>
      </c>
      <c r="B39" s="42" t="str">
        <f>'A) Base RI'!B39</f>
        <v>Cudrefin</v>
      </c>
      <c r="C39" s="14">
        <f>'A) Base RI'!C39+'A) Base RI'!D39</f>
        <v>2297571.2200000002</v>
      </c>
      <c r="D39" s="14">
        <f>'A) Base RI'!AO39</f>
        <v>-31417.24</v>
      </c>
      <c r="E39" s="41">
        <f>'A) Base RI'!AP39</f>
        <v>0</v>
      </c>
      <c r="F39" s="41">
        <f>'A) Base RI'!AQ39</f>
        <v>-20.63</v>
      </c>
      <c r="G39" s="4">
        <f t="shared" si="0"/>
        <v>2266133.35</v>
      </c>
      <c r="H39" s="14">
        <f>'A) Base RI'!E39</f>
        <v>0</v>
      </c>
      <c r="I39" s="14">
        <f>'A) Base RI'!F39</f>
        <v>0</v>
      </c>
      <c r="J39" s="14">
        <f>'A) Base RI'!G39+'A) Base RI'!H39</f>
        <v>61656.25</v>
      </c>
      <c r="K39" s="14">
        <f>'A) Base RI'!I39</f>
        <v>0</v>
      </c>
      <c r="L39" s="14">
        <f>'A) Base RI'!J39</f>
        <v>63787.95</v>
      </c>
      <c r="M39" s="14">
        <f>'A) Base RI'!K39</f>
        <v>6781</v>
      </c>
      <c r="N39" s="14">
        <f>'A) Base RI'!Q39</f>
        <v>10185.709999999999</v>
      </c>
      <c r="O39" s="14">
        <f t="shared" si="1"/>
        <v>262525.5</v>
      </c>
      <c r="P39" s="14">
        <f>'A) Base RI'!L39</f>
        <v>393788.25</v>
      </c>
      <c r="Q39" s="44">
        <f>'A) Base RI'!AR39</f>
        <v>1.5</v>
      </c>
      <c r="R39" s="4">
        <f t="shared" si="2"/>
        <v>2671069.7600000002</v>
      </c>
      <c r="S39" s="43">
        <f>'A) Base RI'!AM39</f>
        <v>59</v>
      </c>
      <c r="T39" s="4">
        <f t="shared" si="3"/>
        <v>2401763.2600000002</v>
      </c>
      <c r="U39" s="4">
        <f t="shared" si="4"/>
        <v>45272.368813559326</v>
      </c>
      <c r="V39" s="14">
        <f>'A) Base RI'!O39</f>
        <v>555258.30000000005</v>
      </c>
      <c r="W39" s="14">
        <f>'A) Base RI'!P39</f>
        <v>174600.4</v>
      </c>
      <c r="X39" s="14">
        <f>'A) Base RI'!R39</f>
        <v>38369.85</v>
      </c>
      <c r="Y39" s="4">
        <f t="shared" si="5"/>
        <v>768228.55</v>
      </c>
      <c r="Z39" s="14">
        <f>'A) Base RI'!N39</f>
        <v>0</v>
      </c>
      <c r="AA39" s="14">
        <f>'A) Base RI'!S39+'A) Base RI'!T39</f>
        <v>337.5</v>
      </c>
      <c r="AB39" s="14">
        <f>'A) Base RI'!U39</f>
        <v>1305</v>
      </c>
      <c r="AC39" s="14">
        <f>'A) Base RI'!V39</f>
        <v>0</v>
      </c>
      <c r="AD39" s="14">
        <f>'A) Base RI'!W39</f>
        <v>0</v>
      </c>
      <c r="AE39" s="14">
        <f>'A) Base RI'!Y39</f>
        <v>28972.2</v>
      </c>
      <c r="AF39" s="14">
        <f>'A) Base RI'!Z39</f>
        <v>0</v>
      </c>
      <c r="AG39" s="14">
        <f>'A) Base RI'!AA39</f>
        <v>123996.5</v>
      </c>
      <c r="AH39" s="14">
        <f>'A) Base RI'!AB39</f>
        <v>0</v>
      </c>
      <c r="AI39" s="14">
        <f>'A) Base RI'!AC39</f>
        <v>231864.64</v>
      </c>
      <c r="AJ39" s="14">
        <f>'A) Base RI'!AD39</f>
        <v>12724</v>
      </c>
      <c r="AK39" s="14">
        <f>'A) Base RI'!AE39</f>
        <v>0</v>
      </c>
      <c r="AL39" s="14">
        <f>'A) Base RI'!AF39</f>
        <v>121876.7</v>
      </c>
      <c r="AM39" s="14">
        <f>'A) Base RI'!AG39</f>
        <v>0</v>
      </c>
      <c r="AN39" s="14">
        <f>'A) Base RI'!AH39</f>
        <v>0</v>
      </c>
      <c r="AO39" s="14">
        <f>'A) Base RI'!AI39</f>
        <v>0</v>
      </c>
      <c r="AP39" s="14">
        <f>'A) Base RI'!AJ39</f>
        <v>0</v>
      </c>
      <c r="AQ39" s="14">
        <f>'A) Base RI'!AK39</f>
        <v>0</v>
      </c>
      <c r="AR39" s="14">
        <f>'A) Base RI'!AN39</f>
        <v>1516</v>
      </c>
    </row>
    <row r="40" spans="1:44" x14ac:dyDescent="0.25">
      <c r="A40" s="12">
        <f>'A) Base RI'!A40</f>
        <v>5458</v>
      </c>
      <c r="B40" s="42" t="str">
        <f>'A) Base RI'!B40</f>
        <v>Faoug</v>
      </c>
      <c r="C40" s="14">
        <f>'A) Base RI'!C40+'A) Base RI'!D40</f>
        <v>1541792.56</v>
      </c>
      <c r="D40" s="14">
        <f>'A) Base RI'!AO40</f>
        <v>-34168.080000000002</v>
      </c>
      <c r="E40" s="41">
        <f>'A) Base RI'!AP40</f>
        <v>0</v>
      </c>
      <c r="F40" s="41">
        <f>'A) Base RI'!AQ40</f>
        <v>-47.59</v>
      </c>
      <c r="G40" s="4">
        <f t="shared" si="0"/>
        <v>1507576.89</v>
      </c>
      <c r="H40" s="14">
        <f>'A) Base RI'!E40</f>
        <v>0</v>
      </c>
      <c r="I40" s="14">
        <f>'A) Base RI'!F40</f>
        <v>0</v>
      </c>
      <c r="J40" s="14">
        <f>'A) Base RI'!G40+'A) Base RI'!H40</f>
        <v>1028.5999999999999</v>
      </c>
      <c r="K40" s="14">
        <f>'A) Base RI'!I40</f>
        <v>0</v>
      </c>
      <c r="L40" s="14">
        <f>'A) Base RI'!J40</f>
        <v>42623.3</v>
      </c>
      <c r="M40" s="14">
        <f>'A) Base RI'!K40</f>
        <v>5851</v>
      </c>
      <c r="N40" s="14">
        <f>'A) Base RI'!Q40</f>
        <v>0</v>
      </c>
      <c r="O40" s="14">
        <f t="shared" si="1"/>
        <v>159703.4</v>
      </c>
      <c r="P40" s="14">
        <f>'A) Base RI'!L40</f>
        <v>159703.4</v>
      </c>
      <c r="Q40" s="44">
        <f>'A) Base RI'!AR40</f>
        <v>1</v>
      </c>
      <c r="R40" s="4">
        <f t="shared" si="2"/>
        <v>1716783.19</v>
      </c>
      <c r="S40" s="43">
        <f>'A) Base RI'!AM40</f>
        <v>61</v>
      </c>
      <c r="T40" s="4">
        <f t="shared" si="3"/>
        <v>1551228.79</v>
      </c>
      <c r="U40" s="4">
        <f t="shared" si="4"/>
        <v>28143.986721311474</v>
      </c>
      <c r="V40" s="14">
        <f>'A) Base RI'!O40</f>
        <v>21716.799999999999</v>
      </c>
      <c r="W40" s="14">
        <f>'A) Base RI'!P40</f>
        <v>92781.95</v>
      </c>
      <c r="X40" s="14">
        <f>'A) Base RI'!R40</f>
        <v>65912.149999999994</v>
      </c>
      <c r="Y40" s="4">
        <f t="shared" si="5"/>
        <v>180410.9</v>
      </c>
      <c r="Z40" s="14">
        <f>'A) Base RI'!N40</f>
        <v>0</v>
      </c>
      <c r="AA40" s="14">
        <f>'A) Base RI'!S40+'A) Base RI'!T40</f>
        <v>68.75</v>
      </c>
      <c r="AB40" s="14">
        <f>'A) Base RI'!U40</f>
        <v>7050</v>
      </c>
      <c r="AC40" s="14">
        <f>'A) Base RI'!V40</f>
        <v>0</v>
      </c>
      <c r="AD40" s="14">
        <f>'A) Base RI'!W40</f>
        <v>0</v>
      </c>
      <c r="AE40" s="14">
        <f>'A) Base RI'!Y40</f>
        <v>85350.05</v>
      </c>
      <c r="AF40" s="14">
        <f>'A) Base RI'!Z40</f>
        <v>12994.25</v>
      </c>
      <c r="AG40" s="14">
        <f>'A) Base RI'!AA40</f>
        <v>144369</v>
      </c>
      <c r="AH40" s="14">
        <f>'A) Base RI'!AB40</f>
        <v>0</v>
      </c>
      <c r="AI40" s="14">
        <f>'A) Base RI'!AC40</f>
        <v>73890</v>
      </c>
      <c r="AJ40" s="14">
        <f>'A) Base RI'!AD40</f>
        <v>85350.05</v>
      </c>
      <c r="AK40" s="14">
        <f>'A) Base RI'!AE40</f>
        <v>12994.25</v>
      </c>
      <c r="AL40" s="14">
        <f>'A) Base RI'!AF40</f>
        <v>0</v>
      </c>
      <c r="AM40" s="14">
        <f>'A) Base RI'!AG40</f>
        <v>31931.9</v>
      </c>
      <c r="AN40" s="14">
        <f>'A) Base RI'!AH40</f>
        <v>24520</v>
      </c>
      <c r="AO40" s="14">
        <f>'A) Base RI'!AI40</f>
        <v>0</v>
      </c>
      <c r="AP40" s="14">
        <f>'A) Base RI'!AJ40</f>
        <v>0</v>
      </c>
      <c r="AQ40" s="14">
        <f>'A) Base RI'!AK40</f>
        <v>0</v>
      </c>
      <c r="AR40" s="14">
        <f>'A) Base RI'!AN40</f>
        <v>853</v>
      </c>
    </row>
    <row r="41" spans="1:44" x14ac:dyDescent="0.25">
      <c r="A41" s="12">
        <f>'A) Base RI'!A41</f>
        <v>5464</v>
      </c>
      <c r="B41" s="42" t="str">
        <f>'A) Base RI'!B41</f>
        <v>Vully-les-Lacs</v>
      </c>
      <c r="C41" s="14">
        <f>'A) Base RI'!C41+'A) Base RI'!D41</f>
        <v>5761001.25</v>
      </c>
      <c r="D41" s="14">
        <f>'A) Base RI'!AO41</f>
        <v>-74180.19</v>
      </c>
      <c r="E41" s="41">
        <f>'A) Base RI'!AP41</f>
        <v>0</v>
      </c>
      <c r="F41" s="41">
        <f>'A) Base RI'!AQ41</f>
        <v>-1306.6199999999999</v>
      </c>
      <c r="G41" s="4">
        <f t="shared" si="0"/>
        <v>5685514.4399999995</v>
      </c>
      <c r="H41" s="14">
        <f>'A) Base RI'!E41</f>
        <v>0</v>
      </c>
      <c r="I41" s="14">
        <f>'A) Base RI'!F41</f>
        <v>0</v>
      </c>
      <c r="J41" s="14">
        <f>'A) Base RI'!G41+'A) Base RI'!H41</f>
        <v>81889.400000000009</v>
      </c>
      <c r="K41" s="14">
        <f>'A) Base RI'!I41</f>
        <v>0</v>
      </c>
      <c r="L41" s="14">
        <f>'A) Base RI'!J41</f>
        <v>123022.92</v>
      </c>
      <c r="M41" s="14">
        <f>'A) Base RI'!K41</f>
        <v>14847</v>
      </c>
      <c r="N41" s="14">
        <f>'A) Base RI'!Q41</f>
        <v>42734.7</v>
      </c>
      <c r="O41" s="14">
        <f t="shared" si="1"/>
        <v>542011.43333333335</v>
      </c>
      <c r="P41" s="14">
        <f>'A) Base RI'!L41</f>
        <v>813017.15</v>
      </c>
      <c r="Q41" s="44">
        <f>'A) Base RI'!AR41</f>
        <v>1.5</v>
      </c>
      <c r="R41" s="4">
        <f t="shared" si="2"/>
        <v>6490019.8933333335</v>
      </c>
      <c r="S41" s="43">
        <f>'A) Base RI'!AM41</f>
        <v>67</v>
      </c>
      <c r="T41" s="4">
        <f t="shared" si="3"/>
        <v>5933161.46</v>
      </c>
      <c r="U41" s="4">
        <f t="shared" si="4"/>
        <v>96865.968557213928</v>
      </c>
      <c r="V41" s="14">
        <f>'A) Base RI'!O41</f>
        <v>146359.70000000001</v>
      </c>
      <c r="W41" s="14">
        <f>'A) Base RI'!P41</f>
        <v>351536.95</v>
      </c>
      <c r="X41" s="14">
        <f>'A) Base RI'!R41</f>
        <v>246865.05</v>
      </c>
      <c r="Y41" s="4">
        <f t="shared" si="5"/>
        <v>744761.7</v>
      </c>
      <c r="Z41" s="14">
        <f>'A) Base RI'!N41</f>
        <v>0</v>
      </c>
      <c r="AA41" s="14">
        <f>'A) Base RI'!S41+'A) Base RI'!T41</f>
        <v>718.75</v>
      </c>
      <c r="AB41" s="14">
        <f>'A) Base RI'!U41</f>
        <v>20700</v>
      </c>
      <c r="AC41" s="14">
        <f>'A) Base RI'!V41</f>
        <v>0</v>
      </c>
      <c r="AD41" s="14">
        <f>'A) Base RI'!W41</f>
        <v>0</v>
      </c>
      <c r="AE41" s="14">
        <f>'A) Base RI'!Y41</f>
        <v>412751.15</v>
      </c>
      <c r="AF41" s="14">
        <f>'A) Base RI'!Z41</f>
        <v>208069.4</v>
      </c>
      <c r="AG41" s="14">
        <f>'A) Base RI'!AA41</f>
        <v>452988.75</v>
      </c>
      <c r="AH41" s="14">
        <f>'A) Base RI'!AB41</f>
        <v>0</v>
      </c>
      <c r="AI41" s="14">
        <f>'A) Base RI'!AC41</f>
        <v>276667.58</v>
      </c>
      <c r="AJ41" s="14">
        <f>'A) Base RI'!AD41</f>
        <v>474715.6</v>
      </c>
      <c r="AK41" s="14">
        <f>'A) Base RI'!AE41</f>
        <v>0</v>
      </c>
      <c r="AL41" s="14">
        <f>'A) Base RI'!AF41</f>
        <v>0</v>
      </c>
      <c r="AM41" s="14">
        <f>'A) Base RI'!AG41</f>
        <v>150096.95000000001</v>
      </c>
      <c r="AN41" s="14">
        <f>'A) Base RI'!AH41</f>
        <v>0</v>
      </c>
      <c r="AO41" s="14">
        <f>'A) Base RI'!AI41</f>
        <v>92863.45</v>
      </c>
      <c r="AP41" s="14">
        <f>'A) Base RI'!AJ41</f>
        <v>0</v>
      </c>
      <c r="AQ41" s="14">
        <f>'A) Base RI'!AK41</f>
        <v>0</v>
      </c>
      <c r="AR41" s="14">
        <f>'A) Base RI'!AN41</f>
        <v>2825</v>
      </c>
    </row>
    <row r="42" spans="1:44" x14ac:dyDescent="0.25">
      <c r="A42" s="12">
        <f>'A) Base RI'!A42</f>
        <v>5471</v>
      </c>
      <c r="B42" s="42" t="str">
        <f>'A) Base RI'!B42</f>
        <v>Bettens</v>
      </c>
      <c r="C42" s="14">
        <f>'A) Base RI'!C42+'A) Base RI'!D42</f>
        <v>1082576.75</v>
      </c>
      <c r="D42" s="14">
        <f>'A) Base RI'!AO42</f>
        <v>-18160.990000000002</v>
      </c>
      <c r="E42" s="41">
        <f>'A) Base RI'!AP42</f>
        <v>0</v>
      </c>
      <c r="F42" s="41">
        <f>'A) Base RI'!AQ42</f>
        <v>-430.28</v>
      </c>
      <c r="G42" s="4">
        <f t="shared" si="0"/>
        <v>1063985.48</v>
      </c>
      <c r="H42" s="14">
        <f>'A) Base RI'!E42</f>
        <v>0</v>
      </c>
      <c r="I42" s="14">
        <f>'A) Base RI'!F42</f>
        <v>0</v>
      </c>
      <c r="J42" s="14">
        <f>'A) Base RI'!G42+'A) Base RI'!H42</f>
        <v>78951.099999999991</v>
      </c>
      <c r="K42" s="14">
        <f>'A) Base RI'!I42</f>
        <v>0</v>
      </c>
      <c r="L42" s="14">
        <f>'A) Base RI'!J42</f>
        <v>28660.62</v>
      </c>
      <c r="M42" s="14">
        <f>'A) Base RI'!K42</f>
        <v>1306.5</v>
      </c>
      <c r="N42" s="14">
        <f>'A) Base RI'!Q42</f>
        <v>13634.85</v>
      </c>
      <c r="O42" s="14">
        <f t="shared" si="1"/>
        <v>85239.444444444438</v>
      </c>
      <c r="P42" s="14">
        <f>'A) Base RI'!L42</f>
        <v>76715.5</v>
      </c>
      <c r="Q42" s="44">
        <f>'A) Base RI'!AR42</f>
        <v>0.9</v>
      </c>
      <c r="R42" s="4">
        <f t="shared" si="2"/>
        <v>1271777.9944444448</v>
      </c>
      <c r="S42" s="43">
        <f>'A) Base RI'!AM42</f>
        <v>70</v>
      </c>
      <c r="T42" s="4">
        <f t="shared" si="3"/>
        <v>1185232.0500000003</v>
      </c>
      <c r="U42" s="4">
        <f t="shared" si="4"/>
        <v>18168.257063492067</v>
      </c>
      <c r="V42" s="14">
        <f>'A) Base RI'!O42</f>
        <v>0</v>
      </c>
      <c r="W42" s="14">
        <f>'A) Base RI'!P42</f>
        <v>95222.65</v>
      </c>
      <c r="X42" s="14">
        <f>'A) Base RI'!R42</f>
        <v>30638.45</v>
      </c>
      <c r="Y42" s="4">
        <f t="shared" si="5"/>
        <v>125861.09999999999</v>
      </c>
      <c r="Z42" s="14">
        <f>'A) Base RI'!N42</f>
        <v>2335.65</v>
      </c>
      <c r="AA42" s="14">
        <f>'A) Base RI'!S42+'A) Base RI'!T42</f>
        <v>31.25</v>
      </c>
      <c r="AB42" s="14">
        <f>'A) Base RI'!U42</f>
        <v>4050</v>
      </c>
      <c r="AC42" s="14">
        <f>'A) Base RI'!V42</f>
        <v>0</v>
      </c>
      <c r="AD42" s="14">
        <f>'A) Base RI'!W42</f>
        <v>0</v>
      </c>
      <c r="AE42" s="14">
        <f>'A) Base RI'!Y42</f>
        <v>95568.75</v>
      </c>
      <c r="AF42" s="14">
        <f>'A) Base RI'!Z42</f>
        <v>0</v>
      </c>
      <c r="AG42" s="14">
        <f>'A) Base RI'!AA42</f>
        <v>62076.2</v>
      </c>
      <c r="AH42" s="14">
        <f>'A) Base RI'!AB42</f>
        <v>0</v>
      </c>
      <c r="AI42" s="14">
        <f>'A) Base RI'!AC42</f>
        <v>20558.2</v>
      </c>
      <c r="AJ42" s="14">
        <f>'A) Base RI'!AD42</f>
        <v>28766.45</v>
      </c>
      <c r="AK42" s="14">
        <f>'A) Base RI'!AE42</f>
        <v>0</v>
      </c>
      <c r="AL42" s="14">
        <f>'A) Base RI'!AF42</f>
        <v>0</v>
      </c>
      <c r="AM42" s="14">
        <f>'A) Base RI'!AG42</f>
        <v>0</v>
      </c>
      <c r="AN42" s="14">
        <f>'A) Base RI'!AH42</f>
        <v>0</v>
      </c>
      <c r="AO42" s="14">
        <f>'A) Base RI'!AI42</f>
        <v>0</v>
      </c>
      <c r="AP42" s="14">
        <f>'A) Base RI'!AJ42</f>
        <v>0</v>
      </c>
      <c r="AQ42" s="14">
        <f>'A) Base RI'!AK42</f>
        <v>0</v>
      </c>
      <c r="AR42" s="14">
        <f>'A) Base RI'!AN42</f>
        <v>557</v>
      </c>
    </row>
    <row r="43" spans="1:44" x14ac:dyDescent="0.25">
      <c r="A43" s="12">
        <f>'A) Base RI'!A43</f>
        <v>5472</v>
      </c>
      <c r="B43" s="42" t="str">
        <f>'A) Base RI'!B43</f>
        <v>Bournens</v>
      </c>
      <c r="C43" s="14">
        <f>'A) Base RI'!C43+'A) Base RI'!D43</f>
        <v>985175.12</v>
      </c>
      <c r="D43" s="14">
        <f>'A) Base RI'!AO43</f>
        <v>-8152</v>
      </c>
      <c r="E43" s="41">
        <f>'A) Base RI'!AP43</f>
        <v>0</v>
      </c>
      <c r="F43" s="41">
        <f>'A) Base RI'!AQ43</f>
        <v>-51.97</v>
      </c>
      <c r="G43" s="4">
        <f t="shared" si="0"/>
        <v>976971.15</v>
      </c>
      <c r="H43" s="14">
        <f>'A) Base RI'!E43</f>
        <v>0</v>
      </c>
      <c r="I43" s="14">
        <f>'A) Base RI'!F43</f>
        <v>0</v>
      </c>
      <c r="J43" s="14">
        <f>'A) Base RI'!G43+'A) Base RI'!H43</f>
        <v>2557.7000000000003</v>
      </c>
      <c r="K43" s="14">
        <f>'A) Base RI'!I43</f>
        <v>0</v>
      </c>
      <c r="L43" s="14">
        <f>'A) Base RI'!J43</f>
        <v>11004.93</v>
      </c>
      <c r="M43" s="14">
        <f>'A) Base RI'!K43</f>
        <v>200</v>
      </c>
      <c r="N43" s="14">
        <f>'A) Base RI'!Q43</f>
        <v>0</v>
      </c>
      <c r="O43" s="14">
        <f t="shared" si="1"/>
        <v>66355.649999999994</v>
      </c>
      <c r="P43" s="14">
        <f>'A) Base RI'!L43</f>
        <v>66355.649999999994</v>
      </c>
      <c r="Q43" s="44">
        <f>'A) Base RI'!AR43</f>
        <v>1</v>
      </c>
      <c r="R43" s="4">
        <f t="shared" si="2"/>
        <v>1057089.43</v>
      </c>
      <c r="S43" s="43">
        <f>'A) Base RI'!AM43</f>
        <v>80</v>
      </c>
      <c r="T43" s="4">
        <f t="shared" si="3"/>
        <v>990533.78</v>
      </c>
      <c r="U43" s="4">
        <f t="shared" si="4"/>
        <v>13213.617875</v>
      </c>
      <c r="V43" s="14">
        <f>'A) Base RI'!O43</f>
        <v>0</v>
      </c>
      <c r="W43" s="14">
        <f>'A) Base RI'!P43</f>
        <v>62610.85</v>
      </c>
      <c r="X43" s="14">
        <f>'A) Base RI'!R43</f>
        <v>39290.75</v>
      </c>
      <c r="Y43" s="4">
        <f t="shared" si="5"/>
        <v>101901.6</v>
      </c>
      <c r="Z43" s="14">
        <f>'A) Base RI'!N43</f>
        <v>0</v>
      </c>
      <c r="AA43" s="14">
        <f>'A) Base RI'!S43+'A) Base RI'!T43</f>
        <v>187.5</v>
      </c>
      <c r="AB43" s="14">
        <f>'A) Base RI'!U43</f>
        <v>1290</v>
      </c>
      <c r="AC43" s="14">
        <f>'A) Base RI'!V43</f>
        <v>0</v>
      </c>
      <c r="AD43" s="14">
        <f>'A) Base RI'!W43</f>
        <v>0</v>
      </c>
      <c r="AE43" s="14">
        <f>'A) Base RI'!Y43</f>
        <v>0</v>
      </c>
      <c r="AF43" s="14">
        <f>'A) Base RI'!Z43</f>
        <v>0</v>
      </c>
      <c r="AG43" s="14">
        <f>'A) Base RI'!AA43</f>
        <v>33844.400000000001</v>
      </c>
      <c r="AH43" s="14">
        <f>'A) Base RI'!AB43</f>
        <v>0</v>
      </c>
      <c r="AI43" s="14">
        <f>'A) Base RI'!AC43</f>
        <v>28900</v>
      </c>
      <c r="AJ43" s="14">
        <f>'A) Base RI'!AD43</f>
        <v>0</v>
      </c>
      <c r="AK43" s="14">
        <f>'A) Base RI'!AE43</f>
        <v>0</v>
      </c>
      <c r="AL43" s="14">
        <f>'A) Base RI'!AF43</f>
        <v>0</v>
      </c>
      <c r="AM43" s="14">
        <f>'A) Base RI'!AG43</f>
        <v>0</v>
      </c>
      <c r="AN43" s="14">
        <f>'A) Base RI'!AH43</f>
        <v>0</v>
      </c>
      <c r="AO43" s="14">
        <f>'A) Base RI'!AI43</f>
        <v>0</v>
      </c>
      <c r="AP43" s="14">
        <f>'A) Base RI'!AJ43</f>
        <v>0</v>
      </c>
      <c r="AQ43" s="14">
        <f>'A) Base RI'!AK43</f>
        <v>0</v>
      </c>
      <c r="AR43" s="14">
        <f>'A) Base RI'!AN43</f>
        <v>373</v>
      </c>
    </row>
    <row r="44" spans="1:44" x14ac:dyDescent="0.25">
      <c r="A44" s="12">
        <f>'A) Base RI'!A44</f>
        <v>5473</v>
      </c>
      <c r="B44" s="42" t="str">
        <f>'A) Base RI'!B44</f>
        <v>Boussens</v>
      </c>
      <c r="C44" s="14">
        <f>'A) Base RI'!C44+'A) Base RI'!D44</f>
        <v>2000398.1400000001</v>
      </c>
      <c r="D44" s="14">
        <f>'A) Base RI'!AO44</f>
        <v>-9862.41</v>
      </c>
      <c r="E44" s="41">
        <f>'A) Base RI'!AP44</f>
        <v>0</v>
      </c>
      <c r="F44" s="41">
        <f>'A) Base RI'!AQ44</f>
        <v>-24.43</v>
      </c>
      <c r="G44" s="4">
        <f t="shared" si="0"/>
        <v>1990511.3000000003</v>
      </c>
      <c r="H44" s="14">
        <f>'A) Base RI'!E44</f>
        <v>0</v>
      </c>
      <c r="I44" s="14">
        <f>'A) Base RI'!F44</f>
        <v>0</v>
      </c>
      <c r="J44" s="14">
        <f>'A) Base RI'!G44+'A) Base RI'!H44</f>
        <v>70225.8</v>
      </c>
      <c r="K44" s="14">
        <f>'A) Base RI'!I44</f>
        <v>0</v>
      </c>
      <c r="L44" s="14">
        <f>'A) Base RI'!J44</f>
        <v>43679.99</v>
      </c>
      <c r="M44" s="14">
        <f>'A) Base RI'!K44</f>
        <v>3431.5</v>
      </c>
      <c r="N44" s="14">
        <f>'A) Base RI'!Q44</f>
        <v>1819.6</v>
      </c>
      <c r="O44" s="14">
        <f t="shared" si="1"/>
        <v>167866.6</v>
      </c>
      <c r="P44" s="14">
        <f>'A) Base RI'!L44</f>
        <v>167866.6</v>
      </c>
      <c r="Q44" s="44">
        <f>'A) Base RI'!AR44</f>
        <v>1</v>
      </c>
      <c r="R44" s="4">
        <f t="shared" si="2"/>
        <v>2277534.7900000005</v>
      </c>
      <c r="S44" s="43">
        <f>'A) Base RI'!AM44</f>
        <v>69</v>
      </c>
      <c r="T44" s="4">
        <f t="shared" si="3"/>
        <v>2106236.6900000004</v>
      </c>
      <c r="U44" s="4">
        <f t="shared" si="4"/>
        <v>33007.750579710155</v>
      </c>
      <c r="V44" s="14">
        <f>'A) Base RI'!O44</f>
        <v>0</v>
      </c>
      <c r="W44" s="14">
        <f>'A) Base RI'!P44</f>
        <v>19373.7</v>
      </c>
      <c r="X44" s="14">
        <f>'A) Base RI'!R44</f>
        <v>20191.650000000001</v>
      </c>
      <c r="Y44" s="4">
        <f t="shared" si="5"/>
        <v>39565.350000000006</v>
      </c>
      <c r="Z44" s="14">
        <f>'A) Base RI'!N44</f>
        <v>0</v>
      </c>
      <c r="AA44" s="14">
        <f>'A) Base RI'!S44+'A) Base RI'!T44</f>
        <v>0</v>
      </c>
      <c r="AB44" s="14">
        <f>'A) Base RI'!U44</f>
        <v>5760</v>
      </c>
      <c r="AC44" s="14">
        <f>'A) Base RI'!V44</f>
        <v>0</v>
      </c>
      <c r="AD44" s="14">
        <f>'A) Base RI'!W44</f>
        <v>0</v>
      </c>
      <c r="AE44" s="14">
        <f>'A) Base RI'!Y44</f>
        <v>5800</v>
      </c>
      <c r="AF44" s="14">
        <f>'A) Base RI'!Z44</f>
        <v>0</v>
      </c>
      <c r="AG44" s="14">
        <f>'A) Base RI'!AA44</f>
        <v>170797</v>
      </c>
      <c r="AH44" s="14">
        <f>'A) Base RI'!AB44</f>
        <v>0</v>
      </c>
      <c r="AI44" s="14">
        <f>'A) Base RI'!AC44</f>
        <v>101619</v>
      </c>
      <c r="AJ44" s="14">
        <f>'A) Base RI'!AD44</f>
        <v>0</v>
      </c>
      <c r="AK44" s="14">
        <f>'A) Base RI'!AE44</f>
        <v>0</v>
      </c>
      <c r="AL44" s="14">
        <f>'A) Base RI'!AF44</f>
        <v>0</v>
      </c>
      <c r="AM44" s="14">
        <f>'A) Base RI'!AG44</f>
        <v>0</v>
      </c>
      <c r="AN44" s="14">
        <f>'A) Base RI'!AH44</f>
        <v>0</v>
      </c>
      <c r="AO44" s="14">
        <f>'A) Base RI'!AI44</f>
        <v>0</v>
      </c>
      <c r="AP44" s="14">
        <f>'A) Base RI'!AJ44</f>
        <v>0</v>
      </c>
      <c r="AQ44" s="14">
        <f>'A) Base RI'!AK44</f>
        <v>0</v>
      </c>
      <c r="AR44" s="14">
        <f>'A) Base RI'!AN44</f>
        <v>958</v>
      </c>
    </row>
    <row r="45" spans="1:44" x14ac:dyDescent="0.25">
      <c r="A45" s="12">
        <f>'A) Base RI'!A45</f>
        <v>5474</v>
      </c>
      <c r="B45" s="42" t="str">
        <f>'A) Base RI'!B45</f>
        <v>La Chaux (Cossonay)</v>
      </c>
      <c r="C45" s="14">
        <f>'A) Base RI'!C45+'A) Base RI'!D45</f>
        <v>866767.86</v>
      </c>
      <c r="D45" s="14">
        <f>'A) Base RI'!AO45</f>
        <v>-3685.99</v>
      </c>
      <c r="E45" s="41">
        <f>'A) Base RI'!AP45</f>
        <v>0</v>
      </c>
      <c r="F45" s="41">
        <f>'A) Base RI'!AQ45</f>
        <v>-13.33</v>
      </c>
      <c r="G45" s="4">
        <f t="shared" si="0"/>
        <v>863068.54</v>
      </c>
      <c r="H45" s="14">
        <f>'A) Base RI'!E45</f>
        <v>0</v>
      </c>
      <c r="I45" s="14">
        <f>'A) Base RI'!F45</f>
        <v>0</v>
      </c>
      <c r="J45" s="14">
        <f>'A) Base RI'!G45+'A) Base RI'!H45</f>
        <v>6022.1</v>
      </c>
      <c r="K45" s="14">
        <f>'A) Base RI'!I45</f>
        <v>33792.6</v>
      </c>
      <c r="L45" s="14">
        <f>'A) Base RI'!J45</f>
        <v>8335.57</v>
      </c>
      <c r="M45" s="14">
        <f>'A) Base RI'!K45</f>
        <v>560</v>
      </c>
      <c r="N45" s="14">
        <f>'A) Base RI'!Q45</f>
        <v>0</v>
      </c>
      <c r="O45" s="14">
        <f t="shared" si="1"/>
        <v>65385.708333333343</v>
      </c>
      <c r="P45" s="14">
        <f>'A) Base RI'!L45</f>
        <v>78462.850000000006</v>
      </c>
      <c r="Q45" s="44">
        <f>'A) Base RI'!AR45</f>
        <v>1.2</v>
      </c>
      <c r="R45" s="4">
        <f t="shared" si="2"/>
        <v>977164.51833333331</v>
      </c>
      <c r="S45" s="43">
        <f>'A) Base RI'!AM45</f>
        <v>77</v>
      </c>
      <c r="T45" s="4">
        <f t="shared" si="3"/>
        <v>911218.80999999994</v>
      </c>
      <c r="U45" s="4">
        <f t="shared" si="4"/>
        <v>12690.44829004329</v>
      </c>
      <c r="V45" s="14">
        <f>'A) Base RI'!O45</f>
        <v>649.4</v>
      </c>
      <c r="W45" s="14">
        <f>'A) Base RI'!P45</f>
        <v>0</v>
      </c>
      <c r="X45" s="14">
        <f>'A) Base RI'!R45</f>
        <v>-15412.1</v>
      </c>
      <c r="Y45" s="4">
        <f t="shared" si="5"/>
        <v>-14762.7</v>
      </c>
      <c r="Z45" s="14">
        <f>'A) Base RI'!N45</f>
        <v>0</v>
      </c>
      <c r="AA45" s="14">
        <f>'A) Base RI'!S45+'A) Base RI'!T45</f>
        <v>75</v>
      </c>
      <c r="AB45" s="14">
        <f>'A) Base RI'!U45</f>
        <v>1000</v>
      </c>
      <c r="AC45" s="14">
        <f>'A) Base RI'!V45</f>
        <v>0</v>
      </c>
      <c r="AD45" s="14">
        <f>'A) Base RI'!W45</f>
        <v>0</v>
      </c>
      <c r="AE45" s="14">
        <f>'A) Base RI'!Y45</f>
        <v>37814</v>
      </c>
      <c r="AF45" s="14">
        <f>'A) Base RI'!Z45</f>
        <v>58640.4</v>
      </c>
      <c r="AG45" s="14">
        <f>'A) Base RI'!AA45</f>
        <v>0</v>
      </c>
      <c r="AH45" s="14">
        <f>'A) Base RI'!AB45</f>
        <v>0</v>
      </c>
      <c r="AI45" s="14">
        <f>'A) Base RI'!AC45</f>
        <v>0</v>
      </c>
      <c r="AJ45" s="14">
        <f>'A) Base RI'!AD45</f>
        <v>0</v>
      </c>
      <c r="AK45" s="14">
        <f>'A) Base RI'!AE45</f>
        <v>0</v>
      </c>
      <c r="AL45" s="14">
        <f>'A) Base RI'!AF45</f>
        <v>0</v>
      </c>
      <c r="AM45" s="14">
        <f>'A) Base RI'!AG45</f>
        <v>0</v>
      </c>
      <c r="AN45" s="14">
        <f>'A) Base RI'!AH45</f>
        <v>0</v>
      </c>
      <c r="AO45" s="14">
        <f>'A) Base RI'!AI45</f>
        <v>0</v>
      </c>
      <c r="AP45" s="14">
        <f>'A) Base RI'!AJ45</f>
        <v>0</v>
      </c>
      <c r="AQ45" s="14">
        <f>'A) Base RI'!AK45</f>
        <v>0</v>
      </c>
      <c r="AR45" s="14">
        <f>'A) Base RI'!AN45</f>
        <v>421</v>
      </c>
    </row>
    <row r="46" spans="1:44" x14ac:dyDescent="0.25">
      <c r="A46" s="12">
        <f>'A) Base RI'!A46</f>
        <v>5475</v>
      </c>
      <c r="B46" s="42" t="str">
        <f>'A) Base RI'!B46</f>
        <v>Chavannes-le-Veyron</v>
      </c>
      <c r="C46" s="14">
        <f>'A) Base RI'!C46+'A) Base RI'!D46</f>
        <v>184695.83</v>
      </c>
      <c r="D46" s="14">
        <f>'A) Base RI'!AO46</f>
        <v>-3184.57</v>
      </c>
      <c r="E46" s="41">
        <f>'A) Base RI'!AP46</f>
        <v>0</v>
      </c>
      <c r="F46" s="41">
        <f>'A) Base RI'!AQ46</f>
        <v>-0.25</v>
      </c>
      <c r="G46" s="4">
        <f t="shared" si="0"/>
        <v>181511.00999999998</v>
      </c>
      <c r="H46" s="14">
        <f>'A) Base RI'!E46</f>
        <v>0</v>
      </c>
      <c r="I46" s="14">
        <f>'A) Base RI'!F46</f>
        <v>0</v>
      </c>
      <c r="J46" s="14">
        <f>'A) Base RI'!G46+'A) Base RI'!H46</f>
        <v>1252.399999999999</v>
      </c>
      <c r="K46" s="14">
        <f>'A) Base RI'!I46</f>
        <v>0</v>
      </c>
      <c r="L46" s="14">
        <f>'A) Base RI'!J46</f>
        <v>9274.69</v>
      </c>
      <c r="M46" s="14">
        <f>'A) Base RI'!K46</f>
        <v>0</v>
      </c>
      <c r="N46" s="14">
        <f>'A) Base RI'!Q46</f>
        <v>0</v>
      </c>
      <c r="O46" s="14">
        <f t="shared" si="1"/>
        <v>19723.8</v>
      </c>
      <c r="P46" s="14">
        <f>'A) Base RI'!L46</f>
        <v>19723.8</v>
      </c>
      <c r="Q46" s="44">
        <f>'A) Base RI'!AR46</f>
        <v>1</v>
      </c>
      <c r="R46" s="4">
        <f t="shared" si="2"/>
        <v>211761.89999999997</v>
      </c>
      <c r="S46" s="43">
        <f>'A) Base RI'!AM46</f>
        <v>77</v>
      </c>
      <c r="T46" s="4">
        <f t="shared" si="3"/>
        <v>192038.09999999998</v>
      </c>
      <c r="U46" s="4">
        <f t="shared" si="4"/>
        <v>2750.1545454545449</v>
      </c>
      <c r="V46" s="14">
        <f>'A) Base RI'!O46</f>
        <v>0</v>
      </c>
      <c r="W46" s="14">
        <f>'A) Base RI'!P46</f>
        <v>3649.25</v>
      </c>
      <c r="X46" s="14">
        <f>'A) Base RI'!R46</f>
        <v>0</v>
      </c>
      <c r="Y46" s="4">
        <f t="shared" si="5"/>
        <v>3649.25</v>
      </c>
      <c r="Z46" s="14">
        <f>'A) Base RI'!N46</f>
        <v>0</v>
      </c>
      <c r="AA46" s="14">
        <f>'A) Base RI'!S46+'A) Base RI'!T46</f>
        <v>0</v>
      </c>
      <c r="AB46" s="14">
        <f>'A) Base RI'!U46</f>
        <v>420</v>
      </c>
      <c r="AC46" s="14">
        <f>'A) Base RI'!V46</f>
        <v>0</v>
      </c>
      <c r="AD46" s="14">
        <f>'A) Base RI'!W46</f>
        <v>0</v>
      </c>
      <c r="AE46" s="14">
        <f>'A) Base RI'!Y46</f>
        <v>0</v>
      </c>
      <c r="AF46" s="14">
        <f>'A) Base RI'!Z46</f>
        <v>0</v>
      </c>
      <c r="AG46" s="14">
        <f>'A) Base RI'!AA46</f>
        <v>10279.15</v>
      </c>
      <c r="AH46" s="14">
        <f>'A) Base RI'!AB46</f>
        <v>0</v>
      </c>
      <c r="AI46" s="14">
        <f>'A) Base RI'!AC46</f>
        <v>17610.150000000001</v>
      </c>
      <c r="AJ46" s="14">
        <f>'A) Base RI'!AD46</f>
        <v>1242.3</v>
      </c>
      <c r="AK46" s="14">
        <f>'A) Base RI'!AE46</f>
        <v>0</v>
      </c>
      <c r="AL46" s="14">
        <f>'A) Base RI'!AF46</f>
        <v>0</v>
      </c>
      <c r="AM46" s="14">
        <f>'A) Base RI'!AG46</f>
        <v>0</v>
      </c>
      <c r="AN46" s="14">
        <f>'A) Base RI'!AH46</f>
        <v>0</v>
      </c>
      <c r="AO46" s="14">
        <f>'A) Base RI'!AI46</f>
        <v>0</v>
      </c>
      <c r="AP46" s="14">
        <f>'A) Base RI'!AJ46</f>
        <v>0</v>
      </c>
      <c r="AQ46" s="14">
        <f>'A) Base RI'!AK46</f>
        <v>0</v>
      </c>
      <c r="AR46" s="14">
        <f>'A) Base RI'!AN46</f>
        <v>120</v>
      </c>
    </row>
    <row r="47" spans="1:44" x14ac:dyDescent="0.25">
      <c r="A47" s="12">
        <f>'A) Base RI'!A47</f>
        <v>5476</v>
      </c>
      <c r="B47" s="42" t="str">
        <f>'A) Base RI'!B47</f>
        <v>Chevilly</v>
      </c>
      <c r="C47" s="14">
        <f>'A) Base RI'!C47+'A) Base RI'!D47</f>
        <v>539756.43000000005</v>
      </c>
      <c r="D47" s="14">
        <f>'A) Base RI'!AO47</f>
        <v>-21320.6</v>
      </c>
      <c r="E47" s="41">
        <f>'A) Base RI'!AP47</f>
        <v>0</v>
      </c>
      <c r="F47" s="41">
        <f>'A) Base RI'!AQ47</f>
        <v>0</v>
      </c>
      <c r="G47" s="4">
        <f t="shared" si="0"/>
        <v>518435.83000000007</v>
      </c>
      <c r="H47" s="14">
        <f>'A) Base RI'!E47</f>
        <v>0</v>
      </c>
      <c r="I47" s="14">
        <f>'A) Base RI'!F47</f>
        <v>0</v>
      </c>
      <c r="J47" s="14">
        <f>'A) Base RI'!G47+'A) Base RI'!H47</f>
        <v>2981.45</v>
      </c>
      <c r="K47" s="14">
        <f>'A) Base RI'!I47</f>
        <v>0</v>
      </c>
      <c r="L47" s="14">
        <f>'A) Base RI'!J47</f>
        <v>10211.75</v>
      </c>
      <c r="M47" s="14">
        <f>'A) Base RI'!K47</f>
        <v>0</v>
      </c>
      <c r="N47" s="14">
        <f>'A) Base RI'!Q47</f>
        <v>3615.5</v>
      </c>
      <c r="O47" s="14">
        <f t="shared" si="1"/>
        <v>48439.200000000004</v>
      </c>
      <c r="P47" s="14">
        <f>'A) Base RI'!L47</f>
        <v>72658.8</v>
      </c>
      <c r="Q47" s="44">
        <f>'A) Base RI'!AR47</f>
        <v>1.5</v>
      </c>
      <c r="R47" s="4">
        <f t="shared" si="2"/>
        <v>583683.73</v>
      </c>
      <c r="S47" s="43">
        <f>'A) Base RI'!AM47</f>
        <v>74</v>
      </c>
      <c r="T47" s="4">
        <f t="shared" si="3"/>
        <v>535244.53</v>
      </c>
      <c r="U47" s="4">
        <f t="shared" si="4"/>
        <v>7887.6179729729729</v>
      </c>
      <c r="V47" s="14">
        <f>'A) Base RI'!O47</f>
        <v>0</v>
      </c>
      <c r="W47" s="14">
        <f>'A) Base RI'!P47</f>
        <v>78175.5</v>
      </c>
      <c r="X47" s="14">
        <f>'A) Base RI'!R47</f>
        <v>-2881.25</v>
      </c>
      <c r="Y47" s="4">
        <f t="shared" si="5"/>
        <v>75294.25</v>
      </c>
      <c r="Z47" s="14">
        <f>'A) Base RI'!N47</f>
        <v>2996.05</v>
      </c>
      <c r="AA47" s="14">
        <f>'A) Base RI'!S47+'A) Base RI'!T47</f>
        <v>0</v>
      </c>
      <c r="AB47" s="14">
        <f>'A) Base RI'!U47</f>
        <v>2700</v>
      </c>
      <c r="AC47" s="14">
        <f>'A) Base RI'!V47</f>
        <v>0</v>
      </c>
      <c r="AD47" s="14">
        <f>'A) Base RI'!W47</f>
        <v>0</v>
      </c>
      <c r="AE47" s="14">
        <f>'A) Base RI'!Y47</f>
        <v>12464.45</v>
      </c>
      <c r="AF47" s="14">
        <f>'A) Base RI'!Z47</f>
        <v>0</v>
      </c>
      <c r="AG47" s="14">
        <f>'A) Base RI'!AA47</f>
        <v>14310</v>
      </c>
      <c r="AH47" s="14">
        <f>'A) Base RI'!AB47</f>
        <v>0</v>
      </c>
      <c r="AI47" s="14">
        <f>'A) Base RI'!AC47</f>
        <v>14160</v>
      </c>
      <c r="AJ47" s="14">
        <f>'A) Base RI'!AD47</f>
        <v>20774.05</v>
      </c>
      <c r="AK47" s="14">
        <f>'A) Base RI'!AE47</f>
        <v>0</v>
      </c>
      <c r="AL47" s="14">
        <f>'A) Base RI'!AF47</f>
        <v>0</v>
      </c>
      <c r="AM47" s="14">
        <f>'A) Base RI'!AG47</f>
        <v>0</v>
      </c>
      <c r="AN47" s="14">
        <f>'A) Base RI'!AH47</f>
        <v>0</v>
      </c>
      <c r="AO47" s="14">
        <f>'A) Base RI'!AI47</f>
        <v>0</v>
      </c>
      <c r="AP47" s="14">
        <f>'A) Base RI'!AJ47</f>
        <v>0</v>
      </c>
      <c r="AQ47" s="14">
        <f>'A) Base RI'!AK47</f>
        <v>0</v>
      </c>
      <c r="AR47" s="14">
        <f>'A) Base RI'!AN47</f>
        <v>286</v>
      </c>
    </row>
    <row r="48" spans="1:44" x14ac:dyDescent="0.25">
      <c r="A48" s="12">
        <f>'A) Base RI'!A48</f>
        <v>5477</v>
      </c>
      <c r="B48" s="42" t="str">
        <f>'A) Base RI'!B48</f>
        <v>Cossonay</v>
      </c>
      <c r="C48" s="14">
        <f>'A) Base RI'!C48+'A) Base RI'!D48</f>
        <v>7147836.25</v>
      </c>
      <c r="D48" s="14">
        <f>'A) Base RI'!AO48</f>
        <v>-114717.79</v>
      </c>
      <c r="E48" s="41">
        <f>'A) Base RI'!AP48</f>
        <v>0</v>
      </c>
      <c r="F48" s="41">
        <f>'A) Base RI'!AQ48</f>
        <v>-77.819999999999993</v>
      </c>
      <c r="G48" s="4">
        <f t="shared" si="0"/>
        <v>7033040.6399999997</v>
      </c>
      <c r="H48" s="14">
        <f>'A) Base RI'!E48</f>
        <v>0</v>
      </c>
      <c r="I48" s="14">
        <f>'A) Base RI'!F48</f>
        <v>0</v>
      </c>
      <c r="J48" s="14">
        <f>'A) Base RI'!G48+'A) Base RI'!H48</f>
        <v>521271.45</v>
      </c>
      <c r="K48" s="14">
        <f>'A) Base RI'!I48</f>
        <v>0</v>
      </c>
      <c r="L48" s="14">
        <f>'A) Base RI'!J48</f>
        <v>198316.48</v>
      </c>
      <c r="M48" s="14">
        <f>'A) Base RI'!K48</f>
        <v>6142.5</v>
      </c>
      <c r="N48" s="14">
        <f>'A) Base RI'!Q48</f>
        <v>82027.34</v>
      </c>
      <c r="O48" s="14">
        <f t="shared" si="1"/>
        <v>516070.75</v>
      </c>
      <c r="P48" s="14">
        <f>'A) Base RI'!L48</f>
        <v>516070.75</v>
      </c>
      <c r="Q48" s="44">
        <f>'A) Base RI'!AR48</f>
        <v>1</v>
      </c>
      <c r="R48" s="4">
        <f t="shared" si="2"/>
        <v>8356869.1600000001</v>
      </c>
      <c r="S48" s="43">
        <f>'A) Base RI'!AM48</f>
        <v>69.3</v>
      </c>
      <c r="T48" s="4">
        <f t="shared" si="3"/>
        <v>7834655.9100000001</v>
      </c>
      <c r="U48" s="4">
        <f t="shared" si="4"/>
        <v>120589.74256854257</v>
      </c>
      <c r="V48" s="14">
        <f>'A) Base RI'!O48</f>
        <v>174778.55</v>
      </c>
      <c r="W48" s="14">
        <f>'A) Base RI'!P48</f>
        <v>337704.05</v>
      </c>
      <c r="X48" s="14">
        <f>'A) Base RI'!R48</f>
        <v>214883.6</v>
      </c>
      <c r="Y48" s="4">
        <f t="shared" si="5"/>
        <v>727366.2</v>
      </c>
      <c r="Z48" s="14">
        <f>'A) Base RI'!N48</f>
        <v>78698.25</v>
      </c>
      <c r="AA48" s="14">
        <f>'A) Base RI'!S48+'A) Base RI'!T48</f>
        <v>275</v>
      </c>
      <c r="AB48" s="14">
        <f>'A) Base RI'!U48</f>
        <v>16500</v>
      </c>
      <c r="AC48" s="14">
        <f>'A) Base RI'!V48</f>
        <v>0</v>
      </c>
      <c r="AD48" s="14">
        <f>'A) Base RI'!W48</f>
        <v>0</v>
      </c>
      <c r="AE48" s="14">
        <f>'A) Base RI'!Y48</f>
        <v>278288.45</v>
      </c>
      <c r="AF48" s="14">
        <f>'A) Base RI'!Z48</f>
        <v>29640</v>
      </c>
      <c r="AG48" s="14">
        <f>'A) Base RI'!AA48</f>
        <v>284430.40000000002</v>
      </c>
      <c r="AH48" s="14">
        <f>'A) Base RI'!AB48</f>
        <v>380096.15</v>
      </c>
      <c r="AI48" s="14">
        <f>'A) Base RI'!AC48</f>
        <v>339811.65</v>
      </c>
      <c r="AJ48" s="14">
        <f>'A) Base RI'!AD48</f>
        <v>206409.35</v>
      </c>
      <c r="AK48" s="14">
        <f>'A) Base RI'!AE48</f>
        <v>60386.7</v>
      </c>
      <c r="AL48" s="14">
        <f>'A) Base RI'!AF48</f>
        <v>0</v>
      </c>
      <c r="AM48" s="14">
        <f>'A) Base RI'!AG48</f>
        <v>1275</v>
      </c>
      <c r="AN48" s="14">
        <f>'A) Base RI'!AH48</f>
        <v>74615.8</v>
      </c>
      <c r="AO48" s="14">
        <f>'A) Base RI'!AI48</f>
        <v>0</v>
      </c>
      <c r="AP48" s="14">
        <f>'A) Base RI'!AJ48</f>
        <v>0</v>
      </c>
      <c r="AQ48" s="14">
        <f>'A) Base RI'!AK48</f>
        <v>2100</v>
      </c>
      <c r="AR48" s="14">
        <f>'A) Base RI'!AN48</f>
        <v>3642</v>
      </c>
    </row>
    <row r="49" spans="1:44" x14ac:dyDescent="0.25">
      <c r="A49" s="12">
        <f>'A) Base RI'!A49</f>
        <v>5478</v>
      </c>
      <c r="B49" s="42" t="str">
        <f>'A) Base RI'!B49</f>
        <v>Cottens</v>
      </c>
      <c r="C49" s="14">
        <f>'A) Base RI'!C49+'A) Base RI'!D49</f>
        <v>992700.44</v>
      </c>
      <c r="D49" s="14">
        <f>'A) Base RI'!AO49</f>
        <v>-5311.81</v>
      </c>
      <c r="E49" s="41">
        <f>'A) Base RI'!AP49</f>
        <v>0</v>
      </c>
      <c r="F49" s="41">
        <f>'A) Base RI'!AQ49</f>
        <v>0</v>
      </c>
      <c r="G49" s="4">
        <f t="shared" si="0"/>
        <v>987388.62999999989</v>
      </c>
      <c r="H49" s="14">
        <f>'A) Base RI'!E49</f>
        <v>0</v>
      </c>
      <c r="I49" s="14">
        <f>'A) Base RI'!F49</f>
        <v>0</v>
      </c>
      <c r="J49" s="14">
        <f>'A) Base RI'!G49+'A) Base RI'!H49</f>
        <v>40933.5</v>
      </c>
      <c r="K49" s="14">
        <f>'A) Base RI'!I49</f>
        <v>0</v>
      </c>
      <c r="L49" s="14">
        <f>'A) Base RI'!J49</f>
        <v>6542.89</v>
      </c>
      <c r="M49" s="14">
        <f>'A) Base RI'!K49</f>
        <v>250</v>
      </c>
      <c r="N49" s="14">
        <f>'A) Base RI'!Q49</f>
        <v>6232.49</v>
      </c>
      <c r="O49" s="14">
        <f t="shared" si="1"/>
        <v>72077.3</v>
      </c>
      <c r="P49" s="14">
        <f>'A) Base RI'!L49</f>
        <v>72077.3</v>
      </c>
      <c r="Q49" s="44">
        <f>'A) Base RI'!AR49</f>
        <v>1</v>
      </c>
      <c r="R49" s="4">
        <f t="shared" si="2"/>
        <v>1113424.8099999998</v>
      </c>
      <c r="S49" s="43">
        <f>'A) Base RI'!AM49</f>
        <v>72</v>
      </c>
      <c r="T49" s="4">
        <f t="shared" si="3"/>
        <v>1041097.5099999999</v>
      </c>
      <c r="U49" s="4">
        <f t="shared" si="4"/>
        <v>15464.23347222222</v>
      </c>
      <c r="V49" s="14">
        <f>'A) Base RI'!O49</f>
        <v>717.8</v>
      </c>
      <c r="W49" s="14">
        <f>'A) Base RI'!P49</f>
        <v>6600</v>
      </c>
      <c r="X49" s="14">
        <f>'A) Base RI'!R49</f>
        <v>20155.05</v>
      </c>
      <c r="Y49" s="4">
        <f t="shared" si="5"/>
        <v>27472.85</v>
      </c>
      <c r="Z49" s="14">
        <f>'A) Base RI'!N49</f>
        <v>0</v>
      </c>
      <c r="AA49" s="14">
        <f>'A) Base RI'!S49+'A) Base RI'!T49</f>
        <v>331.25</v>
      </c>
      <c r="AB49" s="14">
        <f>'A) Base RI'!U49</f>
        <v>1850</v>
      </c>
      <c r="AC49" s="14">
        <f>'A) Base RI'!V49</f>
        <v>0</v>
      </c>
      <c r="AD49" s="14">
        <f>'A) Base RI'!W49</f>
        <v>0</v>
      </c>
      <c r="AE49" s="14">
        <f>'A) Base RI'!Y49</f>
        <v>3524.05</v>
      </c>
      <c r="AF49" s="14">
        <f>'A) Base RI'!Z49</f>
        <v>0</v>
      </c>
      <c r="AG49" s="14">
        <f>'A) Base RI'!AA49</f>
        <v>29736.25</v>
      </c>
      <c r="AH49" s="14">
        <f>'A) Base RI'!AB49</f>
        <v>0</v>
      </c>
      <c r="AI49" s="14">
        <f>'A) Base RI'!AC49</f>
        <v>44694.3</v>
      </c>
      <c r="AJ49" s="14">
        <f>'A) Base RI'!AD49</f>
        <v>3524.05</v>
      </c>
      <c r="AK49" s="14">
        <f>'A) Base RI'!AE49</f>
        <v>0</v>
      </c>
      <c r="AL49" s="14">
        <f>'A) Base RI'!AF49</f>
        <v>0</v>
      </c>
      <c r="AM49" s="14">
        <f>'A) Base RI'!AG49</f>
        <v>0</v>
      </c>
      <c r="AN49" s="14">
        <f>'A) Base RI'!AH49</f>
        <v>0</v>
      </c>
      <c r="AO49" s="14">
        <f>'A) Base RI'!AI49</f>
        <v>0</v>
      </c>
      <c r="AP49" s="14">
        <f>'A) Base RI'!AJ49</f>
        <v>0</v>
      </c>
      <c r="AQ49" s="14">
        <f>'A) Base RI'!AK49</f>
        <v>0</v>
      </c>
      <c r="AR49" s="14">
        <f>'A) Base RI'!AN49</f>
        <v>473</v>
      </c>
    </row>
    <row r="50" spans="1:44" x14ac:dyDescent="0.25">
      <c r="A50" s="12">
        <f>'A) Base RI'!A50</f>
        <v>5479</v>
      </c>
      <c r="B50" s="42" t="str">
        <f>'A) Base RI'!B50</f>
        <v>Cuarnens</v>
      </c>
      <c r="C50" s="14">
        <f>'A) Base RI'!C50+'A) Base RI'!D50</f>
        <v>747381.39999999991</v>
      </c>
      <c r="D50" s="14">
        <f>'A) Base RI'!AO50</f>
        <v>-14870.28</v>
      </c>
      <c r="E50" s="41">
        <f>'A) Base RI'!AP50</f>
        <v>0</v>
      </c>
      <c r="F50" s="41">
        <f>'A) Base RI'!AQ50</f>
        <v>-33.04</v>
      </c>
      <c r="G50" s="4">
        <f t="shared" si="0"/>
        <v>732478.07999999984</v>
      </c>
      <c r="H50" s="14">
        <f>'A) Base RI'!E50</f>
        <v>0</v>
      </c>
      <c r="I50" s="14">
        <f>'A) Base RI'!F50</f>
        <v>0</v>
      </c>
      <c r="J50" s="14">
        <f>'A) Base RI'!G50+'A) Base RI'!H50</f>
        <v>3370.9</v>
      </c>
      <c r="K50" s="14">
        <f>'A) Base RI'!I50</f>
        <v>54737.05</v>
      </c>
      <c r="L50" s="14">
        <f>'A) Base RI'!J50</f>
        <v>10424.219999999999</v>
      </c>
      <c r="M50" s="14">
        <f>'A) Base RI'!K50</f>
        <v>1912</v>
      </c>
      <c r="N50" s="14">
        <f>'A) Base RI'!Q50</f>
        <v>36094.379999999997</v>
      </c>
      <c r="O50" s="14">
        <f t="shared" si="1"/>
        <v>70008.800000000003</v>
      </c>
      <c r="P50" s="14">
        <f>'A) Base RI'!L50</f>
        <v>70008.800000000003</v>
      </c>
      <c r="Q50" s="44">
        <f>'A) Base RI'!AR50</f>
        <v>1</v>
      </c>
      <c r="R50" s="4">
        <f t="shared" si="2"/>
        <v>909025.42999999993</v>
      </c>
      <c r="S50" s="43">
        <f>'A) Base RI'!AM50</f>
        <v>77</v>
      </c>
      <c r="T50" s="4">
        <f t="shared" si="3"/>
        <v>837104.62999999989</v>
      </c>
      <c r="U50" s="4">
        <f t="shared" si="4"/>
        <v>11805.525064935064</v>
      </c>
      <c r="V50" s="14">
        <f>'A) Base RI'!O50</f>
        <v>14770.7</v>
      </c>
      <c r="W50" s="14">
        <f>'A) Base RI'!P50</f>
        <v>5106.2</v>
      </c>
      <c r="X50" s="14">
        <f>'A) Base RI'!R50</f>
        <v>-4698.1499999999996</v>
      </c>
      <c r="Y50" s="4">
        <f t="shared" si="5"/>
        <v>15178.750000000002</v>
      </c>
      <c r="Z50" s="14">
        <f>'A) Base RI'!N50</f>
        <v>1482.8</v>
      </c>
      <c r="AA50" s="14">
        <f>'A) Base RI'!S50+'A) Base RI'!T50</f>
        <v>0</v>
      </c>
      <c r="AB50" s="14">
        <f>'A) Base RI'!U50</f>
        <v>1800</v>
      </c>
      <c r="AC50" s="14">
        <f>'A) Base RI'!V50</f>
        <v>0</v>
      </c>
      <c r="AD50" s="14">
        <f>'A) Base RI'!W50</f>
        <v>0</v>
      </c>
      <c r="AE50" s="14">
        <f>'A) Base RI'!Y50</f>
        <v>7135</v>
      </c>
      <c r="AF50" s="14">
        <f>'A) Base RI'!Z50</f>
        <v>0</v>
      </c>
      <c r="AG50" s="14">
        <f>'A) Base RI'!AA50</f>
        <v>51878.1</v>
      </c>
      <c r="AH50" s="14">
        <f>'A) Base RI'!AB50</f>
        <v>0</v>
      </c>
      <c r="AI50" s="14">
        <f>'A) Base RI'!AC50</f>
        <v>67382.149999999994</v>
      </c>
      <c r="AJ50" s="14">
        <f>'A) Base RI'!AD50</f>
        <v>2731.75</v>
      </c>
      <c r="AK50" s="14">
        <f>'A) Base RI'!AE50</f>
        <v>10832.5</v>
      </c>
      <c r="AL50" s="14">
        <f>'A) Base RI'!AF50</f>
        <v>0</v>
      </c>
      <c r="AM50" s="14">
        <f>'A) Base RI'!AG50</f>
        <v>0</v>
      </c>
      <c r="AN50" s="14">
        <f>'A) Base RI'!AH50</f>
        <v>13202.5</v>
      </c>
      <c r="AO50" s="14">
        <f>'A) Base RI'!AI50</f>
        <v>0</v>
      </c>
      <c r="AP50" s="14">
        <f>'A) Base RI'!AJ50</f>
        <v>0</v>
      </c>
      <c r="AQ50" s="14">
        <f>'A) Base RI'!AK50</f>
        <v>0</v>
      </c>
      <c r="AR50" s="14">
        <f>'A) Base RI'!AN50</f>
        <v>439</v>
      </c>
    </row>
    <row r="51" spans="1:44" x14ac:dyDescent="0.25">
      <c r="A51" s="12">
        <f>'A) Base RI'!A51</f>
        <v>5480</v>
      </c>
      <c r="B51" s="42" t="str">
        <f>'A) Base RI'!B51</f>
        <v>Daillens</v>
      </c>
      <c r="C51" s="14">
        <f>'A) Base RI'!C51+'A) Base RI'!D51</f>
        <v>2266334.38</v>
      </c>
      <c r="D51" s="14">
        <f>'A) Base RI'!AO51</f>
        <v>-4282.63</v>
      </c>
      <c r="E51" s="41">
        <f>'A) Base RI'!AP51</f>
        <v>0</v>
      </c>
      <c r="F51" s="41">
        <f>'A) Base RI'!AQ51</f>
        <v>-194.03</v>
      </c>
      <c r="G51" s="4">
        <f t="shared" si="0"/>
        <v>2261857.7200000002</v>
      </c>
      <c r="H51" s="14">
        <f>'A) Base RI'!E51</f>
        <v>0</v>
      </c>
      <c r="I51" s="14">
        <f>'A) Base RI'!F51</f>
        <v>0</v>
      </c>
      <c r="J51" s="14">
        <f>'A) Base RI'!G51+'A) Base RI'!H51</f>
        <v>380585.3</v>
      </c>
      <c r="K51" s="14">
        <f>'A) Base RI'!I51</f>
        <v>0</v>
      </c>
      <c r="L51" s="14">
        <f>'A) Base RI'!J51</f>
        <v>62991.42</v>
      </c>
      <c r="M51" s="14">
        <f>'A) Base RI'!K51</f>
        <v>11335.5</v>
      </c>
      <c r="N51" s="14">
        <f>'A) Base RI'!Q51</f>
        <v>974.09</v>
      </c>
      <c r="O51" s="14">
        <f t="shared" si="1"/>
        <v>272339.3</v>
      </c>
      <c r="P51" s="14">
        <f>'A) Base RI'!L51</f>
        <v>272339.3</v>
      </c>
      <c r="Q51" s="44">
        <f>'A) Base RI'!AR51</f>
        <v>1</v>
      </c>
      <c r="R51" s="4">
        <f t="shared" si="2"/>
        <v>2990083.3299999996</v>
      </c>
      <c r="S51" s="43">
        <f>'A) Base RI'!AM51</f>
        <v>71</v>
      </c>
      <c r="T51" s="4">
        <f t="shared" si="3"/>
        <v>2706408.53</v>
      </c>
      <c r="U51" s="4">
        <f t="shared" si="4"/>
        <v>42113.849718309852</v>
      </c>
      <c r="V51" s="14">
        <f>'A) Base RI'!O51</f>
        <v>10005.6</v>
      </c>
      <c r="W51" s="14">
        <f>'A) Base RI'!P51</f>
        <v>123032.55</v>
      </c>
      <c r="X51" s="14">
        <f>'A) Base RI'!R51</f>
        <v>121478.35</v>
      </c>
      <c r="Y51" s="4">
        <f t="shared" si="5"/>
        <v>254516.5</v>
      </c>
      <c r="Z51" s="14">
        <f>'A) Base RI'!N51</f>
        <v>161064.79999999999</v>
      </c>
      <c r="AA51" s="14">
        <f>'A) Base RI'!S51+'A) Base RI'!T51</f>
        <v>1162.5</v>
      </c>
      <c r="AB51" s="14">
        <f>'A) Base RI'!U51</f>
        <v>9750</v>
      </c>
      <c r="AC51" s="14">
        <f>'A) Base RI'!V51</f>
        <v>0</v>
      </c>
      <c r="AD51" s="14">
        <f>'A) Base RI'!W51</f>
        <v>0</v>
      </c>
      <c r="AE51" s="14">
        <f>'A) Base RI'!Y51</f>
        <v>45723.15</v>
      </c>
      <c r="AF51" s="14">
        <f>'A) Base RI'!Z51</f>
        <v>0</v>
      </c>
      <c r="AG51" s="14">
        <f>'A) Base RI'!AA51</f>
        <v>146292.5</v>
      </c>
      <c r="AH51" s="14">
        <f>'A) Base RI'!AB51</f>
        <v>107789.05</v>
      </c>
      <c r="AI51" s="14">
        <f>'A) Base RI'!AC51</f>
        <v>56884.25</v>
      </c>
      <c r="AJ51" s="14">
        <f>'A) Base RI'!AD51</f>
        <v>43791.8</v>
      </c>
      <c r="AK51" s="14">
        <f>'A) Base RI'!AE51</f>
        <v>0</v>
      </c>
      <c r="AL51" s="14">
        <f>'A) Base RI'!AF51</f>
        <v>0</v>
      </c>
      <c r="AM51" s="14">
        <f>'A) Base RI'!AG51</f>
        <v>4286.8999999999996</v>
      </c>
      <c r="AN51" s="14">
        <f>'A) Base RI'!AH51</f>
        <v>58285.3</v>
      </c>
      <c r="AO51" s="14">
        <f>'A) Base RI'!AI51</f>
        <v>0</v>
      </c>
      <c r="AP51" s="14">
        <f>'A) Base RI'!AJ51</f>
        <v>0</v>
      </c>
      <c r="AQ51" s="14">
        <f>'A) Base RI'!AK51</f>
        <v>0</v>
      </c>
      <c r="AR51" s="14">
        <f>'A) Base RI'!AN51</f>
        <v>940</v>
      </c>
    </row>
    <row r="52" spans="1:44" x14ac:dyDescent="0.25">
      <c r="A52" s="12">
        <f>'A) Base RI'!A52</f>
        <v>5481</v>
      </c>
      <c r="B52" s="42" t="str">
        <f>'A) Base RI'!B52</f>
        <v>Dizy</v>
      </c>
      <c r="C52" s="14">
        <f>'A) Base RI'!C52+'A) Base RI'!D52</f>
        <v>544056.24</v>
      </c>
      <c r="D52" s="14">
        <f>'A) Base RI'!AO52</f>
        <v>-2225.7800000000002</v>
      </c>
      <c r="E52" s="41">
        <f>'A) Base RI'!AP52</f>
        <v>0</v>
      </c>
      <c r="F52" s="41">
        <f>'A) Base RI'!AQ52</f>
        <v>-1.74</v>
      </c>
      <c r="G52" s="4">
        <f t="shared" si="0"/>
        <v>541828.72</v>
      </c>
      <c r="H52" s="14">
        <f>'A) Base RI'!E52</f>
        <v>0</v>
      </c>
      <c r="I52" s="14">
        <f>'A) Base RI'!F52</f>
        <v>0</v>
      </c>
      <c r="J52" s="14">
        <f>'A) Base RI'!G52+'A) Base RI'!H52</f>
        <v>28000.149999999998</v>
      </c>
      <c r="K52" s="14">
        <f>'A) Base RI'!I52</f>
        <v>0</v>
      </c>
      <c r="L52" s="14">
        <f>'A) Base RI'!J52</f>
        <v>5695.19</v>
      </c>
      <c r="M52" s="14">
        <f>'A) Base RI'!K52</f>
        <v>0</v>
      </c>
      <c r="N52" s="14">
        <f>'A) Base RI'!Q52</f>
        <v>0</v>
      </c>
      <c r="O52" s="14">
        <f t="shared" si="1"/>
        <v>34309.599999999999</v>
      </c>
      <c r="P52" s="14">
        <f>'A) Base RI'!L52</f>
        <v>34309.599999999999</v>
      </c>
      <c r="Q52" s="44">
        <f>'A) Base RI'!AR52</f>
        <v>1</v>
      </c>
      <c r="R52" s="4">
        <f t="shared" si="2"/>
        <v>609833.65999999992</v>
      </c>
      <c r="S52" s="43">
        <f>'A) Base RI'!AM52</f>
        <v>74</v>
      </c>
      <c r="T52" s="4">
        <f t="shared" si="3"/>
        <v>575524.05999999994</v>
      </c>
      <c r="U52" s="4">
        <f t="shared" si="4"/>
        <v>8240.9954054054051</v>
      </c>
      <c r="V52" s="14">
        <f>'A) Base RI'!O52</f>
        <v>0</v>
      </c>
      <c r="W52" s="14">
        <f>'A) Base RI'!P52</f>
        <v>9762.5</v>
      </c>
      <c r="X52" s="14">
        <f>'A) Base RI'!R52</f>
        <v>13950.9</v>
      </c>
      <c r="Y52" s="4">
        <f t="shared" si="5"/>
        <v>23713.4</v>
      </c>
      <c r="Z52" s="14">
        <f>'A) Base RI'!N52</f>
        <v>0</v>
      </c>
      <c r="AA52" s="14">
        <f>'A) Base RI'!S52+'A) Base RI'!T52</f>
        <v>0</v>
      </c>
      <c r="AB52" s="14">
        <f>'A) Base RI'!U52</f>
        <v>750</v>
      </c>
      <c r="AC52" s="14">
        <f>'A) Base RI'!V52</f>
        <v>0</v>
      </c>
      <c r="AD52" s="14">
        <f>'A) Base RI'!W52</f>
        <v>0</v>
      </c>
      <c r="AE52" s="14">
        <f>'A) Base RI'!Y52</f>
        <v>10800</v>
      </c>
      <c r="AF52" s="14">
        <f>'A) Base RI'!Z52</f>
        <v>0</v>
      </c>
      <c r="AG52" s="14">
        <f>'A) Base RI'!AA52</f>
        <v>48620</v>
      </c>
      <c r="AH52" s="14">
        <f>'A) Base RI'!AB52</f>
        <v>0</v>
      </c>
      <c r="AI52" s="14">
        <f>'A) Base RI'!AC52</f>
        <v>14916</v>
      </c>
      <c r="AJ52" s="14">
        <f>'A) Base RI'!AD52</f>
        <v>10557</v>
      </c>
      <c r="AK52" s="14">
        <f>'A) Base RI'!AE52</f>
        <v>0</v>
      </c>
      <c r="AL52" s="14">
        <f>'A) Base RI'!AF52</f>
        <v>0</v>
      </c>
      <c r="AM52" s="14">
        <f>'A) Base RI'!AG52</f>
        <v>0</v>
      </c>
      <c r="AN52" s="14">
        <f>'A) Base RI'!AH52</f>
        <v>0</v>
      </c>
      <c r="AO52" s="14">
        <f>'A) Base RI'!AI52</f>
        <v>0</v>
      </c>
      <c r="AP52" s="14">
        <f>'A) Base RI'!AJ52</f>
        <v>0</v>
      </c>
      <c r="AQ52" s="14">
        <f>'A) Base RI'!AK52</f>
        <v>0</v>
      </c>
      <c r="AR52" s="14">
        <f>'A) Base RI'!AN52</f>
        <v>221</v>
      </c>
    </row>
    <row r="53" spans="1:44" x14ac:dyDescent="0.25">
      <c r="A53" s="12">
        <f>'A) Base RI'!A53</f>
        <v>5482</v>
      </c>
      <c r="B53" s="42" t="str">
        <f>'A) Base RI'!B53</f>
        <v>Eclépens</v>
      </c>
      <c r="C53" s="14">
        <f>'A) Base RI'!C53+'A) Base RI'!D53</f>
        <v>1393004.42</v>
      </c>
      <c r="D53" s="14">
        <f>'A) Base RI'!AO53</f>
        <v>-12760.93</v>
      </c>
      <c r="E53" s="41">
        <f>'A) Base RI'!AP53</f>
        <v>0</v>
      </c>
      <c r="F53" s="41">
        <f>'A) Base RI'!AQ53</f>
        <v>-26.36</v>
      </c>
      <c r="G53" s="4">
        <f t="shared" si="0"/>
        <v>1380217.13</v>
      </c>
      <c r="H53" s="14">
        <f>'A) Base RI'!E53</f>
        <v>0</v>
      </c>
      <c r="I53" s="14">
        <f>'A) Base RI'!F53</f>
        <v>0</v>
      </c>
      <c r="J53" s="14">
        <f>'A) Base RI'!G53+'A) Base RI'!H53</f>
        <v>1085818.6499999999</v>
      </c>
      <c r="K53" s="14">
        <f>'A) Base RI'!I53</f>
        <v>0</v>
      </c>
      <c r="L53" s="14">
        <f>'A) Base RI'!J53</f>
        <v>95486.22</v>
      </c>
      <c r="M53" s="14">
        <f>'A) Base RI'!K53</f>
        <v>37015</v>
      </c>
      <c r="N53" s="14">
        <f>'A) Base RI'!Q53</f>
        <v>4373.59</v>
      </c>
      <c r="O53" s="14">
        <f t="shared" si="1"/>
        <v>366478.1</v>
      </c>
      <c r="P53" s="14">
        <f>'A) Base RI'!L53</f>
        <v>366478.1</v>
      </c>
      <c r="Q53" s="44">
        <f>'A) Base RI'!AR53</f>
        <v>1</v>
      </c>
      <c r="R53" s="4">
        <f t="shared" si="2"/>
        <v>2969388.69</v>
      </c>
      <c r="S53" s="43">
        <f>'A) Base RI'!AM53</f>
        <v>46</v>
      </c>
      <c r="T53" s="4">
        <f t="shared" si="3"/>
        <v>2565895.59</v>
      </c>
      <c r="U53" s="4">
        <f t="shared" si="4"/>
        <v>64551.928043478263</v>
      </c>
      <c r="V53" s="14">
        <f>'A) Base RI'!O53</f>
        <v>27397.599999999999</v>
      </c>
      <c r="W53" s="14">
        <f>'A) Base RI'!P53</f>
        <v>118763.1</v>
      </c>
      <c r="X53" s="14">
        <f>'A) Base RI'!R53</f>
        <v>25876.65</v>
      </c>
      <c r="Y53" s="4">
        <f t="shared" si="5"/>
        <v>172037.35</v>
      </c>
      <c r="Z53" s="14">
        <f>'A) Base RI'!N53</f>
        <v>152417.95000000001</v>
      </c>
      <c r="AA53" s="14">
        <f>'A) Base RI'!S53+'A) Base RI'!T53</f>
        <v>181.25</v>
      </c>
      <c r="AB53" s="14">
        <f>'A) Base RI'!U53</f>
        <v>7950</v>
      </c>
      <c r="AC53" s="14">
        <f>'A) Base RI'!V53</f>
        <v>0</v>
      </c>
      <c r="AD53" s="14">
        <f>'A) Base RI'!W53</f>
        <v>0</v>
      </c>
      <c r="AE53" s="14">
        <f>'A) Base RI'!Y53</f>
        <v>0</v>
      </c>
      <c r="AF53" s="14">
        <f>'A) Base RI'!Z53</f>
        <v>0</v>
      </c>
      <c r="AG53" s="14">
        <f>'A) Base RI'!AA53</f>
        <v>201808.8</v>
      </c>
      <c r="AH53" s="14">
        <f>'A) Base RI'!AB53</f>
        <v>0</v>
      </c>
      <c r="AI53" s="14">
        <f>'A) Base RI'!AC53</f>
        <v>98797.1</v>
      </c>
      <c r="AJ53" s="14">
        <f>'A) Base RI'!AD53</f>
        <v>0</v>
      </c>
      <c r="AK53" s="14">
        <f>'A) Base RI'!AE53</f>
        <v>0</v>
      </c>
      <c r="AL53" s="14">
        <f>'A) Base RI'!AF53</f>
        <v>0</v>
      </c>
      <c r="AM53" s="14">
        <f>'A) Base RI'!AG53</f>
        <v>0</v>
      </c>
      <c r="AN53" s="14">
        <f>'A) Base RI'!AH53</f>
        <v>650245.85</v>
      </c>
      <c r="AO53" s="14">
        <f>'A) Base RI'!AI53</f>
        <v>0</v>
      </c>
      <c r="AP53" s="14">
        <f>'A) Base RI'!AJ53</f>
        <v>0</v>
      </c>
      <c r="AQ53" s="14">
        <f>'A) Base RI'!AK53</f>
        <v>0</v>
      </c>
      <c r="AR53" s="14">
        <f>'A) Base RI'!AN53</f>
        <v>1039</v>
      </c>
    </row>
    <row r="54" spans="1:44" x14ac:dyDescent="0.25">
      <c r="A54" s="12">
        <f>'A) Base RI'!A54</f>
        <v>5483</v>
      </c>
      <c r="B54" s="42" t="str">
        <f>'A) Base RI'!B54</f>
        <v>Ferreyres</v>
      </c>
      <c r="C54" s="14">
        <f>'A) Base RI'!C54+'A) Base RI'!D54</f>
        <v>619195.78999999992</v>
      </c>
      <c r="D54" s="14">
        <f>'A) Base RI'!AO54</f>
        <v>-7368.63</v>
      </c>
      <c r="E54" s="41">
        <f>'A) Base RI'!AP54</f>
        <v>0</v>
      </c>
      <c r="F54" s="41">
        <f>'A) Base RI'!AQ54</f>
        <v>0</v>
      </c>
      <c r="G54" s="4">
        <f t="shared" si="0"/>
        <v>611827.15999999992</v>
      </c>
      <c r="H54" s="14">
        <f>'A) Base RI'!E54</f>
        <v>0</v>
      </c>
      <c r="I54" s="14">
        <f>'A) Base RI'!F54</f>
        <v>0</v>
      </c>
      <c r="J54" s="14">
        <f>'A) Base RI'!G54+'A) Base RI'!H54</f>
        <v>30329.3</v>
      </c>
      <c r="K54" s="14">
        <f>'A) Base RI'!I54</f>
        <v>0</v>
      </c>
      <c r="L54" s="14">
        <f>'A) Base RI'!J54</f>
        <v>1203.94</v>
      </c>
      <c r="M54" s="14">
        <f>'A) Base RI'!K54</f>
        <v>175.5</v>
      </c>
      <c r="N54" s="14">
        <f>'A) Base RI'!Q54</f>
        <v>0</v>
      </c>
      <c r="O54" s="14">
        <f t="shared" si="1"/>
        <v>47878.5</v>
      </c>
      <c r="P54" s="14">
        <f>'A) Base RI'!L54</f>
        <v>47878.5</v>
      </c>
      <c r="Q54" s="44">
        <f>'A) Base RI'!AR54</f>
        <v>1</v>
      </c>
      <c r="R54" s="4">
        <f t="shared" si="2"/>
        <v>691414.39999999991</v>
      </c>
      <c r="S54" s="43">
        <f>'A) Base RI'!AM54</f>
        <v>76</v>
      </c>
      <c r="T54" s="4">
        <f t="shared" si="3"/>
        <v>643360.39999999991</v>
      </c>
      <c r="U54" s="4">
        <f t="shared" si="4"/>
        <v>9097.5578947368413</v>
      </c>
      <c r="V54" s="14">
        <f>'A) Base RI'!O54</f>
        <v>0</v>
      </c>
      <c r="W54" s="14">
        <f>'A) Base RI'!P54</f>
        <v>15070</v>
      </c>
      <c r="X54" s="14">
        <f>'A) Base RI'!R54</f>
        <v>11477.8</v>
      </c>
      <c r="Y54" s="4">
        <f t="shared" si="5"/>
        <v>26547.8</v>
      </c>
      <c r="Z54" s="14">
        <f>'A) Base RI'!N54</f>
        <v>171.95</v>
      </c>
      <c r="AA54" s="14">
        <f>'A) Base RI'!S54+'A) Base RI'!T54</f>
        <v>-31.25</v>
      </c>
      <c r="AB54" s="14">
        <f>'A) Base RI'!U54</f>
        <v>1440</v>
      </c>
      <c r="AC54" s="14">
        <f>'A) Base RI'!V54</f>
        <v>0</v>
      </c>
      <c r="AD54" s="14">
        <f>'A) Base RI'!W54</f>
        <v>0</v>
      </c>
      <c r="AE54" s="14">
        <f>'A) Base RI'!Y54</f>
        <v>0</v>
      </c>
      <c r="AF54" s="14">
        <f>'A) Base RI'!Z54</f>
        <v>0</v>
      </c>
      <c r="AG54" s="14">
        <f>'A) Base RI'!AA54</f>
        <v>46773.1</v>
      </c>
      <c r="AH54" s="14">
        <f>'A) Base RI'!AB54</f>
        <v>0</v>
      </c>
      <c r="AI54" s="14">
        <f>'A) Base RI'!AC54</f>
        <v>27747.45</v>
      </c>
      <c r="AJ54" s="14">
        <f>'A) Base RI'!AD54</f>
        <v>0</v>
      </c>
      <c r="AK54" s="14">
        <f>'A) Base RI'!AE54</f>
        <v>0</v>
      </c>
      <c r="AL54" s="14">
        <f>'A) Base RI'!AF54</f>
        <v>0</v>
      </c>
      <c r="AM54" s="14">
        <f>'A) Base RI'!AG54</f>
        <v>0</v>
      </c>
      <c r="AN54" s="14">
        <f>'A) Base RI'!AH54</f>
        <v>0</v>
      </c>
      <c r="AO54" s="14">
        <f>'A) Base RI'!AI54</f>
        <v>0</v>
      </c>
      <c r="AP54" s="14">
        <f>'A) Base RI'!AJ54</f>
        <v>0</v>
      </c>
      <c r="AQ54" s="14">
        <f>'A) Base RI'!AK54</f>
        <v>0</v>
      </c>
      <c r="AR54" s="14">
        <f>'A) Base RI'!AN54</f>
        <v>313</v>
      </c>
    </row>
    <row r="55" spans="1:44" x14ac:dyDescent="0.25">
      <c r="A55" s="12">
        <f>'A) Base RI'!A55</f>
        <v>5484</v>
      </c>
      <c r="B55" s="42" t="str">
        <f>'A) Base RI'!B55</f>
        <v>Gollion</v>
      </c>
      <c r="C55" s="14">
        <f>'A) Base RI'!C55+'A) Base RI'!D55</f>
        <v>1709031.7400000002</v>
      </c>
      <c r="D55" s="14">
        <f>'A) Base RI'!AO55</f>
        <v>-56509.58</v>
      </c>
      <c r="E55" s="41">
        <f>'A) Base RI'!AP55</f>
        <v>0</v>
      </c>
      <c r="F55" s="41">
        <f>'A) Base RI'!AQ55</f>
        <v>-1.83</v>
      </c>
      <c r="G55" s="4">
        <f t="shared" si="0"/>
        <v>1652520.33</v>
      </c>
      <c r="H55" s="14">
        <f>'A) Base RI'!E55</f>
        <v>0</v>
      </c>
      <c r="I55" s="14">
        <f>'A) Base RI'!F55</f>
        <v>0</v>
      </c>
      <c r="J55" s="14">
        <f>'A) Base RI'!G55+'A) Base RI'!H55</f>
        <v>-53697.2</v>
      </c>
      <c r="K55" s="14">
        <f>'A) Base RI'!I55</f>
        <v>-50470.6</v>
      </c>
      <c r="L55" s="14">
        <f>'A) Base RI'!J55</f>
        <v>27435.68</v>
      </c>
      <c r="M55" s="14">
        <f>'A) Base RI'!K55</f>
        <v>3831</v>
      </c>
      <c r="N55" s="14">
        <f>'A) Base RI'!Q55</f>
        <v>4704.62</v>
      </c>
      <c r="O55" s="14">
        <f t="shared" si="1"/>
        <v>129738.7</v>
      </c>
      <c r="P55" s="14">
        <f>'A) Base RI'!L55</f>
        <v>129738.7</v>
      </c>
      <c r="Q55" s="44">
        <f>'A) Base RI'!AR55</f>
        <v>1</v>
      </c>
      <c r="R55" s="4">
        <f t="shared" si="2"/>
        <v>1714062.53</v>
      </c>
      <c r="S55" s="43">
        <f>'A) Base RI'!AM55</f>
        <v>74</v>
      </c>
      <c r="T55" s="4">
        <f t="shared" si="3"/>
        <v>1580492.83</v>
      </c>
      <c r="U55" s="4">
        <f t="shared" si="4"/>
        <v>23163.007162162161</v>
      </c>
      <c r="V55" s="14">
        <f>'A) Base RI'!O55</f>
        <v>6454.8</v>
      </c>
      <c r="W55" s="14">
        <f>'A) Base RI'!P55</f>
        <v>193899.55</v>
      </c>
      <c r="X55" s="14">
        <f>'A) Base RI'!R55</f>
        <v>39397.25</v>
      </c>
      <c r="Y55" s="4">
        <f t="shared" si="5"/>
        <v>239751.59999999998</v>
      </c>
      <c r="Z55" s="14">
        <f>'A) Base RI'!N55</f>
        <v>9736.2999999999993</v>
      </c>
      <c r="AA55" s="14">
        <f>'A) Base RI'!S55+'A) Base RI'!T55</f>
        <v>93.75</v>
      </c>
      <c r="AB55" s="14">
        <f>'A) Base RI'!U55</f>
        <v>4080</v>
      </c>
      <c r="AC55" s="14">
        <f>'A) Base RI'!V55</f>
        <v>0</v>
      </c>
      <c r="AD55" s="14">
        <f>'A) Base RI'!W55</f>
        <v>0</v>
      </c>
      <c r="AE55" s="14">
        <f>'A) Base RI'!Y55</f>
        <v>81310.8</v>
      </c>
      <c r="AF55" s="14">
        <f>'A) Base RI'!Z55</f>
        <v>0</v>
      </c>
      <c r="AG55" s="14">
        <f>'A) Base RI'!AA55</f>
        <v>110500.9</v>
      </c>
      <c r="AH55" s="14">
        <f>'A) Base RI'!AB55</f>
        <v>0</v>
      </c>
      <c r="AI55" s="14">
        <f>'A) Base RI'!AC55</f>
        <v>97517.05</v>
      </c>
      <c r="AJ55" s="14">
        <f>'A) Base RI'!AD55</f>
        <v>41652.6</v>
      </c>
      <c r="AK55" s="14">
        <f>'A) Base RI'!AE55</f>
        <v>0</v>
      </c>
      <c r="AL55" s="14">
        <f>'A) Base RI'!AF55</f>
        <v>0</v>
      </c>
      <c r="AM55" s="14">
        <f>'A) Base RI'!AG55</f>
        <v>0</v>
      </c>
      <c r="AN55" s="14">
        <f>'A) Base RI'!AH55</f>
        <v>0</v>
      </c>
      <c r="AO55" s="14">
        <f>'A) Base RI'!AI55</f>
        <v>22878.799999999999</v>
      </c>
      <c r="AP55" s="14">
        <f>'A) Base RI'!AJ55</f>
        <v>0</v>
      </c>
      <c r="AQ55" s="14">
        <f>'A) Base RI'!AK55</f>
        <v>0</v>
      </c>
      <c r="AR55" s="14">
        <f>'A) Base RI'!AN55</f>
        <v>857</v>
      </c>
    </row>
    <row r="56" spans="1:44" x14ac:dyDescent="0.25">
      <c r="A56" s="12">
        <f>'A) Base RI'!A56</f>
        <v>5485</v>
      </c>
      <c r="B56" s="42" t="str">
        <f>'A) Base RI'!B56</f>
        <v>Grancy</v>
      </c>
      <c r="C56" s="14">
        <f>'A) Base RI'!C56+'A) Base RI'!D56</f>
        <v>1122830.6400000001</v>
      </c>
      <c r="D56" s="14">
        <f>'A) Base RI'!AO56</f>
        <v>-7887.74</v>
      </c>
      <c r="E56" s="41">
        <f>'A) Base RI'!AP56</f>
        <v>0</v>
      </c>
      <c r="F56" s="41">
        <f>'A) Base RI'!AQ56</f>
        <v>-187.42</v>
      </c>
      <c r="G56" s="4">
        <f t="shared" si="0"/>
        <v>1114755.4800000002</v>
      </c>
      <c r="H56" s="14">
        <f>'A) Base RI'!E56</f>
        <v>0</v>
      </c>
      <c r="I56" s="14">
        <f>'A) Base RI'!F56</f>
        <v>0</v>
      </c>
      <c r="J56" s="14">
        <f>'A) Base RI'!G56+'A) Base RI'!H56</f>
        <v>44093.049999999996</v>
      </c>
      <c r="K56" s="14">
        <f>'A) Base RI'!I56</f>
        <v>-42588.55</v>
      </c>
      <c r="L56" s="14">
        <f>'A) Base RI'!J56</f>
        <v>26046.48</v>
      </c>
      <c r="M56" s="14">
        <f>'A) Base RI'!K56</f>
        <v>225</v>
      </c>
      <c r="N56" s="14">
        <f>'A) Base RI'!Q56</f>
        <v>1406.4</v>
      </c>
      <c r="O56" s="14">
        <f t="shared" si="1"/>
        <v>66947.05</v>
      </c>
      <c r="P56" s="14">
        <f>'A) Base RI'!L56</f>
        <v>66947.05</v>
      </c>
      <c r="Q56" s="44">
        <f>'A) Base RI'!AR56</f>
        <v>1</v>
      </c>
      <c r="R56" s="4">
        <f t="shared" si="2"/>
        <v>1210884.9100000001</v>
      </c>
      <c r="S56" s="43">
        <f>'A) Base RI'!AM56</f>
        <v>70</v>
      </c>
      <c r="T56" s="4">
        <f t="shared" si="3"/>
        <v>1143712.8600000001</v>
      </c>
      <c r="U56" s="4">
        <f t="shared" si="4"/>
        <v>17298.355857142858</v>
      </c>
      <c r="V56" s="14">
        <f>'A) Base RI'!O56</f>
        <v>10475.200000000001</v>
      </c>
      <c r="W56" s="14">
        <f>'A) Base RI'!P56</f>
        <v>16720</v>
      </c>
      <c r="X56" s="14">
        <f>'A) Base RI'!R56</f>
        <v>32200.05</v>
      </c>
      <c r="Y56" s="4">
        <f t="shared" si="5"/>
        <v>59395.25</v>
      </c>
      <c r="Z56" s="14">
        <f>'A) Base RI'!N56</f>
        <v>7836.4</v>
      </c>
      <c r="AA56" s="14">
        <f>'A) Base RI'!S56+'A) Base RI'!T56</f>
        <v>0</v>
      </c>
      <c r="AB56" s="14">
        <f>'A) Base RI'!U56</f>
        <v>1040</v>
      </c>
      <c r="AC56" s="14">
        <f>'A) Base RI'!V56</f>
        <v>0</v>
      </c>
      <c r="AD56" s="14">
        <f>'A) Base RI'!W56</f>
        <v>0</v>
      </c>
      <c r="AE56" s="14">
        <f>'A) Base RI'!Y56</f>
        <v>6024</v>
      </c>
      <c r="AF56" s="14">
        <f>'A) Base RI'!Z56</f>
        <v>0</v>
      </c>
      <c r="AG56" s="14">
        <f>'A) Base RI'!AA56</f>
        <v>75074</v>
      </c>
      <c r="AH56" s="14">
        <f>'A) Base RI'!AB56</f>
        <v>0</v>
      </c>
      <c r="AI56" s="14">
        <f>'A) Base RI'!AC56</f>
        <v>26670</v>
      </c>
      <c r="AJ56" s="14">
        <f>'A) Base RI'!AD56</f>
        <v>3667</v>
      </c>
      <c r="AK56" s="14">
        <f>'A) Base RI'!AE56</f>
        <v>0</v>
      </c>
      <c r="AL56" s="14">
        <f>'A) Base RI'!AF56</f>
        <v>0</v>
      </c>
      <c r="AM56" s="14">
        <f>'A) Base RI'!AG56</f>
        <v>0</v>
      </c>
      <c r="AN56" s="14">
        <f>'A) Base RI'!AH56</f>
        <v>0</v>
      </c>
      <c r="AO56" s="14">
        <f>'A) Base RI'!AI56</f>
        <v>0</v>
      </c>
      <c r="AP56" s="14">
        <f>'A) Base RI'!AJ56</f>
        <v>0</v>
      </c>
      <c r="AQ56" s="14">
        <f>'A) Base RI'!AK56</f>
        <v>0</v>
      </c>
      <c r="AR56" s="14">
        <f>'A) Base RI'!AN56</f>
        <v>396</v>
      </c>
    </row>
    <row r="57" spans="1:44" x14ac:dyDescent="0.25">
      <c r="A57" s="12">
        <f>'A) Base RI'!A57</f>
        <v>5486</v>
      </c>
      <c r="B57" s="42" t="str">
        <f>'A) Base RI'!B57</f>
        <v>L'Isle</v>
      </c>
      <c r="C57" s="14">
        <f>'A) Base RI'!C57+'A) Base RI'!D57</f>
        <v>1778073.82</v>
      </c>
      <c r="D57" s="14">
        <f>'A) Base RI'!AO57</f>
        <v>-67951.25</v>
      </c>
      <c r="E57" s="41">
        <f>'A) Base RI'!AP57</f>
        <v>0</v>
      </c>
      <c r="F57" s="41">
        <f>'A) Base RI'!AQ57</f>
        <v>-6.5</v>
      </c>
      <c r="G57" s="4">
        <f t="shared" si="0"/>
        <v>1710116.07</v>
      </c>
      <c r="H57" s="14">
        <f>'A) Base RI'!E57</f>
        <v>0</v>
      </c>
      <c r="I57" s="14">
        <f>'A) Base RI'!F57</f>
        <v>0</v>
      </c>
      <c r="J57" s="14">
        <f>'A) Base RI'!G57+'A) Base RI'!H57</f>
        <v>71047.350000000006</v>
      </c>
      <c r="K57" s="14">
        <f>'A) Base RI'!I57</f>
        <v>45945.25</v>
      </c>
      <c r="L57" s="14">
        <f>'A) Base RI'!J57</f>
        <v>43121.17</v>
      </c>
      <c r="M57" s="14">
        <f>'A) Base RI'!K57</f>
        <v>8116.5</v>
      </c>
      <c r="N57" s="14">
        <f>'A) Base RI'!Q57</f>
        <v>21532.38</v>
      </c>
      <c r="O57" s="14">
        <f t="shared" si="1"/>
        <v>168267.15</v>
      </c>
      <c r="P57" s="14">
        <f>'A) Base RI'!L57</f>
        <v>168267.15</v>
      </c>
      <c r="Q57" s="44">
        <f>'A) Base RI'!AR57</f>
        <v>1</v>
      </c>
      <c r="R57" s="4">
        <f t="shared" si="2"/>
        <v>2068145.8699999999</v>
      </c>
      <c r="S57" s="43">
        <f>'A) Base RI'!AM57</f>
        <v>76</v>
      </c>
      <c r="T57" s="4">
        <f t="shared" si="3"/>
        <v>1891762.22</v>
      </c>
      <c r="U57" s="4">
        <f t="shared" si="4"/>
        <v>27212.445657894736</v>
      </c>
      <c r="V57" s="14">
        <f>'A) Base RI'!O57</f>
        <v>403934.5</v>
      </c>
      <c r="W57" s="14">
        <f>'A) Base RI'!P57</f>
        <v>46604.800000000003</v>
      </c>
      <c r="X57" s="14">
        <f>'A) Base RI'!R57</f>
        <v>51579.4</v>
      </c>
      <c r="Y57" s="4">
        <f t="shared" si="5"/>
        <v>502118.7</v>
      </c>
      <c r="Z57" s="14">
        <f>'A) Base RI'!N57</f>
        <v>55291.35</v>
      </c>
      <c r="AA57" s="14">
        <f>'A) Base RI'!S57+'A) Base RI'!T57</f>
        <v>1100</v>
      </c>
      <c r="AB57" s="14">
        <f>'A) Base RI'!U57</f>
        <v>8850</v>
      </c>
      <c r="AC57" s="14">
        <f>'A) Base RI'!V57</f>
        <v>0</v>
      </c>
      <c r="AD57" s="14">
        <f>'A) Base RI'!W57</f>
        <v>0</v>
      </c>
      <c r="AE57" s="14">
        <f>'A) Base RI'!Y57</f>
        <v>4212</v>
      </c>
      <c r="AF57" s="14">
        <f>'A) Base RI'!Z57</f>
        <v>3744</v>
      </c>
      <c r="AG57" s="14">
        <f>'A) Base RI'!AA57</f>
        <v>181682.8</v>
      </c>
      <c r="AH57" s="14">
        <f>'A) Base RI'!AB57</f>
        <v>0</v>
      </c>
      <c r="AI57" s="14">
        <f>'A) Base RI'!AC57</f>
        <v>91136</v>
      </c>
      <c r="AJ57" s="14">
        <f>'A) Base RI'!AD57</f>
        <v>8424</v>
      </c>
      <c r="AK57" s="14">
        <f>'A) Base RI'!AE57</f>
        <v>3744</v>
      </c>
      <c r="AL57" s="14">
        <f>'A) Base RI'!AF57</f>
        <v>0</v>
      </c>
      <c r="AM57" s="14">
        <f>'A) Base RI'!AG57</f>
        <v>0</v>
      </c>
      <c r="AN57" s="14">
        <f>'A) Base RI'!AH57</f>
        <v>36165.449999999997</v>
      </c>
      <c r="AO57" s="14">
        <f>'A) Base RI'!AI57</f>
        <v>0</v>
      </c>
      <c r="AP57" s="14">
        <f>'A) Base RI'!AJ57</f>
        <v>0</v>
      </c>
      <c r="AQ57" s="14">
        <f>'A) Base RI'!AK57</f>
        <v>0</v>
      </c>
      <c r="AR57" s="14">
        <f>'A) Base RI'!AN57</f>
        <v>1032</v>
      </c>
    </row>
    <row r="58" spans="1:44" x14ac:dyDescent="0.25">
      <c r="A58" s="12">
        <f>'A) Base RI'!A58</f>
        <v>5487</v>
      </c>
      <c r="B58" s="42" t="str">
        <f>'A) Base RI'!B58</f>
        <v>Lussery-Villars</v>
      </c>
      <c r="C58" s="14">
        <f>'A) Base RI'!C58+'A) Base RI'!D58</f>
        <v>783507.14</v>
      </c>
      <c r="D58" s="14">
        <f>'A) Base RI'!AO58</f>
        <v>-25090.97</v>
      </c>
      <c r="E58" s="41">
        <f>'A) Base RI'!AP58</f>
        <v>0</v>
      </c>
      <c r="F58" s="41">
        <f>'A) Base RI'!AQ58</f>
        <v>-6.55</v>
      </c>
      <c r="G58" s="4">
        <f t="shared" si="0"/>
        <v>758409.62</v>
      </c>
      <c r="H58" s="14">
        <f>'A) Base RI'!E58</f>
        <v>0</v>
      </c>
      <c r="I58" s="14">
        <f>'A) Base RI'!F58</f>
        <v>0</v>
      </c>
      <c r="J58" s="14">
        <f>'A) Base RI'!G58+'A) Base RI'!H58</f>
        <v>-49611.700000000004</v>
      </c>
      <c r="K58" s="14">
        <f>'A) Base RI'!I58</f>
        <v>0</v>
      </c>
      <c r="L58" s="14">
        <f>'A) Base RI'!J58</f>
        <v>21263.24</v>
      </c>
      <c r="M58" s="14">
        <f>'A) Base RI'!K58</f>
        <v>158</v>
      </c>
      <c r="N58" s="14">
        <f>'A) Base RI'!Q58</f>
        <v>13258.31</v>
      </c>
      <c r="O58" s="14">
        <f t="shared" si="1"/>
        <v>63866.1</v>
      </c>
      <c r="P58" s="14">
        <f>'A) Base RI'!L58</f>
        <v>63866.1</v>
      </c>
      <c r="Q58" s="44">
        <f>'A) Base RI'!AR58</f>
        <v>1</v>
      </c>
      <c r="R58" s="4">
        <f t="shared" si="2"/>
        <v>807343.57000000007</v>
      </c>
      <c r="S58" s="43">
        <f>'A) Base RI'!AM58</f>
        <v>68</v>
      </c>
      <c r="T58" s="4">
        <f t="shared" si="3"/>
        <v>743319.47000000009</v>
      </c>
      <c r="U58" s="4">
        <f t="shared" si="4"/>
        <v>11872.69955882353</v>
      </c>
      <c r="V58" s="14">
        <f>'A) Base RI'!O58</f>
        <v>1353</v>
      </c>
      <c r="W58" s="14">
        <f>'A) Base RI'!P58</f>
        <v>24013</v>
      </c>
      <c r="X58" s="14">
        <f>'A) Base RI'!R58</f>
        <v>21653.7</v>
      </c>
      <c r="Y58" s="4">
        <f t="shared" si="5"/>
        <v>47019.7</v>
      </c>
      <c r="Z58" s="14">
        <f>'A) Base RI'!N58</f>
        <v>0</v>
      </c>
      <c r="AA58" s="14">
        <f>'A) Base RI'!S58+'A) Base RI'!T58</f>
        <v>37.5</v>
      </c>
      <c r="AB58" s="14">
        <f>'A) Base RI'!U58</f>
        <v>1860</v>
      </c>
      <c r="AC58" s="14">
        <f>'A) Base RI'!V58</f>
        <v>0</v>
      </c>
      <c r="AD58" s="14">
        <f>'A) Base RI'!W58</f>
        <v>0</v>
      </c>
      <c r="AE58" s="14">
        <f>'A) Base RI'!Y58</f>
        <v>5250</v>
      </c>
      <c r="AF58" s="14">
        <f>'A) Base RI'!Z58</f>
        <v>0</v>
      </c>
      <c r="AG58" s="14">
        <f>'A) Base RI'!AA58</f>
        <v>37260.5</v>
      </c>
      <c r="AH58" s="14">
        <f>'A) Base RI'!AB58</f>
        <v>0</v>
      </c>
      <c r="AI58" s="14">
        <f>'A) Base RI'!AC58</f>
        <v>36100</v>
      </c>
      <c r="AJ58" s="14">
        <f>'A) Base RI'!AD58</f>
        <v>12917.7</v>
      </c>
      <c r="AK58" s="14">
        <f>'A) Base RI'!AE58</f>
        <v>0</v>
      </c>
      <c r="AL58" s="14">
        <f>'A) Base RI'!AF58</f>
        <v>0</v>
      </c>
      <c r="AM58" s="14">
        <f>'A) Base RI'!AG58</f>
        <v>191.6</v>
      </c>
      <c r="AN58" s="14">
        <f>'A) Base RI'!AH58</f>
        <v>8400</v>
      </c>
      <c r="AO58" s="14">
        <f>'A) Base RI'!AI58</f>
        <v>0</v>
      </c>
      <c r="AP58" s="14">
        <f>'A) Base RI'!AJ58</f>
        <v>0</v>
      </c>
      <c r="AQ58" s="14">
        <f>'A) Base RI'!AK58</f>
        <v>0</v>
      </c>
      <c r="AR58" s="14">
        <f>'A) Base RI'!AN58</f>
        <v>423</v>
      </c>
    </row>
    <row r="59" spans="1:44" x14ac:dyDescent="0.25">
      <c r="A59" s="12">
        <f>'A) Base RI'!A59</f>
        <v>5488</v>
      </c>
      <c r="B59" s="42" t="str">
        <f>'A) Base RI'!B59</f>
        <v>Mauraz</v>
      </c>
      <c r="C59" s="14">
        <f>'A) Base RI'!C59+'A) Base RI'!D59</f>
        <v>92722.42</v>
      </c>
      <c r="D59" s="14">
        <f>'A) Base RI'!AO59</f>
        <v>-24.33</v>
      </c>
      <c r="E59" s="41">
        <f>'A) Base RI'!AP59</f>
        <v>0</v>
      </c>
      <c r="F59" s="41">
        <f>'A) Base RI'!AQ59</f>
        <v>0</v>
      </c>
      <c r="G59" s="4">
        <f t="shared" si="0"/>
        <v>92698.09</v>
      </c>
      <c r="H59" s="14">
        <f>'A) Base RI'!E59</f>
        <v>0</v>
      </c>
      <c r="I59" s="14">
        <f>'A) Base RI'!F59</f>
        <v>0</v>
      </c>
      <c r="J59" s="14">
        <f>'A) Base RI'!G59+'A) Base RI'!H59</f>
        <v>3724.7999999999997</v>
      </c>
      <c r="K59" s="14">
        <f>'A) Base RI'!I59</f>
        <v>0</v>
      </c>
      <c r="L59" s="14">
        <f>'A) Base RI'!J59</f>
        <v>0</v>
      </c>
      <c r="M59" s="14">
        <f>'A) Base RI'!K59</f>
        <v>0</v>
      </c>
      <c r="N59" s="14">
        <f>'A) Base RI'!Q59</f>
        <v>0</v>
      </c>
      <c r="O59" s="14">
        <f t="shared" si="1"/>
        <v>8474</v>
      </c>
      <c r="P59" s="14">
        <f>'A) Base RI'!L59</f>
        <v>8474</v>
      </c>
      <c r="Q59" s="44">
        <f>'A) Base RI'!AR59</f>
        <v>1</v>
      </c>
      <c r="R59" s="4">
        <f t="shared" si="2"/>
        <v>104896.89</v>
      </c>
      <c r="S59" s="43">
        <f>'A) Base RI'!AM59</f>
        <v>74</v>
      </c>
      <c r="T59" s="4">
        <f t="shared" si="3"/>
        <v>96422.89</v>
      </c>
      <c r="U59" s="4">
        <f t="shared" si="4"/>
        <v>1417.5255405405405</v>
      </c>
      <c r="V59" s="14">
        <f>'A) Base RI'!O59</f>
        <v>0</v>
      </c>
      <c r="W59" s="14">
        <f>'A) Base RI'!P59</f>
        <v>0</v>
      </c>
      <c r="X59" s="14">
        <f>'A) Base RI'!R59</f>
        <v>0</v>
      </c>
      <c r="Y59" s="4">
        <f t="shared" si="5"/>
        <v>0</v>
      </c>
      <c r="Z59" s="14">
        <f>'A) Base RI'!N59</f>
        <v>0</v>
      </c>
      <c r="AA59" s="14">
        <f>'A) Base RI'!S59+'A) Base RI'!T59</f>
        <v>0</v>
      </c>
      <c r="AB59" s="14">
        <f>'A) Base RI'!U59</f>
        <v>140</v>
      </c>
      <c r="AC59" s="14">
        <f>'A) Base RI'!V59</f>
        <v>0</v>
      </c>
      <c r="AD59" s="14">
        <f>'A) Base RI'!W59</f>
        <v>0</v>
      </c>
      <c r="AE59" s="14">
        <f>'A) Base RI'!Y59</f>
        <v>0</v>
      </c>
      <c r="AF59" s="14">
        <f>'A) Base RI'!Z59</f>
        <v>0</v>
      </c>
      <c r="AG59" s="14">
        <f>'A) Base RI'!AA59</f>
        <v>6295.5</v>
      </c>
      <c r="AH59" s="14">
        <f>'A) Base RI'!AB59</f>
        <v>0</v>
      </c>
      <c r="AI59" s="14">
        <f>'A) Base RI'!AC59</f>
        <v>5093</v>
      </c>
      <c r="AJ59" s="14">
        <f>'A) Base RI'!AD59</f>
        <v>0</v>
      </c>
      <c r="AK59" s="14">
        <f>'A) Base RI'!AE59</f>
        <v>0</v>
      </c>
      <c r="AL59" s="14">
        <f>'A) Base RI'!AF59</f>
        <v>0</v>
      </c>
      <c r="AM59" s="14">
        <f>'A) Base RI'!AG59</f>
        <v>0</v>
      </c>
      <c r="AN59" s="14">
        <f>'A) Base RI'!AH59</f>
        <v>1186.5</v>
      </c>
      <c r="AO59" s="14">
        <f>'A) Base RI'!AI59</f>
        <v>0</v>
      </c>
      <c r="AP59" s="14">
        <f>'A) Base RI'!AJ59</f>
        <v>0</v>
      </c>
      <c r="AQ59" s="14">
        <f>'A) Base RI'!AK59</f>
        <v>0</v>
      </c>
      <c r="AR59" s="14">
        <f>'A) Base RI'!AN59</f>
        <v>49</v>
      </c>
    </row>
    <row r="60" spans="1:44" x14ac:dyDescent="0.25">
      <c r="A60" s="12">
        <f>'A) Base RI'!A60</f>
        <v>5489</v>
      </c>
      <c r="B60" s="42" t="str">
        <f>'A) Base RI'!B60</f>
        <v>Mex</v>
      </c>
      <c r="C60" s="14">
        <f>'A) Base RI'!C60+'A) Base RI'!D60</f>
        <v>1895208.3599999999</v>
      </c>
      <c r="D60" s="14">
        <f>'A) Base RI'!AO60</f>
        <v>-26734.68</v>
      </c>
      <c r="E60" s="41">
        <f>'A) Base RI'!AP60</f>
        <v>0</v>
      </c>
      <c r="F60" s="41">
        <f>'A) Base RI'!AQ60</f>
        <v>-180.13</v>
      </c>
      <c r="G60" s="4">
        <f t="shared" si="0"/>
        <v>1868293.55</v>
      </c>
      <c r="H60" s="14">
        <f>'A) Base RI'!E60</f>
        <v>0</v>
      </c>
      <c r="I60" s="14">
        <f>'A) Base RI'!F60</f>
        <v>0</v>
      </c>
      <c r="J60" s="14">
        <f>'A) Base RI'!G60+'A) Base RI'!H60</f>
        <v>126594.05</v>
      </c>
      <c r="K60" s="14">
        <f>'A) Base RI'!I60</f>
        <v>-27686.65</v>
      </c>
      <c r="L60" s="14">
        <f>'A) Base RI'!J60</f>
        <v>31708.07</v>
      </c>
      <c r="M60" s="14">
        <f>'A) Base RI'!K60</f>
        <v>4261</v>
      </c>
      <c r="N60" s="14">
        <f>'A) Base RI'!Q60</f>
        <v>3349.7</v>
      </c>
      <c r="O60" s="14">
        <f t="shared" si="1"/>
        <v>257878.7</v>
      </c>
      <c r="P60" s="14">
        <f>'A) Base RI'!L60</f>
        <v>257878.7</v>
      </c>
      <c r="Q60" s="44">
        <f>'A) Base RI'!AR60</f>
        <v>1</v>
      </c>
      <c r="R60" s="4">
        <f t="shared" si="2"/>
        <v>2264398.4200000004</v>
      </c>
      <c r="S60" s="43">
        <f>'A) Base RI'!AM60</f>
        <v>61</v>
      </c>
      <c r="T60" s="4">
        <f t="shared" si="3"/>
        <v>2002258.7200000002</v>
      </c>
      <c r="U60" s="4">
        <f t="shared" si="4"/>
        <v>37121.285573770496</v>
      </c>
      <c r="V60" s="14">
        <f>'A) Base RI'!O60</f>
        <v>12177</v>
      </c>
      <c r="W60" s="14">
        <f>'A) Base RI'!P60</f>
        <v>76505</v>
      </c>
      <c r="X60" s="14">
        <f>'A) Base RI'!R60</f>
        <v>40311</v>
      </c>
      <c r="Y60" s="4">
        <f t="shared" si="5"/>
        <v>128993</v>
      </c>
      <c r="Z60" s="14">
        <f>'A) Base RI'!N60</f>
        <v>17897.2</v>
      </c>
      <c r="AA60" s="14">
        <f>'A) Base RI'!S60+'A) Base RI'!T60</f>
        <v>112.5</v>
      </c>
      <c r="AB60" s="14">
        <f>'A) Base RI'!U60</f>
        <v>3240</v>
      </c>
      <c r="AC60" s="14">
        <f>'A) Base RI'!V60</f>
        <v>0</v>
      </c>
      <c r="AD60" s="14">
        <f>'A) Base RI'!W60</f>
        <v>0</v>
      </c>
      <c r="AE60" s="14">
        <f>'A) Base RI'!Y60</f>
        <v>9788.4500000000007</v>
      </c>
      <c r="AF60" s="14">
        <f>'A) Base RI'!Z60</f>
        <v>0</v>
      </c>
      <c r="AG60" s="14">
        <f>'A) Base RI'!AA60</f>
        <v>142353.79999999999</v>
      </c>
      <c r="AH60" s="14">
        <f>'A) Base RI'!AB60</f>
        <v>0</v>
      </c>
      <c r="AI60" s="14">
        <f>'A) Base RI'!AC60</f>
        <v>46360</v>
      </c>
      <c r="AJ60" s="14">
        <f>'A) Base RI'!AD60</f>
        <v>3701.75</v>
      </c>
      <c r="AK60" s="14">
        <f>'A) Base RI'!AE60</f>
        <v>43061.35</v>
      </c>
      <c r="AL60" s="14">
        <f>'A) Base RI'!AF60</f>
        <v>0</v>
      </c>
      <c r="AM60" s="14">
        <f>'A) Base RI'!AG60</f>
        <v>0</v>
      </c>
      <c r="AN60" s="14">
        <f>'A) Base RI'!AH60</f>
        <v>0</v>
      </c>
      <c r="AO60" s="14">
        <f>'A) Base RI'!AI60</f>
        <v>0</v>
      </c>
      <c r="AP60" s="14">
        <f>'A) Base RI'!AJ60</f>
        <v>0</v>
      </c>
      <c r="AQ60" s="14">
        <f>'A) Base RI'!AK60</f>
        <v>0</v>
      </c>
      <c r="AR60" s="14">
        <f>'A) Base RI'!AN60</f>
        <v>678</v>
      </c>
    </row>
    <row r="61" spans="1:44" x14ac:dyDescent="0.25">
      <c r="A61" s="12">
        <f>'A) Base RI'!A61</f>
        <v>5490</v>
      </c>
      <c r="B61" s="42" t="str">
        <f>'A) Base RI'!B61</f>
        <v>Moiry</v>
      </c>
      <c r="C61" s="14">
        <f>'A) Base RI'!C61+'A) Base RI'!D61</f>
        <v>550418.05000000005</v>
      </c>
      <c r="D61" s="14">
        <f>'A) Base RI'!AO61</f>
        <v>-11514.46</v>
      </c>
      <c r="E61" s="41">
        <f>'A) Base RI'!AP61</f>
        <v>0</v>
      </c>
      <c r="F61" s="41">
        <f>'A) Base RI'!AQ61</f>
        <v>-1.47</v>
      </c>
      <c r="G61" s="4">
        <f t="shared" si="0"/>
        <v>538902.12000000011</v>
      </c>
      <c r="H61" s="14">
        <f>'A) Base RI'!E61</f>
        <v>0</v>
      </c>
      <c r="I61" s="14">
        <f>'A) Base RI'!F61</f>
        <v>0</v>
      </c>
      <c r="J61" s="14">
        <f>'A) Base RI'!G61+'A) Base RI'!H61</f>
        <v>4792.1499999999996</v>
      </c>
      <c r="K61" s="14">
        <f>'A) Base RI'!I61</f>
        <v>0</v>
      </c>
      <c r="L61" s="14">
        <f>'A) Base RI'!J61</f>
        <v>7152.09</v>
      </c>
      <c r="M61" s="14">
        <f>'A) Base RI'!K61</f>
        <v>0</v>
      </c>
      <c r="N61" s="14">
        <f>'A) Base RI'!Q61</f>
        <v>4238.33</v>
      </c>
      <c r="O61" s="14">
        <f t="shared" si="1"/>
        <v>37975.199999999997</v>
      </c>
      <c r="P61" s="14">
        <f>'A) Base RI'!L61</f>
        <v>37975.199999999997</v>
      </c>
      <c r="Q61" s="44">
        <f>'A) Base RI'!AR61</f>
        <v>1</v>
      </c>
      <c r="R61" s="4">
        <f t="shared" si="2"/>
        <v>593059.89</v>
      </c>
      <c r="S61" s="43">
        <f>'A) Base RI'!AM61</f>
        <v>81</v>
      </c>
      <c r="T61" s="4">
        <f t="shared" si="3"/>
        <v>555084.69000000006</v>
      </c>
      <c r="U61" s="4">
        <f t="shared" si="4"/>
        <v>7321.727037037037</v>
      </c>
      <c r="V61" s="14">
        <f>'A) Base RI'!O61</f>
        <v>0</v>
      </c>
      <c r="W61" s="14">
        <f>'A) Base RI'!P61</f>
        <v>41435.65</v>
      </c>
      <c r="X61" s="14">
        <f>'A) Base RI'!R61</f>
        <v>10131.450000000001</v>
      </c>
      <c r="Y61" s="4">
        <f t="shared" si="5"/>
        <v>51567.100000000006</v>
      </c>
      <c r="Z61" s="14">
        <f>'A) Base RI'!N61</f>
        <v>0</v>
      </c>
      <c r="AA61" s="14">
        <f>'A) Base RI'!S61+'A) Base RI'!T61</f>
        <v>31.25</v>
      </c>
      <c r="AB61" s="14">
        <f>'A) Base RI'!U61</f>
        <v>1140</v>
      </c>
      <c r="AC61" s="14">
        <f>'A) Base RI'!V61</f>
        <v>0</v>
      </c>
      <c r="AD61" s="14">
        <f>'A) Base RI'!W61</f>
        <v>0</v>
      </c>
      <c r="AE61" s="14">
        <f>'A) Base RI'!Y61</f>
        <v>786.5</v>
      </c>
      <c r="AF61" s="14">
        <f>'A) Base RI'!Z61</f>
        <v>0</v>
      </c>
      <c r="AG61" s="14">
        <f>'A) Base RI'!AA61</f>
        <v>8458.5</v>
      </c>
      <c r="AH61" s="14">
        <f>'A) Base RI'!AB61</f>
        <v>0</v>
      </c>
      <c r="AI61" s="14">
        <f>'A) Base RI'!AC61</f>
        <v>24952.25</v>
      </c>
      <c r="AJ61" s="14">
        <f>'A) Base RI'!AD61</f>
        <v>3300</v>
      </c>
      <c r="AK61" s="14">
        <f>'A) Base RI'!AE61</f>
        <v>0</v>
      </c>
      <c r="AL61" s="14">
        <f>'A) Base RI'!AF61</f>
        <v>0</v>
      </c>
      <c r="AM61" s="14">
        <f>'A) Base RI'!AG61</f>
        <v>0</v>
      </c>
      <c r="AN61" s="14">
        <f>'A) Base RI'!AH61</f>
        <v>5527.05</v>
      </c>
      <c r="AO61" s="14">
        <f>'A) Base RI'!AI61</f>
        <v>0</v>
      </c>
      <c r="AP61" s="14">
        <f>'A) Base RI'!AJ61</f>
        <v>0</v>
      </c>
      <c r="AQ61" s="14">
        <f>'A) Base RI'!AK61</f>
        <v>0</v>
      </c>
      <c r="AR61" s="14">
        <f>'A) Base RI'!AN61</f>
        <v>290</v>
      </c>
    </row>
    <row r="62" spans="1:44" x14ac:dyDescent="0.25">
      <c r="A62" s="12">
        <f>'A) Base RI'!A62</f>
        <v>5491</v>
      </c>
      <c r="B62" s="42" t="str">
        <f>'A) Base RI'!B62</f>
        <v>Mont-la-Ville</v>
      </c>
      <c r="C62" s="14">
        <f>'A) Base RI'!C62+'A) Base RI'!D62</f>
        <v>604565.28</v>
      </c>
      <c r="D62" s="14">
        <f>'A) Base RI'!AO62</f>
        <v>-22207.75</v>
      </c>
      <c r="E62" s="41">
        <f>'A) Base RI'!AP62</f>
        <v>0</v>
      </c>
      <c r="F62" s="41">
        <f>'A) Base RI'!AQ62</f>
        <v>0</v>
      </c>
      <c r="G62" s="4">
        <f t="shared" si="0"/>
        <v>582357.53</v>
      </c>
      <c r="H62" s="14">
        <f>'A) Base RI'!E62</f>
        <v>0</v>
      </c>
      <c r="I62" s="14">
        <f>'A) Base RI'!F62</f>
        <v>0</v>
      </c>
      <c r="J62" s="14">
        <f>'A) Base RI'!G62+'A) Base RI'!H62</f>
        <v>2476.0500000000002</v>
      </c>
      <c r="K62" s="14">
        <f>'A) Base RI'!I62</f>
        <v>0</v>
      </c>
      <c r="L62" s="14">
        <f>'A) Base RI'!J62</f>
        <v>6922.65</v>
      </c>
      <c r="M62" s="14">
        <f>'A) Base RI'!K62</f>
        <v>512.5</v>
      </c>
      <c r="N62" s="14">
        <f>'A) Base RI'!Q62</f>
        <v>276.17</v>
      </c>
      <c r="O62" s="14">
        <f t="shared" si="1"/>
        <v>61030.85</v>
      </c>
      <c r="P62" s="14">
        <f>'A) Base RI'!L62</f>
        <v>61030.85</v>
      </c>
      <c r="Q62" s="44">
        <f>'A) Base RI'!AR62</f>
        <v>1</v>
      </c>
      <c r="R62" s="4">
        <f t="shared" si="2"/>
        <v>653575.75000000012</v>
      </c>
      <c r="S62" s="43">
        <f>'A) Base RI'!AM62</f>
        <v>76</v>
      </c>
      <c r="T62" s="4">
        <f t="shared" si="3"/>
        <v>592032.40000000014</v>
      </c>
      <c r="U62" s="4">
        <f t="shared" si="4"/>
        <v>8599.6809210526335</v>
      </c>
      <c r="V62" s="14">
        <f>'A) Base RI'!O62</f>
        <v>0</v>
      </c>
      <c r="W62" s="14">
        <f>'A) Base RI'!P62</f>
        <v>38464.35</v>
      </c>
      <c r="X62" s="14">
        <f>'A) Base RI'!R62</f>
        <v>38770.6</v>
      </c>
      <c r="Y62" s="4">
        <f t="shared" si="5"/>
        <v>77234.95</v>
      </c>
      <c r="Z62" s="14">
        <f>'A) Base RI'!N62</f>
        <v>0</v>
      </c>
      <c r="AA62" s="14">
        <f>'A) Base RI'!S62+'A) Base RI'!T62</f>
        <v>12.5</v>
      </c>
      <c r="AB62" s="14">
        <f>'A) Base RI'!U62</f>
        <v>3950</v>
      </c>
      <c r="AC62" s="14">
        <f>'A) Base RI'!V62</f>
        <v>0</v>
      </c>
      <c r="AD62" s="14">
        <f>'A) Base RI'!W62</f>
        <v>0</v>
      </c>
      <c r="AE62" s="14">
        <f>'A) Base RI'!Y62</f>
        <v>0</v>
      </c>
      <c r="AF62" s="14">
        <f>'A) Base RI'!Z62</f>
        <v>0</v>
      </c>
      <c r="AG62" s="14">
        <f>'A) Base RI'!AA62</f>
        <v>45932</v>
      </c>
      <c r="AH62" s="14">
        <f>'A) Base RI'!AB62</f>
        <v>0</v>
      </c>
      <c r="AI62" s="14">
        <f>'A) Base RI'!AC62</f>
        <v>33602</v>
      </c>
      <c r="AJ62" s="14">
        <f>'A) Base RI'!AD62</f>
        <v>0</v>
      </c>
      <c r="AK62" s="14">
        <f>'A) Base RI'!AE62</f>
        <v>0</v>
      </c>
      <c r="AL62" s="14">
        <f>'A) Base RI'!AF62</f>
        <v>0</v>
      </c>
      <c r="AM62" s="14">
        <f>'A) Base RI'!AG62</f>
        <v>0</v>
      </c>
      <c r="AN62" s="14">
        <f>'A) Base RI'!AH62</f>
        <v>10757.7</v>
      </c>
      <c r="AO62" s="14">
        <f>'A) Base RI'!AI62</f>
        <v>0</v>
      </c>
      <c r="AP62" s="14">
        <f>'A) Base RI'!AJ62</f>
        <v>0</v>
      </c>
      <c r="AQ62" s="14">
        <f>'A) Base RI'!AK62</f>
        <v>0</v>
      </c>
      <c r="AR62" s="14">
        <f>'A) Base RI'!AN62</f>
        <v>382</v>
      </c>
    </row>
    <row r="63" spans="1:44" x14ac:dyDescent="0.25">
      <c r="A63" s="12">
        <f>'A) Base RI'!A63</f>
        <v>5492</v>
      </c>
      <c r="B63" s="42" t="str">
        <f>'A) Base RI'!B63</f>
        <v>Montricher</v>
      </c>
      <c r="C63" s="14">
        <f>'A) Base RI'!C63+'A) Base RI'!D63</f>
        <v>11565397.32</v>
      </c>
      <c r="D63" s="14">
        <f>'A) Base RI'!AO63</f>
        <v>-66685.14</v>
      </c>
      <c r="E63" s="41">
        <f>'A) Base RI'!AP63</f>
        <v>0</v>
      </c>
      <c r="F63" s="41">
        <f>'A) Base RI'!AQ63</f>
        <v>-3614.81</v>
      </c>
      <c r="G63" s="4">
        <f t="shared" si="0"/>
        <v>11495097.369999999</v>
      </c>
      <c r="H63" s="14">
        <f>'A) Base RI'!E63</f>
        <v>0</v>
      </c>
      <c r="I63" s="14">
        <f>'A) Base RI'!F63</f>
        <v>0</v>
      </c>
      <c r="J63" s="14">
        <f>'A) Base RI'!G63+'A) Base RI'!H63</f>
        <v>178173.1</v>
      </c>
      <c r="K63" s="14">
        <f>'A) Base RI'!I63</f>
        <v>1336.95</v>
      </c>
      <c r="L63" s="14">
        <f>'A) Base RI'!J63</f>
        <v>29378.21</v>
      </c>
      <c r="M63" s="14">
        <f>'A) Base RI'!K63</f>
        <v>33696.5</v>
      </c>
      <c r="N63" s="14">
        <f>'A) Base RI'!Q63</f>
        <v>18447.689999999999</v>
      </c>
      <c r="O63" s="14">
        <f t="shared" si="1"/>
        <v>213521.00000000003</v>
      </c>
      <c r="P63" s="14">
        <f>'A) Base RI'!L63</f>
        <v>64056.3</v>
      </c>
      <c r="Q63" s="44">
        <f>'A) Base RI'!AR63</f>
        <v>0.3</v>
      </c>
      <c r="R63" s="4">
        <f t="shared" si="2"/>
        <v>11969650.819999998</v>
      </c>
      <c r="S63" s="43">
        <f>'A) Base RI'!AM63</f>
        <v>64</v>
      </c>
      <c r="T63" s="4">
        <f t="shared" si="3"/>
        <v>11722433.319999998</v>
      </c>
      <c r="U63" s="4">
        <f t="shared" si="4"/>
        <v>187025.79406249998</v>
      </c>
      <c r="V63" s="14">
        <f>'A) Base RI'!O63</f>
        <v>0</v>
      </c>
      <c r="W63" s="14">
        <f>'A) Base RI'!P63</f>
        <v>71912.55</v>
      </c>
      <c r="X63" s="14">
        <f>'A) Base RI'!R63</f>
        <v>52626.3</v>
      </c>
      <c r="Y63" s="4">
        <f t="shared" si="5"/>
        <v>124538.85</v>
      </c>
      <c r="Z63" s="14">
        <f>'A) Base RI'!N63</f>
        <v>2115.35</v>
      </c>
      <c r="AA63" s="14">
        <f>'A) Base RI'!S63+'A) Base RI'!T63</f>
        <v>0</v>
      </c>
      <c r="AB63" s="14">
        <f>'A) Base RI'!U63</f>
        <v>4560</v>
      </c>
      <c r="AC63" s="14">
        <f>'A) Base RI'!V63</f>
        <v>0</v>
      </c>
      <c r="AD63" s="14">
        <f>'A) Base RI'!W63</f>
        <v>0</v>
      </c>
      <c r="AE63" s="14">
        <f>'A) Base RI'!Y63</f>
        <v>10219</v>
      </c>
      <c r="AF63" s="14">
        <f>'A) Base RI'!Z63</f>
        <v>0</v>
      </c>
      <c r="AG63" s="14">
        <f>'A) Base RI'!AA63</f>
        <v>22282.5</v>
      </c>
      <c r="AH63" s="14">
        <f>'A) Base RI'!AB63</f>
        <v>0</v>
      </c>
      <c r="AI63" s="14">
        <f>'A) Base RI'!AC63</f>
        <v>30950</v>
      </c>
      <c r="AJ63" s="14">
        <f>'A) Base RI'!AD63</f>
        <v>13019</v>
      </c>
      <c r="AK63" s="14">
        <f>'A) Base RI'!AE63</f>
        <v>0</v>
      </c>
      <c r="AL63" s="14">
        <f>'A) Base RI'!AF63</f>
        <v>0</v>
      </c>
      <c r="AM63" s="14">
        <f>'A) Base RI'!AG63</f>
        <v>0</v>
      </c>
      <c r="AN63" s="14">
        <f>'A) Base RI'!AH63</f>
        <v>0</v>
      </c>
      <c r="AO63" s="14">
        <f>'A) Base RI'!AI63</f>
        <v>0</v>
      </c>
      <c r="AP63" s="14">
        <f>'A) Base RI'!AJ63</f>
        <v>0</v>
      </c>
      <c r="AQ63" s="14">
        <f>'A) Base RI'!AK63</f>
        <v>0</v>
      </c>
      <c r="AR63" s="14">
        <f>'A) Base RI'!AN63</f>
        <v>961</v>
      </c>
    </row>
    <row r="64" spans="1:44" x14ac:dyDescent="0.25">
      <c r="A64" s="12">
        <f>'A) Base RI'!A64</f>
        <v>5493</v>
      </c>
      <c r="B64" s="42" t="str">
        <f>'A) Base RI'!B64</f>
        <v>Orny</v>
      </c>
      <c r="C64" s="14">
        <f>'A) Base RI'!C64+'A) Base RI'!D64</f>
        <v>719864.34</v>
      </c>
      <c r="D64" s="14">
        <f>'A) Base RI'!AO64</f>
        <v>-34819.839999999997</v>
      </c>
      <c r="E64" s="41">
        <f>'A) Base RI'!AP64</f>
        <v>0</v>
      </c>
      <c r="F64" s="41">
        <f>'A) Base RI'!AQ64</f>
        <v>-0.06</v>
      </c>
      <c r="G64" s="4">
        <f t="shared" si="0"/>
        <v>685044.44</v>
      </c>
      <c r="H64" s="14">
        <f>'A) Base RI'!E64</f>
        <v>0</v>
      </c>
      <c r="I64" s="14">
        <f>'A) Base RI'!F64</f>
        <v>0</v>
      </c>
      <c r="J64" s="14">
        <f>'A) Base RI'!G64+'A) Base RI'!H64</f>
        <v>1323.55</v>
      </c>
      <c r="K64" s="14">
        <f>'A) Base RI'!I64</f>
        <v>0</v>
      </c>
      <c r="L64" s="14">
        <f>'A) Base RI'!J64</f>
        <v>19818.59</v>
      </c>
      <c r="M64" s="14">
        <f>'A) Base RI'!K64</f>
        <v>134.5</v>
      </c>
      <c r="N64" s="14">
        <f>'A) Base RI'!Q64</f>
        <v>16684.09</v>
      </c>
      <c r="O64" s="14">
        <f t="shared" si="1"/>
        <v>51840.538461538461</v>
      </c>
      <c r="P64" s="14">
        <f>'A) Base RI'!L64</f>
        <v>33696.35</v>
      </c>
      <c r="Q64" s="44">
        <f>'A) Base RI'!AR64</f>
        <v>0.65</v>
      </c>
      <c r="R64" s="4">
        <f t="shared" si="2"/>
        <v>774845.70846153842</v>
      </c>
      <c r="S64" s="43">
        <f>'A) Base RI'!AM64</f>
        <v>73</v>
      </c>
      <c r="T64" s="4">
        <f t="shared" si="3"/>
        <v>722870.66999999993</v>
      </c>
      <c r="U64" s="4">
        <f t="shared" si="4"/>
        <v>10614.324773445733</v>
      </c>
      <c r="V64" s="14">
        <f>'A) Base RI'!O64</f>
        <v>1498.5</v>
      </c>
      <c r="W64" s="14">
        <f>'A) Base RI'!P64</f>
        <v>8670.7000000000007</v>
      </c>
      <c r="X64" s="14">
        <f>'A) Base RI'!R64</f>
        <v>7291.65</v>
      </c>
      <c r="Y64" s="4">
        <f t="shared" si="5"/>
        <v>17460.849999999999</v>
      </c>
      <c r="Z64" s="14">
        <f>'A) Base RI'!N64</f>
        <v>60612.05</v>
      </c>
      <c r="AA64" s="14">
        <f>'A) Base RI'!S64+'A) Base RI'!T64</f>
        <v>0</v>
      </c>
      <c r="AB64" s="14">
        <f>'A) Base RI'!U64</f>
        <v>1300</v>
      </c>
      <c r="AC64" s="14">
        <f>'A) Base RI'!V64</f>
        <v>0</v>
      </c>
      <c r="AD64" s="14">
        <f>'A) Base RI'!W64</f>
        <v>0</v>
      </c>
      <c r="AE64" s="14">
        <f>'A) Base RI'!Y64</f>
        <v>0</v>
      </c>
      <c r="AF64" s="14">
        <f>'A) Base RI'!Z64</f>
        <v>625</v>
      </c>
      <c r="AG64" s="14">
        <f>'A) Base RI'!AA64</f>
        <v>52823.05</v>
      </c>
      <c r="AH64" s="14">
        <f>'A) Base RI'!AB64</f>
        <v>0</v>
      </c>
      <c r="AI64" s="14">
        <f>'A) Base RI'!AC64</f>
        <v>16701.5</v>
      </c>
      <c r="AJ64" s="14">
        <f>'A) Base RI'!AD64</f>
        <v>0</v>
      </c>
      <c r="AK64" s="14">
        <f>'A) Base RI'!AE64</f>
        <v>0</v>
      </c>
      <c r="AL64" s="14">
        <f>'A) Base RI'!AF64</f>
        <v>0</v>
      </c>
      <c r="AM64" s="14">
        <f>'A) Base RI'!AG64</f>
        <v>0</v>
      </c>
      <c r="AN64" s="14">
        <f>'A) Base RI'!AH64</f>
        <v>0</v>
      </c>
      <c r="AO64" s="14">
        <f>'A) Base RI'!AI64</f>
        <v>0</v>
      </c>
      <c r="AP64" s="14">
        <f>'A) Base RI'!AJ64</f>
        <v>0</v>
      </c>
      <c r="AQ64" s="14">
        <f>'A) Base RI'!AK64</f>
        <v>0</v>
      </c>
      <c r="AR64" s="14">
        <f>'A) Base RI'!AN64</f>
        <v>375</v>
      </c>
    </row>
    <row r="65" spans="1:44" x14ac:dyDescent="0.25">
      <c r="A65" s="12">
        <f>'A) Base RI'!A65</f>
        <v>5494</v>
      </c>
      <c r="B65" s="42" t="str">
        <f>'A) Base RI'!B65</f>
        <v>Pampigny</v>
      </c>
      <c r="C65" s="14">
        <f>'A) Base RI'!C65+'A) Base RI'!D65</f>
        <v>2286689.41</v>
      </c>
      <c r="D65" s="14">
        <f>'A) Base RI'!AO65</f>
        <v>-44589.77</v>
      </c>
      <c r="E65" s="41">
        <f>'A) Base RI'!AP65</f>
        <v>0</v>
      </c>
      <c r="F65" s="41">
        <f>'A) Base RI'!AQ65</f>
        <v>-119.89</v>
      </c>
      <c r="G65" s="4">
        <f t="shared" si="0"/>
        <v>2241979.75</v>
      </c>
      <c r="H65" s="14">
        <f>'A) Base RI'!E65</f>
        <v>0</v>
      </c>
      <c r="I65" s="14">
        <f>'A) Base RI'!F65</f>
        <v>0</v>
      </c>
      <c r="J65" s="14">
        <f>'A) Base RI'!G65+'A) Base RI'!H65</f>
        <v>21327.95</v>
      </c>
      <c r="K65" s="14">
        <f>'A) Base RI'!I65</f>
        <v>0</v>
      </c>
      <c r="L65" s="14">
        <f>'A) Base RI'!J65</f>
        <v>66522.87</v>
      </c>
      <c r="M65" s="14">
        <f>'A) Base RI'!K65</f>
        <v>1608</v>
      </c>
      <c r="N65" s="14">
        <f>'A) Base RI'!Q65</f>
        <v>24899.25</v>
      </c>
      <c r="O65" s="14">
        <f t="shared" si="1"/>
        <v>192319.0476190476</v>
      </c>
      <c r="P65" s="14">
        <f>'A) Base RI'!L65</f>
        <v>201935</v>
      </c>
      <c r="Q65" s="44">
        <f>'A) Base RI'!AR65</f>
        <v>1.05</v>
      </c>
      <c r="R65" s="4">
        <f t="shared" si="2"/>
        <v>2548656.8676190479</v>
      </c>
      <c r="S65" s="43">
        <f>'A) Base RI'!AM65</f>
        <v>75</v>
      </c>
      <c r="T65" s="4">
        <f t="shared" si="3"/>
        <v>2354729.8200000003</v>
      </c>
      <c r="U65" s="4">
        <f t="shared" si="4"/>
        <v>33982.091568253971</v>
      </c>
      <c r="V65" s="14">
        <f>'A) Base RI'!O65</f>
        <v>0</v>
      </c>
      <c r="W65" s="14">
        <f>'A) Base RI'!P65</f>
        <v>108103.55</v>
      </c>
      <c r="X65" s="14">
        <f>'A) Base RI'!R65</f>
        <v>49622.15</v>
      </c>
      <c r="Y65" s="4">
        <f t="shared" si="5"/>
        <v>157725.70000000001</v>
      </c>
      <c r="Z65" s="14">
        <f>'A) Base RI'!N65</f>
        <v>20551.3</v>
      </c>
      <c r="AA65" s="14">
        <f>'A) Base RI'!S65+'A) Base RI'!T65</f>
        <v>50</v>
      </c>
      <c r="AB65" s="14">
        <f>'A) Base RI'!U65</f>
        <v>5600</v>
      </c>
      <c r="AC65" s="14">
        <f>'A) Base RI'!V65</f>
        <v>0</v>
      </c>
      <c r="AD65" s="14">
        <f>'A) Base RI'!W65</f>
        <v>0</v>
      </c>
      <c r="AE65" s="14">
        <f>'A) Base RI'!Y65</f>
        <v>0</v>
      </c>
      <c r="AF65" s="14">
        <f>'A) Base RI'!Z65</f>
        <v>7060.56</v>
      </c>
      <c r="AG65" s="14">
        <f>'A) Base RI'!AA65</f>
        <v>147079.21</v>
      </c>
      <c r="AH65" s="14">
        <f>'A) Base RI'!AB65</f>
        <v>0</v>
      </c>
      <c r="AI65" s="14">
        <f>'A) Base RI'!AC65</f>
        <v>119422.18</v>
      </c>
      <c r="AJ65" s="14">
        <f>'A) Base RI'!AD65</f>
        <v>0</v>
      </c>
      <c r="AK65" s="14">
        <f>'A) Base RI'!AE65</f>
        <v>5646</v>
      </c>
      <c r="AL65" s="14">
        <f>'A) Base RI'!AF65</f>
        <v>0</v>
      </c>
      <c r="AM65" s="14">
        <f>'A) Base RI'!AG65</f>
        <v>0</v>
      </c>
      <c r="AN65" s="14">
        <f>'A) Base RI'!AH65</f>
        <v>0</v>
      </c>
      <c r="AO65" s="14">
        <f>'A) Base RI'!AI65</f>
        <v>0</v>
      </c>
      <c r="AP65" s="14">
        <f>'A) Base RI'!AJ65</f>
        <v>0</v>
      </c>
      <c r="AQ65" s="14">
        <f>'A) Base RI'!AK65</f>
        <v>0</v>
      </c>
      <c r="AR65" s="14">
        <f>'A) Base RI'!AN65</f>
        <v>1124</v>
      </c>
    </row>
    <row r="66" spans="1:44" x14ac:dyDescent="0.25">
      <c r="A66" s="12">
        <f>'A) Base RI'!A66</f>
        <v>5495</v>
      </c>
      <c r="B66" s="42" t="str">
        <f>'A) Base RI'!B66</f>
        <v>Penthalaz</v>
      </c>
      <c r="C66" s="14">
        <f>'A) Base RI'!C66+'A) Base RI'!D66</f>
        <v>6073940.0100000007</v>
      </c>
      <c r="D66" s="14">
        <f>'A) Base RI'!AO66</f>
        <v>-227948.38</v>
      </c>
      <c r="E66" s="41">
        <f>'A) Base RI'!AP66</f>
        <v>0</v>
      </c>
      <c r="F66" s="41">
        <f>'A) Base RI'!AQ66</f>
        <v>-210.08</v>
      </c>
      <c r="G66" s="4">
        <f t="shared" si="0"/>
        <v>5845781.5500000007</v>
      </c>
      <c r="H66" s="14">
        <f>'A) Base RI'!E66</f>
        <v>0</v>
      </c>
      <c r="I66" s="14">
        <f>'A) Base RI'!F66</f>
        <v>0</v>
      </c>
      <c r="J66" s="14">
        <f>'A) Base RI'!G66+'A) Base RI'!H66</f>
        <v>384803</v>
      </c>
      <c r="K66" s="14">
        <f>'A) Base RI'!I66</f>
        <v>37075.300000000003</v>
      </c>
      <c r="L66" s="14">
        <f>'A) Base RI'!J66</f>
        <v>256310.16</v>
      </c>
      <c r="M66" s="14">
        <f>'A) Base RI'!K66</f>
        <v>62894.5</v>
      </c>
      <c r="N66" s="14">
        <f>'A) Base RI'!Q66</f>
        <v>61929.27</v>
      </c>
      <c r="O66" s="14">
        <f t="shared" si="1"/>
        <v>467218</v>
      </c>
      <c r="P66" s="14">
        <f>'A) Base RI'!L66</f>
        <v>467218</v>
      </c>
      <c r="Q66" s="44">
        <f>'A) Base RI'!AR66</f>
        <v>1</v>
      </c>
      <c r="R66" s="4">
        <f t="shared" si="2"/>
        <v>7116011.7800000003</v>
      </c>
      <c r="S66" s="43">
        <f>'A) Base RI'!AM66</f>
        <v>74</v>
      </c>
      <c r="T66" s="4">
        <f t="shared" si="3"/>
        <v>6585899.2800000003</v>
      </c>
      <c r="U66" s="4">
        <f t="shared" si="4"/>
        <v>96162.321351351362</v>
      </c>
      <c r="V66" s="14">
        <f>'A) Base RI'!O66</f>
        <v>29810.1</v>
      </c>
      <c r="W66" s="14">
        <f>'A) Base RI'!P66</f>
        <v>119362.4</v>
      </c>
      <c r="X66" s="14">
        <f>'A) Base RI'!R66</f>
        <v>177639.5</v>
      </c>
      <c r="Y66" s="4">
        <f t="shared" si="5"/>
        <v>326812</v>
      </c>
      <c r="Z66" s="14">
        <f>'A) Base RI'!N66</f>
        <v>212709.05</v>
      </c>
      <c r="AA66" s="14">
        <f>'A) Base RI'!S66+'A) Base RI'!T66</f>
        <v>530</v>
      </c>
      <c r="AB66" s="14">
        <f>'A) Base RI'!U66</f>
        <v>11940</v>
      </c>
      <c r="AC66" s="14">
        <f>'A) Base RI'!V66</f>
        <v>0</v>
      </c>
      <c r="AD66" s="14">
        <f>'A) Base RI'!W66</f>
        <v>0</v>
      </c>
      <c r="AE66" s="14">
        <f>'A) Base RI'!Y66</f>
        <v>574440</v>
      </c>
      <c r="AF66" s="14">
        <f>'A) Base RI'!Z66</f>
        <v>0</v>
      </c>
      <c r="AG66" s="14">
        <f>'A) Base RI'!AA66</f>
        <v>84799</v>
      </c>
      <c r="AH66" s="14">
        <f>'A) Base RI'!AB66</f>
        <v>332173.2</v>
      </c>
      <c r="AI66" s="14">
        <f>'A) Base RI'!AC66</f>
        <v>245339.45</v>
      </c>
      <c r="AJ66" s="14">
        <f>'A) Base RI'!AD66</f>
        <v>574235.15</v>
      </c>
      <c r="AK66" s="14">
        <f>'A) Base RI'!AE66</f>
        <v>0</v>
      </c>
      <c r="AL66" s="14">
        <f>'A) Base RI'!AF66</f>
        <v>0</v>
      </c>
      <c r="AM66" s="14">
        <f>'A) Base RI'!AG66</f>
        <v>18664.5</v>
      </c>
      <c r="AN66" s="14">
        <f>'A) Base RI'!AH66</f>
        <v>115639.05</v>
      </c>
      <c r="AO66" s="14">
        <f>'A) Base RI'!AI66</f>
        <v>0</v>
      </c>
      <c r="AP66" s="14">
        <f>'A) Base RI'!AJ66</f>
        <v>0</v>
      </c>
      <c r="AQ66" s="14">
        <f>'A) Base RI'!AK66</f>
        <v>0</v>
      </c>
      <c r="AR66" s="14">
        <f>'A) Base RI'!AN66</f>
        <v>3241</v>
      </c>
    </row>
    <row r="67" spans="1:44" x14ac:dyDescent="0.25">
      <c r="A67" s="12">
        <f>'A) Base RI'!A67</f>
        <v>5496</v>
      </c>
      <c r="B67" s="42" t="str">
        <f>'A) Base RI'!B67</f>
        <v>Penthaz</v>
      </c>
      <c r="C67" s="14">
        <f>'A) Base RI'!C67+'A) Base RI'!D67</f>
        <v>3293007.62</v>
      </c>
      <c r="D67" s="14">
        <f>'A) Base RI'!AO67</f>
        <v>-55612.91</v>
      </c>
      <c r="E67" s="41">
        <f>'A) Base RI'!AP67</f>
        <v>0</v>
      </c>
      <c r="F67" s="41">
        <f>'A) Base RI'!AQ67</f>
        <v>-103.89</v>
      </c>
      <c r="G67" s="4">
        <f t="shared" si="0"/>
        <v>3237290.82</v>
      </c>
      <c r="H67" s="14">
        <f>'A) Base RI'!E67</f>
        <v>0</v>
      </c>
      <c r="I67" s="14">
        <f>'A) Base RI'!F67</f>
        <v>0</v>
      </c>
      <c r="J67" s="14">
        <f>'A) Base RI'!G67+'A) Base RI'!H67</f>
        <v>449310.4</v>
      </c>
      <c r="K67" s="14">
        <f>'A) Base RI'!I67</f>
        <v>0</v>
      </c>
      <c r="L67" s="14">
        <f>'A) Base RI'!J67</f>
        <v>52392.89</v>
      </c>
      <c r="M67" s="14">
        <f>'A) Base RI'!K67</f>
        <v>14013.5</v>
      </c>
      <c r="N67" s="14">
        <f>'A) Base RI'!Q67</f>
        <v>746.66</v>
      </c>
      <c r="O67" s="14">
        <f t="shared" si="1"/>
        <v>286608.75</v>
      </c>
      <c r="P67" s="14">
        <f>'A) Base RI'!L67</f>
        <v>286608.75</v>
      </c>
      <c r="Q67" s="44">
        <f>'A) Base RI'!AR67</f>
        <v>1</v>
      </c>
      <c r="R67" s="4">
        <f t="shared" si="2"/>
        <v>4040363.02</v>
      </c>
      <c r="S67" s="43">
        <f>'A) Base RI'!AM67</f>
        <v>71</v>
      </c>
      <c r="T67" s="4">
        <f t="shared" si="3"/>
        <v>3739740.77</v>
      </c>
      <c r="U67" s="4">
        <f t="shared" si="4"/>
        <v>56906.521408450702</v>
      </c>
      <c r="V67" s="14">
        <f>'A) Base RI'!O67</f>
        <v>1162.2</v>
      </c>
      <c r="W67" s="14">
        <f>'A) Base RI'!P67</f>
        <v>66635.8</v>
      </c>
      <c r="X67" s="14">
        <f>'A) Base RI'!R67</f>
        <v>90069.8</v>
      </c>
      <c r="Y67" s="4">
        <f t="shared" si="5"/>
        <v>157867.79999999999</v>
      </c>
      <c r="Z67" s="14">
        <f>'A) Base RI'!N67</f>
        <v>91874.9</v>
      </c>
      <c r="AA67" s="14">
        <f>'A) Base RI'!S67+'A) Base RI'!T67</f>
        <v>75</v>
      </c>
      <c r="AB67" s="14">
        <f>'A) Base RI'!U67</f>
        <v>12550</v>
      </c>
      <c r="AC67" s="14">
        <f>'A) Base RI'!V67</f>
        <v>0</v>
      </c>
      <c r="AD67" s="14">
        <f>'A) Base RI'!W67</f>
        <v>0</v>
      </c>
      <c r="AE67" s="14">
        <f>'A) Base RI'!Y67</f>
        <v>32227.599999999999</v>
      </c>
      <c r="AF67" s="14">
        <f>'A) Base RI'!Z67</f>
        <v>0</v>
      </c>
      <c r="AG67" s="14">
        <f>'A) Base RI'!AA67</f>
        <v>0</v>
      </c>
      <c r="AH67" s="14">
        <f>'A) Base RI'!AB67</f>
        <v>178549.1</v>
      </c>
      <c r="AI67" s="14">
        <f>'A) Base RI'!AC67</f>
        <v>118795.2</v>
      </c>
      <c r="AJ67" s="14">
        <f>'A) Base RI'!AD67</f>
        <v>30543.599999999999</v>
      </c>
      <c r="AK67" s="14">
        <f>'A) Base RI'!AE67</f>
        <v>0</v>
      </c>
      <c r="AL67" s="14">
        <f>'A) Base RI'!AF67</f>
        <v>0</v>
      </c>
      <c r="AM67" s="14">
        <f>'A) Base RI'!AG67</f>
        <v>1354</v>
      </c>
      <c r="AN67" s="14">
        <f>'A) Base RI'!AH67</f>
        <v>47490.55</v>
      </c>
      <c r="AO67" s="14">
        <f>'A) Base RI'!AI67</f>
        <v>0</v>
      </c>
      <c r="AP67" s="14">
        <f>'A) Base RI'!AJ67</f>
        <v>0</v>
      </c>
      <c r="AQ67" s="14">
        <f>'A) Base RI'!AK67</f>
        <v>0</v>
      </c>
      <c r="AR67" s="14">
        <f>'A) Base RI'!AN67</f>
        <v>1653</v>
      </c>
    </row>
    <row r="68" spans="1:44" x14ac:dyDescent="0.25">
      <c r="A68" s="12">
        <f>'A) Base RI'!A68</f>
        <v>5497</v>
      </c>
      <c r="B68" s="42" t="str">
        <f>'A) Base RI'!B68</f>
        <v>Pompaples</v>
      </c>
      <c r="C68" s="14">
        <f>'A) Base RI'!C68+'A) Base RI'!D68</f>
        <v>1286811.9100000001</v>
      </c>
      <c r="D68" s="14">
        <f>'A) Base RI'!AO68</f>
        <v>-19151.88</v>
      </c>
      <c r="E68" s="41">
        <f>'A) Base RI'!AP68</f>
        <v>0</v>
      </c>
      <c r="F68" s="41">
        <f>'A) Base RI'!AQ68</f>
        <v>-17.260000000000002</v>
      </c>
      <c r="G68" s="4">
        <f t="shared" si="0"/>
        <v>1267642.7700000003</v>
      </c>
      <c r="H68" s="14">
        <f>'A) Base RI'!E68</f>
        <v>0</v>
      </c>
      <c r="I68" s="14">
        <f>'A) Base RI'!F68</f>
        <v>0</v>
      </c>
      <c r="J68" s="14">
        <f>'A) Base RI'!G68+'A) Base RI'!H68</f>
        <v>6851.1</v>
      </c>
      <c r="K68" s="14">
        <f>'A) Base RI'!I68</f>
        <v>0</v>
      </c>
      <c r="L68" s="14">
        <f>'A) Base RI'!J68</f>
        <v>73052.28</v>
      </c>
      <c r="M68" s="14">
        <f>'A) Base RI'!K68</f>
        <v>4836.5</v>
      </c>
      <c r="N68" s="14">
        <f>'A) Base RI'!Q68</f>
        <v>2770.66</v>
      </c>
      <c r="O68" s="14">
        <f t="shared" si="1"/>
        <v>111842.7</v>
      </c>
      <c r="P68" s="14">
        <f>'A) Base RI'!L68</f>
        <v>111842.7</v>
      </c>
      <c r="Q68" s="44">
        <f>'A) Base RI'!AR68</f>
        <v>1</v>
      </c>
      <c r="R68" s="4">
        <f t="shared" si="2"/>
        <v>1466996.0100000002</v>
      </c>
      <c r="S68" s="43">
        <f>'A) Base RI'!AM68</f>
        <v>66</v>
      </c>
      <c r="T68" s="4">
        <f t="shared" si="3"/>
        <v>1350316.8100000003</v>
      </c>
      <c r="U68" s="4">
        <f t="shared" si="4"/>
        <v>22227.212272727276</v>
      </c>
      <c r="V68" s="14">
        <f>'A) Base RI'!O68</f>
        <v>15536</v>
      </c>
      <c r="W68" s="14">
        <f>'A) Base RI'!P68</f>
        <v>34885.1</v>
      </c>
      <c r="X68" s="14">
        <f>'A) Base RI'!R68</f>
        <v>29457.9</v>
      </c>
      <c r="Y68" s="4">
        <f t="shared" si="5"/>
        <v>79879</v>
      </c>
      <c r="Z68" s="14">
        <f>'A) Base RI'!N68</f>
        <v>249012.55</v>
      </c>
      <c r="AA68" s="14">
        <f>'A) Base RI'!S68+'A) Base RI'!T68</f>
        <v>93.75</v>
      </c>
      <c r="AB68" s="14">
        <f>'A) Base RI'!U68</f>
        <v>2175</v>
      </c>
      <c r="AC68" s="14">
        <f>'A) Base RI'!V68</f>
        <v>0</v>
      </c>
      <c r="AD68" s="14">
        <f>'A) Base RI'!W68</f>
        <v>0</v>
      </c>
      <c r="AE68" s="14">
        <f>'A) Base RI'!Y68</f>
        <v>0</v>
      </c>
      <c r="AF68" s="14">
        <f>'A) Base RI'!Z68</f>
        <v>0</v>
      </c>
      <c r="AG68" s="14">
        <f>'A) Base RI'!AA68</f>
        <v>77590</v>
      </c>
      <c r="AH68" s="14">
        <f>'A) Base RI'!AB68</f>
        <v>0</v>
      </c>
      <c r="AI68" s="14">
        <f>'A) Base RI'!AC68</f>
        <v>94163.5</v>
      </c>
      <c r="AJ68" s="14">
        <f>'A) Base RI'!AD68</f>
        <v>0</v>
      </c>
      <c r="AK68" s="14">
        <f>'A) Base RI'!AE68</f>
        <v>0</v>
      </c>
      <c r="AL68" s="14">
        <f>'A) Base RI'!AF68</f>
        <v>0</v>
      </c>
      <c r="AM68" s="14">
        <f>'A) Base RI'!AG68</f>
        <v>0</v>
      </c>
      <c r="AN68" s="14">
        <f>'A) Base RI'!AH68</f>
        <v>32524.95</v>
      </c>
      <c r="AO68" s="14">
        <f>'A) Base RI'!AI68</f>
        <v>0</v>
      </c>
      <c r="AP68" s="14">
        <f>'A) Base RI'!AJ68</f>
        <v>0</v>
      </c>
      <c r="AQ68" s="14">
        <f>'A) Base RI'!AK68</f>
        <v>0</v>
      </c>
      <c r="AR68" s="14">
        <f>'A) Base RI'!AN68</f>
        <v>834</v>
      </c>
    </row>
    <row r="69" spans="1:44" x14ac:dyDescent="0.25">
      <c r="A69" s="12">
        <f>'A) Base RI'!A69</f>
        <v>5498</v>
      </c>
      <c r="B69" s="42" t="str">
        <f>'A) Base RI'!B69</f>
        <v>La Sarraz</v>
      </c>
      <c r="C69" s="14">
        <f>'A) Base RI'!C69+'A) Base RI'!D69</f>
        <v>3945149.72</v>
      </c>
      <c r="D69" s="14">
        <f>'A) Base RI'!AO69</f>
        <v>-45402.33</v>
      </c>
      <c r="E69" s="41">
        <f>'A) Base RI'!AP69</f>
        <v>0</v>
      </c>
      <c r="F69" s="41">
        <f>'A) Base RI'!AQ69</f>
        <v>-25.03</v>
      </c>
      <c r="G69" s="4">
        <f t="shared" si="0"/>
        <v>3899722.3600000003</v>
      </c>
      <c r="H69" s="14">
        <f>'A) Base RI'!E69</f>
        <v>0</v>
      </c>
      <c r="I69" s="14">
        <f>'A) Base RI'!F69</f>
        <v>0</v>
      </c>
      <c r="J69" s="14">
        <f>'A) Base RI'!G69+'A) Base RI'!H69</f>
        <v>128372.65</v>
      </c>
      <c r="K69" s="14">
        <f>'A) Base RI'!I69</f>
        <v>0</v>
      </c>
      <c r="L69" s="14">
        <f>'A) Base RI'!J69</f>
        <v>205230.45</v>
      </c>
      <c r="M69" s="14">
        <f>'A) Base RI'!K69</f>
        <v>18095</v>
      </c>
      <c r="N69" s="14">
        <f>'A) Base RI'!Q69</f>
        <v>4883.71</v>
      </c>
      <c r="O69" s="14">
        <f t="shared" si="1"/>
        <v>358360.15</v>
      </c>
      <c r="P69" s="14">
        <f>'A) Base RI'!L69</f>
        <v>358360.15</v>
      </c>
      <c r="Q69" s="44">
        <f>'A) Base RI'!AR69</f>
        <v>1</v>
      </c>
      <c r="R69" s="4">
        <f t="shared" si="2"/>
        <v>4614664.32</v>
      </c>
      <c r="S69" s="43">
        <f>'A) Base RI'!AM69</f>
        <v>64</v>
      </c>
      <c r="T69" s="4">
        <f t="shared" si="3"/>
        <v>4238209.17</v>
      </c>
      <c r="U69" s="4">
        <f t="shared" si="4"/>
        <v>72104.13</v>
      </c>
      <c r="V69" s="14">
        <f>'A) Base RI'!O69</f>
        <v>80341.899999999994</v>
      </c>
      <c r="W69" s="14">
        <f>'A) Base RI'!P69</f>
        <v>91284.4</v>
      </c>
      <c r="X69" s="14">
        <f>'A) Base RI'!R69</f>
        <v>70466.149999999994</v>
      </c>
      <c r="Y69" s="4">
        <f t="shared" si="5"/>
        <v>242092.44999999998</v>
      </c>
      <c r="Z69" s="14">
        <f>'A) Base RI'!N69</f>
        <v>66079.600000000006</v>
      </c>
      <c r="AA69" s="14">
        <f>'A) Base RI'!S69+'A) Base RI'!T69</f>
        <v>318.75</v>
      </c>
      <c r="AB69" s="14">
        <f>'A) Base RI'!U69</f>
        <v>15335</v>
      </c>
      <c r="AC69" s="14">
        <f>'A) Base RI'!V69</f>
        <v>0</v>
      </c>
      <c r="AD69" s="14">
        <f>'A) Base RI'!W69</f>
        <v>0</v>
      </c>
      <c r="AE69" s="14">
        <f>'A) Base RI'!Y69</f>
        <v>43282.5</v>
      </c>
      <c r="AF69" s="14">
        <f>'A) Base RI'!Z69</f>
        <v>0</v>
      </c>
      <c r="AG69" s="14">
        <f>'A) Base RI'!AA69</f>
        <v>213301.6</v>
      </c>
      <c r="AH69" s="14">
        <f>'A) Base RI'!AB69</f>
        <v>0</v>
      </c>
      <c r="AI69" s="14">
        <f>'A) Base RI'!AC69</f>
        <v>296319.90000000002</v>
      </c>
      <c r="AJ69" s="14">
        <f>'A) Base RI'!AD69</f>
        <v>0</v>
      </c>
      <c r="AK69" s="14">
        <f>'A) Base RI'!AE69</f>
        <v>0</v>
      </c>
      <c r="AL69" s="14">
        <f>'A) Base RI'!AF69</f>
        <v>0</v>
      </c>
      <c r="AM69" s="14">
        <f>'A) Base RI'!AG69</f>
        <v>0</v>
      </c>
      <c r="AN69" s="14">
        <f>'A) Base RI'!AH69</f>
        <v>0</v>
      </c>
      <c r="AO69" s="14">
        <f>'A) Base RI'!AI69</f>
        <v>0</v>
      </c>
      <c r="AP69" s="14">
        <f>'A) Base RI'!AJ69</f>
        <v>0</v>
      </c>
      <c r="AQ69" s="14">
        <f>'A) Base RI'!AK69</f>
        <v>0</v>
      </c>
      <c r="AR69" s="14">
        <f>'A) Base RI'!AN69</f>
        <v>2559</v>
      </c>
    </row>
    <row r="70" spans="1:44" x14ac:dyDescent="0.25">
      <c r="A70" s="12">
        <f>'A) Base RI'!A70</f>
        <v>5499</v>
      </c>
      <c r="B70" s="42" t="str">
        <f>'A) Base RI'!B70</f>
        <v>Senarclens</v>
      </c>
      <c r="C70" s="14">
        <f>'A) Base RI'!C70+'A) Base RI'!D70</f>
        <v>1362535.01</v>
      </c>
      <c r="D70" s="14">
        <f>'A) Base RI'!AO70</f>
        <v>-2009.76</v>
      </c>
      <c r="E70" s="41">
        <f>'A) Base RI'!AP70</f>
        <v>0</v>
      </c>
      <c r="F70" s="41">
        <f>'A) Base RI'!AQ70</f>
        <v>-65.010000000000005</v>
      </c>
      <c r="G70" s="4">
        <f t="shared" si="0"/>
        <v>1360460.24</v>
      </c>
      <c r="H70" s="14">
        <f>'A) Base RI'!E70</f>
        <v>0</v>
      </c>
      <c r="I70" s="14">
        <f>'A) Base RI'!F70</f>
        <v>0</v>
      </c>
      <c r="J70" s="14">
        <f>'A) Base RI'!G70+'A) Base RI'!H70</f>
        <v>23572.3</v>
      </c>
      <c r="K70" s="14">
        <f>'A) Base RI'!I70</f>
        <v>0</v>
      </c>
      <c r="L70" s="14">
        <f>'A) Base RI'!J70</f>
        <v>17401.21</v>
      </c>
      <c r="M70" s="14">
        <f>'A) Base RI'!K70</f>
        <v>0</v>
      </c>
      <c r="N70" s="14">
        <f>'A) Base RI'!Q70</f>
        <v>0</v>
      </c>
      <c r="O70" s="14">
        <f t="shared" si="1"/>
        <v>84858.4</v>
      </c>
      <c r="P70" s="14">
        <f>'A) Base RI'!L70</f>
        <v>84858.4</v>
      </c>
      <c r="Q70" s="44">
        <f>'A) Base RI'!AR70</f>
        <v>1</v>
      </c>
      <c r="R70" s="4">
        <f t="shared" si="2"/>
        <v>1486292.15</v>
      </c>
      <c r="S70" s="43">
        <f>'A) Base RI'!AM70</f>
        <v>68.5</v>
      </c>
      <c r="T70" s="4">
        <f t="shared" si="3"/>
        <v>1401433.75</v>
      </c>
      <c r="U70" s="4">
        <f t="shared" si="4"/>
        <v>21697.695620437953</v>
      </c>
      <c r="V70" s="14">
        <f>'A) Base RI'!O70</f>
        <v>6253.9</v>
      </c>
      <c r="W70" s="14">
        <f>'A) Base RI'!P70</f>
        <v>46970</v>
      </c>
      <c r="X70" s="14">
        <f>'A) Base RI'!R70</f>
        <v>57292.800000000003</v>
      </c>
      <c r="Y70" s="4">
        <f t="shared" si="5"/>
        <v>110516.70000000001</v>
      </c>
      <c r="Z70" s="14">
        <f>'A) Base RI'!N70</f>
        <v>15828.05</v>
      </c>
      <c r="AA70" s="14">
        <f>'A) Base RI'!S70+'A) Base RI'!T70</f>
        <v>25</v>
      </c>
      <c r="AB70" s="14">
        <f>'A) Base RI'!U70</f>
        <v>1250</v>
      </c>
      <c r="AC70" s="14">
        <f>'A) Base RI'!V70</f>
        <v>0</v>
      </c>
      <c r="AD70" s="14">
        <f>'A) Base RI'!W70</f>
        <v>0</v>
      </c>
      <c r="AE70" s="14">
        <f>'A) Base RI'!Y70</f>
        <v>20297.5</v>
      </c>
      <c r="AF70" s="14">
        <f>'A) Base RI'!Z70</f>
        <v>0</v>
      </c>
      <c r="AG70" s="14">
        <f>'A) Base RI'!AA70</f>
        <v>32580</v>
      </c>
      <c r="AH70" s="14">
        <f>'A) Base RI'!AB70</f>
        <v>0</v>
      </c>
      <c r="AI70" s="14">
        <f>'A) Base RI'!AC70</f>
        <v>32893</v>
      </c>
      <c r="AJ70" s="14">
        <f>'A) Base RI'!AD70</f>
        <v>20297.5</v>
      </c>
      <c r="AK70" s="14">
        <f>'A) Base RI'!AE70</f>
        <v>0</v>
      </c>
      <c r="AL70" s="14">
        <f>'A) Base RI'!AF70</f>
        <v>0</v>
      </c>
      <c r="AM70" s="14">
        <f>'A) Base RI'!AG70</f>
        <v>0</v>
      </c>
      <c r="AN70" s="14">
        <f>'A) Base RI'!AH70</f>
        <v>0</v>
      </c>
      <c r="AO70" s="14">
        <f>'A) Base RI'!AI70</f>
        <v>0</v>
      </c>
      <c r="AP70" s="14">
        <f>'A) Base RI'!AJ70</f>
        <v>0</v>
      </c>
      <c r="AQ70" s="14">
        <f>'A) Base RI'!AK70</f>
        <v>0</v>
      </c>
      <c r="AR70" s="14">
        <f>'A) Base RI'!AN70</f>
        <v>451</v>
      </c>
    </row>
    <row r="71" spans="1:44" x14ac:dyDescent="0.25">
      <c r="A71" s="12">
        <f>'A) Base RI'!A71</f>
        <v>5500</v>
      </c>
      <c r="B71" s="42" t="str">
        <f>'A) Base RI'!B71</f>
        <v>Sévery</v>
      </c>
      <c r="C71" s="14">
        <f>'A) Base RI'!C71+'A) Base RI'!D71</f>
        <v>479058.51</v>
      </c>
      <c r="D71" s="14">
        <f>'A) Base RI'!AO71</f>
        <v>-7181.36</v>
      </c>
      <c r="E71" s="41">
        <f>'A) Base RI'!AP71</f>
        <v>0</v>
      </c>
      <c r="F71" s="41">
        <f>'A) Base RI'!AQ71</f>
        <v>0</v>
      </c>
      <c r="G71" s="4">
        <f t="shared" si="0"/>
        <v>471877.15</v>
      </c>
      <c r="H71" s="14">
        <f>'A) Base RI'!E71</f>
        <v>0</v>
      </c>
      <c r="I71" s="14">
        <f>'A) Base RI'!F71</f>
        <v>0</v>
      </c>
      <c r="J71" s="14">
        <f>'A) Base RI'!G71+'A) Base RI'!H71</f>
        <v>6900.7999999999993</v>
      </c>
      <c r="K71" s="14">
        <f>'A) Base RI'!I71</f>
        <v>0</v>
      </c>
      <c r="L71" s="14">
        <f>'A) Base RI'!J71</f>
        <v>5605.97</v>
      </c>
      <c r="M71" s="14">
        <f>'A) Base RI'!K71</f>
        <v>324</v>
      </c>
      <c r="N71" s="14">
        <f>'A) Base RI'!Q71</f>
        <v>-9844.4500000000007</v>
      </c>
      <c r="O71" s="14">
        <f t="shared" si="1"/>
        <v>39440.125</v>
      </c>
      <c r="P71" s="14">
        <f>'A) Base RI'!L71</f>
        <v>47328.15</v>
      </c>
      <c r="Q71" s="44">
        <f>'A) Base RI'!AR71</f>
        <v>1.2</v>
      </c>
      <c r="R71" s="4">
        <f t="shared" si="2"/>
        <v>514303.59499999997</v>
      </c>
      <c r="S71" s="43">
        <f>'A) Base RI'!AM71</f>
        <v>76</v>
      </c>
      <c r="T71" s="4">
        <f t="shared" si="3"/>
        <v>474539.47</v>
      </c>
      <c r="U71" s="4">
        <f t="shared" si="4"/>
        <v>6767.1525657894736</v>
      </c>
      <c r="V71" s="14">
        <f>'A) Base RI'!O71</f>
        <v>0</v>
      </c>
      <c r="W71" s="14">
        <f>'A) Base RI'!P71</f>
        <v>25630</v>
      </c>
      <c r="X71" s="14">
        <f>'A) Base RI'!R71</f>
        <v>13182.4</v>
      </c>
      <c r="Y71" s="4">
        <f t="shared" si="5"/>
        <v>38812.400000000001</v>
      </c>
      <c r="Z71" s="14">
        <f>'A) Base RI'!N71</f>
        <v>5291.4</v>
      </c>
      <c r="AA71" s="14">
        <f>'A) Base RI'!S71+'A) Base RI'!T71</f>
        <v>0</v>
      </c>
      <c r="AB71" s="14">
        <f>'A) Base RI'!U71</f>
        <v>1400</v>
      </c>
      <c r="AC71" s="14">
        <f>'A) Base RI'!V71</f>
        <v>0</v>
      </c>
      <c r="AD71" s="14">
        <f>'A) Base RI'!W71</f>
        <v>0</v>
      </c>
      <c r="AE71" s="14">
        <f>'A) Base RI'!Y71</f>
        <v>0</v>
      </c>
      <c r="AF71" s="14">
        <f>'A) Base RI'!Z71</f>
        <v>0</v>
      </c>
      <c r="AG71" s="14">
        <f>'A) Base RI'!AA71</f>
        <v>29383.5</v>
      </c>
      <c r="AH71" s="14">
        <f>'A) Base RI'!AB71</f>
        <v>0</v>
      </c>
      <c r="AI71" s="14">
        <f>'A) Base RI'!AC71</f>
        <v>23613.599999999999</v>
      </c>
      <c r="AJ71" s="14">
        <f>'A) Base RI'!AD71</f>
        <v>0</v>
      </c>
      <c r="AK71" s="14">
        <f>'A) Base RI'!AE71</f>
        <v>0</v>
      </c>
      <c r="AL71" s="14">
        <f>'A) Base RI'!AF71</f>
        <v>0</v>
      </c>
      <c r="AM71" s="14">
        <f>'A) Base RI'!AG71</f>
        <v>0</v>
      </c>
      <c r="AN71" s="14">
        <f>'A) Base RI'!AH71</f>
        <v>0</v>
      </c>
      <c r="AO71" s="14">
        <f>'A) Base RI'!AI71</f>
        <v>0</v>
      </c>
      <c r="AP71" s="14">
        <f>'A) Base RI'!AJ71</f>
        <v>0</v>
      </c>
      <c r="AQ71" s="14">
        <f>'A) Base RI'!AK71</f>
        <v>0</v>
      </c>
      <c r="AR71" s="14">
        <f>'A) Base RI'!AN71</f>
        <v>231</v>
      </c>
    </row>
    <row r="72" spans="1:44" x14ac:dyDescent="0.25">
      <c r="A72" s="12">
        <f>'A) Base RI'!A72</f>
        <v>5501</v>
      </c>
      <c r="B72" s="42" t="str">
        <f>'A) Base RI'!B72</f>
        <v>Sullens</v>
      </c>
      <c r="C72" s="14">
        <f>'A) Base RI'!C72+'A) Base RI'!D72</f>
        <v>2250658.5</v>
      </c>
      <c r="D72" s="14">
        <f>'A) Base RI'!AO72</f>
        <v>-4391.01</v>
      </c>
      <c r="E72" s="41">
        <f>'A) Base RI'!AP72</f>
        <v>0</v>
      </c>
      <c r="F72" s="41">
        <f>'A) Base RI'!AQ72</f>
        <v>-1156.19</v>
      </c>
      <c r="G72" s="4">
        <f t="shared" ref="G72:G135" si="6">SUM(C72:F72)</f>
        <v>2245111.3000000003</v>
      </c>
      <c r="H72" s="14">
        <f>'A) Base RI'!E72</f>
        <v>0</v>
      </c>
      <c r="I72" s="14">
        <f>'A) Base RI'!F72</f>
        <v>0</v>
      </c>
      <c r="J72" s="14">
        <f>'A) Base RI'!G72+'A) Base RI'!H72</f>
        <v>21364.15</v>
      </c>
      <c r="K72" s="14">
        <f>'A) Base RI'!I72</f>
        <v>38905.75</v>
      </c>
      <c r="L72" s="14">
        <f>'A) Base RI'!J72</f>
        <v>19937.98</v>
      </c>
      <c r="M72" s="14">
        <f>'A) Base RI'!K72</f>
        <v>0</v>
      </c>
      <c r="N72" s="14">
        <f>'A) Base RI'!Q72</f>
        <v>8688.35</v>
      </c>
      <c r="O72" s="14">
        <f t="shared" ref="O72:O135" si="7">(P72/Q72)*1</f>
        <v>178142.1</v>
      </c>
      <c r="P72" s="14">
        <f>'A) Base RI'!L72</f>
        <v>178142.1</v>
      </c>
      <c r="Q72" s="44">
        <f>'A) Base RI'!AR72</f>
        <v>1</v>
      </c>
      <c r="R72" s="4">
        <f t="shared" ref="R72:R135" si="8">SUM(G72:O72)</f>
        <v>2512149.6300000004</v>
      </c>
      <c r="S72" s="43">
        <f>'A) Base RI'!AM72</f>
        <v>70</v>
      </c>
      <c r="T72" s="4">
        <f t="shared" ref="T72:T135" si="9">(G72+H72+J72+K72+L72+N72)</f>
        <v>2334007.5300000003</v>
      </c>
      <c r="U72" s="4">
        <f t="shared" ref="U72:U135" si="10">R72/S72</f>
        <v>35887.851857142865</v>
      </c>
      <c r="V72" s="14">
        <f>'A) Base RI'!O72</f>
        <v>0</v>
      </c>
      <c r="W72" s="14">
        <f>'A) Base RI'!P72</f>
        <v>91097.5</v>
      </c>
      <c r="X72" s="14">
        <f>'A) Base RI'!R72</f>
        <v>120132.3</v>
      </c>
      <c r="Y72" s="4">
        <f t="shared" ref="Y72:Y135" si="11">SUM(V72:X72)</f>
        <v>211229.8</v>
      </c>
      <c r="Z72" s="14">
        <f>'A) Base RI'!N72</f>
        <v>8687.9</v>
      </c>
      <c r="AA72" s="14">
        <f>'A) Base RI'!S72+'A) Base RI'!T72</f>
        <v>93.75</v>
      </c>
      <c r="AB72" s="14">
        <f>'A) Base RI'!U72</f>
        <v>3150</v>
      </c>
      <c r="AC72" s="14">
        <f>'A) Base RI'!V72</f>
        <v>0</v>
      </c>
      <c r="AD72" s="14">
        <f>'A) Base RI'!W72</f>
        <v>0</v>
      </c>
      <c r="AE72" s="14">
        <f>'A) Base RI'!Y72</f>
        <v>83995.8</v>
      </c>
      <c r="AF72" s="14">
        <f>'A) Base RI'!Z72</f>
        <v>15541</v>
      </c>
      <c r="AG72" s="14">
        <f>'A) Base RI'!AA72</f>
        <v>112521.60000000001</v>
      </c>
      <c r="AH72" s="14">
        <f>'A) Base RI'!AB72</f>
        <v>0</v>
      </c>
      <c r="AI72" s="14">
        <f>'A) Base RI'!AC72</f>
        <v>102438.3</v>
      </c>
      <c r="AJ72" s="14">
        <f>'A) Base RI'!AD72</f>
        <v>105444</v>
      </c>
      <c r="AK72" s="14">
        <f>'A) Base RI'!AE72</f>
        <v>19652.099999999999</v>
      </c>
      <c r="AL72" s="14">
        <f>'A) Base RI'!AF72</f>
        <v>0</v>
      </c>
      <c r="AM72" s="14">
        <f>'A) Base RI'!AG72</f>
        <v>0</v>
      </c>
      <c r="AN72" s="14">
        <f>'A) Base RI'!AH72</f>
        <v>0</v>
      </c>
      <c r="AO72" s="14">
        <f>'A) Base RI'!AI72</f>
        <v>0</v>
      </c>
      <c r="AP72" s="14">
        <f>'A) Base RI'!AJ72</f>
        <v>0</v>
      </c>
      <c r="AQ72" s="14">
        <f>'A) Base RI'!AK72</f>
        <v>0</v>
      </c>
      <c r="AR72" s="14">
        <f>'A) Base RI'!AN72</f>
        <v>925</v>
      </c>
    </row>
    <row r="73" spans="1:44" x14ac:dyDescent="0.25">
      <c r="A73" s="12">
        <f>'A) Base RI'!A73</f>
        <v>5503</v>
      </c>
      <c r="B73" s="42" t="str">
        <f>'A) Base RI'!B73</f>
        <v>Vufflens-la-Ville</v>
      </c>
      <c r="C73" s="14">
        <f>'A) Base RI'!C73+'A) Base RI'!D73</f>
        <v>3445234.98</v>
      </c>
      <c r="D73" s="14">
        <f>'A) Base RI'!AO73</f>
        <v>-99215.2</v>
      </c>
      <c r="E73" s="41">
        <f>'A) Base RI'!AP73</f>
        <v>0</v>
      </c>
      <c r="F73" s="41">
        <f>'A) Base RI'!AQ73</f>
        <v>-157.32</v>
      </c>
      <c r="G73" s="4">
        <f t="shared" si="6"/>
        <v>3345862.46</v>
      </c>
      <c r="H73" s="14">
        <f>'A) Base RI'!E73</f>
        <v>0</v>
      </c>
      <c r="I73" s="14">
        <f>'A) Base RI'!F73</f>
        <v>0</v>
      </c>
      <c r="J73" s="14">
        <f>'A) Base RI'!G73+'A) Base RI'!H73</f>
        <v>380787.80000000005</v>
      </c>
      <c r="K73" s="14">
        <f>'A) Base RI'!I73</f>
        <v>0</v>
      </c>
      <c r="L73" s="14">
        <f>'A) Base RI'!J73</f>
        <v>69844.820000000007</v>
      </c>
      <c r="M73" s="14">
        <f>'A) Base RI'!K73</f>
        <v>-7424</v>
      </c>
      <c r="N73" s="14">
        <f>'A) Base RI'!Q73</f>
        <v>13097.24</v>
      </c>
      <c r="O73" s="14">
        <f t="shared" si="7"/>
        <v>310254.58333333337</v>
      </c>
      <c r="P73" s="14">
        <f>'A) Base RI'!L73</f>
        <v>372305.5</v>
      </c>
      <c r="Q73" s="44">
        <f>'A) Base RI'!AR73</f>
        <v>1.2</v>
      </c>
      <c r="R73" s="4">
        <f t="shared" si="8"/>
        <v>4112422.9033333333</v>
      </c>
      <c r="S73" s="43">
        <f>'A) Base RI'!AM73</f>
        <v>67</v>
      </c>
      <c r="T73" s="4">
        <f t="shared" si="9"/>
        <v>3809592.32</v>
      </c>
      <c r="U73" s="4">
        <f t="shared" si="10"/>
        <v>61379.446318407958</v>
      </c>
      <c r="V73" s="14">
        <f>'A) Base RI'!O73</f>
        <v>312949.59999999998</v>
      </c>
      <c r="W73" s="14">
        <f>'A) Base RI'!P73</f>
        <v>261495.4</v>
      </c>
      <c r="X73" s="14">
        <f>'A) Base RI'!R73</f>
        <v>26346.3</v>
      </c>
      <c r="Y73" s="4">
        <f t="shared" si="11"/>
        <v>600791.30000000005</v>
      </c>
      <c r="Z73" s="14">
        <f>'A) Base RI'!N73</f>
        <v>56414.15</v>
      </c>
      <c r="AA73" s="14">
        <f>'A) Base RI'!S73+'A) Base RI'!T73</f>
        <v>0</v>
      </c>
      <c r="AB73" s="14">
        <f>'A) Base RI'!U73</f>
        <v>5680</v>
      </c>
      <c r="AC73" s="14">
        <f>'A) Base RI'!V73</f>
        <v>0</v>
      </c>
      <c r="AD73" s="14">
        <f>'A) Base RI'!W73</f>
        <v>0</v>
      </c>
      <c r="AE73" s="14">
        <f>'A) Base RI'!Y73</f>
        <v>52471.8</v>
      </c>
      <c r="AF73" s="14">
        <f>'A) Base RI'!Z73</f>
        <v>0</v>
      </c>
      <c r="AG73" s="14">
        <f>'A) Base RI'!AA73</f>
        <v>186079.2</v>
      </c>
      <c r="AH73" s="14">
        <f>'A) Base RI'!AB73</f>
        <v>0</v>
      </c>
      <c r="AI73" s="14">
        <f>'A) Base RI'!AC73</f>
        <v>79120</v>
      </c>
      <c r="AJ73" s="14">
        <f>'A) Base RI'!AD73</f>
        <v>166885.95000000001</v>
      </c>
      <c r="AK73" s="14">
        <f>'A) Base RI'!AE73</f>
        <v>0</v>
      </c>
      <c r="AL73" s="14">
        <f>'A) Base RI'!AF73</f>
        <v>0</v>
      </c>
      <c r="AM73" s="14">
        <f>'A) Base RI'!AG73</f>
        <v>0</v>
      </c>
      <c r="AN73" s="14">
        <f>'A) Base RI'!AH73</f>
        <v>0</v>
      </c>
      <c r="AO73" s="14">
        <f>'A) Base RI'!AI73</f>
        <v>0</v>
      </c>
      <c r="AP73" s="14">
        <f>'A) Base RI'!AJ73</f>
        <v>0</v>
      </c>
      <c r="AQ73" s="14">
        <f>'A) Base RI'!AK73</f>
        <v>0</v>
      </c>
      <c r="AR73" s="14">
        <f>'A) Base RI'!AN73</f>
        <v>1216</v>
      </c>
    </row>
    <row r="74" spans="1:44" x14ac:dyDescent="0.25">
      <c r="A74" s="12">
        <f>'A) Base RI'!A74</f>
        <v>5511</v>
      </c>
      <c r="B74" s="42" t="str">
        <f>'A) Base RI'!B74</f>
        <v>Assens</v>
      </c>
      <c r="C74" s="14">
        <f>'A) Base RI'!C74+'A) Base RI'!D74</f>
        <v>2169651.5699999998</v>
      </c>
      <c r="D74" s="14">
        <f>'A) Base RI'!AO74</f>
        <v>-35277.120000000003</v>
      </c>
      <c r="E74" s="41">
        <f>'A) Base RI'!AP74</f>
        <v>0</v>
      </c>
      <c r="F74" s="41">
        <f>'A) Base RI'!AQ74</f>
        <v>-103.19</v>
      </c>
      <c r="G74" s="4">
        <f t="shared" si="6"/>
        <v>2134271.2599999998</v>
      </c>
      <c r="H74" s="14">
        <f>'A) Base RI'!E74</f>
        <v>0</v>
      </c>
      <c r="I74" s="14">
        <f>'A) Base RI'!F74</f>
        <v>0</v>
      </c>
      <c r="J74" s="14">
        <f>'A) Base RI'!G74+'A) Base RI'!H74</f>
        <v>506347.85000000003</v>
      </c>
      <c r="K74" s="14">
        <f>'A) Base RI'!I74</f>
        <v>0</v>
      </c>
      <c r="L74" s="14">
        <f>'A) Base RI'!J74</f>
        <v>44336.11</v>
      </c>
      <c r="M74" s="14">
        <f>'A) Base RI'!K74</f>
        <v>546</v>
      </c>
      <c r="N74" s="14">
        <f>'A) Base RI'!Q74</f>
        <v>6084.91</v>
      </c>
      <c r="O74" s="14">
        <f t="shared" si="7"/>
        <v>207996.75</v>
      </c>
      <c r="P74" s="14">
        <f>'A) Base RI'!L74</f>
        <v>207996.75</v>
      </c>
      <c r="Q74" s="44">
        <f>'A) Base RI'!AR74</f>
        <v>1</v>
      </c>
      <c r="R74" s="4">
        <f t="shared" si="8"/>
        <v>2899582.88</v>
      </c>
      <c r="S74" s="43">
        <f>'A) Base RI'!AM74</f>
        <v>70</v>
      </c>
      <c r="T74" s="4">
        <f t="shared" si="9"/>
        <v>2691040.13</v>
      </c>
      <c r="U74" s="4">
        <f t="shared" si="10"/>
        <v>41422.612571428566</v>
      </c>
      <c r="V74" s="14">
        <f>'A) Base RI'!O74</f>
        <v>521.70000000000005</v>
      </c>
      <c r="W74" s="14">
        <f>'A) Base RI'!P74</f>
        <v>72270</v>
      </c>
      <c r="X74" s="14">
        <f>'A) Base RI'!R74</f>
        <v>74423.850000000006</v>
      </c>
      <c r="Y74" s="4">
        <f t="shared" si="11"/>
        <v>147215.54999999999</v>
      </c>
      <c r="Z74" s="14">
        <f>'A) Base RI'!N74</f>
        <v>9736.75</v>
      </c>
      <c r="AA74" s="14">
        <f>'A) Base RI'!S74+'A) Base RI'!T74</f>
        <v>1240</v>
      </c>
      <c r="AB74" s="14">
        <f>'A) Base RI'!U74</f>
        <v>10725</v>
      </c>
      <c r="AC74" s="14">
        <f>'A) Base RI'!V74</f>
        <v>0</v>
      </c>
      <c r="AD74" s="14">
        <f>'A) Base RI'!W74</f>
        <v>0</v>
      </c>
      <c r="AE74" s="14">
        <f>'A) Base RI'!Y74</f>
        <v>28204.2</v>
      </c>
      <c r="AF74" s="14">
        <f>'A) Base RI'!Z74</f>
        <v>0</v>
      </c>
      <c r="AG74" s="14">
        <f>'A) Base RI'!AA74</f>
        <v>255944.8</v>
      </c>
      <c r="AH74" s="14">
        <f>'A) Base RI'!AB74</f>
        <v>0</v>
      </c>
      <c r="AI74" s="14">
        <f>'A) Base RI'!AC74</f>
        <v>110233.05</v>
      </c>
      <c r="AJ74" s="14">
        <f>'A) Base RI'!AD74</f>
        <v>55323.3</v>
      </c>
      <c r="AK74" s="14">
        <f>'A) Base RI'!AE74</f>
        <v>0</v>
      </c>
      <c r="AL74" s="14">
        <f>'A) Base RI'!AF74</f>
        <v>0</v>
      </c>
      <c r="AM74" s="14">
        <f>'A) Base RI'!AG74</f>
        <v>0</v>
      </c>
      <c r="AN74" s="14">
        <f>'A) Base RI'!AH74</f>
        <v>23530.55</v>
      </c>
      <c r="AO74" s="14">
        <f>'A) Base RI'!AI74</f>
        <v>0</v>
      </c>
      <c r="AP74" s="14">
        <f>'A) Base RI'!AJ74</f>
        <v>0</v>
      </c>
      <c r="AQ74" s="14">
        <f>'A) Base RI'!AK74</f>
        <v>0</v>
      </c>
      <c r="AR74" s="14">
        <f>'A) Base RI'!AN74</f>
        <v>1031</v>
      </c>
    </row>
    <row r="75" spans="1:44" x14ac:dyDescent="0.25">
      <c r="A75" s="12">
        <f>'A) Base RI'!A75</f>
        <v>5512</v>
      </c>
      <c r="B75" s="42" t="str">
        <f>'A) Base RI'!B75</f>
        <v>Bercher</v>
      </c>
      <c r="C75" s="14">
        <f>'A) Base RI'!C75+'A) Base RI'!D75</f>
        <v>2280700.96</v>
      </c>
      <c r="D75" s="14">
        <f>'A) Base RI'!AO75</f>
        <v>-99396.7</v>
      </c>
      <c r="E75" s="41">
        <f>'A) Base RI'!AP75</f>
        <v>0</v>
      </c>
      <c r="F75" s="41">
        <f>'A) Base RI'!AQ75</f>
        <v>0</v>
      </c>
      <c r="G75" s="4">
        <f t="shared" si="6"/>
        <v>2181304.2599999998</v>
      </c>
      <c r="H75" s="14">
        <f>'A) Base RI'!E75</f>
        <v>0</v>
      </c>
      <c r="I75" s="14">
        <f>'A) Base RI'!F75</f>
        <v>0</v>
      </c>
      <c r="J75" s="14">
        <f>'A) Base RI'!G75+'A) Base RI'!H75</f>
        <v>77713.7</v>
      </c>
      <c r="K75" s="14">
        <f>'A) Base RI'!I75</f>
        <v>0</v>
      </c>
      <c r="L75" s="14">
        <f>'A) Base RI'!J75</f>
        <v>44343.91</v>
      </c>
      <c r="M75" s="14">
        <f>'A) Base RI'!K75</f>
        <v>6407.5</v>
      </c>
      <c r="N75" s="14">
        <f>'A) Base RI'!Q75</f>
        <v>5209.9799999999996</v>
      </c>
      <c r="O75" s="14">
        <f t="shared" si="7"/>
        <v>219276.79999999999</v>
      </c>
      <c r="P75" s="14">
        <f>'A) Base RI'!L75</f>
        <v>219276.79999999999</v>
      </c>
      <c r="Q75" s="44">
        <f>'A) Base RI'!AR75</f>
        <v>1</v>
      </c>
      <c r="R75" s="4">
        <f t="shared" si="8"/>
        <v>2534256.15</v>
      </c>
      <c r="S75" s="43">
        <f>'A) Base RI'!AM75</f>
        <v>79</v>
      </c>
      <c r="T75" s="4">
        <f t="shared" si="9"/>
        <v>2308571.85</v>
      </c>
      <c r="U75" s="4">
        <f t="shared" si="10"/>
        <v>32079.191772151898</v>
      </c>
      <c r="V75" s="14">
        <f>'A) Base RI'!O75</f>
        <v>99852.3</v>
      </c>
      <c r="W75" s="14">
        <f>'A) Base RI'!P75</f>
        <v>54182.65</v>
      </c>
      <c r="X75" s="14">
        <f>'A) Base RI'!R75</f>
        <v>-2990.2</v>
      </c>
      <c r="Y75" s="4">
        <f t="shared" si="11"/>
        <v>151044.75</v>
      </c>
      <c r="Z75" s="14">
        <f>'A) Base RI'!N75</f>
        <v>13337.05</v>
      </c>
      <c r="AA75" s="14">
        <f>'A) Base RI'!S75+'A) Base RI'!T75</f>
        <v>3075.2</v>
      </c>
      <c r="AB75" s="14">
        <f>'A) Base RI'!U75</f>
        <v>8850</v>
      </c>
      <c r="AC75" s="14">
        <f>'A) Base RI'!V75</f>
        <v>0</v>
      </c>
      <c r="AD75" s="14">
        <f>'A) Base RI'!W75</f>
        <v>0</v>
      </c>
      <c r="AE75" s="14">
        <f>'A) Base RI'!Y75</f>
        <v>0</v>
      </c>
      <c r="AF75" s="14">
        <f>'A) Base RI'!Z75</f>
        <v>0</v>
      </c>
      <c r="AG75" s="14">
        <f>'A) Base RI'!AA75</f>
        <v>248042.8</v>
      </c>
      <c r="AH75" s="14">
        <f>'A) Base RI'!AB75</f>
        <v>0</v>
      </c>
      <c r="AI75" s="14">
        <f>'A) Base RI'!AC75</f>
        <v>145144.29999999999</v>
      </c>
      <c r="AJ75" s="14">
        <f>'A) Base RI'!AD75</f>
        <v>0</v>
      </c>
      <c r="AK75" s="14">
        <f>'A) Base RI'!AE75</f>
        <v>0</v>
      </c>
      <c r="AL75" s="14">
        <f>'A) Base RI'!AF75</f>
        <v>0</v>
      </c>
      <c r="AM75" s="14">
        <f>'A) Base RI'!AG75</f>
        <v>0</v>
      </c>
      <c r="AN75" s="14">
        <f>'A) Base RI'!AH75</f>
        <v>0</v>
      </c>
      <c r="AO75" s="14">
        <f>'A) Base RI'!AI75</f>
        <v>0</v>
      </c>
      <c r="AP75" s="14">
        <f>'A) Base RI'!AJ75</f>
        <v>0</v>
      </c>
      <c r="AQ75" s="14">
        <f>'A) Base RI'!AK75</f>
        <v>0</v>
      </c>
      <c r="AR75" s="14">
        <f>'A) Base RI'!AN75</f>
        <v>1148</v>
      </c>
    </row>
    <row r="76" spans="1:44" x14ac:dyDescent="0.25">
      <c r="A76" s="12">
        <f>'A) Base RI'!A76</f>
        <v>5513</v>
      </c>
      <c r="B76" s="42" t="str">
        <f>'A) Base RI'!B76</f>
        <v>Bioley-Orjulaz</v>
      </c>
      <c r="C76" s="14">
        <f>'A) Base RI'!C76+'A) Base RI'!D76</f>
        <v>867355.74</v>
      </c>
      <c r="D76" s="14">
        <f>'A) Base RI'!AO76</f>
        <v>-9420.77</v>
      </c>
      <c r="E76" s="41">
        <f>'A) Base RI'!AP76</f>
        <v>0</v>
      </c>
      <c r="F76" s="41">
        <f>'A) Base RI'!AQ76</f>
        <v>-0.04</v>
      </c>
      <c r="G76" s="4">
        <f t="shared" si="6"/>
        <v>857934.92999999993</v>
      </c>
      <c r="H76" s="14">
        <f>'A) Base RI'!E76</f>
        <v>0</v>
      </c>
      <c r="I76" s="14">
        <f>'A) Base RI'!F76</f>
        <v>0</v>
      </c>
      <c r="J76" s="14">
        <f>'A) Base RI'!G76+'A) Base RI'!H76</f>
        <v>573745.15</v>
      </c>
      <c r="K76" s="14">
        <f>'A) Base RI'!I76</f>
        <v>0</v>
      </c>
      <c r="L76" s="14">
        <f>'A) Base RI'!J76</f>
        <v>53261.66</v>
      </c>
      <c r="M76" s="14">
        <f>'A) Base RI'!K76</f>
        <v>1908.5</v>
      </c>
      <c r="N76" s="14">
        <f>'A) Base RI'!Q76</f>
        <v>3392.88</v>
      </c>
      <c r="O76" s="14">
        <f t="shared" si="7"/>
        <v>95372</v>
      </c>
      <c r="P76" s="14">
        <f>'A) Base RI'!L76</f>
        <v>47686</v>
      </c>
      <c r="Q76" s="44">
        <f>'A) Base RI'!AR76</f>
        <v>0.5</v>
      </c>
      <c r="R76" s="4">
        <f t="shared" si="8"/>
        <v>1585615.1199999999</v>
      </c>
      <c r="S76" s="43">
        <f>'A) Base RI'!AM76</f>
        <v>66</v>
      </c>
      <c r="T76" s="4">
        <f t="shared" si="9"/>
        <v>1488334.6199999999</v>
      </c>
      <c r="U76" s="4">
        <f t="shared" si="10"/>
        <v>24024.471515151512</v>
      </c>
      <c r="V76" s="14">
        <f>'A) Base RI'!O76</f>
        <v>0</v>
      </c>
      <c r="W76" s="14">
        <f>'A) Base RI'!P76</f>
        <v>87007.15</v>
      </c>
      <c r="X76" s="14">
        <f>'A) Base RI'!R76</f>
        <v>41415.949999999997</v>
      </c>
      <c r="Y76" s="4">
        <f t="shared" si="11"/>
        <v>128423.09999999999</v>
      </c>
      <c r="Z76" s="14">
        <f>'A) Base RI'!N76</f>
        <v>33909.300000000003</v>
      </c>
      <c r="AA76" s="14">
        <f>'A) Base RI'!S76+'A) Base RI'!T76</f>
        <v>1352</v>
      </c>
      <c r="AB76" s="14">
        <f>'A) Base RI'!U76</f>
        <v>4162.5</v>
      </c>
      <c r="AC76" s="14">
        <f>'A) Base RI'!V76</f>
        <v>0</v>
      </c>
      <c r="AD76" s="14">
        <f>'A) Base RI'!W76</f>
        <v>0</v>
      </c>
      <c r="AE76" s="14">
        <f>'A) Base RI'!Y76</f>
        <v>35322.6</v>
      </c>
      <c r="AF76" s="14">
        <f>'A) Base RI'!Z76</f>
        <v>0</v>
      </c>
      <c r="AG76" s="14">
        <f>'A) Base RI'!AA76</f>
        <v>77311</v>
      </c>
      <c r="AH76" s="14">
        <f>'A) Base RI'!AB76</f>
        <v>0</v>
      </c>
      <c r="AI76" s="14">
        <f>'A) Base RI'!AC76</f>
        <v>35098.25</v>
      </c>
      <c r="AJ76" s="14">
        <f>'A) Base RI'!AD76</f>
        <v>29801.9</v>
      </c>
      <c r="AK76" s="14">
        <f>'A) Base RI'!AE76</f>
        <v>0</v>
      </c>
      <c r="AL76" s="14">
        <f>'A) Base RI'!AF76</f>
        <v>0</v>
      </c>
      <c r="AM76" s="14">
        <f>'A) Base RI'!AG76</f>
        <v>0</v>
      </c>
      <c r="AN76" s="14">
        <f>'A) Base RI'!AH76</f>
        <v>0</v>
      </c>
      <c r="AO76" s="14">
        <f>'A) Base RI'!AI76</f>
        <v>0</v>
      </c>
      <c r="AP76" s="14">
        <f>'A) Base RI'!AJ76</f>
        <v>0</v>
      </c>
      <c r="AQ76" s="14">
        <f>'A) Base RI'!AK76</f>
        <v>0</v>
      </c>
      <c r="AR76" s="14">
        <f>'A) Base RI'!AN76</f>
        <v>471</v>
      </c>
    </row>
    <row r="77" spans="1:44" x14ac:dyDescent="0.25">
      <c r="A77" s="12">
        <f>'A) Base RI'!A77</f>
        <v>5514</v>
      </c>
      <c r="B77" s="42" t="str">
        <f>'A) Base RI'!B77</f>
        <v>Bottens</v>
      </c>
      <c r="C77" s="14">
        <f>'A) Base RI'!C77+'A) Base RI'!D77</f>
        <v>2275214.5</v>
      </c>
      <c r="D77" s="14">
        <f>'A) Base RI'!AO77</f>
        <v>-15505.55</v>
      </c>
      <c r="E77" s="41">
        <f>'A) Base RI'!AP77</f>
        <v>0</v>
      </c>
      <c r="F77" s="41">
        <f>'A) Base RI'!AQ77</f>
        <v>-182.66</v>
      </c>
      <c r="G77" s="4">
        <f t="shared" si="6"/>
        <v>2259526.29</v>
      </c>
      <c r="H77" s="14">
        <f>'A) Base RI'!E77</f>
        <v>0</v>
      </c>
      <c r="I77" s="14">
        <f>'A) Base RI'!F77</f>
        <v>0</v>
      </c>
      <c r="J77" s="14">
        <f>'A) Base RI'!G77+'A) Base RI'!H77</f>
        <v>36876.5</v>
      </c>
      <c r="K77" s="14">
        <f>'A) Base RI'!I77</f>
        <v>34926.15</v>
      </c>
      <c r="L77" s="14">
        <f>'A) Base RI'!J77</f>
        <v>94068.75</v>
      </c>
      <c r="M77" s="14">
        <f>'A) Base RI'!K77</f>
        <v>5310</v>
      </c>
      <c r="N77" s="14">
        <f>'A) Base RI'!Q77</f>
        <v>14463.76</v>
      </c>
      <c r="O77" s="14">
        <f t="shared" si="7"/>
        <v>200749.5</v>
      </c>
      <c r="P77" s="14">
        <f>'A) Base RI'!L77</f>
        <v>140524.65</v>
      </c>
      <c r="Q77" s="44">
        <f>'A) Base RI'!AR77</f>
        <v>0.7</v>
      </c>
      <c r="R77" s="4">
        <f t="shared" si="8"/>
        <v>2645920.9499999997</v>
      </c>
      <c r="S77" s="43">
        <f>'A) Base RI'!AM77</f>
        <v>69</v>
      </c>
      <c r="T77" s="4">
        <f t="shared" si="9"/>
        <v>2439861.4499999997</v>
      </c>
      <c r="U77" s="4">
        <f t="shared" si="10"/>
        <v>38346.680434782604</v>
      </c>
      <c r="V77" s="14">
        <f>'A) Base RI'!O77</f>
        <v>143775.29999999999</v>
      </c>
      <c r="W77" s="14">
        <f>'A) Base RI'!P77</f>
        <v>78589.55</v>
      </c>
      <c r="X77" s="14">
        <f>'A) Base RI'!R77</f>
        <v>73168.45</v>
      </c>
      <c r="Y77" s="4">
        <f t="shared" si="11"/>
        <v>295533.3</v>
      </c>
      <c r="Z77" s="14">
        <f>'A) Base RI'!N77</f>
        <v>10310.85</v>
      </c>
      <c r="AA77" s="14">
        <f>'A) Base RI'!S77+'A) Base RI'!T77</f>
        <v>0</v>
      </c>
      <c r="AB77" s="14">
        <f>'A) Base RI'!U77</f>
        <v>8800</v>
      </c>
      <c r="AC77" s="14">
        <f>'A) Base RI'!V77</f>
        <v>0</v>
      </c>
      <c r="AD77" s="14">
        <f>'A) Base RI'!W77</f>
        <v>0</v>
      </c>
      <c r="AE77" s="14">
        <f>'A) Base RI'!Y77</f>
        <v>0</v>
      </c>
      <c r="AF77" s="14">
        <f>'A) Base RI'!Z77</f>
        <v>0</v>
      </c>
      <c r="AG77" s="14">
        <f>'A) Base RI'!AA77</f>
        <v>249284.39</v>
      </c>
      <c r="AH77" s="14">
        <f>'A) Base RI'!AB77</f>
        <v>0</v>
      </c>
      <c r="AI77" s="14">
        <f>'A) Base RI'!AC77</f>
        <v>100465.25</v>
      </c>
      <c r="AJ77" s="14">
        <f>'A) Base RI'!AD77</f>
        <v>951.2</v>
      </c>
      <c r="AK77" s="14">
        <f>'A) Base RI'!AE77</f>
        <v>0</v>
      </c>
      <c r="AL77" s="14">
        <f>'A) Base RI'!AF77</f>
        <v>0</v>
      </c>
      <c r="AM77" s="14">
        <f>'A) Base RI'!AG77</f>
        <v>0</v>
      </c>
      <c r="AN77" s="14">
        <f>'A) Base RI'!AH77</f>
        <v>22196.1</v>
      </c>
      <c r="AO77" s="14">
        <f>'A) Base RI'!AI77</f>
        <v>0</v>
      </c>
      <c r="AP77" s="14">
        <f>'A) Base RI'!AJ77</f>
        <v>0</v>
      </c>
      <c r="AQ77" s="14">
        <f>'A) Base RI'!AK77</f>
        <v>0</v>
      </c>
      <c r="AR77" s="14">
        <f>'A) Base RI'!AN77</f>
        <v>1220</v>
      </c>
    </row>
    <row r="78" spans="1:44" x14ac:dyDescent="0.25">
      <c r="A78" s="12">
        <f>'A) Base RI'!A78</f>
        <v>5515</v>
      </c>
      <c r="B78" s="42" t="str">
        <f>'A) Base RI'!B78</f>
        <v>Bretigny-sur-Morrens</v>
      </c>
      <c r="C78" s="14">
        <f>'A) Base RI'!C78+'A) Base RI'!D78</f>
        <v>1659953.4300000002</v>
      </c>
      <c r="D78" s="14">
        <f>'A) Base RI'!AO78</f>
        <v>-29915.96</v>
      </c>
      <c r="E78" s="41">
        <f>'A) Base RI'!AP78</f>
        <v>0</v>
      </c>
      <c r="F78" s="41">
        <f>'A) Base RI'!AQ78</f>
        <v>-1.1599999999999999</v>
      </c>
      <c r="G78" s="4">
        <f t="shared" si="6"/>
        <v>1630036.3100000003</v>
      </c>
      <c r="H78" s="14">
        <f>'A) Base RI'!E78</f>
        <v>0</v>
      </c>
      <c r="I78" s="14">
        <f>'A) Base RI'!F78</f>
        <v>0</v>
      </c>
      <c r="J78" s="14">
        <f>'A) Base RI'!G78+'A) Base RI'!H78</f>
        <v>12279.2</v>
      </c>
      <c r="K78" s="14">
        <f>'A) Base RI'!I78</f>
        <v>0</v>
      </c>
      <c r="L78" s="14">
        <f>'A) Base RI'!J78</f>
        <v>-720.07</v>
      </c>
      <c r="M78" s="14">
        <f>'A) Base RI'!K78</f>
        <v>2895</v>
      </c>
      <c r="N78" s="14">
        <f>'A) Base RI'!Q78</f>
        <v>0</v>
      </c>
      <c r="O78" s="14">
        <f t="shared" si="7"/>
        <v>132719.85</v>
      </c>
      <c r="P78" s="14">
        <f>'A) Base RI'!L78</f>
        <v>132719.85</v>
      </c>
      <c r="Q78" s="44">
        <f>'A) Base RI'!AR78</f>
        <v>1</v>
      </c>
      <c r="R78" s="4">
        <f t="shared" si="8"/>
        <v>1777210.2900000003</v>
      </c>
      <c r="S78" s="43">
        <f>'A) Base RI'!AM78</f>
        <v>73</v>
      </c>
      <c r="T78" s="4">
        <f t="shared" si="9"/>
        <v>1641595.4400000002</v>
      </c>
      <c r="U78" s="4">
        <f t="shared" si="10"/>
        <v>24345.34643835617</v>
      </c>
      <c r="V78" s="14">
        <f>'A) Base RI'!O78</f>
        <v>0</v>
      </c>
      <c r="W78" s="14">
        <f>'A) Base RI'!P78</f>
        <v>63431.5</v>
      </c>
      <c r="X78" s="14">
        <f>'A) Base RI'!R78</f>
        <v>60106.3</v>
      </c>
      <c r="Y78" s="4">
        <f t="shared" si="11"/>
        <v>123537.8</v>
      </c>
      <c r="Z78" s="14">
        <f>'A) Base RI'!N78</f>
        <v>13053.7</v>
      </c>
      <c r="AA78" s="14">
        <f>'A) Base RI'!S78+'A) Base RI'!T78</f>
        <v>712</v>
      </c>
      <c r="AB78" s="14">
        <f>'A) Base RI'!U78</f>
        <v>5220</v>
      </c>
      <c r="AC78" s="14">
        <f>'A) Base RI'!V78</f>
        <v>0</v>
      </c>
      <c r="AD78" s="14">
        <f>'A) Base RI'!W78</f>
        <v>0</v>
      </c>
      <c r="AE78" s="14">
        <f>'A) Base RI'!Y78</f>
        <v>103075.2</v>
      </c>
      <c r="AF78" s="14">
        <f>'A) Base RI'!Z78</f>
        <v>0</v>
      </c>
      <c r="AG78" s="14">
        <f>'A) Base RI'!AA78</f>
        <v>206228.45</v>
      </c>
      <c r="AH78" s="14">
        <f>'A) Base RI'!AB78</f>
        <v>0</v>
      </c>
      <c r="AI78" s="14">
        <f>'A) Base RI'!AC78</f>
        <v>74645</v>
      </c>
      <c r="AJ78" s="14">
        <f>'A) Base RI'!AD78</f>
        <v>27730.35</v>
      </c>
      <c r="AK78" s="14">
        <f>'A) Base RI'!AE78</f>
        <v>0</v>
      </c>
      <c r="AL78" s="14">
        <f>'A) Base RI'!AF78</f>
        <v>0</v>
      </c>
      <c r="AM78" s="14">
        <f>'A) Base RI'!AG78</f>
        <v>0</v>
      </c>
      <c r="AN78" s="14">
        <f>'A) Base RI'!AH78</f>
        <v>0</v>
      </c>
      <c r="AO78" s="14">
        <f>'A) Base RI'!AI78</f>
        <v>0</v>
      </c>
      <c r="AP78" s="14">
        <f>'A) Base RI'!AJ78</f>
        <v>0</v>
      </c>
      <c r="AQ78" s="14">
        <f>'A) Base RI'!AK78</f>
        <v>0</v>
      </c>
      <c r="AR78" s="14">
        <f>'A) Base RI'!AN78</f>
        <v>797</v>
      </c>
    </row>
    <row r="79" spans="1:44" x14ac:dyDescent="0.25">
      <c r="A79" s="12">
        <f>'A) Base RI'!A79</f>
        <v>5516</v>
      </c>
      <c r="B79" s="42" t="str">
        <f>'A) Base RI'!B79</f>
        <v>Cugy</v>
      </c>
      <c r="C79" s="14">
        <f>'A) Base RI'!C79+'A) Base RI'!D79</f>
        <v>6068687.7400000002</v>
      </c>
      <c r="D79" s="14">
        <f>'A) Base RI'!AO79</f>
        <v>-101970.17</v>
      </c>
      <c r="E79" s="41">
        <f>'A) Base RI'!AP79</f>
        <v>0</v>
      </c>
      <c r="F79" s="41">
        <f>'A) Base RI'!AQ79</f>
        <v>-1702.72</v>
      </c>
      <c r="G79" s="4">
        <f t="shared" si="6"/>
        <v>5965014.8500000006</v>
      </c>
      <c r="H79" s="14">
        <f>'A) Base RI'!E79</f>
        <v>0</v>
      </c>
      <c r="I79" s="14">
        <f>'A) Base RI'!F79</f>
        <v>0</v>
      </c>
      <c r="J79" s="14">
        <f>'A) Base RI'!G79+'A) Base RI'!H79</f>
        <v>310524.90000000002</v>
      </c>
      <c r="K79" s="14">
        <f>'A) Base RI'!I79</f>
        <v>-1045.04</v>
      </c>
      <c r="L79" s="14">
        <f>'A) Base RI'!J79</f>
        <v>153035.09</v>
      </c>
      <c r="M79" s="14">
        <f>'A) Base RI'!K79</f>
        <v>31318.5</v>
      </c>
      <c r="N79" s="14">
        <f>'A) Base RI'!Q79</f>
        <v>38974.71</v>
      </c>
      <c r="O79" s="14">
        <f t="shared" si="7"/>
        <v>532833.85</v>
      </c>
      <c r="P79" s="14">
        <f>'A) Base RI'!L79</f>
        <v>532833.85</v>
      </c>
      <c r="Q79" s="44">
        <f>'A) Base RI'!AR79</f>
        <v>1</v>
      </c>
      <c r="R79" s="4">
        <f t="shared" si="8"/>
        <v>7030656.8600000003</v>
      </c>
      <c r="S79" s="43">
        <f>'A) Base RI'!AM79</f>
        <v>67</v>
      </c>
      <c r="T79" s="4">
        <f t="shared" si="9"/>
        <v>6466504.5100000007</v>
      </c>
      <c r="U79" s="4">
        <f t="shared" si="10"/>
        <v>104935.17701492537</v>
      </c>
      <c r="V79" s="14">
        <f>'A) Base RI'!O79</f>
        <v>242792.2</v>
      </c>
      <c r="W79" s="14">
        <f>'A) Base RI'!P79</f>
        <v>162609.29999999999</v>
      </c>
      <c r="X79" s="14">
        <f>'A) Base RI'!R79</f>
        <v>177644</v>
      </c>
      <c r="Y79" s="4">
        <f t="shared" si="11"/>
        <v>583045.5</v>
      </c>
      <c r="Z79" s="14">
        <f>'A) Base RI'!N79</f>
        <v>101673.55</v>
      </c>
      <c r="AA79" s="14">
        <f>'A) Base RI'!S79+'A) Base RI'!T79</f>
        <v>387.5</v>
      </c>
      <c r="AB79" s="14">
        <f>'A) Base RI'!U79</f>
        <v>14100</v>
      </c>
      <c r="AC79" s="14">
        <f>'A) Base RI'!V79</f>
        <v>0</v>
      </c>
      <c r="AD79" s="14">
        <f>'A) Base RI'!W79</f>
        <v>0</v>
      </c>
      <c r="AE79" s="14">
        <f>'A) Base RI'!Y79</f>
        <v>51970.5</v>
      </c>
      <c r="AF79" s="14">
        <f>'A) Base RI'!Z79</f>
        <v>0</v>
      </c>
      <c r="AG79" s="14">
        <f>'A) Base RI'!AA79</f>
        <v>520320.95</v>
      </c>
      <c r="AH79" s="14">
        <f>'A) Base RI'!AB79</f>
        <v>0</v>
      </c>
      <c r="AI79" s="14">
        <f>'A) Base RI'!AC79</f>
        <v>272608.45</v>
      </c>
      <c r="AJ79" s="14">
        <f>'A) Base RI'!AD79</f>
        <v>37203.4</v>
      </c>
      <c r="AK79" s="14">
        <f>'A) Base RI'!AE79</f>
        <v>0</v>
      </c>
      <c r="AL79" s="14">
        <f>'A) Base RI'!AF79</f>
        <v>0</v>
      </c>
      <c r="AM79" s="14">
        <f>'A) Base RI'!AG79</f>
        <v>0</v>
      </c>
      <c r="AN79" s="14">
        <f>'A) Base RI'!AH79</f>
        <v>73688.7</v>
      </c>
      <c r="AO79" s="14">
        <f>'A) Base RI'!AI79</f>
        <v>0</v>
      </c>
      <c r="AP79" s="14">
        <f>'A) Base RI'!AJ79</f>
        <v>0</v>
      </c>
      <c r="AQ79" s="14">
        <f>'A) Base RI'!AK79</f>
        <v>0</v>
      </c>
      <c r="AR79" s="14">
        <f>'A) Base RI'!AN79</f>
        <v>2755</v>
      </c>
    </row>
    <row r="80" spans="1:44" x14ac:dyDescent="0.25">
      <c r="A80" s="12">
        <f>'A) Base RI'!A80</f>
        <v>5518</v>
      </c>
      <c r="B80" s="42" t="str">
        <f>'A) Base RI'!B80</f>
        <v>Echallens</v>
      </c>
      <c r="C80" s="14">
        <f>'A) Base RI'!C80+'A) Base RI'!D80</f>
        <v>10918067.18</v>
      </c>
      <c r="D80" s="14">
        <f>'A) Base RI'!AO80</f>
        <v>-259839.31</v>
      </c>
      <c r="E80" s="41">
        <f>'A) Base RI'!AP80</f>
        <v>0</v>
      </c>
      <c r="F80" s="41">
        <f>'A) Base RI'!AQ80</f>
        <v>-108.48</v>
      </c>
      <c r="G80" s="4">
        <f t="shared" si="6"/>
        <v>10658119.389999999</v>
      </c>
      <c r="H80" s="14">
        <f>'A) Base RI'!E80</f>
        <v>0</v>
      </c>
      <c r="I80" s="14">
        <f>'A) Base RI'!F80</f>
        <v>0</v>
      </c>
      <c r="J80" s="14">
        <f>'A) Base RI'!G80+'A) Base RI'!H80</f>
        <v>1469098.5999999999</v>
      </c>
      <c r="K80" s="14">
        <f>'A) Base RI'!I80</f>
        <v>0</v>
      </c>
      <c r="L80" s="14">
        <f>'A) Base RI'!J80</f>
        <v>236025.66</v>
      </c>
      <c r="M80" s="14">
        <f>'A) Base RI'!K80</f>
        <v>47213</v>
      </c>
      <c r="N80" s="14">
        <f>'A) Base RI'!Q80</f>
        <v>101191.52</v>
      </c>
      <c r="O80" s="14">
        <f t="shared" si="7"/>
        <v>913665.9</v>
      </c>
      <c r="P80" s="14">
        <f>'A) Base RI'!L80</f>
        <v>913665.9</v>
      </c>
      <c r="Q80" s="44">
        <f>'A) Base RI'!AR80</f>
        <v>1</v>
      </c>
      <c r="R80" s="4">
        <f t="shared" si="8"/>
        <v>13425314.069999998</v>
      </c>
      <c r="S80" s="43">
        <f>'A) Base RI'!AM80</f>
        <v>74</v>
      </c>
      <c r="T80" s="4">
        <f t="shared" si="9"/>
        <v>12464435.169999998</v>
      </c>
      <c r="U80" s="4">
        <f t="shared" si="10"/>
        <v>181423.1631081081</v>
      </c>
      <c r="V80" s="14">
        <f>'A) Base RI'!O80</f>
        <v>65342.7</v>
      </c>
      <c r="W80" s="14">
        <f>'A) Base RI'!P80</f>
        <v>418221.4</v>
      </c>
      <c r="X80" s="14">
        <f>'A) Base RI'!R80</f>
        <v>96603.65</v>
      </c>
      <c r="Y80" s="4">
        <f t="shared" si="11"/>
        <v>580167.75</v>
      </c>
      <c r="Z80" s="14">
        <f>'A) Base RI'!N80</f>
        <v>189303.95</v>
      </c>
      <c r="AA80" s="14">
        <f>'A) Base RI'!S80+'A) Base RI'!T80</f>
        <v>4383.25</v>
      </c>
      <c r="AB80" s="14">
        <f>'A) Base RI'!U80</f>
        <v>18900</v>
      </c>
      <c r="AC80" s="14">
        <f>'A) Base RI'!V80</f>
        <v>0</v>
      </c>
      <c r="AD80" s="14">
        <f>'A) Base RI'!W80</f>
        <v>1324.4</v>
      </c>
      <c r="AE80" s="14">
        <f>'A) Base RI'!Y80</f>
        <v>100151.75</v>
      </c>
      <c r="AF80" s="14">
        <f>'A) Base RI'!Z80</f>
        <v>0</v>
      </c>
      <c r="AG80" s="14">
        <f>'A) Base RI'!AA80</f>
        <v>980746.2</v>
      </c>
      <c r="AH80" s="14">
        <f>'A) Base RI'!AB80</f>
        <v>0</v>
      </c>
      <c r="AI80" s="14">
        <f>'A) Base RI'!AC80</f>
        <v>331453.40000000002</v>
      </c>
      <c r="AJ80" s="14">
        <f>'A) Base RI'!AD80</f>
        <v>48428.4</v>
      </c>
      <c r="AK80" s="14">
        <f>'A) Base RI'!AE80</f>
        <v>0</v>
      </c>
      <c r="AL80" s="14">
        <f>'A) Base RI'!AF80</f>
        <v>0</v>
      </c>
      <c r="AM80" s="14">
        <f>'A) Base RI'!AG80</f>
        <v>0</v>
      </c>
      <c r="AN80" s="14">
        <f>'A) Base RI'!AH80</f>
        <v>0</v>
      </c>
      <c r="AO80" s="14">
        <f>'A) Base RI'!AI80</f>
        <v>0</v>
      </c>
      <c r="AP80" s="14">
        <f>'A) Base RI'!AJ80</f>
        <v>0</v>
      </c>
      <c r="AQ80" s="14">
        <f>'A) Base RI'!AK80</f>
        <v>0</v>
      </c>
      <c r="AR80" s="14">
        <f>'A) Base RI'!AN80</f>
        <v>5606</v>
      </c>
    </row>
    <row r="81" spans="1:44" x14ac:dyDescent="0.25">
      <c r="A81" s="12">
        <f>'A) Base RI'!A81</f>
        <v>5520</v>
      </c>
      <c r="B81" s="42" t="str">
        <f>'A) Base RI'!B81</f>
        <v>Essertines-sur-Yverdon</v>
      </c>
      <c r="C81" s="14">
        <f>'A) Base RI'!C81+'A) Base RI'!D81</f>
        <v>1853191.4300000002</v>
      </c>
      <c r="D81" s="14">
        <f>'A) Base RI'!AO81</f>
        <v>-38914.35</v>
      </c>
      <c r="E81" s="41">
        <f>'A) Base RI'!AP81</f>
        <v>0</v>
      </c>
      <c r="F81" s="41">
        <f>'A) Base RI'!AQ81</f>
        <v>-43.65</v>
      </c>
      <c r="G81" s="4">
        <f t="shared" si="6"/>
        <v>1814233.4300000002</v>
      </c>
      <c r="H81" s="14">
        <f>'A) Base RI'!E81</f>
        <v>0</v>
      </c>
      <c r="I81" s="14">
        <f>'A) Base RI'!F81</f>
        <v>0</v>
      </c>
      <c r="J81" s="14">
        <f>'A) Base RI'!G81+'A) Base RI'!H81</f>
        <v>52884.65</v>
      </c>
      <c r="K81" s="14">
        <f>'A) Base RI'!I81</f>
        <v>0</v>
      </c>
      <c r="L81" s="14">
        <f>'A) Base RI'!J81</f>
        <v>11431.8</v>
      </c>
      <c r="M81" s="14">
        <f>'A) Base RI'!K81</f>
        <v>1478</v>
      </c>
      <c r="N81" s="14">
        <f>'A) Base RI'!Q81</f>
        <v>1445.03</v>
      </c>
      <c r="O81" s="14">
        <f t="shared" si="7"/>
        <v>164102.39999999999</v>
      </c>
      <c r="P81" s="14">
        <f>'A) Base RI'!L81</f>
        <v>164102.39999999999</v>
      </c>
      <c r="Q81" s="44">
        <f>'A) Base RI'!AR81</f>
        <v>1</v>
      </c>
      <c r="R81" s="4">
        <f t="shared" si="8"/>
        <v>2045575.31</v>
      </c>
      <c r="S81" s="43">
        <f>'A) Base RI'!AM81</f>
        <v>73</v>
      </c>
      <c r="T81" s="4">
        <f t="shared" si="9"/>
        <v>1879994.9100000001</v>
      </c>
      <c r="U81" s="4">
        <f t="shared" si="10"/>
        <v>28021.579589041095</v>
      </c>
      <c r="V81" s="14">
        <f>'A) Base RI'!O81</f>
        <v>3712.8</v>
      </c>
      <c r="W81" s="14">
        <f>'A) Base RI'!P81</f>
        <v>52706.85</v>
      </c>
      <c r="X81" s="14">
        <f>'A) Base RI'!R81</f>
        <v>27426.55</v>
      </c>
      <c r="Y81" s="4">
        <f t="shared" si="11"/>
        <v>83846.2</v>
      </c>
      <c r="Z81" s="14">
        <f>'A) Base RI'!N81</f>
        <v>8440.5</v>
      </c>
      <c r="AA81" s="14">
        <f>'A) Base RI'!S81+'A) Base RI'!T81</f>
        <v>986.5</v>
      </c>
      <c r="AB81" s="14">
        <f>'A) Base RI'!U81</f>
        <v>6850</v>
      </c>
      <c r="AC81" s="14">
        <f>'A) Base RI'!V81</f>
        <v>0</v>
      </c>
      <c r="AD81" s="14">
        <f>'A) Base RI'!W81</f>
        <v>0</v>
      </c>
      <c r="AE81" s="14">
        <f>'A) Base RI'!Y81</f>
        <v>34916.65</v>
      </c>
      <c r="AF81" s="14">
        <f>'A) Base RI'!Z81</f>
        <v>61890</v>
      </c>
      <c r="AG81" s="14">
        <f>'A) Base RI'!AA81</f>
        <v>89293.45</v>
      </c>
      <c r="AH81" s="14">
        <f>'A) Base RI'!AB81</f>
        <v>0</v>
      </c>
      <c r="AI81" s="14">
        <f>'A) Base RI'!AC81</f>
        <v>36485.35</v>
      </c>
      <c r="AJ81" s="14">
        <f>'A) Base RI'!AD81</f>
        <v>52382.45</v>
      </c>
      <c r="AK81" s="14">
        <f>'A) Base RI'!AE81</f>
        <v>29528.9</v>
      </c>
      <c r="AL81" s="14">
        <f>'A) Base RI'!AF81</f>
        <v>0</v>
      </c>
      <c r="AM81" s="14">
        <f>'A) Base RI'!AG81</f>
        <v>0</v>
      </c>
      <c r="AN81" s="14">
        <f>'A) Base RI'!AH81</f>
        <v>0</v>
      </c>
      <c r="AO81" s="14">
        <f>'A) Base RI'!AI81</f>
        <v>0</v>
      </c>
      <c r="AP81" s="14">
        <f>'A) Base RI'!AJ81</f>
        <v>0</v>
      </c>
      <c r="AQ81" s="14">
        <f>'A) Base RI'!AK81</f>
        <v>0</v>
      </c>
      <c r="AR81" s="14">
        <f>'A) Base RI'!AN81</f>
        <v>945</v>
      </c>
    </row>
    <row r="82" spans="1:44" x14ac:dyDescent="0.25">
      <c r="A82" s="12">
        <f>'A) Base RI'!A82</f>
        <v>5521</v>
      </c>
      <c r="B82" s="42" t="str">
        <f>'A) Base RI'!B82</f>
        <v>Etagnières</v>
      </c>
      <c r="C82" s="14">
        <f>'A) Base RI'!C82+'A) Base RI'!D82</f>
        <v>2348649.7800000003</v>
      </c>
      <c r="D82" s="14">
        <f>'A) Base RI'!AO82</f>
        <v>-22847.43</v>
      </c>
      <c r="E82" s="41">
        <f>'A) Base RI'!AP82</f>
        <v>0</v>
      </c>
      <c r="F82" s="41">
        <f>'A) Base RI'!AQ82</f>
        <v>-15.9</v>
      </c>
      <c r="G82" s="4">
        <f t="shared" si="6"/>
        <v>2325786.4500000002</v>
      </c>
      <c r="H82" s="14">
        <f>'A) Base RI'!E82</f>
        <v>0</v>
      </c>
      <c r="I82" s="14">
        <f>'A) Base RI'!F82</f>
        <v>0</v>
      </c>
      <c r="J82" s="14">
        <f>'A) Base RI'!G82+'A) Base RI'!H82</f>
        <v>453181.3</v>
      </c>
      <c r="K82" s="14">
        <f>'A) Base RI'!I82</f>
        <v>0</v>
      </c>
      <c r="L82" s="14">
        <f>'A) Base RI'!J82</f>
        <v>79493.789999999994</v>
      </c>
      <c r="M82" s="14">
        <f>'A) Base RI'!K82</f>
        <v>-8434</v>
      </c>
      <c r="N82" s="14">
        <f>'A) Base RI'!Q82</f>
        <v>17952.599999999999</v>
      </c>
      <c r="O82" s="14">
        <f t="shared" si="7"/>
        <v>221948.1</v>
      </c>
      <c r="P82" s="14">
        <f>'A) Base RI'!L82</f>
        <v>221948.1</v>
      </c>
      <c r="Q82" s="44">
        <f>'A) Base RI'!AR82</f>
        <v>1</v>
      </c>
      <c r="R82" s="4">
        <f t="shared" si="8"/>
        <v>3089928.24</v>
      </c>
      <c r="S82" s="43">
        <f>'A) Base RI'!AM82</f>
        <v>73</v>
      </c>
      <c r="T82" s="4">
        <f t="shared" si="9"/>
        <v>2876414.14</v>
      </c>
      <c r="U82" s="4">
        <f t="shared" si="10"/>
        <v>42327.784109589047</v>
      </c>
      <c r="V82" s="14">
        <f>'A) Base RI'!O82</f>
        <v>0</v>
      </c>
      <c r="W82" s="14">
        <f>'A) Base RI'!P82</f>
        <v>41483.5</v>
      </c>
      <c r="X82" s="14">
        <f>'A) Base RI'!R82</f>
        <v>5113.95</v>
      </c>
      <c r="Y82" s="4">
        <f t="shared" si="11"/>
        <v>46597.45</v>
      </c>
      <c r="Z82" s="14">
        <f>'A) Base RI'!N82</f>
        <v>60233.95</v>
      </c>
      <c r="AA82" s="14">
        <f>'A) Base RI'!S82+'A) Base RI'!T82</f>
        <v>62.5</v>
      </c>
      <c r="AB82" s="14">
        <f>'A) Base RI'!U82</f>
        <v>4700</v>
      </c>
      <c r="AC82" s="14">
        <f>'A) Base RI'!V82</f>
        <v>0</v>
      </c>
      <c r="AD82" s="14">
        <f>'A) Base RI'!W82</f>
        <v>0</v>
      </c>
      <c r="AE82" s="14">
        <f>'A) Base RI'!Y82</f>
        <v>60327.6</v>
      </c>
      <c r="AF82" s="14">
        <f>'A) Base RI'!Z82</f>
        <v>922</v>
      </c>
      <c r="AG82" s="14">
        <f>'A) Base RI'!AA82</f>
        <v>315456.78000000003</v>
      </c>
      <c r="AH82" s="14">
        <f>'A) Base RI'!AB82</f>
        <v>0</v>
      </c>
      <c r="AI82" s="14">
        <f>'A) Base RI'!AC82</f>
        <v>166182.18</v>
      </c>
      <c r="AJ82" s="14">
        <f>'A) Base RI'!AD82</f>
        <v>0</v>
      </c>
      <c r="AK82" s="14">
        <f>'A) Base RI'!AE82</f>
        <v>0</v>
      </c>
      <c r="AL82" s="14">
        <f>'A) Base RI'!AF82</f>
        <v>0</v>
      </c>
      <c r="AM82" s="14">
        <f>'A) Base RI'!AG82</f>
        <v>0</v>
      </c>
      <c r="AN82" s="14">
        <f>'A) Base RI'!AH82</f>
        <v>28283.9</v>
      </c>
      <c r="AO82" s="14">
        <f>'A) Base RI'!AI82</f>
        <v>0</v>
      </c>
      <c r="AP82" s="14">
        <f>'A) Base RI'!AJ82</f>
        <v>0</v>
      </c>
      <c r="AQ82" s="14">
        <f>'A) Base RI'!AK82</f>
        <v>0</v>
      </c>
      <c r="AR82" s="14">
        <f>'A) Base RI'!AN82</f>
        <v>1146</v>
      </c>
    </row>
    <row r="83" spans="1:44" x14ac:dyDescent="0.25">
      <c r="A83" s="12">
        <f>'A) Base RI'!A83</f>
        <v>5522</v>
      </c>
      <c r="B83" s="42" t="str">
        <f>'A) Base RI'!B83</f>
        <v>Fey</v>
      </c>
      <c r="C83" s="14">
        <f>'A) Base RI'!C83+'A) Base RI'!D83</f>
        <v>1207136.29</v>
      </c>
      <c r="D83" s="14">
        <f>'A) Base RI'!AO83</f>
        <v>-44334.29</v>
      </c>
      <c r="E83" s="41">
        <f>'A) Base RI'!AP83</f>
        <v>0</v>
      </c>
      <c r="F83" s="41">
        <f>'A) Base RI'!AQ83</f>
        <v>-8.4600000000000009</v>
      </c>
      <c r="G83" s="4">
        <f t="shared" si="6"/>
        <v>1162793.54</v>
      </c>
      <c r="H83" s="14">
        <f>'A) Base RI'!E83</f>
        <v>0</v>
      </c>
      <c r="I83" s="14">
        <f>'A) Base RI'!F83</f>
        <v>0</v>
      </c>
      <c r="J83" s="14">
        <f>'A) Base RI'!G83+'A) Base RI'!H83</f>
        <v>42200.799999999996</v>
      </c>
      <c r="K83" s="14">
        <f>'A) Base RI'!I83</f>
        <v>0</v>
      </c>
      <c r="L83" s="14">
        <f>'A) Base RI'!J83</f>
        <v>25734.65</v>
      </c>
      <c r="M83" s="14">
        <f>'A) Base RI'!K83</f>
        <v>916</v>
      </c>
      <c r="N83" s="14">
        <f>'A) Base RI'!Q83</f>
        <v>26498.74</v>
      </c>
      <c r="O83" s="14">
        <f t="shared" si="7"/>
        <v>108244.7</v>
      </c>
      <c r="P83" s="14">
        <f>'A) Base RI'!L83</f>
        <v>108244.7</v>
      </c>
      <c r="Q83" s="44">
        <f>'A) Base RI'!AR83</f>
        <v>1</v>
      </c>
      <c r="R83" s="4">
        <f t="shared" si="8"/>
        <v>1366388.43</v>
      </c>
      <c r="S83" s="43">
        <f>'A) Base RI'!AM83</f>
        <v>75</v>
      </c>
      <c r="T83" s="4">
        <f t="shared" si="9"/>
        <v>1257227.73</v>
      </c>
      <c r="U83" s="4">
        <f t="shared" si="10"/>
        <v>18218.5124</v>
      </c>
      <c r="V83" s="14">
        <f>'A) Base RI'!O83</f>
        <v>1134.5</v>
      </c>
      <c r="W83" s="14">
        <f>'A) Base RI'!P83</f>
        <v>54952.55</v>
      </c>
      <c r="X83" s="14">
        <f>'A) Base RI'!R83</f>
        <v>12615.65</v>
      </c>
      <c r="Y83" s="4">
        <f t="shared" si="11"/>
        <v>68702.7</v>
      </c>
      <c r="Z83" s="14">
        <f>'A) Base RI'!N83</f>
        <v>7678.25</v>
      </c>
      <c r="AA83" s="14">
        <f>'A) Base RI'!S83+'A) Base RI'!T83</f>
        <v>1112.5</v>
      </c>
      <c r="AB83" s="14">
        <f>'A) Base RI'!U83</f>
        <v>3150</v>
      </c>
      <c r="AC83" s="14">
        <f>'A) Base RI'!V83</f>
        <v>0</v>
      </c>
      <c r="AD83" s="14">
        <f>'A) Base RI'!W83</f>
        <v>0</v>
      </c>
      <c r="AE83" s="14">
        <f>'A) Base RI'!Y83</f>
        <v>34000</v>
      </c>
      <c r="AF83" s="14">
        <f>'A) Base RI'!Z83</f>
        <v>0</v>
      </c>
      <c r="AG83" s="14">
        <f>'A) Base RI'!AA83</f>
        <v>63090</v>
      </c>
      <c r="AH83" s="14">
        <f>'A) Base RI'!AB83</f>
        <v>0</v>
      </c>
      <c r="AI83" s="14">
        <f>'A) Base RI'!AC83</f>
        <v>0</v>
      </c>
      <c r="AJ83" s="14">
        <f>'A) Base RI'!AD83</f>
        <v>3250</v>
      </c>
      <c r="AK83" s="14">
        <f>'A) Base RI'!AE83</f>
        <v>0</v>
      </c>
      <c r="AL83" s="14">
        <f>'A) Base RI'!AF83</f>
        <v>0</v>
      </c>
      <c r="AM83" s="14">
        <f>'A) Base RI'!AG83</f>
        <v>0</v>
      </c>
      <c r="AN83" s="14">
        <f>'A) Base RI'!AH83</f>
        <v>0</v>
      </c>
      <c r="AO83" s="14">
        <f>'A) Base RI'!AI83</f>
        <v>0</v>
      </c>
      <c r="AP83" s="14">
        <f>'A) Base RI'!AJ83</f>
        <v>0</v>
      </c>
      <c r="AQ83" s="14">
        <f>'A) Base RI'!AK83</f>
        <v>0</v>
      </c>
      <c r="AR83" s="14">
        <f>'A) Base RI'!AN83</f>
        <v>635</v>
      </c>
    </row>
    <row r="84" spans="1:44" x14ac:dyDescent="0.25">
      <c r="A84" s="12">
        <f>'A) Base RI'!A84</f>
        <v>5523</v>
      </c>
      <c r="B84" s="42" t="str">
        <f>'A) Base RI'!B84</f>
        <v>Froideville</v>
      </c>
      <c r="C84" s="14">
        <f>'A) Base RI'!C84+'A) Base RI'!D84</f>
        <v>5257551.75</v>
      </c>
      <c r="D84" s="14">
        <f>'A) Base RI'!AO84</f>
        <v>-78959.55</v>
      </c>
      <c r="E84" s="41">
        <f>'A) Base RI'!AP84</f>
        <v>0</v>
      </c>
      <c r="F84" s="41">
        <f>'A) Base RI'!AQ84</f>
        <v>-56.97</v>
      </c>
      <c r="G84" s="4">
        <f t="shared" si="6"/>
        <v>5178535.2300000004</v>
      </c>
      <c r="H84" s="14">
        <f>'A) Base RI'!E84</f>
        <v>0</v>
      </c>
      <c r="I84" s="14">
        <f>'A) Base RI'!F84</f>
        <v>12930</v>
      </c>
      <c r="J84" s="14">
        <f>'A) Base RI'!G84+'A) Base RI'!H84</f>
        <v>118780.70000000001</v>
      </c>
      <c r="K84" s="14">
        <f>'A) Base RI'!I84</f>
        <v>30937.4</v>
      </c>
      <c r="L84" s="14">
        <f>'A) Base RI'!J84</f>
        <v>122783.6</v>
      </c>
      <c r="M84" s="14">
        <f>'A) Base RI'!K84</f>
        <v>13603</v>
      </c>
      <c r="N84" s="14">
        <f>'A) Base RI'!Q84</f>
        <v>5089.3</v>
      </c>
      <c r="O84" s="14">
        <f t="shared" si="7"/>
        <v>431634.75999999995</v>
      </c>
      <c r="P84" s="14">
        <f>'A) Base RI'!L84</f>
        <v>539543.44999999995</v>
      </c>
      <c r="Q84" s="44">
        <f>'A) Base RI'!AR84</f>
        <v>1.25</v>
      </c>
      <c r="R84" s="4">
        <f t="shared" si="8"/>
        <v>5914293.9900000002</v>
      </c>
      <c r="S84" s="43">
        <f>'A) Base RI'!AM84</f>
        <v>76</v>
      </c>
      <c r="T84" s="4">
        <f t="shared" si="9"/>
        <v>5456126.2300000004</v>
      </c>
      <c r="U84" s="4">
        <f t="shared" si="10"/>
        <v>77819.657763157898</v>
      </c>
      <c r="V84" s="14">
        <f>'A) Base RI'!O84</f>
        <v>181250</v>
      </c>
      <c r="W84" s="14">
        <f>'A) Base RI'!P84</f>
        <v>189912.2</v>
      </c>
      <c r="X84" s="14">
        <f>'A) Base RI'!R84</f>
        <v>152997.35</v>
      </c>
      <c r="Y84" s="4">
        <f t="shared" si="11"/>
        <v>524159.55000000005</v>
      </c>
      <c r="Z84" s="14">
        <f>'A) Base RI'!N84</f>
        <v>0</v>
      </c>
      <c r="AA84" s="14">
        <f>'A) Base RI'!S84+'A) Base RI'!T84</f>
        <v>2854</v>
      </c>
      <c r="AB84" s="14">
        <f>'A) Base RI'!U84</f>
        <v>12075</v>
      </c>
      <c r="AC84" s="14">
        <f>'A) Base RI'!V84</f>
        <v>0</v>
      </c>
      <c r="AD84" s="14">
        <f>'A) Base RI'!W84</f>
        <v>0</v>
      </c>
      <c r="AE84" s="14">
        <f>'A) Base RI'!Y84</f>
        <v>230406.9</v>
      </c>
      <c r="AF84" s="14">
        <f>'A) Base RI'!Z84</f>
        <v>17704.599999999999</v>
      </c>
      <c r="AG84" s="14">
        <f>'A) Base RI'!AA84</f>
        <v>481347.4</v>
      </c>
      <c r="AH84" s="14">
        <f>'A) Base RI'!AB84</f>
        <v>0</v>
      </c>
      <c r="AI84" s="14">
        <f>'A) Base RI'!AC84</f>
        <v>141649.70000000001</v>
      </c>
      <c r="AJ84" s="14">
        <f>'A) Base RI'!AD84</f>
        <v>198215.85</v>
      </c>
      <c r="AK84" s="14">
        <f>'A) Base RI'!AE84</f>
        <v>12053.7</v>
      </c>
      <c r="AL84" s="14">
        <f>'A) Base RI'!AF84</f>
        <v>0</v>
      </c>
      <c r="AM84" s="14">
        <f>'A) Base RI'!AG84</f>
        <v>0</v>
      </c>
      <c r="AN84" s="14">
        <f>'A) Base RI'!AH84</f>
        <v>51181.5</v>
      </c>
      <c r="AO84" s="14">
        <f>'A) Base RI'!AI84</f>
        <v>0</v>
      </c>
      <c r="AP84" s="14">
        <f>'A) Base RI'!AJ84</f>
        <v>0</v>
      </c>
      <c r="AQ84" s="14">
        <f>'A) Base RI'!AK84</f>
        <v>0</v>
      </c>
      <c r="AR84" s="14">
        <f>'A) Base RI'!AN84</f>
        <v>2422</v>
      </c>
    </row>
    <row r="85" spans="1:44" x14ac:dyDescent="0.25">
      <c r="A85" s="12">
        <f>'A) Base RI'!A85</f>
        <v>5527</v>
      </c>
      <c r="B85" s="42" t="str">
        <f>'A) Base RI'!B85</f>
        <v>Morrens</v>
      </c>
      <c r="C85" s="14">
        <f>'A) Base RI'!C85+'A) Base RI'!D85</f>
        <v>2443667.96</v>
      </c>
      <c r="D85" s="14">
        <f>'A) Base RI'!AO85</f>
        <v>-31069.54</v>
      </c>
      <c r="E85" s="41">
        <f>'A) Base RI'!AP85</f>
        <v>-2553.4</v>
      </c>
      <c r="F85" s="41">
        <f>'A) Base RI'!AQ85</f>
        <v>-34.68</v>
      </c>
      <c r="G85" s="4">
        <f t="shared" si="6"/>
        <v>2410010.34</v>
      </c>
      <c r="H85" s="14">
        <f>'A) Base RI'!E85</f>
        <v>0</v>
      </c>
      <c r="I85" s="14">
        <f>'A) Base RI'!F85</f>
        <v>0</v>
      </c>
      <c r="J85" s="14">
        <f>'A) Base RI'!G85+'A) Base RI'!H85</f>
        <v>9499.0499999999993</v>
      </c>
      <c r="K85" s="14">
        <f>'A) Base RI'!I85</f>
        <v>0</v>
      </c>
      <c r="L85" s="14">
        <f>'A) Base RI'!J85</f>
        <v>9721.7099999999991</v>
      </c>
      <c r="M85" s="14">
        <f>'A) Base RI'!K85</f>
        <v>1350</v>
      </c>
      <c r="N85" s="14">
        <f>'A) Base RI'!Q85</f>
        <v>3713.58</v>
      </c>
      <c r="O85" s="14">
        <f t="shared" si="7"/>
        <v>192611.4</v>
      </c>
      <c r="P85" s="14">
        <f>'A) Base RI'!L85</f>
        <v>192611.4</v>
      </c>
      <c r="Q85" s="44">
        <f>'A) Base RI'!AR85</f>
        <v>1</v>
      </c>
      <c r="R85" s="4">
        <f t="shared" si="8"/>
        <v>2626906.0799999996</v>
      </c>
      <c r="S85" s="43">
        <f>'A) Base RI'!AM85</f>
        <v>71</v>
      </c>
      <c r="T85" s="4">
        <f t="shared" si="9"/>
        <v>2432944.6799999997</v>
      </c>
      <c r="U85" s="4">
        <f t="shared" si="10"/>
        <v>36998.677183098589</v>
      </c>
      <c r="V85" s="14">
        <f>'A) Base RI'!O85</f>
        <v>1751.8</v>
      </c>
      <c r="W85" s="14">
        <f>'A) Base RI'!P85</f>
        <v>127739.4</v>
      </c>
      <c r="X85" s="14">
        <f>'A) Base RI'!R85</f>
        <v>117865.05</v>
      </c>
      <c r="Y85" s="4">
        <f t="shared" si="11"/>
        <v>247356.25</v>
      </c>
      <c r="Z85" s="14">
        <f>'A) Base RI'!N85</f>
        <v>13054.25</v>
      </c>
      <c r="AA85" s="14">
        <f>'A) Base RI'!S85+'A) Base RI'!T85</f>
        <v>825</v>
      </c>
      <c r="AB85" s="14">
        <f>'A) Base RI'!U85</f>
        <v>10450</v>
      </c>
      <c r="AC85" s="14">
        <f>'A) Base RI'!V85</f>
        <v>0</v>
      </c>
      <c r="AD85" s="14">
        <f>'A) Base RI'!W85</f>
        <v>0</v>
      </c>
      <c r="AE85" s="14">
        <f>'A) Base RI'!Y85</f>
        <v>52801.1</v>
      </c>
      <c r="AF85" s="14">
        <f>'A) Base RI'!Z85</f>
        <v>0</v>
      </c>
      <c r="AG85" s="14">
        <f>'A) Base RI'!AA85</f>
        <v>105170.86</v>
      </c>
      <c r="AH85" s="14">
        <f>'A) Base RI'!AB85</f>
        <v>0</v>
      </c>
      <c r="AI85" s="14">
        <f>'A) Base RI'!AC85</f>
        <v>70431.25</v>
      </c>
      <c r="AJ85" s="14">
        <f>'A) Base RI'!AD85</f>
        <v>59914.55</v>
      </c>
      <c r="AK85" s="14">
        <f>'A) Base RI'!AE85</f>
        <v>0</v>
      </c>
      <c r="AL85" s="14">
        <f>'A) Base RI'!AF85</f>
        <v>0</v>
      </c>
      <c r="AM85" s="14">
        <f>'A) Base RI'!AG85</f>
        <v>0</v>
      </c>
      <c r="AN85" s="14">
        <f>'A) Base RI'!AH85</f>
        <v>28301.1</v>
      </c>
      <c r="AO85" s="14">
        <f>'A) Base RI'!AI85</f>
        <v>0</v>
      </c>
      <c r="AP85" s="14">
        <f>'A) Base RI'!AJ85</f>
        <v>0</v>
      </c>
      <c r="AQ85" s="14">
        <f>'A) Base RI'!AK85</f>
        <v>0</v>
      </c>
      <c r="AR85" s="14">
        <f>'A) Base RI'!AN85</f>
        <v>1055</v>
      </c>
    </row>
    <row r="86" spans="1:44" x14ac:dyDescent="0.25">
      <c r="A86" s="12">
        <f>'A) Base RI'!A86</f>
        <v>5529</v>
      </c>
      <c r="B86" s="42" t="str">
        <f>'A) Base RI'!B86</f>
        <v>Oulens-sous-Echallens</v>
      </c>
      <c r="C86" s="14">
        <f>'A) Base RI'!C86+'A) Base RI'!D86</f>
        <v>1058865.53</v>
      </c>
      <c r="D86" s="14">
        <f>'A) Base RI'!AO86</f>
        <v>-13464.81</v>
      </c>
      <c r="E86" s="41">
        <f>'A) Base RI'!AP86</f>
        <v>0</v>
      </c>
      <c r="F86" s="41">
        <f>'A) Base RI'!AQ86</f>
        <v>-5.93</v>
      </c>
      <c r="G86" s="4">
        <f t="shared" si="6"/>
        <v>1045394.7899999999</v>
      </c>
      <c r="H86" s="14">
        <f>'A) Base RI'!E86</f>
        <v>0</v>
      </c>
      <c r="I86" s="14">
        <f>'A) Base RI'!F86</f>
        <v>0</v>
      </c>
      <c r="J86" s="14">
        <f>'A) Base RI'!G86+'A) Base RI'!H86</f>
        <v>24454</v>
      </c>
      <c r="K86" s="14">
        <f>'A) Base RI'!I86</f>
        <v>0</v>
      </c>
      <c r="L86" s="14">
        <f>'A) Base RI'!J86</f>
        <v>22972.560000000001</v>
      </c>
      <c r="M86" s="14">
        <f>'A) Base RI'!K86</f>
        <v>2535</v>
      </c>
      <c r="N86" s="14">
        <f>'A) Base RI'!Q86</f>
        <v>0</v>
      </c>
      <c r="O86" s="14">
        <f t="shared" si="7"/>
        <v>99640.4</v>
      </c>
      <c r="P86" s="14">
        <f>'A) Base RI'!L86</f>
        <v>99640.4</v>
      </c>
      <c r="Q86" s="44">
        <f>'A) Base RI'!AR86</f>
        <v>1</v>
      </c>
      <c r="R86" s="4">
        <f t="shared" si="8"/>
        <v>1194996.75</v>
      </c>
      <c r="S86" s="43">
        <f>'A) Base RI'!AM86</f>
        <v>71</v>
      </c>
      <c r="T86" s="4">
        <f t="shared" si="9"/>
        <v>1092821.3500000001</v>
      </c>
      <c r="U86" s="4">
        <f t="shared" si="10"/>
        <v>16830.940140845072</v>
      </c>
      <c r="V86" s="14">
        <f>'A) Base RI'!O86</f>
        <v>44318.7</v>
      </c>
      <c r="W86" s="14">
        <f>'A) Base RI'!P86</f>
        <v>66057.350000000006</v>
      </c>
      <c r="X86" s="14">
        <f>'A) Base RI'!R86</f>
        <v>56320.7</v>
      </c>
      <c r="Y86" s="4">
        <f t="shared" si="11"/>
        <v>166696.75</v>
      </c>
      <c r="Z86" s="14">
        <f>'A) Base RI'!N86</f>
        <v>611.79999999999995</v>
      </c>
      <c r="AA86" s="14">
        <f>'A) Base RI'!S86+'A) Base RI'!T86</f>
        <v>1016.5</v>
      </c>
      <c r="AB86" s="14">
        <f>'A) Base RI'!U86</f>
        <v>2600</v>
      </c>
      <c r="AC86" s="14">
        <f>'A) Base RI'!V86</f>
        <v>0</v>
      </c>
      <c r="AD86" s="14">
        <f>'A) Base RI'!W86</f>
        <v>0</v>
      </c>
      <c r="AE86" s="14">
        <f>'A) Base RI'!Y86</f>
        <v>0</v>
      </c>
      <c r="AF86" s="14">
        <f>'A) Base RI'!Z86</f>
        <v>0</v>
      </c>
      <c r="AG86" s="14">
        <f>'A) Base RI'!AA86</f>
        <v>22391.5</v>
      </c>
      <c r="AH86" s="14">
        <f>'A) Base RI'!AB86</f>
        <v>0</v>
      </c>
      <c r="AI86" s="14">
        <f>'A) Base RI'!AC86</f>
        <v>39147.85</v>
      </c>
      <c r="AJ86" s="14">
        <f>'A) Base RI'!AD86</f>
        <v>0</v>
      </c>
      <c r="AK86" s="14">
        <f>'A) Base RI'!AE86</f>
        <v>0</v>
      </c>
      <c r="AL86" s="14">
        <f>'A) Base RI'!AF86</f>
        <v>0</v>
      </c>
      <c r="AM86" s="14">
        <f>'A) Base RI'!AG86</f>
        <v>0</v>
      </c>
      <c r="AN86" s="14">
        <f>'A) Base RI'!AH86</f>
        <v>0</v>
      </c>
      <c r="AO86" s="14">
        <f>'A) Base RI'!AI86</f>
        <v>0</v>
      </c>
      <c r="AP86" s="14">
        <f>'A) Base RI'!AJ86</f>
        <v>0</v>
      </c>
      <c r="AQ86" s="14">
        <f>'A) Base RI'!AK86</f>
        <v>0</v>
      </c>
      <c r="AR86" s="14">
        <f>'A) Base RI'!AN86</f>
        <v>532</v>
      </c>
    </row>
    <row r="87" spans="1:44" x14ac:dyDescent="0.25">
      <c r="A87" s="12">
        <f>'A) Base RI'!A87</f>
        <v>5530</v>
      </c>
      <c r="B87" s="42" t="str">
        <f>'A) Base RI'!B87</f>
        <v>Pailly</v>
      </c>
      <c r="C87" s="14">
        <f>'A) Base RI'!C87+'A) Base RI'!D87</f>
        <v>1070215.67</v>
      </c>
      <c r="D87" s="14">
        <f>'A) Base RI'!AO87</f>
        <v>-6663.55</v>
      </c>
      <c r="E87" s="41">
        <f>'A) Base RI'!AP87</f>
        <v>0</v>
      </c>
      <c r="F87" s="41">
        <f>'A) Base RI'!AQ87</f>
        <v>-0.32</v>
      </c>
      <c r="G87" s="4">
        <f t="shared" si="6"/>
        <v>1063551.7999999998</v>
      </c>
      <c r="H87" s="14">
        <f>'A) Base RI'!E87</f>
        <v>0</v>
      </c>
      <c r="I87" s="14">
        <f>'A) Base RI'!F87</f>
        <v>0</v>
      </c>
      <c r="J87" s="14">
        <f>'A) Base RI'!G87+'A) Base RI'!H87</f>
        <v>10531.6</v>
      </c>
      <c r="K87" s="14">
        <f>'A) Base RI'!I87</f>
        <v>0</v>
      </c>
      <c r="L87" s="14">
        <f>'A) Base RI'!J87</f>
        <v>28641.72</v>
      </c>
      <c r="M87" s="14">
        <f>'A) Base RI'!K87</f>
        <v>37.5</v>
      </c>
      <c r="N87" s="14">
        <f>'A) Base RI'!Q87</f>
        <v>48366.05</v>
      </c>
      <c r="O87" s="14">
        <f t="shared" si="7"/>
        <v>87950.333333333328</v>
      </c>
      <c r="P87" s="14">
        <f>'A) Base RI'!L87</f>
        <v>105540.4</v>
      </c>
      <c r="Q87" s="44">
        <f>'A) Base RI'!AR87</f>
        <v>1.2</v>
      </c>
      <c r="R87" s="4">
        <f t="shared" si="8"/>
        <v>1239079.0033333332</v>
      </c>
      <c r="S87" s="43">
        <f>'A) Base RI'!AM87</f>
        <v>77.5</v>
      </c>
      <c r="T87" s="4">
        <f t="shared" si="9"/>
        <v>1151091.17</v>
      </c>
      <c r="U87" s="4">
        <f t="shared" si="10"/>
        <v>15988.116172043008</v>
      </c>
      <c r="V87" s="14">
        <f>'A) Base RI'!O87</f>
        <v>15914.2</v>
      </c>
      <c r="W87" s="14">
        <f>'A) Base RI'!P87</f>
        <v>11340.35</v>
      </c>
      <c r="X87" s="14">
        <f>'A) Base RI'!R87</f>
        <v>20555.150000000001</v>
      </c>
      <c r="Y87" s="4">
        <f t="shared" si="11"/>
        <v>47809.700000000004</v>
      </c>
      <c r="Z87" s="14">
        <f>'A) Base RI'!N87</f>
        <v>3638.2</v>
      </c>
      <c r="AA87" s="14">
        <f>'A) Base RI'!S87+'A) Base RI'!T87</f>
        <v>0</v>
      </c>
      <c r="AB87" s="14">
        <f>'A) Base RI'!U87</f>
        <v>2430</v>
      </c>
      <c r="AC87" s="14">
        <f>'A) Base RI'!V87</f>
        <v>0</v>
      </c>
      <c r="AD87" s="14">
        <f>'A) Base RI'!W87</f>
        <v>0</v>
      </c>
      <c r="AE87" s="14">
        <f>'A) Base RI'!Y87</f>
        <v>7631.9</v>
      </c>
      <c r="AF87" s="14">
        <f>'A) Base RI'!Z87</f>
        <v>0</v>
      </c>
      <c r="AG87" s="14">
        <f>'A) Base RI'!AA87</f>
        <v>158254.20000000001</v>
      </c>
      <c r="AH87" s="14">
        <f>'A) Base RI'!AB87</f>
        <v>0</v>
      </c>
      <c r="AI87" s="14">
        <f>'A) Base RI'!AC87</f>
        <v>39669.9</v>
      </c>
      <c r="AJ87" s="14">
        <f>'A) Base RI'!AD87</f>
        <v>3170.95</v>
      </c>
      <c r="AK87" s="14">
        <f>'A) Base RI'!AE87</f>
        <v>0</v>
      </c>
      <c r="AL87" s="14">
        <f>'A) Base RI'!AF87</f>
        <v>0</v>
      </c>
      <c r="AM87" s="14">
        <f>'A) Base RI'!AG87</f>
        <v>0</v>
      </c>
      <c r="AN87" s="14">
        <f>'A) Base RI'!AH87</f>
        <v>0</v>
      </c>
      <c r="AO87" s="14">
        <f>'A) Base RI'!AI87</f>
        <v>0</v>
      </c>
      <c r="AP87" s="14">
        <f>'A) Base RI'!AJ87</f>
        <v>0</v>
      </c>
      <c r="AQ87" s="14">
        <f>'A) Base RI'!AK87</f>
        <v>0</v>
      </c>
      <c r="AR87" s="14">
        <f>'A) Base RI'!AN87</f>
        <v>533</v>
      </c>
    </row>
    <row r="88" spans="1:44" x14ac:dyDescent="0.25">
      <c r="A88" s="12">
        <f>'A) Base RI'!A88</f>
        <v>5531</v>
      </c>
      <c r="B88" s="42" t="str">
        <f>'A) Base RI'!B88</f>
        <v>Penthéréaz</v>
      </c>
      <c r="C88" s="14">
        <f>'A) Base RI'!C88+'A) Base RI'!D88</f>
        <v>843304.04</v>
      </c>
      <c r="D88" s="14">
        <f>'A) Base RI'!AO88</f>
        <v>-16664.34</v>
      </c>
      <c r="E88" s="41">
        <f>'A) Base RI'!AP88</f>
        <v>0</v>
      </c>
      <c r="F88" s="41">
        <f>'A) Base RI'!AQ88</f>
        <v>-83.01</v>
      </c>
      <c r="G88" s="4">
        <f t="shared" si="6"/>
        <v>826556.69000000006</v>
      </c>
      <c r="H88" s="14">
        <f>'A) Base RI'!E88</f>
        <v>0</v>
      </c>
      <c r="I88" s="14">
        <f>'A) Base RI'!F88</f>
        <v>0</v>
      </c>
      <c r="J88" s="14">
        <f>'A) Base RI'!G88+'A) Base RI'!H88</f>
        <v>7048.7000000000007</v>
      </c>
      <c r="K88" s="14">
        <f>'A) Base RI'!I88</f>
        <v>0</v>
      </c>
      <c r="L88" s="14">
        <f>'A) Base RI'!J88</f>
        <v>5118.12</v>
      </c>
      <c r="M88" s="14">
        <f>'A) Base RI'!K88</f>
        <v>844</v>
      </c>
      <c r="N88" s="14">
        <f>'A) Base RI'!Q88</f>
        <v>0</v>
      </c>
      <c r="O88" s="14">
        <f t="shared" si="7"/>
        <v>67470.850000000006</v>
      </c>
      <c r="P88" s="14">
        <f>'A) Base RI'!L88</f>
        <v>67470.850000000006</v>
      </c>
      <c r="Q88" s="44">
        <f>'A) Base RI'!AR88</f>
        <v>1</v>
      </c>
      <c r="R88" s="4">
        <f t="shared" si="8"/>
        <v>907038.36</v>
      </c>
      <c r="S88" s="43">
        <f>'A) Base RI'!AM88</f>
        <v>78</v>
      </c>
      <c r="T88" s="4">
        <f t="shared" si="9"/>
        <v>838723.51</v>
      </c>
      <c r="U88" s="4">
        <f t="shared" si="10"/>
        <v>11628.696923076923</v>
      </c>
      <c r="V88" s="14">
        <f>'A) Base RI'!O88</f>
        <v>0</v>
      </c>
      <c r="W88" s="14">
        <f>'A) Base RI'!P88</f>
        <v>29139</v>
      </c>
      <c r="X88" s="14">
        <f>'A) Base RI'!R88</f>
        <v>11219.6</v>
      </c>
      <c r="Y88" s="4">
        <f t="shared" si="11"/>
        <v>40358.6</v>
      </c>
      <c r="Z88" s="14">
        <f>'A) Base RI'!N88</f>
        <v>47848.7</v>
      </c>
      <c r="AA88" s="14">
        <f>'A) Base RI'!S88+'A) Base RI'!T88</f>
        <v>0</v>
      </c>
      <c r="AB88" s="14">
        <f>'A) Base RI'!U88</f>
        <v>3750</v>
      </c>
      <c r="AC88" s="14">
        <f>'A) Base RI'!V88</f>
        <v>0</v>
      </c>
      <c r="AD88" s="14">
        <f>'A) Base RI'!W88</f>
        <v>0</v>
      </c>
      <c r="AE88" s="14">
        <f>'A) Base RI'!Y88</f>
        <v>0</v>
      </c>
      <c r="AF88" s="14">
        <f>'A) Base RI'!Z88</f>
        <v>0</v>
      </c>
      <c r="AG88" s="14">
        <f>'A) Base RI'!AA88</f>
        <v>84659.5</v>
      </c>
      <c r="AH88" s="14">
        <f>'A) Base RI'!AB88</f>
        <v>0</v>
      </c>
      <c r="AI88" s="14">
        <f>'A) Base RI'!AC88</f>
        <v>27027.5</v>
      </c>
      <c r="AJ88" s="14">
        <f>'A) Base RI'!AD88</f>
        <v>2073.9499999999998</v>
      </c>
      <c r="AK88" s="14">
        <f>'A) Base RI'!AE88</f>
        <v>0</v>
      </c>
      <c r="AL88" s="14">
        <f>'A) Base RI'!AF88</f>
        <v>0</v>
      </c>
      <c r="AM88" s="14">
        <f>'A) Base RI'!AG88</f>
        <v>0</v>
      </c>
      <c r="AN88" s="14">
        <f>'A) Base RI'!AH88</f>
        <v>0</v>
      </c>
      <c r="AO88" s="14">
        <f>'A) Base RI'!AI88</f>
        <v>0</v>
      </c>
      <c r="AP88" s="14">
        <f>'A) Base RI'!AJ88</f>
        <v>0</v>
      </c>
      <c r="AQ88" s="14">
        <f>'A) Base RI'!AK88</f>
        <v>0</v>
      </c>
      <c r="AR88" s="14">
        <f>'A) Base RI'!AN88</f>
        <v>389</v>
      </c>
    </row>
    <row r="89" spans="1:44" x14ac:dyDescent="0.25">
      <c r="A89" s="12">
        <f>'A) Base RI'!A89</f>
        <v>5533</v>
      </c>
      <c r="B89" s="42" t="str">
        <f>'A) Base RI'!B89</f>
        <v>Poliez-Pittet</v>
      </c>
      <c r="C89" s="14">
        <f>'A) Base RI'!C89+'A) Base RI'!D89</f>
        <v>1265731.1399999999</v>
      </c>
      <c r="D89" s="14">
        <f>'A) Base RI'!AO89</f>
        <v>-12492.22</v>
      </c>
      <c r="E89" s="41">
        <f>'A) Base RI'!AP89</f>
        <v>0</v>
      </c>
      <c r="F89" s="41">
        <f>'A) Base RI'!AQ89</f>
        <v>-7.84</v>
      </c>
      <c r="G89" s="4">
        <f t="shared" si="6"/>
        <v>1253231.0799999998</v>
      </c>
      <c r="H89" s="14">
        <f>'A) Base RI'!E89</f>
        <v>0</v>
      </c>
      <c r="I89" s="14">
        <f>'A) Base RI'!F89</f>
        <v>0</v>
      </c>
      <c r="J89" s="14">
        <f>'A) Base RI'!G89+'A) Base RI'!H89</f>
        <v>64381.1</v>
      </c>
      <c r="K89" s="14">
        <f>'A) Base RI'!I89</f>
        <v>0</v>
      </c>
      <c r="L89" s="14">
        <f>'A) Base RI'!J89</f>
        <v>63360.47</v>
      </c>
      <c r="M89" s="14">
        <f>'A) Base RI'!K89</f>
        <v>4242.5</v>
      </c>
      <c r="N89" s="14">
        <f>'A) Base RI'!Q89</f>
        <v>2037.7</v>
      </c>
      <c r="O89" s="14">
        <f t="shared" si="7"/>
        <v>124118.16666666666</v>
      </c>
      <c r="P89" s="14">
        <f>'A) Base RI'!L89</f>
        <v>74470.899999999994</v>
      </c>
      <c r="Q89" s="44">
        <f>'A) Base RI'!AR89</f>
        <v>0.6</v>
      </c>
      <c r="R89" s="4">
        <f t="shared" si="8"/>
        <v>1511371.0166666666</v>
      </c>
      <c r="S89" s="43">
        <f>'A) Base RI'!AM89</f>
        <v>71</v>
      </c>
      <c r="T89" s="4">
        <f t="shared" si="9"/>
        <v>1383010.3499999999</v>
      </c>
      <c r="U89" s="4">
        <f t="shared" si="10"/>
        <v>21286.915727699528</v>
      </c>
      <c r="V89" s="14">
        <f>'A) Base RI'!O89</f>
        <v>0</v>
      </c>
      <c r="W89" s="14">
        <f>'A) Base RI'!P89</f>
        <v>51860.25</v>
      </c>
      <c r="X89" s="14">
        <f>'A) Base RI'!R89</f>
        <v>26308.15</v>
      </c>
      <c r="Y89" s="4">
        <f t="shared" si="11"/>
        <v>78168.399999999994</v>
      </c>
      <c r="Z89" s="14">
        <f>'A) Base RI'!N89</f>
        <v>5273.9</v>
      </c>
      <c r="AA89" s="14">
        <f>'A) Base RI'!S89+'A) Base RI'!T89</f>
        <v>1271.0999999999999</v>
      </c>
      <c r="AB89" s="14">
        <f>'A) Base RI'!U89</f>
        <v>4866.6499999999996</v>
      </c>
      <c r="AC89" s="14">
        <f>'A) Base RI'!V89</f>
        <v>200</v>
      </c>
      <c r="AD89" s="14">
        <f>'A) Base RI'!W89</f>
        <v>0</v>
      </c>
      <c r="AE89" s="14">
        <f>'A) Base RI'!Y89</f>
        <v>19523.650000000001</v>
      </c>
      <c r="AF89" s="14">
        <f>'A) Base RI'!Z89</f>
        <v>0</v>
      </c>
      <c r="AG89" s="14">
        <f>'A) Base RI'!AA89</f>
        <v>102483</v>
      </c>
      <c r="AH89" s="14">
        <f>'A) Base RI'!AB89</f>
        <v>0</v>
      </c>
      <c r="AI89" s="14">
        <f>'A) Base RI'!AC89</f>
        <v>36272.5</v>
      </c>
      <c r="AJ89" s="14">
        <f>'A) Base RI'!AD89</f>
        <v>20166.150000000001</v>
      </c>
      <c r="AK89" s="14">
        <f>'A) Base RI'!AE89</f>
        <v>0</v>
      </c>
      <c r="AL89" s="14">
        <f>'A) Base RI'!AF89</f>
        <v>0</v>
      </c>
      <c r="AM89" s="14">
        <f>'A) Base RI'!AG89</f>
        <v>0</v>
      </c>
      <c r="AN89" s="14">
        <f>'A) Base RI'!AH89</f>
        <v>0</v>
      </c>
      <c r="AO89" s="14">
        <f>'A) Base RI'!AI89</f>
        <v>0</v>
      </c>
      <c r="AP89" s="14">
        <f>'A) Base RI'!AJ89</f>
        <v>0</v>
      </c>
      <c r="AQ89" s="14">
        <f>'A) Base RI'!AK89</f>
        <v>0</v>
      </c>
      <c r="AR89" s="14">
        <f>'A) Base RI'!AN89</f>
        <v>815</v>
      </c>
    </row>
    <row r="90" spans="1:44" x14ac:dyDescent="0.25">
      <c r="A90" s="12">
        <f>'A) Base RI'!A90</f>
        <v>5534</v>
      </c>
      <c r="B90" s="42" t="str">
        <f>'A) Base RI'!B90</f>
        <v>Rueyres</v>
      </c>
      <c r="C90" s="14">
        <f>'A) Base RI'!C90+'A) Base RI'!D90</f>
        <v>445943.95999999996</v>
      </c>
      <c r="D90" s="14">
        <f>'A) Base RI'!AO90</f>
        <v>-5636</v>
      </c>
      <c r="E90" s="41">
        <f>'A) Base RI'!AP90</f>
        <v>0</v>
      </c>
      <c r="F90" s="41">
        <f>'A) Base RI'!AQ90</f>
        <v>-6.33</v>
      </c>
      <c r="G90" s="4">
        <f t="shared" si="6"/>
        <v>440301.62999999995</v>
      </c>
      <c r="H90" s="14">
        <f>'A) Base RI'!E90</f>
        <v>0</v>
      </c>
      <c r="I90" s="14">
        <f>'A) Base RI'!F90</f>
        <v>0</v>
      </c>
      <c r="J90" s="14">
        <f>'A) Base RI'!G90+'A) Base RI'!H90</f>
        <v>72822.5</v>
      </c>
      <c r="K90" s="14">
        <f>'A) Base RI'!I90</f>
        <v>0</v>
      </c>
      <c r="L90" s="14">
        <f>'A) Base RI'!J90</f>
        <v>11734.95</v>
      </c>
      <c r="M90" s="14">
        <f>'A) Base RI'!K90</f>
        <v>1598.5</v>
      </c>
      <c r="N90" s="14">
        <f>'A) Base RI'!Q90</f>
        <v>0</v>
      </c>
      <c r="O90" s="14">
        <f t="shared" si="7"/>
        <v>66532.399999999994</v>
      </c>
      <c r="P90" s="14">
        <f>'A) Base RI'!L90</f>
        <v>66532.399999999994</v>
      </c>
      <c r="Q90" s="44">
        <f>'A) Base RI'!AR90</f>
        <v>1</v>
      </c>
      <c r="R90" s="4">
        <f t="shared" si="8"/>
        <v>592989.98</v>
      </c>
      <c r="S90" s="43">
        <f>'A) Base RI'!AM90</f>
        <v>73</v>
      </c>
      <c r="T90" s="4">
        <f t="shared" si="9"/>
        <v>524859.07999999996</v>
      </c>
      <c r="U90" s="4">
        <f t="shared" si="10"/>
        <v>8123.1504109589041</v>
      </c>
      <c r="V90" s="14">
        <f>'A) Base RI'!O90</f>
        <v>89050.2</v>
      </c>
      <c r="W90" s="14">
        <f>'A) Base RI'!P90</f>
        <v>30.8</v>
      </c>
      <c r="X90" s="14">
        <f>'A) Base RI'!R90</f>
        <v>0</v>
      </c>
      <c r="Y90" s="4">
        <f t="shared" si="11"/>
        <v>89081</v>
      </c>
      <c r="Z90" s="14">
        <f>'A) Base RI'!N90</f>
        <v>24554.6</v>
      </c>
      <c r="AA90" s="14">
        <f>'A) Base RI'!S90+'A) Base RI'!T90</f>
        <v>0</v>
      </c>
      <c r="AB90" s="14">
        <f>'A) Base RI'!U90</f>
        <v>691.7</v>
      </c>
      <c r="AC90" s="14">
        <f>'A) Base RI'!V90</f>
        <v>256</v>
      </c>
      <c r="AD90" s="14">
        <f>'A) Base RI'!W90</f>
        <v>0</v>
      </c>
      <c r="AE90" s="14">
        <f>'A) Base RI'!Y90</f>
        <v>0</v>
      </c>
      <c r="AF90" s="14">
        <f>'A) Base RI'!Z90</f>
        <v>0</v>
      </c>
      <c r="AG90" s="14">
        <f>'A) Base RI'!AA90</f>
        <v>12654.9</v>
      </c>
      <c r="AH90" s="14">
        <f>'A) Base RI'!AB90</f>
        <v>0</v>
      </c>
      <c r="AI90" s="14">
        <f>'A) Base RI'!AC90</f>
        <v>11521.65</v>
      </c>
      <c r="AJ90" s="14">
        <f>'A) Base RI'!AD90</f>
        <v>0</v>
      </c>
      <c r="AK90" s="14">
        <f>'A) Base RI'!AE90</f>
        <v>0</v>
      </c>
      <c r="AL90" s="14">
        <f>'A) Base RI'!AF90</f>
        <v>0</v>
      </c>
      <c r="AM90" s="14">
        <f>'A) Base RI'!AG90</f>
        <v>0</v>
      </c>
      <c r="AN90" s="14">
        <f>'A) Base RI'!AH90</f>
        <v>0</v>
      </c>
      <c r="AO90" s="14">
        <f>'A) Base RI'!AI90</f>
        <v>0</v>
      </c>
      <c r="AP90" s="14">
        <f>'A) Base RI'!AJ90</f>
        <v>0</v>
      </c>
      <c r="AQ90" s="14">
        <f>'A) Base RI'!AK90</f>
        <v>0</v>
      </c>
      <c r="AR90" s="14">
        <f>'A) Base RI'!AN90</f>
        <v>265</v>
      </c>
    </row>
    <row r="91" spans="1:44" x14ac:dyDescent="0.25">
      <c r="A91" s="12">
        <f>'A) Base RI'!A91</f>
        <v>5535</v>
      </c>
      <c r="B91" s="42" t="str">
        <f>'A) Base RI'!B91</f>
        <v>Saint-Barthélemy</v>
      </c>
      <c r="C91" s="14">
        <f>'A) Base RI'!C91+'A) Base RI'!D91</f>
        <v>1458849.76</v>
      </c>
      <c r="D91" s="14">
        <f>'A) Base RI'!AO91</f>
        <v>-20405.38</v>
      </c>
      <c r="E91" s="41">
        <f>'A) Base RI'!AP91</f>
        <v>0</v>
      </c>
      <c r="F91" s="41">
        <f>'A) Base RI'!AQ91</f>
        <v>-2.87</v>
      </c>
      <c r="G91" s="4">
        <f t="shared" si="6"/>
        <v>1438441.51</v>
      </c>
      <c r="H91" s="14">
        <f>'A) Base RI'!E91</f>
        <v>0</v>
      </c>
      <c r="I91" s="14">
        <f>'A) Base RI'!F91</f>
        <v>0</v>
      </c>
      <c r="J91" s="14">
        <f>'A) Base RI'!G91+'A) Base RI'!H91</f>
        <v>28080</v>
      </c>
      <c r="K91" s="14">
        <f>'A) Base RI'!I91</f>
        <v>0</v>
      </c>
      <c r="L91" s="14">
        <f>'A) Base RI'!J91</f>
        <v>26060.87</v>
      </c>
      <c r="M91" s="14">
        <f>'A) Base RI'!K91</f>
        <v>1149</v>
      </c>
      <c r="N91" s="14">
        <f>'A) Base RI'!Q91</f>
        <v>2026.4</v>
      </c>
      <c r="O91" s="14">
        <f t="shared" si="7"/>
        <v>128200.7</v>
      </c>
      <c r="P91" s="14">
        <f>'A) Base RI'!L91</f>
        <v>128200.7</v>
      </c>
      <c r="Q91" s="44">
        <f>'A) Base RI'!AR91</f>
        <v>1</v>
      </c>
      <c r="R91" s="4">
        <f t="shared" si="8"/>
        <v>1623958.48</v>
      </c>
      <c r="S91" s="43">
        <f>'A) Base RI'!AM91</f>
        <v>75</v>
      </c>
      <c r="T91" s="4">
        <f t="shared" si="9"/>
        <v>1494608.78</v>
      </c>
      <c r="U91" s="4">
        <f t="shared" si="10"/>
        <v>21652.779733333333</v>
      </c>
      <c r="V91" s="14">
        <f>'A) Base RI'!O91</f>
        <v>0</v>
      </c>
      <c r="W91" s="14">
        <f>'A) Base RI'!P91</f>
        <v>29535</v>
      </c>
      <c r="X91" s="14">
        <f>'A) Base RI'!R91</f>
        <v>-14836.8</v>
      </c>
      <c r="Y91" s="4">
        <f t="shared" si="11"/>
        <v>14698.2</v>
      </c>
      <c r="Z91" s="14">
        <f>'A) Base RI'!N91</f>
        <v>24150.85</v>
      </c>
      <c r="AA91" s="14">
        <f>'A) Base RI'!S91+'A) Base RI'!T91</f>
        <v>842.5</v>
      </c>
      <c r="AB91" s="14">
        <f>'A) Base RI'!U91</f>
        <v>6450</v>
      </c>
      <c r="AC91" s="14">
        <f>'A) Base RI'!V91</f>
        <v>0</v>
      </c>
      <c r="AD91" s="14">
        <f>'A) Base RI'!W91</f>
        <v>0</v>
      </c>
      <c r="AE91" s="14">
        <f>'A) Base RI'!Y91</f>
        <v>12000</v>
      </c>
      <c r="AF91" s="14">
        <f>'A) Base RI'!Z91</f>
        <v>0</v>
      </c>
      <c r="AG91" s="14">
        <f>'A) Base RI'!AA91</f>
        <v>88124</v>
      </c>
      <c r="AH91" s="14">
        <f>'A) Base RI'!AB91</f>
        <v>0</v>
      </c>
      <c r="AI91" s="14">
        <f>'A) Base RI'!AC91</f>
        <v>42283.8</v>
      </c>
      <c r="AJ91" s="14">
        <f>'A) Base RI'!AD91</f>
        <v>3200</v>
      </c>
      <c r="AK91" s="14">
        <f>'A) Base RI'!AE91</f>
        <v>0</v>
      </c>
      <c r="AL91" s="14">
        <f>'A) Base RI'!AF91</f>
        <v>0</v>
      </c>
      <c r="AM91" s="14">
        <f>'A) Base RI'!AG91</f>
        <v>0</v>
      </c>
      <c r="AN91" s="14">
        <f>'A) Base RI'!AH91</f>
        <v>0</v>
      </c>
      <c r="AO91" s="14">
        <f>'A) Base RI'!AI91</f>
        <v>0</v>
      </c>
      <c r="AP91" s="14">
        <f>'A) Base RI'!AJ91</f>
        <v>0</v>
      </c>
      <c r="AQ91" s="14">
        <f>'A) Base RI'!AK91</f>
        <v>0</v>
      </c>
      <c r="AR91" s="14">
        <f>'A) Base RI'!AN91</f>
        <v>782</v>
      </c>
    </row>
    <row r="92" spans="1:44" x14ac:dyDescent="0.25">
      <c r="A92" s="12">
        <f>'A) Base RI'!A92</f>
        <v>5537</v>
      </c>
      <c r="B92" s="42" t="str">
        <f>'A) Base RI'!B92</f>
        <v>Villars-le-Terroir</v>
      </c>
      <c r="C92" s="14">
        <f>'A) Base RI'!C92+'A) Base RI'!D92</f>
        <v>1863564.44</v>
      </c>
      <c r="D92" s="14">
        <f>'A) Base RI'!AO92</f>
        <v>-5302.52</v>
      </c>
      <c r="E92" s="41">
        <f>'A) Base RI'!AP92</f>
        <v>0</v>
      </c>
      <c r="F92" s="41">
        <f>'A) Base RI'!AQ92</f>
        <v>-57.83</v>
      </c>
      <c r="G92" s="4">
        <f t="shared" si="6"/>
        <v>1858204.0899999999</v>
      </c>
      <c r="H92" s="14">
        <f>'A) Base RI'!E92</f>
        <v>0</v>
      </c>
      <c r="I92" s="14">
        <f>'A) Base RI'!F92</f>
        <v>5354.75</v>
      </c>
      <c r="J92" s="14">
        <f>'A) Base RI'!G92+'A) Base RI'!H92</f>
        <v>11497.25</v>
      </c>
      <c r="K92" s="14">
        <f>'A) Base RI'!I92</f>
        <v>0</v>
      </c>
      <c r="L92" s="14">
        <f>'A) Base RI'!J92</f>
        <v>7165.56</v>
      </c>
      <c r="M92" s="14">
        <f>'A) Base RI'!K92</f>
        <v>739.5</v>
      </c>
      <c r="N92" s="14">
        <f>'A) Base RI'!Q92</f>
        <v>1397.55</v>
      </c>
      <c r="O92" s="14">
        <f t="shared" si="7"/>
        <v>172907.5</v>
      </c>
      <c r="P92" s="14">
        <f>'A) Base RI'!L92</f>
        <v>138326</v>
      </c>
      <c r="Q92" s="44">
        <f>'A) Base RI'!AR92</f>
        <v>0.8</v>
      </c>
      <c r="R92" s="4">
        <f t="shared" si="8"/>
        <v>2057266.2</v>
      </c>
      <c r="S92" s="43">
        <f>'A) Base RI'!AM92</f>
        <v>73</v>
      </c>
      <c r="T92" s="4">
        <f t="shared" si="9"/>
        <v>1878264.45</v>
      </c>
      <c r="U92" s="4">
        <f t="shared" si="10"/>
        <v>28181.728767123288</v>
      </c>
      <c r="V92" s="14">
        <f>'A) Base RI'!O92</f>
        <v>15160.6</v>
      </c>
      <c r="W92" s="14">
        <f>'A) Base RI'!P92</f>
        <v>32420</v>
      </c>
      <c r="X92" s="14">
        <f>'A) Base RI'!R92</f>
        <v>65797.2</v>
      </c>
      <c r="Y92" s="4">
        <f t="shared" si="11"/>
        <v>113377.79999999999</v>
      </c>
      <c r="Z92" s="14">
        <f>'A) Base RI'!N92</f>
        <v>0</v>
      </c>
      <c r="AA92" s="14">
        <f>'A) Base RI'!S92+'A) Base RI'!T92</f>
        <v>1125</v>
      </c>
      <c r="AB92" s="14">
        <f>'A) Base RI'!U92</f>
        <v>4400</v>
      </c>
      <c r="AC92" s="14">
        <f>'A) Base RI'!V92</f>
        <v>495</v>
      </c>
      <c r="AD92" s="14">
        <f>'A) Base RI'!W92</f>
        <v>0</v>
      </c>
      <c r="AE92" s="14">
        <f>'A) Base RI'!Y92</f>
        <v>23142.65</v>
      </c>
      <c r="AF92" s="14">
        <f>'A) Base RI'!Z92</f>
        <v>0</v>
      </c>
      <c r="AG92" s="14">
        <f>'A) Base RI'!AA92</f>
        <v>193629.05</v>
      </c>
      <c r="AH92" s="14">
        <f>'A) Base RI'!AB92</f>
        <v>0</v>
      </c>
      <c r="AI92" s="14">
        <f>'A) Base RI'!AC92</f>
        <v>107834.57</v>
      </c>
      <c r="AJ92" s="14">
        <f>'A) Base RI'!AD92</f>
        <v>23939.93</v>
      </c>
      <c r="AK92" s="14">
        <f>'A) Base RI'!AE92</f>
        <v>0</v>
      </c>
      <c r="AL92" s="14">
        <f>'A) Base RI'!AF92</f>
        <v>0</v>
      </c>
      <c r="AM92" s="14">
        <f>'A) Base RI'!AG92</f>
        <v>0</v>
      </c>
      <c r="AN92" s="14">
        <f>'A) Base RI'!AH92</f>
        <v>0</v>
      </c>
      <c r="AO92" s="14">
        <f>'A) Base RI'!AI92</f>
        <v>0</v>
      </c>
      <c r="AP92" s="14">
        <f>'A) Base RI'!AJ92</f>
        <v>0</v>
      </c>
      <c r="AQ92" s="14">
        <f>'A) Base RI'!AK92</f>
        <v>0</v>
      </c>
      <c r="AR92" s="14">
        <f>'A) Base RI'!AN92</f>
        <v>1033</v>
      </c>
    </row>
    <row r="93" spans="1:44" x14ac:dyDescent="0.25">
      <c r="A93" s="12">
        <f>'A) Base RI'!A93</f>
        <v>5539</v>
      </c>
      <c r="B93" s="42" t="str">
        <f>'A) Base RI'!B93</f>
        <v>Vuarrens</v>
      </c>
      <c r="C93" s="14">
        <f>'A) Base RI'!C93+'A) Base RI'!D93</f>
        <v>1518378.05</v>
      </c>
      <c r="D93" s="14">
        <f>'A) Base RI'!AO93</f>
        <v>-27148.42</v>
      </c>
      <c r="E93" s="41">
        <f>'A) Base RI'!AP93</f>
        <v>0</v>
      </c>
      <c r="F93" s="41">
        <f>'A) Base RI'!AQ93</f>
        <v>-34.090000000000003</v>
      </c>
      <c r="G93" s="4">
        <f t="shared" si="6"/>
        <v>1491195.54</v>
      </c>
      <c r="H93" s="14">
        <f>'A) Base RI'!E93</f>
        <v>0</v>
      </c>
      <c r="I93" s="14">
        <f>'A) Base RI'!F93</f>
        <v>0</v>
      </c>
      <c r="J93" s="14">
        <f>'A) Base RI'!G93+'A) Base RI'!H93</f>
        <v>54990.950000000004</v>
      </c>
      <c r="K93" s="14">
        <f>'A) Base RI'!I93</f>
        <v>0</v>
      </c>
      <c r="L93" s="14">
        <f>'A) Base RI'!J93</f>
        <v>5927.78</v>
      </c>
      <c r="M93" s="14">
        <f>'A) Base RI'!K93</f>
        <v>1503</v>
      </c>
      <c r="N93" s="14">
        <f>'A) Base RI'!Q93</f>
        <v>-4652.3</v>
      </c>
      <c r="O93" s="14">
        <f t="shared" si="7"/>
        <v>157747.99999999997</v>
      </c>
      <c r="P93" s="14">
        <f>'A) Base RI'!L93</f>
        <v>126198.39999999999</v>
      </c>
      <c r="Q93" s="44">
        <f>'A) Base RI'!AR93</f>
        <v>0.8</v>
      </c>
      <c r="R93" s="4">
        <f t="shared" si="8"/>
        <v>1706712.97</v>
      </c>
      <c r="S93" s="43">
        <f>'A) Base RI'!AM93</f>
        <v>75</v>
      </c>
      <c r="T93" s="4">
        <f t="shared" si="9"/>
        <v>1547461.97</v>
      </c>
      <c r="U93" s="4">
        <f t="shared" si="10"/>
        <v>22756.172933333331</v>
      </c>
      <c r="V93" s="14">
        <f>'A) Base RI'!O93</f>
        <v>0</v>
      </c>
      <c r="W93" s="14">
        <f>'A) Base RI'!P93</f>
        <v>42858.2</v>
      </c>
      <c r="X93" s="14">
        <f>'A) Base RI'!R93</f>
        <v>54661.45</v>
      </c>
      <c r="Y93" s="4">
        <f t="shared" si="11"/>
        <v>97519.65</v>
      </c>
      <c r="Z93" s="14">
        <f>'A) Base RI'!N93</f>
        <v>25545.599999999999</v>
      </c>
      <c r="AA93" s="14">
        <f>'A) Base RI'!S93+'A) Base RI'!T93</f>
        <v>125</v>
      </c>
      <c r="AB93" s="14">
        <f>'A) Base RI'!U93</f>
        <v>5975</v>
      </c>
      <c r="AC93" s="14">
        <f>'A) Base RI'!V93</f>
        <v>0</v>
      </c>
      <c r="AD93" s="14">
        <f>'A) Base RI'!W93</f>
        <v>0</v>
      </c>
      <c r="AE93" s="14">
        <f>'A) Base RI'!Y93</f>
        <v>47125.35</v>
      </c>
      <c r="AF93" s="14">
        <f>'A) Base RI'!Z93</f>
        <v>0</v>
      </c>
      <c r="AG93" s="14">
        <f>'A) Base RI'!AA93</f>
        <v>293539.90000000002</v>
      </c>
      <c r="AH93" s="14">
        <f>'A) Base RI'!AB93</f>
        <v>0</v>
      </c>
      <c r="AI93" s="14">
        <f>'A) Base RI'!AC93</f>
        <v>57410</v>
      </c>
      <c r="AJ93" s="14">
        <f>'A) Base RI'!AD93</f>
        <v>29532</v>
      </c>
      <c r="AK93" s="14">
        <f>'A) Base RI'!AE93</f>
        <v>0</v>
      </c>
      <c r="AL93" s="14">
        <f>'A) Base RI'!AF93</f>
        <v>0</v>
      </c>
      <c r="AM93" s="14">
        <f>'A) Base RI'!AG93</f>
        <v>0</v>
      </c>
      <c r="AN93" s="14">
        <f>'A) Base RI'!AH93</f>
        <v>20008</v>
      </c>
      <c r="AO93" s="14">
        <f>'A) Base RI'!AI93</f>
        <v>0</v>
      </c>
      <c r="AP93" s="14">
        <f>'A) Base RI'!AJ93</f>
        <v>0</v>
      </c>
      <c r="AQ93" s="14">
        <f>'A) Base RI'!AK93</f>
        <v>0</v>
      </c>
      <c r="AR93" s="14">
        <f>'A) Base RI'!AN93</f>
        <v>935</v>
      </c>
    </row>
    <row r="94" spans="1:44" x14ac:dyDescent="0.25">
      <c r="A94" s="12">
        <f>'A) Base RI'!A94</f>
        <v>5540</v>
      </c>
      <c r="B94" s="42" t="str">
        <f>'A) Base RI'!B94</f>
        <v>Montilliez</v>
      </c>
      <c r="C94" s="14">
        <f>'A) Base RI'!C94+'A) Base RI'!D94</f>
        <v>3071713.7199999997</v>
      </c>
      <c r="D94" s="14">
        <f>'A) Base RI'!AO94</f>
        <v>-80490.399999999994</v>
      </c>
      <c r="E94" s="41">
        <f>'A) Base RI'!AP94</f>
        <v>-8946.2999999999993</v>
      </c>
      <c r="F94" s="41">
        <f>'A) Base RI'!AQ94</f>
        <v>-75.56</v>
      </c>
      <c r="G94" s="4">
        <f t="shared" si="6"/>
        <v>2982201.46</v>
      </c>
      <c r="H94" s="14">
        <f>'A) Base RI'!E94</f>
        <v>0</v>
      </c>
      <c r="I94" s="14">
        <f>'A) Base RI'!F94</f>
        <v>0</v>
      </c>
      <c r="J94" s="14">
        <f>'A) Base RI'!G94+'A) Base RI'!H94</f>
        <v>124270.15000000001</v>
      </c>
      <c r="K94" s="14">
        <f>'A) Base RI'!I94</f>
        <v>0</v>
      </c>
      <c r="L94" s="14">
        <f>'A) Base RI'!J94</f>
        <v>62616.4</v>
      </c>
      <c r="M94" s="14">
        <f>'A) Base RI'!K94</f>
        <v>4388.5</v>
      </c>
      <c r="N94" s="14">
        <f>'A) Base RI'!Q94</f>
        <v>34786.92</v>
      </c>
      <c r="O94" s="14">
        <f t="shared" si="7"/>
        <v>284482.1875</v>
      </c>
      <c r="P94" s="14">
        <f>'A) Base RI'!L94</f>
        <v>227585.75</v>
      </c>
      <c r="Q94" s="44">
        <f>'A) Base RI'!AR94</f>
        <v>0.8</v>
      </c>
      <c r="R94" s="4">
        <f t="shared" si="8"/>
        <v>3492745.6174999997</v>
      </c>
      <c r="S94" s="43">
        <f>'A) Base RI'!AM94</f>
        <v>74</v>
      </c>
      <c r="T94" s="4">
        <f t="shared" si="9"/>
        <v>3203874.9299999997</v>
      </c>
      <c r="U94" s="4">
        <f t="shared" si="10"/>
        <v>47199.265101351346</v>
      </c>
      <c r="V94" s="14">
        <f>'A) Base RI'!O94</f>
        <v>66326.600000000006</v>
      </c>
      <c r="W94" s="14">
        <f>'A) Base RI'!P94</f>
        <v>82952.2</v>
      </c>
      <c r="X94" s="14">
        <f>'A) Base RI'!R94</f>
        <v>55756</v>
      </c>
      <c r="Y94" s="4">
        <f t="shared" si="11"/>
        <v>205034.8</v>
      </c>
      <c r="Z94" s="14">
        <f>'A) Base RI'!N94</f>
        <v>5316.15</v>
      </c>
      <c r="AA94" s="14">
        <f>'A) Base RI'!S94+'A) Base RI'!T94</f>
        <v>1225</v>
      </c>
      <c r="AB94" s="14">
        <f>'A) Base RI'!U94</f>
        <v>11300</v>
      </c>
      <c r="AC94" s="14">
        <f>'A) Base RI'!V94</f>
        <v>0</v>
      </c>
      <c r="AD94" s="14">
        <f>'A) Base RI'!W94</f>
        <v>0</v>
      </c>
      <c r="AE94" s="14">
        <f>'A) Base RI'!Y94</f>
        <v>5200</v>
      </c>
      <c r="AF94" s="14">
        <f>'A) Base RI'!Z94</f>
        <v>0</v>
      </c>
      <c r="AG94" s="14">
        <f>'A) Base RI'!AA94</f>
        <v>146402.6</v>
      </c>
      <c r="AH94" s="14">
        <f>'A) Base RI'!AB94</f>
        <v>0</v>
      </c>
      <c r="AI94" s="14">
        <f>'A) Base RI'!AC94</f>
        <v>112199.4</v>
      </c>
      <c r="AJ94" s="14">
        <f>'A) Base RI'!AD94</f>
        <v>3724.95</v>
      </c>
      <c r="AK94" s="14">
        <f>'A) Base RI'!AE94</f>
        <v>0</v>
      </c>
      <c r="AL94" s="14">
        <f>'A) Base RI'!AF94</f>
        <v>0</v>
      </c>
      <c r="AM94" s="14">
        <f>'A) Base RI'!AG94</f>
        <v>0</v>
      </c>
      <c r="AN94" s="14">
        <f>'A) Base RI'!AH94</f>
        <v>0</v>
      </c>
      <c r="AO94" s="14">
        <f>'A) Base RI'!AI94</f>
        <v>0</v>
      </c>
      <c r="AP94" s="14">
        <f>'A) Base RI'!AJ94</f>
        <v>0</v>
      </c>
      <c r="AQ94" s="14">
        <f>'A) Base RI'!AK94</f>
        <v>0</v>
      </c>
      <c r="AR94" s="14">
        <f>'A) Base RI'!AN94</f>
        <v>1656</v>
      </c>
    </row>
    <row r="95" spans="1:44" x14ac:dyDescent="0.25">
      <c r="A95" s="12">
        <f>'A) Base RI'!A95</f>
        <v>5541</v>
      </c>
      <c r="B95" s="42" t="str">
        <f>'A) Base RI'!B95</f>
        <v>Goumoëns</v>
      </c>
      <c r="C95" s="14">
        <f>'A) Base RI'!C95+'A) Base RI'!D95</f>
        <v>2431292.7400000002</v>
      </c>
      <c r="D95" s="14">
        <f>'A) Base RI'!AO95</f>
        <v>-44804.53</v>
      </c>
      <c r="E95" s="41">
        <f>'A) Base RI'!AP95</f>
        <v>-20802.150000000001</v>
      </c>
      <c r="F95" s="41">
        <f>'A) Base RI'!AQ95</f>
        <v>-1.18</v>
      </c>
      <c r="G95" s="4">
        <f t="shared" si="6"/>
        <v>2365684.8800000004</v>
      </c>
      <c r="H95" s="14">
        <f>'A) Base RI'!E95</f>
        <v>0</v>
      </c>
      <c r="I95" s="14">
        <f>'A) Base RI'!F95</f>
        <v>0</v>
      </c>
      <c r="J95" s="14">
        <f>'A) Base RI'!G95+'A) Base RI'!H95</f>
        <v>174694.05</v>
      </c>
      <c r="K95" s="14">
        <f>'A) Base RI'!I95</f>
        <v>0</v>
      </c>
      <c r="L95" s="14">
        <f>'A) Base RI'!J95</f>
        <v>35728.639999999999</v>
      </c>
      <c r="M95" s="14">
        <f>'A) Base RI'!K95</f>
        <v>1571.5</v>
      </c>
      <c r="N95" s="14">
        <f>'A) Base RI'!Q95</f>
        <v>196.74</v>
      </c>
      <c r="O95" s="14">
        <f t="shared" si="7"/>
        <v>163916.35</v>
      </c>
      <c r="P95" s="14">
        <f>'A) Base RI'!L95</f>
        <v>163916.35</v>
      </c>
      <c r="Q95" s="44">
        <f>'A) Base RI'!AR95</f>
        <v>1</v>
      </c>
      <c r="R95" s="4">
        <f t="shared" si="8"/>
        <v>2741792.1600000006</v>
      </c>
      <c r="S95" s="43">
        <f>'A) Base RI'!AM95</f>
        <v>77</v>
      </c>
      <c r="T95" s="4">
        <f t="shared" si="9"/>
        <v>2576304.3100000005</v>
      </c>
      <c r="U95" s="4">
        <f t="shared" si="10"/>
        <v>35607.690389610398</v>
      </c>
      <c r="V95" s="14">
        <f>'A) Base RI'!O95</f>
        <v>13085.2</v>
      </c>
      <c r="W95" s="14">
        <f>'A) Base RI'!P95</f>
        <v>76253.75</v>
      </c>
      <c r="X95" s="14">
        <f>'A) Base RI'!R95</f>
        <v>32912.85</v>
      </c>
      <c r="Y95" s="4">
        <f t="shared" si="11"/>
        <v>122251.79999999999</v>
      </c>
      <c r="Z95" s="14">
        <f>'A) Base RI'!N95</f>
        <v>11381.55</v>
      </c>
      <c r="AA95" s="14">
        <f>'A) Base RI'!S95+'A) Base RI'!T95</f>
        <v>0</v>
      </c>
      <c r="AB95" s="14">
        <f>'A) Base RI'!U95</f>
        <v>7050</v>
      </c>
      <c r="AC95" s="14">
        <f>'A) Base RI'!V95</f>
        <v>0</v>
      </c>
      <c r="AD95" s="14">
        <f>'A) Base RI'!W95</f>
        <v>0</v>
      </c>
      <c r="AE95" s="14">
        <f>'A) Base RI'!Y95</f>
        <v>19145</v>
      </c>
      <c r="AF95" s="14">
        <f>'A) Base RI'!Z95</f>
        <v>0</v>
      </c>
      <c r="AG95" s="14">
        <f>'A) Base RI'!AA95</f>
        <v>57253.95</v>
      </c>
      <c r="AH95" s="14">
        <f>'A) Base RI'!AB95</f>
        <v>0</v>
      </c>
      <c r="AI95" s="14">
        <f>'A) Base RI'!AC95</f>
        <v>70552.5</v>
      </c>
      <c r="AJ95" s="14">
        <f>'A) Base RI'!AD95</f>
        <v>15029.7</v>
      </c>
      <c r="AK95" s="14">
        <f>'A) Base RI'!AE95</f>
        <v>0</v>
      </c>
      <c r="AL95" s="14">
        <f>'A) Base RI'!AF95</f>
        <v>0</v>
      </c>
      <c r="AM95" s="14">
        <f>'A) Base RI'!AG95</f>
        <v>0</v>
      </c>
      <c r="AN95" s="14">
        <f>'A) Base RI'!AH95</f>
        <v>0</v>
      </c>
      <c r="AO95" s="14">
        <f>'A) Base RI'!AI95</f>
        <v>0</v>
      </c>
      <c r="AP95" s="14">
        <f>'A) Base RI'!AJ95</f>
        <v>0</v>
      </c>
      <c r="AQ95" s="14">
        <f>'A) Base RI'!AK95</f>
        <v>0</v>
      </c>
      <c r="AR95" s="14">
        <f>'A) Base RI'!AN95</f>
        <v>1055</v>
      </c>
    </row>
    <row r="96" spans="1:44" x14ac:dyDescent="0.25">
      <c r="A96" s="12">
        <f>'A) Base RI'!A96</f>
        <v>5551</v>
      </c>
      <c r="B96" s="42" t="str">
        <f>'A) Base RI'!B96</f>
        <v>Bonvillars</v>
      </c>
      <c r="C96" s="14">
        <f>'A) Base RI'!C96+'A) Base RI'!D96</f>
        <v>759215.59000000008</v>
      </c>
      <c r="D96" s="14">
        <f>'A) Base RI'!AO96</f>
        <v>-1577.41</v>
      </c>
      <c r="E96" s="41">
        <f>'A) Base RI'!AP96</f>
        <v>0</v>
      </c>
      <c r="F96" s="41">
        <f>'A) Base RI'!AQ96</f>
        <v>-525.79</v>
      </c>
      <c r="G96" s="4">
        <f t="shared" si="6"/>
        <v>757112.39</v>
      </c>
      <c r="H96" s="14">
        <f>'A) Base RI'!E96</f>
        <v>0</v>
      </c>
      <c r="I96" s="14">
        <f>'A) Base RI'!F96</f>
        <v>0</v>
      </c>
      <c r="J96" s="14">
        <f>'A) Base RI'!G96+'A) Base RI'!H96</f>
        <v>9861.7000000000007</v>
      </c>
      <c r="K96" s="14">
        <f>'A) Base RI'!I96</f>
        <v>0</v>
      </c>
      <c r="L96" s="14">
        <f>'A) Base RI'!J96</f>
        <v>19070.64</v>
      </c>
      <c r="M96" s="14">
        <f>'A) Base RI'!K96</f>
        <v>4464.8999999999996</v>
      </c>
      <c r="N96" s="14">
        <f>'A) Base RI'!Q96</f>
        <v>0</v>
      </c>
      <c r="O96" s="14">
        <f t="shared" si="7"/>
        <v>88854.071428571435</v>
      </c>
      <c r="P96" s="14">
        <f>'A) Base RI'!L96</f>
        <v>62197.85</v>
      </c>
      <c r="Q96" s="44">
        <f>'A) Base RI'!AR96</f>
        <v>0.7</v>
      </c>
      <c r="R96" s="4">
        <f t="shared" si="8"/>
        <v>879363.70142857148</v>
      </c>
      <c r="S96" s="43">
        <f>'A) Base RI'!AM96</f>
        <v>55</v>
      </c>
      <c r="T96" s="4">
        <f t="shared" si="9"/>
        <v>786044.73</v>
      </c>
      <c r="U96" s="4">
        <f t="shared" si="10"/>
        <v>15988.430935064936</v>
      </c>
      <c r="V96" s="14">
        <f>'A) Base RI'!O96</f>
        <v>5715</v>
      </c>
      <c r="W96" s="14">
        <f>'A) Base RI'!P96</f>
        <v>11699.75</v>
      </c>
      <c r="X96" s="14">
        <f>'A) Base RI'!R96</f>
        <v>19773.900000000001</v>
      </c>
      <c r="Y96" s="4">
        <f t="shared" si="11"/>
        <v>37188.65</v>
      </c>
      <c r="Z96" s="14">
        <f>'A) Base RI'!N96</f>
        <v>7693.2</v>
      </c>
      <c r="AA96" s="14">
        <f>'A) Base RI'!S96+'A) Base RI'!T96</f>
        <v>0</v>
      </c>
      <c r="AB96" s="14">
        <f>'A) Base RI'!U96</f>
        <v>1675</v>
      </c>
      <c r="AC96" s="14">
        <f>'A) Base RI'!V96</f>
        <v>0</v>
      </c>
      <c r="AD96" s="14">
        <f>'A) Base RI'!W96</f>
        <v>0</v>
      </c>
      <c r="AE96" s="14">
        <f>'A) Base RI'!Y96</f>
        <v>0</v>
      </c>
      <c r="AF96" s="14">
        <f>'A) Base RI'!Z96</f>
        <v>1872</v>
      </c>
      <c r="AG96" s="14">
        <f>'A) Base RI'!AA96</f>
        <v>76092.3</v>
      </c>
      <c r="AH96" s="14">
        <f>'A) Base RI'!AB96</f>
        <v>0</v>
      </c>
      <c r="AI96" s="14">
        <f>'A) Base RI'!AC96</f>
        <v>25122.9</v>
      </c>
      <c r="AJ96" s="14">
        <f>'A) Base RI'!AD96</f>
        <v>19380</v>
      </c>
      <c r="AK96" s="14">
        <f>'A) Base RI'!AE96</f>
        <v>0</v>
      </c>
      <c r="AL96" s="14">
        <f>'A) Base RI'!AF96</f>
        <v>0</v>
      </c>
      <c r="AM96" s="14">
        <f>'A) Base RI'!AG96</f>
        <v>1960</v>
      </c>
      <c r="AN96" s="14">
        <f>'A) Base RI'!AH96</f>
        <v>0</v>
      </c>
      <c r="AO96" s="14">
        <f>'A) Base RI'!AI96</f>
        <v>0</v>
      </c>
      <c r="AP96" s="14">
        <f>'A) Base RI'!AJ96</f>
        <v>0</v>
      </c>
      <c r="AQ96" s="14">
        <f>'A) Base RI'!AK96</f>
        <v>0</v>
      </c>
      <c r="AR96" s="14">
        <f>'A) Base RI'!AN96</f>
        <v>506</v>
      </c>
    </row>
    <row r="97" spans="1:44" x14ac:dyDescent="0.25">
      <c r="A97" s="12">
        <f>'A) Base RI'!A97</f>
        <v>5552</v>
      </c>
      <c r="B97" s="42" t="str">
        <f>'A) Base RI'!B97</f>
        <v>Bullet</v>
      </c>
      <c r="C97" s="14">
        <f>'A) Base RI'!C97+'A) Base RI'!D97</f>
        <v>969287.67</v>
      </c>
      <c r="D97" s="14">
        <f>'A) Base RI'!AO97</f>
        <v>-6461.98</v>
      </c>
      <c r="E97" s="41">
        <f>'A) Base RI'!AP97</f>
        <v>0</v>
      </c>
      <c r="F97" s="41">
        <f>'A) Base RI'!AQ97</f>
        <v>-7.75</v>
      </c>
      <c r="G97" s="4">
        <f t="shared" si="6"/>
        <v>962817.94000000006</v>
      </c>
      <c r="H97" s="14">
        <f>'A) Base RI'!E97</f>
        <v>0</v>
      </c>
      <c r="I97" s="14">
        <f>'A) Base RI'!F97</f>
        <v>0</v>
      </c>
      <c r="J97" s="14">
        <f>'A) Base RI'!G97+'A) Base RI'!H97</f>
        <v>2385.15</v>
      </c>
      <c r="K97" s="14">
        <f>'A) Base RI'!I97</f>
        <v>18371.55</v>
      </c>
      <c r="L97" s="14">
        <f>'A) Base RI'!J97</f>
        <v>-3517.36</v>
      </c>
      <c r="M97" s="14">
        <f>'A) Base RI'!K97</f>
        <v>1477</v>
      </c>
      <c r="N97" s="14">
        <f>'A) Base RI'!Q97</f>
        <v>0</v>
      </c>
      <c r="O97" s="14">
        <f t="shared" si="7"/>
        <v>105258.25</v>
      </c>
      <c r="P97" s="14">
        <f>'A) Base RI'!L97</f>
        <v>105258.25</v>
      </c>
      <c r="Q97" s="44">
        <f>'A) Base RI'!AR97</f>
        <v>1</v>
      </c>
      <c r="R97" s="4">
        <f t="shared" si="8"/>
        <v>1086792.5300000003</v>
      </c>
      <c r="S97" s="43">
        <f>'A) Base RI'!AM97</f>
        <v>70</v>
      </c>
      <c r="T97" s="4">
        <f t="shared" si="9"/>
        <v>980057.28000000014</v>
      </c>
      <c r="U97" s="4">
        <f t="shared" si="10"/>
        <v>15525.607571428574</v>
      </c>
      <c r="V97" s="14">
        <f>'A) Base RI'!O97</f>
        <v>128546.6</v>
      </c>
      <c r="W97" s="14">
        <f>'A) Base RI'!P97</f>
        <v>33532.699999999997</v>
      </c>
      <c r="X97" s="14">
        <f>'A) Base RI'!R97</f>
        <v>37771.15</v>
      </c>
      <c r="Y97" s="4">
        <f t="shared" si="11"/>
        <v>199850.44999999998</v>
      </c>
      <c r="Z97" s="14">
        <f>'A) Base RI'!N97</f>
        <v>49622.3</v>
      </c>
      <c r="AA97" s="14">
        <f>'A) Base RI'!S97+'A) Base RI'!T97</f>
        <v>1580</v>
      </c>
      <c r="AB97" s="14">
        <f>'A) Base RI'!U97</f>
        <v>5650</v>
      </c>
      <c r="AC97" s="14">
        <f>'A) Base RI'!V97</f>
        <v>0</v>
      </c>
      <c r="AD97" s="14">
        <f>'A) Base RI'!W97</f>
        <v>0</v>
      </c>
      <c r="AE97" s="14">
        <f>'A) Base RI'!Y97</f>
        <v>4500</v>
      </c>
      <c r="AF97" s="14">
        <f>'A) Base RI'!Z97</f>
        <v>0</v>
      </c>
      <c r="AG97" s="14">
        <f>'A) Base RI'!AA97</f>
        <v>109061</v>
      </c>
      <c r="AH97" s="14">
        <f>'A) Base RI'!AB97</f>
        <v>0</v>
      </c>
      <c r="AI97" s="14">
        <f>'A) Base RI'!AC97</f>
        <v>73352.45</v>
      </c>
      <c r="AJ97" s="14">
        <f>'A) Base RI'!AD97</f>
        <v>4390.25</v>
      </c>
      <c r="AK97" s="14">
        <f>'A) Base RI'!AE97</f>
        <v>0</v>
      </c>
      <c r="AL97" s="14">
        <f>'A) Base RI'!AF97</f>
        <v>0</v>
      </c>
      <c r="AM97" s="14">
        <f>'A) Base RI'!AG97</f>
        <v>61479.83</v>
      </c>
      <c r="AN97" s="14">
        <f>'A) Base RI'!AH97</f>
        <v>21411.45</v>
      </c>
      <c r="AO97" s="14">
        <f>'A) Base RI'!AI97</f>
        <v>0</v>
      </c>
      <c r="AP97" s="14">
        <f>'A) Base RI'!AJ97</f>
        <v>0</v>
      </c>
      <c r="AQ97" s="14">
        <f>'A) Base RI'!AK97</f>
        <v>0</v>
      </c>
      <c r="AR97" s="14">
        <f>'A) Base RI'!AN97</f>
        <v>606</v>
      </c>
    </row>
    <row r="98" spans="1:44" x14ac:dyDescent="0.25">
      <c r="A98" s="12">
        <f>'A) Base RI'!A98</f>
        <v>5553</v>
      </c>
      <c r="B98" s="42" t="str">
        <f>'A) Base RI'!B98</f>
        <v>Champagne</v>
      </c>
      <c r="C98" s="14">
        <f>'A) Base RI'!C98+'A) Base RI'!D98</f>
        <v>3233667.84</v>
      </c>
      <c r="D98" s="14">
        <f>'A) Base RI'!AO98</f>
        <v>-13846.22</v>
      </c>
      <c r="E98" s="41">
        <f>'A) Base RI'!AP98</f>
        <v>0</v>
      </c>
      <c r="F98" s="41">
        <f>'A) Base RI'!AQ98</f>
        <v>-801.77</v>
      </c>
      <c r="G98" s="4">
        <f t="shared" si="6"/>
        <v>3219019.8499999996</v>
      </c>
      <c r="H98" s="14">
        <f>'A) Base RI'!E98</f>
        <v>0</v>
      </c>
      <c r="I98" s="14">
        <f>'A) Base RI'!F98</f>
        <v>0</v>
      </c>
      <c r="J98" s="14">
        <f>'A) Base RI'!G98+'A) Base RI'!H98</f>
        <v>-32283</v>
      </c>
      <c r="K98" s="14">
        <f>'A) Base RI'!I98</f>
        <v>0</v>
      </c>
      <c r="L98" s="14">
        <f>'A) Base RI'!J98</f>
        <v>105556.78</v>
      </c>
      <c r="M98" s="14">
        <f>'A) Base RI'!K98</f>
        <v>13468.5</v>
      </c>
      <c r="N98" s="14">
        <f>'A) Base RI'!Q98</f>
        <v>0</v>
      </c>
      <c r="O98" s="14">
        <f t="shared" si="7"/>
        <v>180303.2</v>
      </c>
      <c r="P98" s="14">
        <f>'A) Base RI'!L98</f>
        <v>180303.2</v>
      </c>
      <c r="Q98" s="44">
        <f>'A) Base RI'!AR98</f>
        <v>1</v>
      </c>
      <c r="R98" s="4">
        <f t="shared" si="8"/>
        <v>3486065.3299999996</v>
      </c>
      <c r="S98" s="43">
        <f>'A) Base RI'!AM98</f>
        <v>63</v>
      </c>
      <c r="T98" s="4">
        <f t="shared" si="9"/>
        <v>3292293.6299999994</v>
      </c>
      <c r="U98" s="4">
        <f t="shared" si="10"/>
        <v>55334.370317460314</v>
      </c>
      <c r="V98" s="14">
        <f>'A) Base RI'!O98</f>
        <v>102500</v>
      </c>
      <c r="W98" s="14">
        <f>'A) Base RI'!P98</f>
        <v>81584.850000000006</v>
      </c>
      <c r="X98" s="14">
        <f>'A) Base RI'!R98</f>
        <v>51351.15</v>
      </c>
      <c r="Y98" s="4">
        <f t="shared" si="11"/>
        <v>235436</v>
      </c>
      <c r="Z98" s="14">
        <f>'A) Base RI'!N98</f>
        <v>111459.85</v>
      </c>
      <c r="AA98" s="14">
        <f>'A) Base RI'!S98+'A) Base RI'!T98</f>
        <v>62.5</v>
      </c>
      <c r="AB98" s="14">
        <f>'A) Base RI'!U98</f>
        <v>4750</v>
      </c>
      <c r="AC98" s="14">
        <f>'A) Base RI'!V98</f>
        <v>948</v>
      </c>
      <c r="AD98" s="14">
        <f>'A) Base RI'!W98</f>
        <v>0</v>
      </c>
      <c r="AE98" s="14">
        <f>'A) Base RI'!Y98</f>
        <v>124001</v>
      </c>
      <c r="AF98" s="14">
        <f>'A) Base RI'!Z98</f>
        <v>0</v>
      </c>
      <c r="AG98" s="14">
        <f>'A) Base RI'!AA98</f>
        <v>51535.5</v>
      </c>
      <c r="AH98" s="14">
        <f>'A) Base RI'!AB98</f>
        <v>0</v>
      </c>
      <c r="AI98" s="14">
        <f>'A) Base RI'!AC98</f>
        <v>47182.400000000001</v>
      </c>
      <c r="AJ98" s="14">
        <f>'A) Base RI'!AD98</f>
        <v>143304</v>
      </c>
      <c r="AK98" s="14">
        <f>'A) Base RI'!AE98</f>
        <v>0</v>
      </c>
      <c r="AL98" s="14">
        <f>'A) Base RI'!AF98</f>
        <v>0</v>
      </c>
      <c r="AM98" s="14">
        <f>'A) Base RI'!AG98</f>
        <v>0</v>
      </c>
      <c r="AN98" s="14">
        <f>'A) Base RI'!AH98</f>
        <v>0</v>
      </c>
      <c r="AO98" s="14">
        <f>'A) Base RI'!AI98</f>
        <v>0</v>
      </c>
      <c r="AP98" s="14">
        <f>'A) Base RI'!AJ98</f>
        <v>0</v>
      </c>
      <c r="AQ98" s="14">
        <f>'A) Base RI'!AK98</f>
        <v>0</v>
      </c>
      <c r="AR98" s="14">
        <f>'A) Base RI'!AN98</f>
        <v>1048</v>
      </c>
    </row>
    <row r="99" spans="1:44" x14ac:dyDescent="0.25">
      <c r="A99" s="12">
        <f>'A) Base RI'!A99</f>
        <v>5554</v>
      </c>
      <c r="B99" s="42" t="str">
        <f>'A) Base RI'!B99</f>
        <v>Concise</v>
      </c>
      <c r="C99" s="14">
        <f>'A) Base RI'!C99+'A) Base RI'!D99</f>
        <v>2027850.29</v>
      </c>
      <c r="D99" s="14">
        <f>'A) Base RI'!AO99</f>
        <v>-12247.26</v>
      </c>
      <c r="E99" s="41">
        <f>'A) Base RI'!AP99</f>
        <v>0</v>
      </c>
      <c r="F99" s="41">
        <f>'A) Base RI'!AQ99</f>
        <v>-1502.05</v>
      </c>
      <c r="G99" s="4">
        <f t="shared" si="6"/>
        <v>2014100.98</v>
      </c>
      <c r="H99" s="14">
        <f>'A) Base RI'!E99</f>
        <v>0</v>
      </c>
      <c r="I99" s="14">
        <f>'A) Base RI'!F99</f>
        <v>0</v>
      </c>
      <c r="J99" s="14">
        <f>'A) Base RI'!G99+'A) Base RI'!H99</f>
        <v>41791.199999999997</v>
      </c>
      <c r="K99" s="14">
        <f>'A) Base RI'!I99</f>
        <v>0</v>
      </c>
      <c r="L99" s="14">
        <f>'A) Base RI'!J99</f>
        <v>248.77</v>
      </c>
      <c r="M99" s="14">
        <f>'A) Base RI'!K99</f>
        <v>6209.5</v>
      </c>
      <c r="N99" s="14">
        <f>'A) Base RI'!Q99</f>
        <v>9731.92</v>
      </c>
      <c r="O99" s="14">
        <f t="shared" si="7"/>
        <v>154750.20000000001</v>
      </c>
      <c r="P99" s="14">
        <f>'A) Base RI'!L99</f>
        <v>154750.20000000001</v>
      </c>
      <c r="Q99" s="44">
        <f>'A) Base RI'!AR99</f>
        <v>1</v>
      </c>
      <c r="R99" s="4">
        <f t="shared" si="8"/>
        <v>2226832.5699999998</v>
      </c>
      <c r="S99" s="43">
        <f>'A) Base RI'!AM99</f>
        <v>75</v>
      </c>
      <c r="T99" s="4">
        <f t="shared" si="9"/>
        <v>2065872.8699999999</v>
      </c>
      <c r="U99" s="4">
        <f t="shared" si="10"/>
        <v>29691.100933333331</v>
      </c>
      <c r="V99" s="14">
        <f>'A) Base RI'!O99</f>
        <v>53138.8</v>
      </c>
      <c r="W99" s="14">
        <f>'A) Base RI'!P99</f>
        <v>164108.79999999999</v>
      </c>
      <c r="X99" s="14">
        <f>'A) Base RI'!R99</f>
        <v>65468.5</v>
      </c>
      <c r="Y99" s="4">
        <f t="shared" si="11"/>
        <v>282716.09999999998</v>
      </c>
      <c r="Z99" s="14">
        <f>'A) Base RI'!N99</f>
        <v>0</v>
      </c>
      <c r="AA99" s="14">
        <f>'A) Base RI'!S99+'A) Base RI'!T99</f>
        <v>0</v>
      </c>
      <c r="AB99" s="14">
        <f>'A) Base RI'!U99</f>
        <v>6150</v>
      </c>
      <c r="AC99" s="14">
        <f>'A) Base RI'!V99</f>
        <v>0</v>
      </c>
      <c r="AD99" s="14">
        <f>'A) Base RI'!W99</f>
        <v>0</v>
      </c>
      <c r="AE99" s="14">
        <f>'A) Base RI'!Y99</f>
        <v>0</v>
      </c>
      <c r="AF99" s="14">
        <f>'A) Base RI'!Z99</f>
        <v>0</v>
      </c>
      <c r="AG99" s="14">
        <f>'A) Base RI'!AA99</f>
        <v>108768</v>
      </c>
      <c r="AH99" s="14">
        <f>'A) Base RI'!AB99</f>
        <v>0</v>
      </c>
      <c r="AI99" s="14">
        <f>'A) Base RI'!AC99</f>
        <v>52118.2</v>
      </c>
      <c r="AJ99" s="14">
        <f>'A) Base RI'!AD99</f>
        <v>0</v>
      </c>
      <c r="AK99" s="14">
        <f>'A) Base RI'!AE99</f>
        <v>0</v>
      </c>
      <c r="AL99" s="14">
        <f>'A) Base RI'!AF99</f>
        <v>0</v>
      </c>
      <c r="AM99" s="14">
        <f>'A) Base RI'!AG99</f>
        <v>18908.8</v>
      </c>
      <c r="AN99" s="14">
        <f>'A) Base RI'!AH99</f>
        <v>28605.35</v>
      </c>
      <c r="AO99" s="14">
        <f>'A) Base RI'!AI99</f>
        <v>0</v>
      </c>
      <c r="AP99" s="14">
        <f>'A) Base RI'!AJ99</f>
        <v>0</v>
      </c>
      <c r="AQ99" s="14">
        <f>'A) Base RI'!AK99</f>
        <v>0</v>
      </c>
      <c r="AR99" s="14">
        <f>'A) Base RI'!AN99</f>
        <v>954</v>
      </c>
    </row>
    <row r="100" spans="1:44" x14ac:dyDescent="0.25">
      <c r="A100" s="12">
        <f>'A) Base RI'!A100</f>
        <v>5555</v>
      </c>
      <c r="B100" s="42" t="str">
        <f>'A) Base RI'!B100</f>
        <v>Corcelles-près-Concise</v>
      </c>
      <c r="C100" s="14">
        <f>'A) Base RI'!C100+'A) Base RI'!D100</f>
        <v>615129.77</v>
      </c>
      <c r="D100" s="14">
        <f>'A) Base RI'!AO100</f>
        <v>-1747.62</v>
      </c>
      <c r="E100" s="41">
        <f>'A) Base RI'!AP100</f>
        <v>0</v>
      </c>
      <c r="F100" s="41">
        <f>'A) Base RI'!AQ100</f>
        <v>-14.8</v>
      </c>
      <c r="G100" s="4">
        <f t="shared" si="6"/>
        <v>613367.35</v>
      </c>
      <c r="H100" s="14">
        <f>'A) Base RI'!E100</f>
        <v>0</v>
      </c>
      <c r="I100" s="14">
        <f>'A) Base RI'!F100</f>
        <v>0</v>
      </c>
      <c r="J100" s="14">
        <f>'A) Base RI'!G100+'A) Base RI'!H100</f>
        <v>3830.3500000000004</v>
      </c>
      <c r="K100" s="14">
        <f>'A) Base RI'!I100</f>
        <v>0</v>
      </c>
      <c r="L100" s="14">
        <f>'A) Base RI'!J100</f>
        <v>10669.61</v>
      </c>
      <c r="M100" s="14">
        <f>'A) Base RI'!K100</f>
        <v>1474.8</v>
      </c>
      <c r="N100" s="14">
        <f>'A) Base RI'!Q100</f>
        <v>555.95000000000005</v>
      </c>
      <c r="O100" s="14">
        <f t="shared" si="7"/>
        <v>63252.7</v>
      </c>
      <c r="P100" s="14">
        <f>'A) Base RI'!L100</f>
        <v>63252.7</v>
      </c>
      <c r="Q100" s="44">
        <f>'A) Base RI'!AR100</f>
        <v>1</v>
      </c>
      <c r="R100" s="4">
        <f t="shared" si="8"/>
        <v>693150.75999999989</v>
      </c>
      <c r="S100" s="43">
        <f>'A) Base RI'!AM100</f>
        <v>71</v>
      </c>
      <c r="T100" s="4">
        <f t="shared" si="9"/>
        <v>628423.25999999989</v>
      </c>
      <c r="U100" s="4">
        <f t="shared" si="10"/>
        <v>9762.6867605633779</v>
      </c>
      <c r="V100" s="14">
        <f>'A) Base RI'!O100</f>
        <v>0</v>
      </c>
      <c r="W100" s="14">
        <f>'A) Base RI'!P100</f>
        <v>32859.300000000003</v>
      </c>
      <c r="X100" s="14">
        <f>'A) Base RI'!R100</f>
        <v>34194.800000000003</v>
      </c>
      <c r="Y100" s="4">
        <f t="shared" si="11"/>
        <v>67054.100000000006</v>
      </c>
      <c r="Z100" s="14">
        <f>'A) Base RI'!N100</f>
        <v>10192.85</v>
      </c>
      <c r="AA100" s="14">
        <f>'A) Base RI'!S100+'A) Base RI'!T100</f>
        <v>0</v>
      </c>
      <c r="AB100" s="14">
        <f>'A) Base RI'!U100</f>
        <v>1200</v>
      </c>
      <c r="AC100" s="14">
        <f>'A) Base RI'!V100</f>
        <v>0</v>
      </c>
      <c r="AD100" s="14">
        <f>'A) Base RI'!W100</f>
        <v>0</v>
      </c>
      <c r="AE100" s="14">
        <f>'A) Base RI'!Y100</f>
        <v>2892</v>
      </c>
      <c r="AF100" s="14">
        <f>'A) Base RI'!Z100</f>
        <v>0</v>
      </c>
      <c r="AG100" s="14">
        <f>'A) Base RI'!AA100</f>
        <v>90423.7</v>
      </c>
      <c r="AH100" s="14">
        <f>'A) Base RI'!AB100</f>
        <v>0</v>
      </c>
      <c r="AI100" s="14">
        <f>'A) Base RI'!AC100</f>
        <v>17937.150000000001</v>
      </c>
      <c r="AJ100" s="14">
        <f>'A) Base RI'!AD100</f>
        <v>56782.45</v>
      </c>
      <c r="AK100" s="14">
        <f>'A) Base RI'!AE100</f>
        <v>0</v>
      </c>
      <c r="AL100" s="14">
        <f>'A) Base RI'!AF100</f>
        <v>0</v>
      </c>
      <c r="AM100" s="14">
        <f>'A) Base RI'!AG100</f>
        <v>10124.9</v>
      </c>
      <c r="AN100" s="14">
        <f>'A) Base RI'!AH100</f>
        <v>0</v>
      </c>
      <c r="AO100" s="14">
        <f>'A) Base RI'!AI100</f>
        <v>0</v>
      </c>
      <c r="AP100" s="14">
        <f>'A) Base RI'!AJ100</f>
        <v>0</v>
      </c>
      <c r="AQ100" s="14">
        <f>'A) Base RI'!AK100</f>
        <v>0</v>
      </c>
      <c r="AR100" s="14">
        <f>'A) Base RI'!AN100</f>
        <v>337</v>
      </c>
    </row>
    <row r="101" spans="1:44" x14ac:dyDescent="0.25">
      <c r="A101" s="12">
        <f>'A) Base RI'!A101</f>
        <v>5556</v>
      </c>
      <c r="B101" s="42" t="str">
        <f>'A) Base RI'!B101</f>
        <v>Fiez</v>
      </c>
      <c r="C101" s="14">
        <f>'A) Base RI'!C101+'A) Base RI'!D101</f>
        <v>656389.32999999996</v>
      </c>
      <c r="D101" s="14">
        <f>'A) Base RI'!AO101</f>
        <v>-3275.21</v>
      </c>
      <c r="E101" s="41">
        <f>'A) Base RI'!AP101</f>
        <v>0</v>
      </c>
      <c r="F101" s="41">
        <f>'A) Base RI'!AQ101</f>
        <v>0</v>
      </c>
      <c r="G101" s="4">
        <f t="shared" si="6"/>
        <v>653114.12</v>
      </c>
      <c r="H101" s="14">
        <f>'A) Base RI'!E101</f>
        <v>0</v>
      </c>
      <c r="I101" s="14">
        <f>'A) Base RI'!F101</f>
        <v>2170</v>
      </c>
      <c r="J101" s="14">
        <f>'A) Base RI'!G101+'A) Base RI'!H101</f>
        <v>17459.449999999997</v>
      </c>
      <c r="K101" s="14">
        <f>'A) Base RI'!I101</f>
        <v>0</v>
      </c>
      <c r="L101" s="14">
        <f>'A) Base RI'!J101</f>
        <v>11454.85</v>
      </c>
      <c r="M101" s="14">
        <f>'A) Base RI'!K101</f>
        <v>522</v>
      </c>
      <c r="N101" s="14">
        <f>'A) Base RI'!Q101</f>
        <v>1423.1</v>
      </c>
      <c r="O101" s="14">
        <f t="shared" si="7"/>
        <v>59051.791666666664</v>
      </c>
      <c r="P101" s="14">
        <f>'A) Base RI'!L101</f>
        <v>70862.149999999994</v>
      </c>
      <c r="Q101" s="44">
        <f>'A) Base RI'!AR101</f>
        <v>1.2</v>
      </c>
      <c r="R101" s="4">
        <f t="shared" si="8"/>
        <v>745195.31166666653</v>
      </c>
      <c r="S101" s="43">
        <f>'A) Base RI'!AM101</f>
        <v>69</v>
      </c>
      <c r="T101" s="4">
        <f t="shared" si="9"/>
        <v>683451.5199999999</v>
      </c>
      <c r="U101" s="4">
        <f t="shared" si="10"/>
        <v>10799.932053140095</v>
      </c>
      <c r="V101" s="14">
        <f>'A) Base RI'!O101</f>
        <v>2161.1999999999998</v>
      </c>
      <c r="W101" s="14">
        <f>'A) Base RI'!P101</f>
        <v>25701.5</v>
      </c>
      <c r="X101" s="14">
        <f>'A) Base RI'!R101</f>
        <v>13162.55</v>
      </c>
      <c r="Y101" s="4">
        <f t="shared" si="11"/>
        <v>41025.25</v>
      </c>
      <c r="Z101" s="14">
        <f>'A) Base RI'!N101</f>
        <v>11298.6</v>
      </c>
      <c r="AA101" s="14">
        <f>'A) Base RI'!S101+'A) Base RI'!T101</f>
        <v>200</v>
      </c>
      <c r="AB101" s="14">
        <f>'A) Base RI'!U101</f>
        <v>3290</v>
      </c>
      <c r="AC101" s="14">
        <f>'A) Base RI'!V101</f>
        <v>0</v>
      </c>
      <c r="AD101" s="14">
        <f>'A) Base RI'!W101</f>
        <v>0</v>
      </c>
      <c r="AE101" s="14">
        <f>'A) Base RI'!Y101</f>
        <v>26355</v>
      </c>
      <c r="AF101" s="14">
        <f>'A) Base RI'!Z101</f>
        <v>0</v>
      </c>
      <c r="AG101" s="14">
        <f>'A) Base RI'!AA101</f>
        <v>65923.149999999994</v>
      </c>
      <c r="AH101" s="14">
        <f>'A) Base RI'!AB101</f>
        <v>0</v>
      </c>
      <c r="AI101" s="14">
        <f>'A) Base RI'!AC101</f>
        <v>12173.55</v>
      </c>
      <c r="AJ101" s="14">
        <f>'A) Base RI'!AD101</f>
        <v>15480</v>
      </c>
      <c r="AK101" s="14">
        <f>'A) Base RI'!AE101</f>
        <v>0</v>
      </c>
      <c r="AL101" s="14">
        <f>'A) Base RI'!AF101</f>
        <v>0</v>
      </c>
      <c r="AM101" s="14">
        <f>'A) Base RI'!AG101</f>
        <v>1613.35</v>
      </c>
      <c r="AN101" s="14">
        <f>'A) Base RI'!AH101</f>
        <v>0</v>
      </c>
      <c r="AO101" s="14">
        <f>'A) Base RI'!AI101</f>
        <v>0</v>
      </c>
      <c r="AP101" s="14">
        <f>'A) Base RI'!AJ101</f>
        <v>0</v>
      </c>
      <c r="AQ101" s="14">
        <f>'A) Base RI'!AK101</f>
        <v>0</v>
      </c>
      <c r="AR101" s="14">
        <f>'A) Base RI'!AN101</f>
        <v>421</v>
      </c>
    </row>
    <row r="102" spans="1:44" x14ac:dyDescent="0.25">
      <c r="A102" s="12">
        <f>'A) Base RI'!A102</f>
        <v>5557</v>
      </c>
      <c r="B102" s="42" t="str">
        <f>'A) Base RI'!B102</f>
        <v>Fontaines-sur-Grandson</v>
      </c>
      <c r="C102" s="14">
        <f>'A) Base RI'!C102+'A) Base RI'!D102</f>
        <v>255878.31</v>
      </c>
      <c r="D102" s="14">
        <f>'A) Base RI'!AO102</f>
        <v>-4482.59</v>
      </c>
      <c r="E102" s="41">
        <f>'A) Base RI'!AP102</f>
        <v>0</v>
      </c>
      <c r="F102" s="41">
        <f>'A) Base RI'!AQ102</f>
        <v>0</v>
      </c>
      <c r="G102" s="4">
        <f t="shared" si="6"/>
        <v>251395.72</v>
      </c>
      <c r="H102" s="14">
        <f>'A) Base RI'!E102</f>
        <v>0</v>
      </c>
      <c r="I102" s="14">
        <f>'A) Base RI'!F102</f>
        <v>970</v>
      </c>
      <c r="J102" s="14">
        <f>'A) Base RI'!G102+'A) Base RI'!H102</f>
        <v>9349.9</v>
      </c>
      <c r="K102" s="14">
        <f>'A) Base RI'!I102</f>
        <v>0</v>
      </c>
      <c r="L102" s="14">
        <f>'A) Base RI'!J102</f>
        <v>2349.4899999999998</v>
      </c>
      <c r="M102" s="14">
        <f>'A) Base RI'!K102</f>
        <v>899.5</v>
      </c>
      <c r="N102" s="14">
        <f>'A) Base RI'!Q102</f>
        <v>0</v>
      </c>
      <c r="O102" s="14">
        <f t="shared" si="7"/>
        <v>24880.400000000001</v>
      </c>
      <c r="P102" s="14">
        <f>'A) Base RI'!L102</f>
        <v>24880.400000000001</v>
      </c>
      <c r="Q102" s="44">
        <f>'A) Base RI'!AR102</f>
        <v>1</v>
      </c>
      <c r="R102" s="4">
        <f t="shared" si="8"/>
        <v>289845.01</v>
      </c>
      <c r="S102" s="43">
        <f>'A) Base RI'!AM102</f>
        <v>69</v>
      </c>
      <c r="T102" s="4">
        <f t="shared" si="9"/>
        <v>263095.11</v>
      </c>
      <c r="U102" s="4">
        <f t="shared" si="10"/>
        <v>4200.6523188405799</v>
      </c>
      <c r="V102" s="14">
        <f>'A) Base RI'!O102</f>
        <v>4522</v>
      </c>
      <c r="W102" s="14">
        <f>'A) Base RI'!P102</f>
        <v>7480</v>
      </c>
      <c r="X102" s="14">
        <f>'A) Base RI'!R102</f>
        <v>4736.3</v>
      </c>
      <c r="Y102" s="4">
        <f t="shared" si="11"/>
        <v>16738.3</v>
      </c>
      <c r="Z102" s="14">
        <f>'A) Base RI'!N102</f>
        <v>1075.8499999999999</v>
      </c>
      <c r="AA102" s="14">
        <f>'A) Base RI'!S102+'A) Base RI'!T102</f>
        <v>100</v>
      </c>
      <c r="AB102" s="14">
        <f>'A) Base RI'!U102</f>
        <v>690</v>
      </c>
      <c r="AC102" s="14">
        <f>'A) Base RI'!V102</f>
        <v>0</v>
      </c>
      <c r="AD102" s="14">
        <f>'A) Base RI'!W102</f>
        <v>0</v>
      </c>
      <c r="AE102" s="14">
        <f>'A) Base RI'!Y102</f>
        <v>6000</v>
      </c>
      <c r="AF102" s="14">
        <f>'A) Base RI'!Z102</f>
        <v>0</v>
      </c>
      <c r="AG102" s="14">
        <f>'A) Base RI'!AA102</f>
        <v>22200</v>
      </c>
      <c r="AH102" s="14">
        <f>'A) Base RI'!AB102</f>
        <v>0</v>
      </c>
      <c r="AI102" s="14">
        <f>'A) Base RI'!AC102</f>
        <v>19513.75</v>
      </c>
      <c r="AJ102" s="14">
        <f>'A) Base RI'!AD102</f>
        <v>4264</v>
      </c>
      <c r="AK102" s="14">
        <f>'A) Base RI'!AE102</f>
        <v>0</v>
      </c>
      <c r="AL102" s="14">
        <f>'A) Base RI'!AF102</f>
        <v>0</v>
      </c>
      <c r="AM102" s="14">
        <f>'A) Base RI'!AG102</f>
        <v>0</v>
      </c>
      <c r="AN102" s="14">
        <f>'A) Base RI'!AH102</f>
        <v>0</v>
      </c>
      <c r="AO102" s="14">
        <f>'A) Base RI'!AI102</f>
        <v>0</v>
      </c>
      <c r="AP102" s="14">
        <f>'A) Base RI'!AJ102</f>
        <v>0</v>
      </c>
      <c r="AQ102" s="14">
        <f>'A) Base RI'!AK102</f>
        <v>0</v>
      </c>
      <c r="AR102" s="14">
        <f>'A) Base RI'!AN102</f>
        <v>191</v>
      </c>
    </row>
    <row r="103" spans="1:44" x14ac:dyDescent="0.25">
      <c r="A103" s="12">
        <f>'A) Base RI'!A103</f>
        <v>5559</v>
      </c>
      <c r="B103" s="42" t="str">
        <f>'A) Base RI'!B103</f>
        <v>Giez</v>
      </c>
      <c r="C103" s="14">
        <f>'A) Base RI'!C103+'A) Base RI'!D103</f>
        <v>815525.07</v>
      </c>
      <c r="D103" s="14">
        <f>'A) Base RI'!AO103</f>
        <v>-7095.71</v>
      </c>
      <c r="E103" s="41">
        <f>'A) Base RI'!AP103</f>
        <v>0</v>
      </c>
      <c r="F103" s="41">
        <f>'A) Base RI'!AQ103</f>
        <v>-66.650000000000006</v>
      </c>
      <c r="G103" s="4">
        <f t="shared" si="6"/>
        <v>808362.71</v>
      </c>
      <c r="H103" s="14">
        <f>'A) Base RI'!E103</f>
        <v>0</v>
      </c>
      <c r="I103" s="14">
        <f>'A) Base RI'!F103</f>
        <v>0</v>
      </c>
      <c r="J103" s="14">
        <f>'A) Base RI'!G103+'A) Base RI'!H103</f>
        <v>278688.80000000005</v>
      </c>
      <c r="K103" s="14">
        <f>'A) Base RI'!I103</f>
        <v>0</v>
      </c>
      <c r="L103" s="14">
        <f>'A) Base RI'!J103</f>
        <v>18855.61</v>
      </c>
      <c r="M103" s="14">
        <f>'A) Base RI'!K103</f>
        <v>3295.5</v>
      </c>
      <c r="N103" s="14">
        <f>'A) Base RI'!Q103</f>
        <v>0</v>
      </c>
      <c r="O103" s="14">
        <f t="shared" si="7"/>
        <v>78697.3</v>
      </c>
      <c r="P103" s="14">
        <f>'A) Base RI'!L103</f>
        <v>78697.3</v>
      </c>
      <c r="Q103" s="44">
        <f>'A) Base RI'!AR103</f>
        <v>1</v>
      </c>
      <c r="R103" s="4">
        <f t="shared" si="8"/>
        <v>1187899.9200000002</v>
      </c>
      <c r="S103" s="43">
        <f>'A) Base RI'!AM103</f>
        <v>66</v>
      </c>
      <c r="T103" s="4">
        <f t="shared" si="9"/>
        <v>1105907.1200000001</v>
      </c>
      <c r="U103" s="4">
        <f t="shared" si="10"/>
        <v>17998.483636363639</v>
      </c>
      <c r="V103" s="14">
        <f>'A) Base RI'!O103</f>
        <v>2631.5</v>
      </c>
      <c r="W103" s="14">
        <f>'A) Base RI'!P103</f>
        <v>1540</v>
      </c>
      <c r="X103" s="14">
        <f>'A) Base RI'!R103</f>
        <v>0</v>
      </c>
      <c r="Y103" s="4">
        <f t="shared" si="11"/>
        <v>4171.5</v>
      </c>
      <c r="Z103" s="14">
        <f>'A) Base RI'!N103</f>
        <v>24437.05</v>
      </c>
      <c r="AA103" s="14">
        <f>'A) Base RI'!S103+'A) Base RI'!T103</f>
        <v>350</v>
      </c>
      <c r="AB103" s="14">
        <f>'A) Base RI'!U103</f>
        <v>960</v>
      </c>
      <c r="AC103" s="14">
        <f>'A) Base RI'!V103</f>
        <v>279.85000000000002</v>
      </c>
      <c r="AD103" s="14">
        <f>'A) Base RI'!W103</f>
        <v>0</v>
      </c>
      <c r="AE103" s="14">
        <f>'A) Base RI'!Y103</f>
        <v>7300</v>
      </c>
      <c r="AF103" s="14">
        <f>'A) Base RI'!Z103</f>
        <v>0</v>
      </c>
      <c r="AG103" s="14">
        <f>'A) Base RI'!AA103</f>
        <v>85817.5</v>
      </c>
      <c r="AH103" s="14">
        <f>'A) Base RI'!AB103</f>
        <v>0</v>
      </c>
      <c r="AI103" s="14">
        <f>'A) Base RI'!AC103</f>
        <v>25795.15</v>
      </c>
      <c r="AJ103" s="14">
        <f>'A) Base RI'!AD103</f>
        <v>10250</v>
      </c>
      <c r="AK103" s="14">
        <f>'A) Base RI'!AE103</f>
        <v>0</v>
      </c>
      <c r="AL103" s="14">
        <f>'A) Base RI'!AF103</f>
        <v>0</v>
      </c>
      <c r="AM103" s="14">
        <f>'A) Base RI'!AG103</f>
        <v>4494.2</v>
      </c>
      <c r="AN103" s="14">
        <f>'A) Base RI'!AH103</f>
        <v>0</v>
      </c>
      <c r="AO103" s="14">
        <f>'A) Base RI'!AI103</f>
        <v>0</v>
      </c>
      <c r="AP103" s="14">
        <f>'A) Base RI'!AJ103</f>
        <v>0</v>
      </c>
      <c r="AQ103" s="14">
        <f>'A) Base RI'!AK103</f>
        <v>0</v>
      </c>
      <c r="AR103" s="14">
        <f>'A) Base RI'!AN103</f>
        <v>389</v>
      </c>
    </row>
    <row r="104" spans="1:44" x14ac:dyDescent="0.25">
      <c r="A104" s="12">
        <f>'A) Base RI'!A104</f>
        <v>5560</v>
      </c>
      <c r="B104" s="42" t="str">
        <f>'A) Base RI'!B104</f>
        <v>Grandevent</v>
      </c>
      <c r="C104" s="14">
        <f>'A) Base RI'!C104+'A) Base RI'!D104</f>
        <v>392472.82999999996</v>
      </c>
      <c r="D104" s="14">
        <f>'A) Base RI'!AO104</f>
        <v>-6694.16</v>
      </c>
      <c r="E104" s="41">
        <f>'A) Base RI'!AP104</f>
        <v>0</v>
      </c>
      <c r="F104" s="41">
        <f>'A) Base RI'!AQ104</f>
        <v>-1.77</v>
      </c>
      <c r="G104" s="4">
        <f t="shared" si="6"/>
        <v>385776.89999999997</v>
      </c>
      <c r="H104" s="14">
        <f>'A) Base RI'!E104</f>
        <v>0</v>
      </c>
      <c r="I104" s="14">
        <f>'A) Base RI'!F104</f>
        <v>0</v>
      </c>
      <c r="J104" s="14">
        <f>'A) Base RI'!G104+'A) Base RI'!H104</f>
        <v>341.5</v>
      </c>
      <c r="K104" s="14">
        <f>'A) Base RI'!I104</f>
        <v>0</v>
      </c>
      <c r="L104" s="14">
        <f>'A) Base RI'!J104</f>
        <v>11176.67</v>
      </c>
      <c r="M104" s="14">
        <f>'A) Base RI'!K104</f>
        <v>305</v>
      </c>
      <c r="N104" s="14">
        <f>'A) Base RI'!Q104</f>
        <v>0</v>
      </c>
      <c r="O104" s="14">
        <f t="shared" si="7"/>
        <v>37337.75</v>
      </c>
      <c r="P104" s="14">
        <f>'A) Base RI'!L104</f>
        <v>37337.75</v>
      </c>
      <c r="Q104" s="44">
        <f>'A) Base RI'!AR104</f>
        <v>1</v>
      </c>
      <c r="R104" s="4">
        <f t="shared" si="8"/>
        <v>434937.81999999995</v>
      </c>
      <c r="S104" s="43">
        <f>'A) Base RI'!AM104</f>
        <v>68</v>
      </c>
      <c r="T104" s="4">
        <f t="shared" si="9"/>
        <v>397295.06999999995</v>
      </c>
      <c r="U104" s="4">
        <f t="shared" si="10"/>
        <v>6396.1444117647052</v>
      </c>
      <c r="V104" s="14">
        <f>'A) Base RI'!O104</f>
        <v>259.2</v>
      </c>
      <c r="W104" s="14">
        <f>'A) Base RI'!P104</f>
        <v>19670.95</v>
      </c>
      <c r="X104" s="14">
        <f>'A) Base RI'!R104</f>
        <v>11290.1</v>
      </c>
      <c r="Y104" s="4">
        <f t="shared" si="11"/>
        <v>31220.25</v>
      </c>
      <c r="Z104" s="14">
        <f>'A) Base RI'!N104</f>
        <v>0</v>
      </c>
      <c r="AA104" s="14">
        <f>'A) Base RI'!S104+'A) Base RI'!T104</f>
        <v>0</v>
      </c>
      <c r="AB104" s="14">
        <f>'A) Base RI'!U104</f>
        <v>1450</v>
      </c>
      <c r="AC104" s="14">
        <f>'A) Base RI'!V104</f>
        <v>0</v>
      </c>
      <c r="AD104" s="14">
        <f>'A) Base RI'!W104</f>
        <v>0</v>
      </c>
      <c r="AE104" s="14">
        <f>'A) Base RI'!Y104</f>
        <v>0</v>
      </c>
      <c r="AF104" s="14">
        <f>'A) Base RI'!Z104</f>
        <v>0</v>
      </c>
      <c r="AG104" s="14">
        <f>'A) Base RI'!AA104</f>
        <v>32143.599999999999</v>
      </c>
      <c r="AH104" s="14">
        <f>'A) Base RI'!AB104</f>
        <v>0</v>
      </c>
      <c r="AI104" s="14">
        <f>'A) Base RI'!AC104</f>
        <v>13153</v>
      </c>
      <c r="AJ104" s="14">
        <f>'A) Base RI'!AD104</f>
        <v>0</v>
      </c>
      <c r="AK104" s="14">
        <f>'A) Base RI'!AE104</f>
        <v>0</v>
      </c>
      <c r="AL104" s="14">
        <f>'A) Base RI'!AF104</f>
        <v>0</v>
      </c>
      <c r="AM104" s="14">
        <f>'A) Base RI'!AG104</f>
        <v>1500.5</v>
      </c>
      <c r="AN104" s="14">
        <f>'A) Base RI'!AH104</f>
        <v>0</v>
      </c>
      <c r="AO104" s="14">
        <f>'A) Base RI'!AI104</f>
        <v>0</v>
      </c>
      <c r="AP104" s="14">
        <f>'A) Base RI'!AJ104</f>
        <v>0</v>
      </c>
      <c r="AQ104" s="14">
        <f>'A) Base RI'!AK104</f>
        <v>0</v>
      </c>
      <c r="AR104" s="14">
        <f>'A) Base RI'!AN104</f>
        <v>232</v>
      </c>
    </row>
    <row r="105" spans="1:44" x14ac:dyDescent="0.25">
      <c r="A105" s="12">
        <f>'A) Base RI'!A105</f>
        <v>5561</v>
      </c>
      <c r="B105" s="42" t="str">
        <f>'A) Base RI'!B105</f>
        <v>Grandson</v>
      </c>
      <c r="C105" s="14">
        <f>'A) Base RI'!C105+'A) Base RI'!D105</f>
        <v>6537517.6500000004</v>
      </c>
      <c r="D105" s="14">
        <f>'A) Base RI'!AO105</f>
        <v>-130213.23</v>
      </c>
      <c r="E105" s="41">
        <f>'A) Base RI'!AP105</f>
        <v>-26584.85</v>
      </c>
      <c r="F105" s="41">
        <f>'A) Base RI'!AQ105</f>
        <v>-2450.62</v>
      </c>
      <c r="G105" s="4">
        <f t="shared" si="6"/>
        <v>6378268.9500000002</v>
      </c>
      <c r="H105" s="14">
        <f>'A) Base RI'!E105</f>
        <v>0</v>
      </c>
      <c r="I105" s="14">
        <f>'A) Base RI'!F105</f>
        <v>0</v>
      </c>
      <c r="J105" s="14">
        <f>'A) Base RI'!G105+'A) Base RI'!H105</f>
        <v>257180.36</v>
      </c>
      <c r="K105" s="14">
        <f>'A) Base RI'!I105</f>
        <v>27733.85</v>
      </c>
      <c r="L105" s="14">
        <f>'A) Base RI'!J105</f>
        <v>115318.48</v>
      </c>
      <c r="M105" s="14">
        <f>'A) Base RI'!K105</f>
        <v>19132</v>
      </c>
      <c r="N105" s="14">
        <f>'A) Base RI'!Q105</f>
        <v>16187.98</v>
      </c>
      <c r="O105" s="14">
        <f t="shared" si="7"/>
        <v>535221.30000000005</v>
      </c>
      <c r="P105" s="14">
        <f>'A) Base RI'!L105</f>
        <v>535221.30000000005</v>
      </c>
      <c r="Q105" s="44">
        <f>'A) Base RI'!AR105</f>
        <v>1</v>
      </c>
      <c r="R105" s="4">
        <f t="shared" si="8"/>
        <v>7349042.9200000009</v>
      </c>
      <c r="S105" s="43">
        <f>'A) Base RI'!AM105</f>
        <v>69</v>
      </c>
      <c r="T105" s="4">
        <f t="shared" si="9"/>
        <v>6794689.620000001</v>
      </c>
      <c r="U105" s="4">
        <f t="shared" si="10"/>
        <v>106507.86840579711</v>
      </c>
      <c r="V105" s="14">
        <f>'A) Base RI'!O105</f>
        <v>278768.09999999998</v>
      </c>
      <c r="W105" s="14">
        <f>'A) Base RI'!P105</f>
        <v>243927</v>
      </c>
      <c r="X105" s="14">
        <f>'A) Base RI'!R105</f>
        <v>179464.85</v>
      </c>
      <c r="Y105" s="4">
        <f t="shared" si="11"/>
        <v>702159.95</v>
      </c>
      <c r="Z105" s="14">
        <f>'A) Base RI'!N105</f>
        <v>327346.25</v>
      </c>
      <c r="AA105" s="14">
        <f>'A) Base RI'!S105+'A) Base RI'!T105</f>
        <v>17421.650000000001</v>
      </c>
      <c r="AB105" s="14">
        <f>'A) Base RI'!U105</f>
        <v>11285.45</v>
      </c>
      <c r="AC105" s="14">
        <f>'A) Base RI'!V105</f>
        <v>0</v>
      </c>
      <c r="AD105" s="14">
        <f>'A) Base RI'!W105</f>
        <v>0</v>
      </c>
      <c r="AE105" s="14">
        <f>'A) Base RI'!Y105</f>
        <v>6223</v>
      </c>
      <c r="AF105" s="14">
        <f>'A) Base RI'!Z105</f>
        <v>0</v>
      </c>
      <c r="AG105" s="14">
        <f>'A) Base RI'!AA105</f>
        <v>551272.5</v>
      </c>
      <c r="AH105" s="14">
        <f>'A) Base RI'!AB105</f>
        <v>0</v>
      </c>
      <c r="AI105" s="14">
        <f>'A) Base RI'!AC105</f>
        <v>304399.25</v>
      </c>
      <c r="AJ105" s="14">
        <f>'A) Base RI'!AD105</f>
        <v>58813.9</v>
      </c>
      <c r="AK105" s="14">
        <f>'A) Base RI'!AE105</f>
        <v>0</v>
      </c>
      <c r="AL105" s="14">
        <f>'A) Base RI'!AF105</f>
        <v>0</v>
      </c>
      <c r="AM105" s="14">
        <f>'A) Base RI'!AG105</f>
        <v>56360.6</v>
      </c>
      <c r="AN105" s="14">
        <f>'A) Base RI'!AH105</f>
        <v>93351.55</v>
      </c>
      <c r="AO105" s="14">
        <f>'A) Base RI'!AI105</f>
        <v>0</v>
      </c>
      <c r="AP105" s="14">
        <f>'A) Base RI'!AJ105</f>
        <v>0</v>
      </c>
      <c r="AQ105" s="14">
        <f>'A) Base RI'!AK105</f>
        <v>0</v>
      </c>
      <c r="AR105" s="14">
        <f>'A) Base RI'!AN105</f>
        <v>3303</v>
      </c>
    </row>
    <row r="106" spans="1:44" x14ac:dyDescent="0.25">
      <c r="A106" s="12">
        <f>'A) Base RI'!A106</f>
        <v>5562</v>
      </c>
      <c r="B106" s="42" t="str">
        <f>'A) Base RI'!B106</f>
        <v>Mauborget</v>
      </c>
      <c r="C106" s="14">
        <f>'A) Base RI'!C106+'A) Base RI'!D106</f>
        <v>251658.05</v>
      </c>
      <c r="D106" s="14">
        <f>'A) Base RI'!AO106</f>
        <v>-10548.13</v>
      </c>
      <c r="E106" s="41">
        <f>'A) Base RI'!AP106</f>
        <v>0</v>
      </c>
      <c r="F106" s="41">
        <f>'A) Base RI'!AQ106</f>
        <v>-2.25</v>
      </c>
      <c r="G106" s="4">
        <f t="shared" si="6"/>
        <v>241107.66999999998</v>
      </c>
      <c r="H106" s="14">
        <f>'A) Base RI'!E106</f>
        <v>0</v>
      </c>
      <c r="I106" s="14">
        <f>'A) Base RI'!F106</f>
        <v>720</v>
      </c>
      <c r="J106" s="14">
        <f>'A) Base RI'!G106+'A) Base RI'!H106</f>
        <v>1620.45</v>
      </c>
      <c r="K106" s="14">
        <f>'A) Base RI'!I106</f>
        <v>0</v>
      </c>
      <c r="L106" s="14">
        <f>'A) Base RI'!J106</f>
        <v>4087.49</v>
      </c>
      <c r="M106" s="14">
        <f>'A) Base RI'!K106</f>
        <v>1155.5</v>
      </c>
      <c r="N106" s="14">
        <f>'A) Base RI'!Q106</f>
        <v>0</v>
      </c>
      <c r="O106" s="14">
        <f t="shared" si="7"/>
        <v>25494.125</v>
      </c>
      <c r="P106" s="14">
        <f>'A) Base RI'!L106</f>
        <v>30592.95</v>
      </c>
      <c r="Q106" s="44">
        <f>'A) Base RI'!AR106</f>
        <v>1.2</v>
      </c>
      <c r="R106" s="4">
        <f t="shared" si="8"/>
        <v>274185.23499999999</v>
      </c>
      <c r="S106" s="43">
        <f>'A) Base RI'!AM106</f>
        <v>70</v>
      </c>
      <c r="T106" s="4">
        <f t="shared" si="9"/>
        <v>246815.61</v>
      </c>
      <c r="U106" s="4">
        <f t="shared" si="10"/>
        <v>3916.9319285714282</v>
      </c>
      <c r="V106" s="14">
        <f>'A) Base RI'!O106</f>
        <v>0</v>
      </c>
      <c r="W106" s="14">
        <f>'A) Base RI'!P106</f>
        <v>1516</v>
      </c>
      <c r="X106" s="14">
        <f>'A) Base RI'!R106</f>
        <v>8087.5</v>
      </c>
      <c r="Y106" s="4">
        <f t="shared" si="11"/>
        <v>9603.5</v>
      </c>
      <c r="Z106" s="14">
        <f>'A) Base RI'!N106</f>
        <v>0</v>
      </c>
      <c r="AA106" s="14">
        <f>'A) Base RI'!S106+'A) Base RI'!T106</f>
        <v>75</v>
      </c>
      <c r="AB106" s="14">
        <f>'A) Base RI'!U106</f>
        <v>525</v>
      </c>
      <c r="AC106" s="14">
        <f>'A) Base RI'!V106</f>
        <v>0</v>
      </c>
      <c r="AD106" s="14">
        <f>'A) Base RI'!W106</f>
        <v>0</v>
      </c>
      <c r="AE106" s="14">
        <f>'A) Base RI'!Y106</f>
        <v>0</v>
      </c>
      <c r="AF106" s="14">
        <f>'A) Base RI'!Z106</f>
        <v>0</v>
      </c>
      <c r="AG106" s="14">
        <f>'A) Base RI'!AA106</f>
        <v>39810</v>
      </c>
      <c r="AH106" s="14">
        <f>'A) Base RI'!AB106</f>
        <v>0</v>
      </c>
      <c r="AI106" s="14">
        <f>'A) Base RI'!AC106</f>
        <v>17872</v>
      </c>
      <c r="AJ106" s="14">
        <f>'A) Base RI'!AD106</f>
        <v>0</v>
      </c>
      <c r="AK106" s="14">
        <f>'A) Base RI'!AE106</f>
        <v>0</v>
      </c>
      <c r="AL106" s="14">
        <f>'A) Base RI'!AF106</f>
        <v>0</v>
      </c>
      <c r="AM106" s="14">
        <f>'A) Base RI'!AG106</f>
        <v>6807.8</v>
      </c>
      <c r="AN106" s="14">
        <f>'A) Base RI'!AH106</f>
        <v>0</v>
      </c>
      <c r="AO106" s="14">
        <f>'A) Base RI'!AI106</f>
        <v>0</v>
      </c>
      <c r="AP106" s="14">
        <f>'A) Base RI'!AJ106</f>
        <v>0</v>
      </c>
      <c r="AQ106" s="14">
        <f>'A) Base RI'!AK106</f>
        <v>0</v>
      </c>
      <c r="AR106" s="14">
        <f>'A) Base RI'!AN106</f>
        <v>119</v>
      </c>
    </row>
    <row r="107" spans="1:44" x14ac:dyDescent="0.25">
      <c r="A107" s="12">
        <f>'A) Base RI'!A107</f>
        <v>5563</v>
      </c>
      <c r="B107" s="42" t="str">
        <f>'A) Base RI'!B107</f>
        <v>Mutrux</v>
      </c>
      <c r="C107" s="14">
        <f>'A) Base RI'!C107+'A) Base RI'!D107</f>
        <v>297200.73</v>
      </c>
      <c r="D107" s="14">
        <f>'A) Base RI'!AO107</f>
        <v>-657.31</v>
      </c>
      <c r="E107" s="41">
        <f>'A) Base RI'!AP107</f>
        <v>0</v>
      </c>
      <c r="F107" s="41">
        <f>'A) Base RI'!AQ107</f>
        <v>0</v>
      </c>
      <c r="G107" s="4">
        <f t="shared" si="6"/>
        <v>296543.42</v>
      </c>
      <c r="H107" s="14">
        <f>'A) Base RI'!E107</f>
        <v>0</v>
      </c>
      <c r="I107" s="14">
        <f>'A) Base RI'!F107</f>
        <v>552</v>
      </c>
      <c r="J107" s="14">
        <f>'A) Base RI'!G107+'A) Base RI'!H107</f>
        <v>2011.45</v>
      </c>
      <c r="K107" s="14">
        <f>'A) Base RI'!I107</f>
        <v>0</v>
      </c>
      <c r="L107" s="14">
        <f>'A) Base RI'!J107</f>
        <v>3110.75</v>
      </c>
      <c r="M107" s="14">
        <f>'A) Base RI'!K107</f>
        <v>0</v>
      </c>
      <c r="N107" s="14">
        <f>'A) Base RI'!Q107</f>
        <v>0</v>
      </c>
      <c r="O107" s="14">
        <f t="shared" si="7"/>
        <v>19806.2</v>
      </c>
      <c r="P107" s="14">
        <f>'A) Base RI'!L107</f>
        <v>19806.2</v>
      </c>
      <c r="Q107" s="44">
        <f>'A) Base RI'!AR107</f>
        <v>1</v>
      </c>
      <c r="R107" s="4">
        <f t="shared" si="8"/>
        <v>322023.82</v>
      </c>
      <c r="S107" s="43">
        <f>'A) Base RI'!AM107</f>
        <v>78.5</v>
      </c>
      <c r="T107" s="4">
        <f t="shared" si="9"/>
        <v>301665.62</v>
      </c>
      <c r="U107" s="4">
        <f t="shared" si="10"/>
        <v>4102.2142675159239</v>
      </c>
      <c r="V107" s="14">
        <f>'A) Base RI'!O107</f>
        <v>153.1</v>
      </c>
      <c r="W107" s="14">
        <f>'A) Base RI'!P107</f>
        <v>5469.25</v>
      </c>
      <c r="X107" s="14">
        <f>'A) Base RI'!R107</f>
        <v>6949.35</v>
      </c>
      <c r="Y107" s="4">
        <f t="shared" si="11"/>
        <v>12571.7</v>
      </c>
      <c r="Z107" s="14">
        <f>'A) Base RI'!N107</f>
        <v>0</v>
      </c>
      <c r="AA107" s="14">
        <f>'A) Base RI'!S107+'A) Base RI'!T107</f>
        <v>200</v>
      </c>
      <c r="AB107" s="14">
        <f>'A) Base RI'!U107</f>
        <v>650</v>
      </c>
      <c r="AC107" s="14">
        <f>'A) Base RI'!V107</f>
        <v>0</v>
      </c>
      <c r="AD107" s="14">
        <f>'A) Base RI'!W107</f>
        <v>0</v>
      </c>
      <c r="AE107" s="14">
        <f>'A) Base RI'!Y107</f>
        <v>0</v>
      </c>
      <c r="AF107" s="14">
        <f>'A) Base RI'!Z107</f>
        <v>0</v>
      </c>
      <c r="AG107" s="14">
        <f>'A) Base RI'!AA107</f>
        <v>30424.5</v>
      </c>
      <c r="AH107" s="14">
        <f>'A) Base RI'!AB107</f>
        <v>0</v>
      </c>
      <c r="AI107" s="14">
        <f>'A) Base RI'!AC107</f>
        <v>10230</v>
      </c>
      <c r="AJ107" s="14">
        <f>'A) Base RI'!AD107</f>
        <v>0</v>
      </c>
      <c r="AK107" s="14">
        <f>'A) Base RI'!AE107</f>
        <v>0</v>
      </c>
      <c r="AL107" s="14">
        <f>'A) Base RI'!AF107</f>
        <v>0</v>
      </c>
      <c r="AM107" s="14">
        <f>'A) Base RI'!AG107</f>
        <v>0</v>
      </c>
      <c r="AN107" s="14">
        <f>'A) Base RI'!AH107</f>
        <v>0</v>
      </c>
      <c r="AO107" s="14">
        <f>'A) Base RI'!AI107</f>
        <v>0</v>
      </c>
      <c r="AP107" s="14">
        <f>'A) Base RI'!AJ107</f>
        <v>0</v>
      </c>
      <c r="AQ107" s="14">
        <f>'A) Base RI'!AK107</f>
        <v>0</v>
      </c>
      <c r="AR107" s="14">
        <f>'A) Base RI'!AN107</f>
        <v>153</v>
      </c>
    </row>
    <row r="108" spans="1:44" x14ac:dyDescent="0.25">
      <c r="A108" s="12">
        <f>'A) Base RI'!A108</f>
        <v>5564</v>
      </c>
      <c r="B108" s="42" t="str">
        <f>'A) Base RI'!B108</f>
        <v>Novalles</v>
      </c>
      <c r="C108" s="14">
        <f>'A) Base RI'!C108+'A) Base RI'!D108</f>
        <v>147628.54999999999</v>
      </c>
      <c r="D108" s="14">
        <f>'A) Base RI'!AO108</f>
        <v>-36.9</v>
      </c>
      <c r="E108" s="41">
        <f>'A) Base RI'!AP108</f>
        <v>0</v>
      </c>
      <c r="F108" s="41">
        <f>'A) Base RI'!AQ108</f>
        <v>-26.59</v>
      </c>
      <c r="G108" s="4">
        <f t="shared" si="6"/>
        <v>147565.06</v>
      </c>
      <c r="H108" s="14">
        <f>'A) Base RI'!E108</f>
        <v>0</v>
      </c>
      <c r="I108" s="14">
        <f>'A) Base RI'!F108</f>
        <v>0</v>
      </c>
      <c r="J108" s="14">
        <f>'A) Base RI'!G108+'A) Base RI'!H108</f>
        <v>108.3</v>
      </c>
      <c r="K108" s="14">
        <f>'A) Base RI'!I108</f>
        <v>0</v>
      </c>
      <c r="L108" s="14">
        <f>'A) Base RI'!J108</f>
        <v>1333.59</v>
      </c>
      <c r="M108" s="14">
        <f>'A) Base RI'!K108</f>
        <v>0</v>
      </c>
      <c r="N108" s="14">
        <f>'A) Base RI'!Q108</f>
        <v>0</v>
      </c>
      <c r="O108" s="14">
        <f t="shared" si="7"/>
        <v>12128.0625</v>
      </c>
      <c r="P108" s="14">
        <f>'A) Base RI'!L108</f>
        <v>9702.4500000000007</v>
      </c>
      <c r="Q108" s="44">
        <f>'A) Base RI'!AR108</f>
        <v>0.8</v>
      </c>
      <c r="R108" s="4">
        <f t="shared" si="8"/>
        <v>161135.01249999998</v>
      </c>
      <c r="S108" s="43">
        <f>'A) Base RI'!AM108</f>
        <v>76</v>
      </c>
      <c r="T108" s="4">
        <f t="shared" si="9"/>
        <v>149006.94999999998</v>
      </c>
      <c r="U108" s="4">
        <f t="shared" si="10"/>
        <v>2120.1975328947365</v>
      </c>
      <c r="V108" s="14">
        <f>'A) Base RI'!O108</f>
        <v>0</v>
      </c>
      <c r="W108" s="14">
        <f>'A) Base RI'!P108</f>
        <v>0</v>
      </c>
      <c r="X108" s="14">
        <f>'A) Base RI'!R108</f>
        <v>0</v>
      </c>
      <c r="Y108" s="4">
        <f t="shared" si="11"/>
        <v>0</v>
      </c>
      <c r="Z108" s="14">
        <f>'A) Base RI'!N108</f>
        <v>0</v>
      </c>
      <c r="AA108" s="14">
        <f>'A) Base RI'!S108+'A) Base RI'!T108</f>
        <v>300</v>
      </c>
      <c r="AB108" s="14">
        <f>'A) Base RI'!U108</f>
        <v>280</v>
      </c>
      <c r="AC108" s="14">
        <f>'A) Base RI'!V108</f>
        <v>0</v>
      </c>
      <c r="AD108" s="14">
        <f>'A) Base RI'!W108</f>
        <v>0</v>
      </c>
      <c r="AE108" s="14">
        <f>'A) Base RI'!Y108</f>
        <v>0</v>
      </c>
      <c r="AF108" s="14">
        <f>'A) Base RI'!Z108</f>
        <v>0</v>
      </c>
      <c r="AG108" s="14">
        <f>'A) Base RI'!AA108</f>
        <v>24855</v>
      </c>
      <c r="AH108" s="14">
        <f>'A) Base RI'!AB108</f>
        <v>0</v>
      </c>
      <c r="AI108" s="14">
        <f>'A) Base RI'!AC108</f>
        <v>7383.3</v>
      </c>
      <c r="AJ108" s="14">
        <f>'A) Base RI'!AD108</f>
        <v>0</v>
      </c>
      <c r="AK108" s="14">
        <f>'A) Base RI'!AE108</f>
        <v>0</v>
      </c>
      <c r="AL108" s="14">
        <f>'A) Base RI'!AF108</f>
        <v>0</v>
      </c>
      <c r="AM108" s="14">
        <f>'A) Base RI'!AG108</f>
        <v>0</v>
      </c>
      <c r="AN108" s="14">
        <f>'A) Base RI'!AH108</f>
        <v>0</v>
      </c>
      <c r="AO108" s="14">
        <f>'A) Base RI'!AI108</f>
        <v>0</v>
      </c>
      <c r="AP108" s="14">
        <f>'A) Base RI'!AJ108</f>
        <v>0</v>
      </c>
      <c r="AQ108" s="14">
        <f>'A) Base RI'!AK108</f>
        <v>0</v>
      </c>
      <c r="AR108" s="14">
        <f>'A) Base RI'!AN108</f>
        <v>102</v>
      </c>
    </row>
    <row r="109" spans="1:44" x14ac:dyDescent="0.25">
      <c r="A109" s="12">
        <f>'A) Base RI'!A109</f>
        <v>5565</v>
      </c>
      <c r="B109" s="42" t="str">
        <f>'A) Base RI'!B109</f>
        <v>Onnens</v>
      </c>
      <c r="C109" s="14">
        <f>'A) Base RI'!C109+'A) Base RI'!D109</f>
        <v>854944.54</v>
      </c>
      <c r="D109" s="14">
        <f>'A) Base RI'!AO109</f>
        <v>-66603.73</v>
      </c>
      <c r="E109" s="41">
        <f>'A) Base RI'!AP109</f>
        <v>0</v>
      </c>
      <c r="F109" s="41">
        <f>'A) Base RI'!AQ109</f>
        <v>-0.1</v>
      </c>
      <c r="G109" s="4">
        <f t="shared" si="6"/>
        <v>788340.71000000008</v>
      </c>
      <c r="H109" s="14">
        <f>'A) Base RI'!E109</f>
        <v>0</v>
      </c>
      <c r="I109" s="14">
        <f>'A) Base RI'!F109</f>
        <v>0</v>
      </c>
      <c r="J109" s="14">
        <f>'A) Base RI'!G109+'A) Base RI'!H109</f>
        <v>537315</v>
      </c>
      <c r="K109" s="14">
        <f>'A) Base RI'!I109</f>
        <v>0</v>
      </c>
      <c r="L109" s="14">
        <f>'A) Base RI'!J109</f>
        <v>11627.95</v>
      </c>
      <c r="M109" s="14">
        <f>'A) Base RI'!K109</f>
        <v>-4045.5</v>
      </c>
      <c r="N109" s="14">
        <f>'A) Base RI'!Q109</f>
        <v>0</v>
      </c>
      <c r="O109" s="14">
        <f t="shared" si="7"/>
        <v>126235.1</v>
      </c>
      <c r="P109" s="14">
        <f>'A) Base RI'!L109</f>
        <v>63117.55</v>
      </c>
      <c r="Q109" s="44">
        <f>'A) Base RI'!AR109</f>
        <v>0.5</v>
      </c>
      <c r="R109" s="4">
        <f t="shared" si="8"/>
        <v>1459473.26</v>
      </c>
      <c r="S109" s="43">
        <f>'A) Base RI'!AM109</f>
        <v>65</v>
      </c>
      <c r="T109" s="4">
        <f t="shared" si="9"/>
        <v>1337283.6599999999</v>
      </c>
      <c r="U109" s="4">
        <f t="shared" si="10"/>
        <v>22453.434769230771</v>
      </c>
      <c r="V109" s="14">
        <f>'A) Base RI'!O109</f>
        <v>0</v>
      </c>
      <c r="W109" s="14">
        <f>'A) Base RI'!P109</f>
        <v>10808.4</v>
      </c>
      <c r="X109" s="14">
        <f>'A) Base RI'!R109</f>
        <v>40270.15</v>
      </c>
      <c r="Y109" s="4">
        <f t="shared" si="11"/>
        <v>51078.55</v>
      </c>
      <c r="Z109" s="14">
        <f>'A) Base RI'!N109</f>
        <v>55616.3</v>
      </c>
      <c r="AA109" s="14">
        <f>'A) Base RI'!S109+'A) Base RI'!T109</f>
        <v>2339.8000000000002</v>
      </c>
      <c r="AB109" s="14">
        <f>'A) Base RI'!U109</f>
        <v>3060</v>
      </c>
      <c r="AC109" s="14">
        <f>'A) Base RI'!V109</f>
        <v>0</v>
      </c>
      <c r="AD109" s="14">
        <f>'A) Base RI'!W109</f>
        <v>0</v>
      </c>
      <c r="AE109" s="14">
        <f>'A) Base RI'!Y109</f>
        <v>9100</v>
      </c>
      <c r="AF109" s="14">
        <f>'A) Base RI'!Z109</f>
        <v>0</v>
      </c>
      <c r="AG109" s="14">
        <f>'A) Base RI'!AA109</f>
        <v>73354.7</v>
      </c>
      <c r="AH109" s="14">
        <f>'A) Base RI'!AB109</f>
        <v>0</v>
      </c>
      <c r="AI109" s="14">
        <f>'A) Base RI'!AC109</f>
        <v>27379.3</v>
      </c>
      <c r="AJ109" s="14">
        <f>'A) Base RI'!AD109</f>
        <v>4090</v>
      </c>
      <c r="AK109" s="14">
        <f>'A) Base RI'!AE109</f>
        <v>0</v>
      </c>
      <c r="AL109" s="14">
        <f>'A) Base RI'!AF109</f>
        <v>0</v>
      </c>
      <c r="AM109" s="14">
        <f>'A) Base RI'!AG109</f>
        <v>3849.35</v>
      </c>
      <c r="AN109" s="14">
        <f>'A) Base RI'!AH109</f>
        <v>35082.25</v>
      </c>
      <c r="AO109" s="14">
        <f>'A) Base RI'!AI109</f>
        <v>0</v>
      </c>
      <c r="AP109" s="14">
        <f>'A) Base RI'!AJ109</f>
        <v>0</v>
      </c>
      <c r="AQ109" s="14">
        <f>'A) Base RI'!AK109</f>
        <v>0</v>
      </c>
      <c r="AR109" s="14">
        <f>'A) Base RI'!AN109</f>
        <v>493</v>
      </c>
    </row>
    <row r="110" spans="1:44" x14ac:dyDescent="0.25">
      <c r="A110" s="12">
        <f>'A) Base RI'!A110</f>
        <v>5566</v>
      </c>
      <c r="B110" s="42" t="str">
        <f>'A) Base RI'!B110</f>
        <v>Provence</v>
      </c>
      <c r="C110" s="14">
        <f>'A) Base RI'!C110+'A) Base RI'!D110</f>
        <v>567750.25</v>
      </c>
      <c r="D110" s="14">
        <f>'A) Base RI'!AO110</f>
        <v>-2719.58</v>
      </c>
      <c r="E110" s="41">
        <f>'A) Base RI'!AP110</f>
        <v>0</v>
      </c>
      <c r="F110" s="41">
        <f>'A) Base RI'!AQ110</f>
        <v>0</v>
      </c>
      <c r="G110" s="4">
        <f t="shared" si="6"/>
        <v>565030.67000000004</v>
      </c>
      <c r="H110" s="14">
        <f>'A) Base RI'!E110</f>
        <v>0</v>
      </c>
      <c r="I110" s="14">
        <f>'A) Base RI'!F110</f>
        <v>2490</v>
      </c>
      <c r="J110" s="14">
        <f>'A) Base RI'!G110+'A) Base RI'!H110</f>
        <v>6653.2</v>
      </c>
      <c r="K110" s="14">
        <f>'A) Base RI'!I110</f>
        <v>0</v>
      </c>
      <c r="L110" s="14">
        <f>'A) Base RI'!J110</f>
        <v>10345.200000000001</v>
      </c>
      <c r="M110" s="14">
        <f>'A) Base RI'!K110</f>
        <v>2103</v>
      </c>
      <c r="N110" s="14">
        <f>'A) Base RI'!Q110</f>
        <v>268.72000000000003</v>
      </c>
      <c r="O110" s="14">
        <f t="shared" si="7"/>
        <v>46053.9</v>
      </c>
      <c r="P110" s="14">
        <f>'A) Base RI'!L110</f>
        <v>69080.850000000006</v>
      </c>
      <c r="Q110" s="44">
        <f>'A) Base RI'!AR110</f>
        <v>1.5</v>
      </c>
      <c r="R110" s="4">
        <f t="shared" si="8"/>
        <v>632944.68999999994</v>
      </c>
      <c r="S110" s="43">
        <f>'A) Base RI'!AM110</f>
        <v>81</v>
      </c>
      <c r="T110" s="4">
        <f t="shared" si="9"/>
        <v>582297.78999999992</v>
      </c>
      <c r="U110" s="4">
        <f t="shared" si="10"/>
        <v>7814.1319753086409</v>
      </c>
      <c r="V110" s="14">
        <f>'A) Base RI'!O110</f>
        <v>3824.1</v>
      </c>
      <c r="W110" s="14">
        <f>'A) Base RI'!P110</f>
        <v>960.45</v>
      </c>
      <c r="X110" s="14">
        <f>'A) Base RI'!R110</f>
        <v>67</v>
      </c>
      <c r="Y110" s="4">
        <f t="shared" si="11"/>
        <v>4851.55</v>
      </c>
      <c r="Z110" s="14">
        <f>'A) Base RI'!N110</f>
        <v>59855.6</v>
      </c>
      <c r="AA110" s="14">
        <f>'A) Base RI'!S110+'A) Base RI'!T110</f>
        <v>1492.5</v>
      </c>
      <c r="AB110" s="14">
        <f>'A) Base RI'!U110</f>
        <v>1470</v>
      </c>
      <c r="AC110" s="14">
        <f>'A) Base RI'!V110</f>
        <v>0</v>
      </c>
      <c r="AD110" s="14">
        <f>'A) Base RI'!W110</f>
        <v>0</v>
      </c>
      <c r="AE110" s="14">
        <f>'A) Base RI'!Y110</f>
        <v>0</v>
      </c>
      <c r="AF110" s="14">
        <f>'A) Base RI'!Z110</f>
        <v>34397.9</v>
      </c>
      <c r="AG110" s="14">
        <f>'A) Base RI'!AA110</f>
        <v>0</v>
      </c>
      <c r="AH110" s="14">
        <f>'A) Base RI'!AB110</f>
        <v>0</v>
      </c>
      <c r="AI110" s="14">
        <f>'A) Base RI'!AC110</f>
        <v>36810.25</v>
      </c>
      <c r="AJ110" s="14">
        <f>'A) Base RI'!AD110</f>
        <v>0</v>
      </c>
      <c r="AK110" s="14">
        <f>'A) Base RI'!AE110</f>
        <v>0</v>
      </c>
      <c r="AL110" s="14">
        <f>'A) Base RI'!AF110</f>
        <v>0</v>
      </c>
      <c r="AM110" s="14">
        <f>'A) Base RI'!AG110</f>
        <v>0</v>
      </c>
      <c r="AN110" s="14">
        <f>'A) Base RI'!AH110</f>
        <v>0</v>
      </c>
      <c r="AO110" s="14">
        <f>'A) Base RI'!AI110</f>
        <v>0</v>
      </c>
      <c r="AP110" s="14">
        <f>'A) Base RI'!AJ110</f>
        <v>0</v>
      </c>
      <c r="AQ110" s="14">
        <f>'A) Base RI'!AK110</f>
        <v>0</v>
      </c>
      <c r="AR110" s="14">
        <f>'A) Base RI'!AN110</f>
        <v>385</v>
      </c>
    </row>
    <row r="111" spans="1:44" x14ac:dyDescent="0.25">
      <c r="A111" s="12">
        <f>'A) Base RI'!A111</f>
        <v>5568</v>
      </c>
      <c r="B111" s="42" t="str">
        <f>'A) Base RI'!B111</f>
        <v>Sainte-Croix</v>
      </c>
      <c r="C111" s="14">
        <f>'A) Base RI'!C111+'A) Base RI'!D111</f>
        <v>5555525.8099999996</v>
      </c>
      <c r="D111" s="14">
        <f>'A) Base RI'!AO111</f>
        <v>-201523.41</v>
      </c>
      <c r="E111" s="41">
        <f>'A) Base RI'!AP111</f>
        <v>0</v>
      </c>
      <c r="F111" s="41">
        <f>'A) Base RI'!AQ111</f>
        <v>-842.26</v>
      </c>
      <c r="G111" s="4">
        <f t="shared" si="6"/>
        <v>5353160.1399999997</v>
      </c>
      <c r="H111" s="14">
        <f>'A) Base RI'!E111</f>
        <v>0</v>
      </c>
      <c r="I111" s="14">
        <f>'A) Base RI'!F111</f>
        <v>0</v>
      </c>
      <c r="J111" s="14">
        <f>'A) Base RI'!G111+'A) Base RI'!H111</f>
        <v>365733.85000000003</v>
      </c>
      <c r="K111" s="14">
        <f>'A) Base RI'!I111</f>
        <v>15460.9</v>
      </c>
      <c r="L111" s="14">
        <f>'A) Base RI'!J111</f>
        <v>185243</v>
      </c>
      <c r="M111" s="14">
        <f>'A) Base RI'!K111</f>
        <v>33497</v>
      </c>
      <c r="N111" s="14">
        <f>'A) Base RI'!Q111</f>
        <v>47147.74</v>
      </c>
      <c r="O111" s="14">
        <f t="shared" si="7"/>
        <v>540209.44999999995</v>
      </c>
      <c r="P111" s="14">
        <f>'A) Base RI'!L111</f>
        <v>540209.44999999995</v>
      </c>
      <c r="Q111" s="44">
        <f>'A) Base RI'!AR111</f>
        <v>1</v>
      </c>
      <c r="R111" s="4">
        <f t="shared" si="8"/>
        <v>6540452.0800000001</v>
      </c>
      <c r="S111" s="43">
        <f>'A) Base RI'!AM111</f>
        <v>70</v>
      </c>
      <c r="T111" s="4">
        <f t="shared" si="9"/>
        <v>5966745.6299999999</v>
      </c>
      <c r="U111" s="4">
        <f t="shared" si="10"/>
        <v>93435.029714285716</v>
      </c>
      <c r="V111" s="14">
        <f>'A) Base RI'!O111</f>
        <v>172138.5</v>
      </c>
      <c r="W111" s="14">
        <f>'A) Base RI'!P111</f>
        <v>253546.95</v>
      </c>
      <c r="X111" s="14">
        <f>'A) Base RI'!R111</f>
        <v>173208.45</v>
      </c>
      <c r="Y111" s="4">
        <f t="shared" si="11"/>
        <v>598893.9</v>
      </c>
      <c r="Z111" s="14">
        <f>'A) Base RI'!N111</f>
        <v>2072950.7</v>
      </c>
      <c r="AA111" s="14">
        <f>'A) Base RI'!S111+'A) Base RI'!T111</f>
        <v>14255.1</v>
      </c>
      <c r="AB111" s="14">
        <f>'A) Base RI'!U111</f>
        <v>20437.5</v>
      </c>
      <c r="AC111" s="14">
        <f>'A) Base RI'!V111</f>
        <v>0</v>
      </c>
      <c r="AD111" s="14">
        <f>'A) Base RI'!W111</f>
        <v>1128.3</v>
      </c>
      <c r="AE111" s="14">
        <f>'A) Base RI'!Y111</f>
        <v>27498.65</v>
      </c>
      <c r="AF111" s="14">
        <f>'A) Base RI'!Z111</f>
        <v>0</v>
      </c>
      <c r="AG111" s="14">
        <f>'A) Base RI'!AA111</f>
        <v>1397653.8</v>
      </c>
      <c r="AH111" s="14">
        <f>'A) Base RI'!AB111</f>
        <v>0</v>
      </c>
      <c r="AI111" s="14">
        <f>'A) Base RI'!AC111</f>
        <v>556370.25</v>
      </c>
      <c r="AJ111" s="14">
        <f>'A) Base RI'!AD111</f>
        <v>46973.1</v>
      </c>
      <c r="AK111" s="14">
        <f>'A) Base RI'!AE111</f>
        <v>0</v>
      </c>
      <c r="AL111" s="14">
        <f>'A) Base RI'!AF111</f>
        <v>0</v>
      </c>
      <c r="AM111" s="14">
        <f>'A) Base RI'!AG111</f>
        <v>55647.55</v>
      </c>
      <c r="AN111" s="14">
        <f>'A) Base RI'!AH111</f>
        <v>0</v>
      </c>
      <c r="AO111" s="14">
        <f>'A) Base RI'!AI111</f>
        <v>0</v>
      </c>
      <c r="AP111" s="14">
        <f>'A) Base RI'!AJ111</f>
        <v>82362.2</v>
      </c>
      <c r="AQ111" s="14">
        <f>'A) Base RI'!AK111</f>
        <v>0</v>
      </c>
      <c r="AR111" s="14">
        <f>'A) Base RI'!AN111</f>
        <v>4763</v>
      </c>
    </row>
    <row r="112" spans="1:44" x14ac:dyDescent="0.25">
      <c r="A112" s="12">
        <f>'A) Base RI'!A112</f>
        <v>5571</v>
      </c>
      <c r="B112" s="42" t="str">
        <f>'A) Base RI'!B112</f>
        <v>Tévenon</v>
      </c>
      <c r="C112" s="14">
        <f>'A) Base RI'!C112+'A) Base RI'!D112</f>
        <v>1364099.32</v>
      </c>
      <c r="D112" s="14">
        <f>'A) Base RI'!AO112</f>
        <v>-4376.8999999999996</v>
      </c>
      <c r="E112" s="41">
        <f>'A) Base RI'!AP112</f>
        <v>0</v>
      </c>
      <c r="F112" s="41">
        <f>'A) Base RI'!AQ112</f>
        <v>-15.04</v>
      </c>
      <c r="G112" s="4">
        <f t="shared" si="6"/>
        <v>1359707.3800000001</v>
      </c>
      <c r="H112" s="14">
        <f>'A) Base RI'!E112</f>
        <v>0</v>
      </c>
      <c r="I112" s="14">
        <f>'A) Base RI'!F112</f>
        <v>0</v>
      </c>
      <c r="J112" s="14">
        <f>'A) Base RI'!G112+'A) Base RI'!H112</f>
        <v>9530.4500000000007</v>
      </c>
      <c r="K112" s="14">
        <f>'A) Base RI'!I112</f>
        <v>0</v>
      </c>
      <c r="L112" s="14">
        <f>'A) Base RI'!J112</f>
        <v>10825.69</v>
      </c>
      <c r="M112" s="14">
        <f>'A) Base RI'!K112</f>
        <v>3815</v>
      </c>
      <c r="N112" s="14">
        <f>'A) Base RI'!Q112</f>
        <v>3256.05</v>
      </c>
      <c r="O112" s="14">
        <f t="shared" si="7"/>
        <v>128796.75000000001</v>
      </c>
      <c r="P112" s="14">
        <f>'A) Base RI'!L112</f>
        <v>154556.1</v>
      </c>
      <c r="Q112" s="44">
        <f>'A) Base RI'!AR112</f>
        <v>1.2</v>
      </c>
      <c r="R112" s="4">
        <f t="shared" si="8"/>
        <v>1515931.32</v>
      </c>
      <c r="S112" s="43">
        <f>'A) Base RI'!AM112</f>
        <v>73</v>
      </c>
      <c r="T112" s="4">
        <f t="shared" si="9"/>
        <v>1383319.57</v>
      </c>
      <c r="U112" s="4">
        <f t="shared" si="10"/>
        <v>20766.182465753427</v>
      </c>
      <c r="V112" s="14">
        <f>'A) Base RI'!O112</f>
        <v>0</v>
      </c>
      <c r="W112" s="14">
        <f>'A) Base RI'!P112</f>
        <v>54677.599999999999</v>
      </c>
      <c r="X112" s="14">
        <f>'A) Base RI'!R112</f>
        <v>40747.1</v>
      </c>
      <c r="Y112" s="4">
        <f t="shared" si="11"/>
        <v>95424.7</v>
      </c>
      <c r="Z112" s="14">
        <f>'A) Base RI'!N112</f>
        <v>61436.35</v>
      </c>
      <c r="AA112" s="14">
        <f>'A) Base RI'!S112+'A) Base RI'!T112</f>
        <v>120</v>
      </c>
      <c r="AB112" s="14">
        <f>'A) Base RI'!U112</f>
        <v>9550</v>
      </c>
      <c r="AC112" s="14">
        <f>'A) Base RI'!V112</f>
        <v>0</v>
      </c>
      <c r="AD112" s="14">
        <f>'A) Base RI'!W112</f>
        <v>0</v>
      </c>
      <c r="AE112" s="14">
        <f>'A) Base RI'!Y112</f>
        <v>54255.1</v>
      </c>
      <c r="AF112" s="14">
        <f>'A) Base RI'!Z112</f>
        <v>0</v>
      </c>
      <c r="AG112" s="14">
        <f>'A) Base RI'!AA112</f>
        <v>111993.1</v>
      </c>
      <c r="AH112" s="14">
        <f>'A) Base RI'!AB112</f>
        <v>0</v>
      </c>
      <c r="AI112" s="14">
        <f>'A) Base RI'!AC112</f>
        <v>22256.3</v>
      </c>
      <c r="AJ112" s="14">
        <f>'A) Base RI'!AD112</f>
        <v>77170</v>
      </c>
      <c r="AK112" s="14">
        <f>'A) Base RI'!AE112</f>
        <v>0</v>
      </c>
      <c r="AL112" s="14">
        <f>'A) Base RI'!AF112</f>
        <v>0</v>
      </c>
      <c r="AM112" s="14">
        <f>'A) Base RI'!AG112</f>
        <v>15737.2</v>
      </c>
      <c r="AN112" s="14">
        <f>'A) Base RI'!AH112</f>
        <v>20628.7</v>
      </c>
      <c r="AO112" s="14">
        <f>'A) Base RI'!AI112</f>
        <v>0</v>
      </c>
      <c r="AP112" s="14">
        <f>'A) Base RI'!AJ112</f>
        <v>0</v>
      </c>
      <c r="AQ112" s="14">
        <f>'A) Base RI'!AK112</f>
        <v>0</v>
      </c>
      <c r="AR112" s="14">
        <f>'A) Base RI'!AN112</f>
        <v>811</v>
      </c>
    </row>
    <row r="113" spans="1:44" x14ac:dyDescent="0.25">
      <c r="A113" s="12">
        <f>'A) Base RI'!A113</f>
        <v>5581</v>
      </c>
      <c r="B113" s="42" t="str">
        <f>'A) Base RI'!B113</f>
        <v>Belmont-sur-Lausanne</v>
      </c>
      <c r="C113" s="14">
        <f>'A) Base RI'!C113+'A) Base RI'!D113</f>
        <v>10660117.300000001</v>
      </c>
      <c r="D113" s="14">
        <f>'A) Base RI'!AO113</f>
        <v>-87446.64</v>
      </c>
      <c r="E113" s="41">
        <f>'A) Base RI'!AP113</f>
        <v>0</v>
      </c>
      <c r="F113" s="41">
        <f>'A) Base RI'!AQ113</f>
        <v>-4372.1000000000004</v>
      </c>
      <c r="G113" s="4">
        <f t="shared" si="6"/>
        <v>10568298.560000001</v>
      </c>
      <c r="H113" s="14">
        <f>'A) Base RI'!E113</f>
        <v>0</v>
      </c>
      <c r="I113" s="14">
        <f>'A) Base RI'!F113</f>
        <v>0</v>
      </c>
      <c r="J113" s="14">
        <f>'A) Base RI'!G113+'A) Base RI'!H113</f>
        <v>246410.5</v>
      </c>
      <c r="K113" s="14">
        <f>'A) Base RI'!I113</f>
        <v>122551.1</v>
      </c>
      <c r="L113" s="14">
        <f>'A) Base RI'!J113</f>
        <v>274430.56</v>
      </c>
      <c r="M113" s="14">
        <f>'A) Base RI'!K113</f>
        <v>21875.5</v>
      </c>
      <c r="N113" s="14">
        <f>'A) Base RI'!Q113</f>
        <v>15981.53</v>
      </c>
      <c r="O113" s="14">
        <f t="shared" si="7"/>
        <v>776339.70000000007</v>
      </c>
      <c r="P113" s="14">
        <f>'A) Base RI'!L113</f>
        <v>1164509.55</v>
      </c>
      <c r="Q113" s="44">
        <f>'A) Base RI'!AR113</f>
        <v>1.5</v>
      </c>
      <c r="R113" s="4">
        <f t="shared" si="8"/>
        <v>12025887.449999999</v>
      </c>
      <c r="S113" s="43">
        <f>'A) Base RI'!AM113</f>
        <v>69.5</v>
      </c>
      <c r="T113" s="4">
        <f t="shared" si="9"/>
        <v>11227672.25</v>
      </c>
      <c r="U113" s="4">
        <f t="shared" si="10"/>
        <v>173034.35179856114</v>
      </c>
      <c r="V113" s="14">
        <f>'A) Base RI'!O113</f>
        <v>54877.5</v>
      </c>
      <c r="W113" s="14">
        <f>'A) Base RI'!P113</f>
        <v>460485.8</v>
      </c>
      <c r="X113" s="14">
        <f>'A) Base RI'!R113</f>
        <v>294549.15000000002</v>
      </c>
      <c r="Y113" s="4">
        <f t="shared" si="11"/>
        <v>809912.45</v>
      </c>
      <c r="Z113" s="14">
        <f>'A) Base RI'!N113</f>
        <v>0</v>
      </c>
      <c r="AA113" s="14">
        <f>'A) Base RI'!S113+'A) Base RI'!T113</f>
        <v>156.25</v>
      </c>
      <c r="AB113" s="14">
        <f>'A) Base RI'!U113</f>
        <v>15330</v>
      </c>
      <c r="AC113" s="14">
        <f>'A) Base RI'!V113</f>
        <v>0</v>
      </c>
      <c r="AD113" s="14">
        <f>'A) Base RI'!W113</f>
        <v>0</v>
      </c>
      <c r="AE113" s="14">
        <f>'A) Base RI'!Y113</f>
        <v>85201.62</v>
      </c>
      <c r="AF113" s="14">
        <f>'A) Base RI'!Z113</f>
        <v>0</v>
      </c>
      <c r="AG113" s="14">
        <f>'A) Base RI'!AA113</f>
        <v>624295.92000000004</v>
      </c>
      <c r="AH113" s="14">
        <f>'A) Base RI'!AB113</f>
        <v>0</v>
      </c>
      <c r="AI113" s="14">
        <f>'A) Base RI'!AC113</f>
        <v>547267.16</v>
      </c>
      <c r="AJ113" s="14">
        <f>'A) Base RI'!AD113</f>
        <v>146264.03</v>
      </c>
      <c r="AK113" s="14">
        <f>'A) Base RI'!AE113</f>
        <v>0</v>
      </c>
      <c r="AL113" s="14">
        <f>'A) Base RI'!AF113</f>
        <v>0</v>
      </c>
      <c r="AM113" s="14">
        <f>'A) Base RI'!AG113</f>
        <v>11742.1</v>
      </c>
      <c r="AN113" s="14">
        <f>'A) Base RI'!AH113</f>
        <v>0</v>
      </c>
      <c r="AO113" s="14">
        <f>'A) Base RI'!AI113</f>
        <v>0</v>
      </c>
      <c r="AP113" s="14">
        <f>'A) Base RI'!AJ113</f>
        <v>74347.25</v>
      </c>
      <c r="AQ113" s="14">
        <f>'A) Base RI'!AK113</f>
        <v>0</v>
      </c>
      <c r="AR113" s="14">
        <f>'A) Base RI'!AN113</f>
        <v>3602</v>
      </c>
    </row>
    <row r="114" spans="1:44" x14ac:dyDescent="0.25">
      <c r="A114" s="12">
        <f>'A) Base RI'!A114</f>
        <v>5582</v>
      </c>
      <c r="B114" s="42" t="str">
        <f>'A) Base RI'!B114</f>
        <v>Cheseaux-sur-Lausanne</v>
      </c>
      <c r="C114" s="14">
        <f>'A) Base RI'!C114+'A) Base RI'!D114</f>
        <v>9740472.7999999989</v>
      </c>
      <c r="D114" s="14">
        <f>'A) Base RI'!AO114</f>
        <v>-107561.04</v>
      </c>
      <c r="E114" s="41">
        <f>'A) Base RI'!AP114</f>
        <v>0</v>
      </c>
      <c r="F114" s="41">
        <f>'A) Base RI'!AQ114</f>
        <v>-1400.24</v>
      </c>
      <c r="G114" s="4">
        <f t="shared" si="6"/>
        <v>9631511.5199999996</v>
      </c>
      <c r="H114" s="14">
        <f>'A) Base RI'!E114</f>
        <v>0</v>
      </c>
      <c r="I114" s="14">
        <f>'A) Base RI'!F114</f>
        <v>0</v>
      </c>
      <c r="J114" s="14">
        <f>'A) Base RI'!G114+'A) Base RI'!H114</f>
        <v>1352689.07</v>
      </c>
      <c r="K114" s="14">
        <f>'A) Base RI'!I114</f>
        <v>37580.65</v>
      </c>
      <c r="L114" s="14">
        <f>'A) Base RI'!J114</f>
        <v>470725.42</v>
      </c>
      <c r="M114" s="14">
        <f>'A) Base RI'!K114</f>
        <v>37413</v>
      </c>
      <c r="N114" s="14">
        <f>'A) Base RI'!Q114</f>
        <v>54403.77</v>
      </c>
      <c r="O114" s="14">
        <f t="shared" si="7"/>
        <v>733987</v>
      </c>
      <c r="P114" s="14">
        <f>'A) Base RI'!L114</f>
        <v>733987</v>
      </c>
      <c r="Q114" s="44">
        <f>'A) Base RI'!AR114</f>
        <v>1</v>
      </c>
      <c r="R114" s="4">
        <f t="shared" si="8"/>
        <v>12318310.43</v>
      </c>
      <c r="S114" s="43">
        <f>'A) Base RI'!AM114</f>
        <v>74.5</v>
      </c>
      <c r="T114" s="4">
        <f t="shared" si="9"/>
        <v>11546910.43</v>
      </c>
      <c r="U114" s="4">
        <f t="shared" si="10"/>
        <v>165346.44872483221</v>
      </c>
      <c r="V114" s="14">
        <f>'A) Base RI'!O114</f>
        <v>65354.5</v>
      </c>
      <c r="W114" s="14">
        <f>'A) Base RI'!P114</f>
        <v>459236.85</v>
      </c>
      <c r="X114" s="14">
        <f>'A) Base RI'!R114</f>
        <v>236385.7</v>
      </c>
      <c r="Y114" s="4">
        <f t="shared" si="11"/>
        <v>760977.05</v>
      </c>
      <c r="Z114" s="14">
        <f>'A) Base RI'!N114</f>
        <v>603734.35</v>
      </c>
      <c r="AA114" s="14">
        <f>'A) Base RI'!S114+'A) Base RI'!T114</f>
        <v>2076.4</v>
      </c>
      <c r="AB114" s="14">
        <f>'A) Base RI'!U114</f>
        <v>15150</v>
      </c>
      <c r="AC114" s="14">
        <f>'A) Base RI'!V114</f>
        <v>0</v>
      </c>
      <c r="AD114" s="14">
        <f>'A) Base RI'!W114</f>
        <v>0</v>
      </c>
      <c r="AE114" s="14">
        <f>'A) Base RI'!Y114</f>
        <v>255472.7</v>
      </c>
      <c r="AF114" s="14">
        <f>'A) Base RI'!Z114</f>
        <v>14220.15</v>
      </c>
      <c r="AG114" s="14">
        <f>'A) Base RI'!AA114</f>
        <v>571281.4</v>
      </c>
      <c r="AH114" s="14">
        <f>'A) Base RI'!AB114</f>
        <v>0</v>
      </c>
      <c r="AI114" s="14">
        <f>'A) Base RI'!AC114</f>
        <v>479097.1</v>
      </c>
      <c r="AJ114" s="14">
        <f>'A) Base RI'!AD114</f>
        <v>0</v>
      </c>
      <c r="AK114" s="14">
        <f>'A) Base RI'!AE114</f>
        <v>0</v>
      </c>
      <c r="AL114" s="14">
        <f>'A) Base RI'!AF114</f>
        <v>0</v>
      </c>
      <c r="AM114" s="14">
        <f>'A) Base RI'!AG114</f>
        <v>0</v>
      </c>
      <c r="AN114" s="14">
        <f>'A) Base RI'!AH114</f>
        <v>189553.35</v>
      </c>
      <c r="AO114" s="14">
        <f>'A) Base RI'!AI114</f>
        <v>0</v>
      </c>
      <c r="AP114" s="14">
        <f>'A) Base RI'!AJ114</f>
        <v>0</v>
      </c>
      <c r="AQ114" s="14">
        <f>'A) Base RI'!AK114</f>
        <v>0</v>
      </c>
      <c r="AR114" s="14">
        <f>'A) Base RI'!AN114</f>
        <v>4297</v>
      </c>
    </row>
    <row r="115" spans="1:44" x14ac:dyDescent="0.25">
      <c r="A115" s="12">
        <f>'A) Base RI'!A115</f>
        <v>5583</v>
      </c>
      <c r="B115" s="42" t="str">
        <f>'A) Base RI'!B115</f>
        <v>Crissier</v>
      </c>
      <c r="C115" s="14">
        <f>'A) Base RI'!C115+'A) Base RI'!D115</f>
        <v>12956307.48</v>
      </c>
      <c r="D115" s="14">
        <f>'A) Base RI'!AO115</f>
        <v>-305920.89</v>
      </c>
      <c r="E115" s="41">
        <f>'A) Base RI'!AP115</f>
        <v>0</v>
      </c>
      <c r="F115" s="41">
        <f>'A) Base RI'!AQ115</f>
        <v>-1033.1600000000001</v>
      </c>
      <c r="G115" s="4">
        <f t="shared" si="6"/>
        <v>12649353.43</v>
      </c>
      <c r="H115" s="14">
        <f>'A) Base RI'!E115</f>
        <v>0</v>
      </c>
      <c r="I115" s="14">
        <f>'A) Base RI'!F115</f>
        <v>0</v>
      </c>
      <c r="J115" s="14">
        <f>'A) Base RI'!G115+'A) Base RI'!H115</f>
        <v>5400506.3500000006</v>
      </c>
      <c r="K115" s="14">
        <f>'A) Base RI'!I115</f>
        <v>0</v>
      </c>
      <c r="L115" s="14">
        <f>'A) Base RI'!J115</f>
        <v>726320.2</v>
      </c>
      <c r="M115" s="14">
        <f>'A) Base RI'!K115</f>
        <v>159156</v>
      </c>
      <c r="N115" s="14">
        <f>'A) Base RI'!Q115</f>
        <v>78063.05</v>
      </c>
      <c r="O115" s="14">
        <f t="shared" si="7"/>
        <v>2041772.75</v>
      </c>
      <c r="P115" s="14">
        <f>'A) Base RI'!L115</f>
        <v>2041772.75</v>
      </c>
      <c r="Q115" s="44">
        <f>'A) Base RI'!AR115</f>
        <v>1</v>
      </c>
      <c r="R115" s="4">
        <f t="shared" si="8"/>
        <v>21055171.780000001</v>
      </c>
      <c r="S115" s="43">
        <f>'A) Base RI'!AM115</f>
        <v>65</v>
      </c>
      <c r="T115" s="4">
        <f t="shared" si="9"/>
        <v>18854243.030000001</v>
      </c>
      <c r="U115" s="4">
        <f t="shared" si="10"/>
        <v>323925.7196923077</v>
      </c>
      <c r="V115" s="14">
        <f>'A) Base RI'!O115</f>
        <v>90009.9</v>
      </c>
      <c r="W115" s="14">
        <f>'A) Base RI'!P115</f>
        <v>804714.9</v>
      </c>
      <c r="X115" s="14">
        <f>'A) Base RI'!R115</f>
        <v>476354.15</v>
      </c>
      <c r="Y115" s="4">
        <f t="shared" si="11"/>
        <v>1371078.9500000002</v>
      </c>
      <c r="Z115" s="14">
        <f>'A) Base RI'!N115</f>
        <v>1552944.55</v>
      </c>
      <c r="AA115" s="14">
        <f>'A) Base RI'!S115+'A) Base RI'!T115</f>
        <v>837.5</v>
      </c>
      <c r="AB115" s="14">
        <f>'A) Base RI'!U115</f>
        <v>44737.5</v>
      </c>
      <c r="AC115" s="14">
        <f>'A) Base RI'!V115</f>
        <v>546</v>
      </c>
      <c r="AD115" s="14">
        <f>'A) Base RI'!W115</f>
        <v>130449.75</v>
      </c>
      <c r="AE115" s="14">
        <f>'A) Base RI'!Y115</f>
        <v>408284</v>
      </c>
      <c r="AF115" s="14">
        <f>'A) Base RI'!Z115</f>
        <v>106725.85</v>
      </c>
      <c r="AG115" s="14">
        <f>'A) Base RI'!AA115</f>
        <v>0</v>
      </c>
      <c r="AH115" s="14">
        <f>'A) Base RI'!AB115</f>
        <v>0</v>
      </c>
      <c r="AI115" s="14">
        <f>'A) Base RI'!AC115</f>
        <v>936630.7</v>
      </c>
      <c r="AJ115" s="14">
        <f>'A) Base RI'!AD115</f>
        <v>776171.16</v>
      </c>
      <c r="AK115" s="14">
        <f>'A) Base RI'!AE115</f>
        <v>813451.61</v>
      </c>
      <c r="AL115" s="14">
        <f>'A) Base RI'!AF115</f>
        <v>-828.5</v>
      </c>
      <c r="AM115" s="14">
        <f>'A) Base RI'!AG115</f>
        <v>187842.1</v>
      </c>
      <c r="AN115" s="14">
        <f>'A) Base RI'!AH115</f>
        <v>591822.1</v>
      </c>
      <c r="AO115" s="14">
        <f>'A) Base RI'!AI115</f>
        <v>0</v>
      </c>
      <c r="AP115" s="14">
        <f>'A) Base RI'!AJ115</f>
        <v>41915.85</v>
      </c>
      <c r="AQ115" s="14">
        <f>'A) Base RI'!AK115</f>
        <v>0</v>
      </c>
      <c r="AR115" s="14">
        <f>'A) Base RI'!AN115</f>
        <v>7542</v>
      </c>
    </row>
    <row r="116" spans="1:44" x14ac:dyDescent="0.25">
      <c r="A116" s="12">
        <f>'A) Base RI'!A116</f>
        <v>5584</v>
      </c>
      <c r="B116" s="42" t="str">
        <f>'A) Base RI'!B116</f>
        <v>Epalinges</v>
      </c>
      <c r="C116" s="14">
        <f>'A) Base RI'!C116+'A) Base RI'!D116</f>
        <v>25936205.920000002</v>
      </c>
      <c r="D116" s="14">
        <f>'A) Base RI'!AO116</f>
        <v>-216937.36</v>
      </c>
      <c r="E116" s="41">
        <f>'A) Base RI'!AP116</f>
        <v>0</v>
      </c>
      <c r="F116" s="41">
        <f>'A) Base RI'!AQ116</f>
        <v>-11174.34</v>
      </c>
      <c r="G116" s="4">
        <f t="shared" si="6"/>
        <v>25708094.220000003</v>
      </c>
      <c r="H116" s="14">
        <f>'A) Base RI'!E116</f>
        <v>0</v>
      </c>
      <c r="I116" s="14">
        <f>'A) Base RI'!F116</f>
        <v>0</v>
      </c>
      <c r="J116" s="14">
        <f>'A) Base RI'!G116+'A) Base RI'!H116</f>
        <v>1136934.45</v>
      </c>
      <c r="K116" s="14">
        <f>'A) Base RI'!I116</f>
        <v>343593.03</v>
      </c>
      <c r="L116" s="14">
        <f>'A) Base RI'!J116</f>
        <v>768147.68</v>
      </c>
      <c r="M116" s="14">
        <f>'A) Base RI'!K116</f>
        <v>174937</v>
      </c>
      <c r="N116" s="14">
        <f>'A) Base RI'!Q116</f>
        <v>31028.22</v>
      </c>
      <c r="O116" s="14">
        <f t="shared" si="7"/>
        <v>1928223.46</v>
      </c>
      <c r="P116" s="14">
        <f>'A) Base RI'!L116</f>
        <v>1928223.46</v>
      </c>
      <c r="Q116" s="44">
        <f>'A) Base RI'!AR116</f>
        <v>1</v>
      </c>
      <c r="R116" s="4">
        <f t="shared" si="8"/>
        <v>30090958.060000002</v>
      </c>
      <c r="S116" s="43">
        <f>'A) Base RI'!AM116</f>
        <v>66</v>
      </c>
      <c r="T116" s="4">
        <f t="shared" si="9"/>
        <v>27987797.600000001</v>
      </c>
      <c r="U116" s="4">
        <f t="shared" si="10"/>
        <v>455923.60696969699</v>
      </c>
      <c r="V116" s="14">
        <f>'A) Base RI'!O116</f>
        <v>1361273.5</v>
      </c>
      <c r="W116" s="14">
        <f>'A) Base RI'!P116</f>
        <v>1215434</v>
      </c>
      <c r="X116" s="14">
        <f>'A) Base RI'!R116</f>
        <v>671671.65</v>
      </c>
      <c r="Y116" s="4">
        <f t="shared" si="11"/>
        <v>3248379.15</v>
      </c>
      <c r="Z116" s="14">
        <f>'A) Base RI'!N116</f>
        <v>154161.45000000001</v>
      </c>
      <c r="AA116" s="14">
        <f>'A) Base RI'!S116+'A) Base RI'!T116</f>
        <v>30059.75</v>
      </c>
      <c r="AB116" s="14">
        <f>'A) Base RI'!U116</f>
        <v>34320</v>
      </c>
      <c r="AC116" s="14">
        <f>'A) Base RI'!V116</f>
        <v>393.3</v>
      </c>
      <c r="AD116" s="14">
        <f>'A) Base RI'!W116</f>
        <v>0</v>
      </c>
      <c r="AE116" s="14">
        <f>'A) Base RI'!Y116</f>
        <v>363090.05</v>
      </c>
      <c r="AF116" s="14">
        <f>'A) Base RI'!Z116</f>
        <v>0</v>
      </c>
      <c r="AG116" s="14">
        <f>'A) Base RI'!AA116</f>
        <v>512594.35</v>
      </c>
      <c r="AH116" s="14">
        <f>'A) Base RI'!AB116</f>
        <v>0</v>
      </c>
      <c r="AI116" s="14">
        <f>'A) Base RI'!AC116</f>
        <v>713021.1</v>
      </c>
      <c r="AJ116" s="14">
        <f>'A) Base RI'!AD116</f>
        <v>0</v>
      </c>
      <c r="AK116" s="14">
        <f>'A) Base RI'!AE116</f>
        <v>0</v>
      </c>
      <c r="AL116" s="14">
        <f>'A) Base RI'!AF116</f>
        <v>0</v>
      </c>
      <c r="AM116" s="14">
        <f>'A) Base RI'!AG116</f>
        <v>0</v>
      </c>
      <c r="AN116" s="14">
        <f>'A) Base RI'!AH116</f>
        <v>245738.47</v>
      </c>
      <c r="AO116" s="14">
        <f>'A) Base RI'!AI116</f>
        <v>0</v>
      </c>
      <c r="AP116" s="14">
        <f>'A) Base RI'!AJ116</f>
        <v>0</v>
      </c>
      <c r="AQ116" s="14">
        <f>'A) Base RI'!AK116</f>
        <v>0</v>
      </c>
      <c r="AR116" s="14">
        <f>'A) Base RI'!AN116</f>
        <v>9185</v>
      </c>
    </row>
    <row r="117" spans="1:44" x14ac:dyDescent="0.25">
      <c r="A117" s="12">
        <f>'A) Base RI'!A117</f>
        <v>5585</v>
      </c>
      <c r="B117" s="42" t="str">
        <f>'A) Base RI'!B117</f>
        <v>Jouxtens-Mézery</v>
      </c>
      <c r="C117" s="14">
        <f>'A) Base RI'!C117+'A) Base RI'!D117</f>
        <v>7642438.46</v>
      </c>
      <c r="D117" s="14">
        <f>'A) Base RI'!AO117</f>
        <v>-19725.86</v>
      </c>
      <c r="E117" s="41">
        <f>'A) Base RI'!AP117</f>
        <v>0</v>
      </c>
      <c r="F117" s="41">
        <f>'A) Base RI'!AQ117</f>
        <v>-3128.64</v>
      </c>
      <c r="G117" s="4">
        <f t="shared" si="6"/>
        <v>7619583.96</v>
      </c>
      <c r="H117" s="14">
        <f>'A) Base RI'!E117</f>
        <v>0</v>
      </c>
      <c r="I117" s="14">
        <f>'A) Base RI'!F117</f>
        <v>0</v>
      </c>
      <c r="J117" s="14">
        <f>'A) Base RI'!G117+'A) Base RI'!H117</f>
        <v>96603.700000000012</v>
      </c>
      <c r="K117" s="14">
        <f>'A) Base RI'!I117</f>
        <v>336191.6</v>
      </c>
      <c r="L117" s="14">
        <f>'A) Base RI'!J117</f>
        <v>-70955.75</v>
      </c>
      <c r="M117" s="14">
        <f>'A) Base RI'!K117</f>
        <v>5022</v>
      </c>
      <c r="N117" s="14">
        <f>'A) Base RI'!Q117</f>
        <v>2065.14</v>
      </c>
      <c r="O117" s="14">
        <f t="shared" si="7"/>
        <v>447917</v>
      </c>
      <c r="P117" s="14">
        <f>'A) Base RI'!L117</f>
        <v>447917</v>
      </c>
      <c r="Q117" s="44">
        <f>'A) Base RI'!AR117</f>
        <v>1</v>
      </c>
      <c r="R117" s="4">
        <f t="shared" si="8"/>
        <v>8436427.6499999985</v>
      </c>
      <c r="S117" s="43">
        <f>'A) Base RI'!AM117</f>
        <v>53</v>
      </c>
      <c r="T117" s="4">
        <f t="shared" si="9"/>
        <v>7983488.6499999994</v>
      </c>
      <c r="U117" s="4">
        <f t="shared" si="10"/>
        <v>159177.88018867921</v>
      </c>
      <c r="V117" s="14">
        <f>'A) Base RI'!O117</f>
        <v>204874.5</v>
      </c>
      <c r="W117" s="14">
        <f>'A) Base RI'!P117</f>
        <v>151862.35</v>
      </c>
      <c r="X117" s="14">
        <f>'A) Base RI'!R117</f>
        <v>189083.5</v>
      </c>
      <c r="Y117" s="4">
        <f t="shared" si="11"/>
        <v>545820.35</v>
      </c>
      <c r="Z117" s="14">
        <f>'A) Base RI'!N117</f>
        <v>2778.95</v>
      </c>
      <c r="AA117" s="14">
        <f>'A) Base RI'!S117+'A) Base RI'!T117</f>
        <v>0</v>
      </c>
      <c r="AB117" s="14">
        <f>'A) Base RI'!U117</f>
        <v>6690</v>
      </c>
      <c r="AC117" s="14">
        <f>'A) Base RI'!V117</f>
        <v>0</v>
      </c>
      <c r="AD117" s="14">
        <f>'A) Base RI'!W117</f>
        <v>0</v>
      </c>
      <c r="AE117" s="14">
        <f>'A) Base RI'!Y117</f>
        <v>94167.8</v>
      </c>
      <c r="AF117" s="14">
        <f>'A) Base RI'!Z117</f>
        <v>0</v>
      </c>
      <c r="AG117" s="14">
        <f>'A) Base RI'!AA117</f>
        <v>281565.05</v>
      </c>
      <c r="AH117" s="14">
        <f>'A) Base RI'!AB117</f>
        <v>0</v>
      </c>
      <c r="AI117" s="14">
        <f>'A) Base RI'!AC117</f>
        <v>150488.29999999999</v>
      </c>
      <c r="AJ117" s="14">
        <f>'A) Base RI'!AD117</f>
        <v>0</v>
      </c>
      <c r="AK117" s="14">
        <f>'A) Base RI'!AE117</f>
        <v>0</v>
      </c>
      <c r="AL117" s="14">
        <f>'A) Base RI'!AF117</f>
        <v>0</v>
      </c>
      <c r="AM117" s="14">
        <f>'A) Base RI'!AG117</f>
        <v>0</v>
      </c>
      <c r="AN117" s="14">
        <f>'A) Base RI'!AH117</f>
        <v>0</v>
      </c>
      <c r="AO117" s="14">
        <f>'A) Base RI'!AI117</f>
        <v>0</v>
      </c>
      <c r="AP117" s="14">
        <f>'A) Base RI'!AJ117</f>
        <v>0</v>
      </c>
      <c r="AQ117" s="14">
        <f>'A) Base RI'!AK117</f>
        <v>0</v>
      </c>
      <c r="AR117" s="14">
        <f>'A) Base RI'!AN117</f>
        <v>1405</v>
      </c>
    </row>
    <row r="118" spans="1:44" x14ac:dyDescent="0.25">
      <c r="A118" s="12">
        <f>'A) Base RI'!A118</f>
        <v>5586</v>
      </c>
      <c r="B118" s="42" t="str">
        <f>'A) Base RI'!B118</f>
        <v>Lausanne</v>
      </c>
      <c r="C118" s="14">
        <f>'A) Base RI'!C118+'A) Base RI'!D118</f>
        <v>315479147.58999997</v>
      </c>
      <c r="D118" s="14">
        <f>'A) Base RI'!AO118</f>
        <v>-8430238.9199999999</v>
      </c>
      <c r="E118" s="41">
        <f>'A) Base RI'!AP118</f>
        <v>0</v>
      </c>
      <c r="F118" s="41">
        <f>'A) Base RI'!AQ118</f>
        <v>-206845.15</v>
      </c>
      <c r="G118" s="4">
        <f t="shared" si="6"/>
        <v>306842063.51999998</v>
      </c>
      <c r="H118" s="14">
        <f>'A) Base RI'!E118</f>
        <v>0</v>
      </c>
      <c r="I118" s="14">
        <f>'A) Base RI'!F118</f>
        <v>0</v>
      </c>
      <c r="J118" s="14">
        <f>'A) Base RI'!G118+'A) Base RI'!H118</f>
        <v>96742445.450000003</v>
      </c>
      <c r="K118" s="14">
        <f>'A) Base RI'!I118</f>
        <v>4526664.26</v>
      </c>
      <c r="L118" s="14">
        <f>'A) Base RI'!J118</f>
        <v>28276234.800000001</v>
      </c>
      <c r="M118" s="14">
        <f>'A) Base RI'!K118</f>
        <v>5027736</v>
      </c>
      <c r="N118" s="14">
        <f>'A) Base RI'!Q118</f>
        <v>2923790.37</v>
      </c>
      <c r="O118" s="14">
        <f t="shared" si="7"/>
        <v>21561914.866666667</v>
      </c>
      <c r="P118" s="14">
        <f>'A) Base RI'!L118</f>
        <v>32342872.300000001</v>
      </c>
      <c r="Q118" s="44">
        <f>'A) Base RI'!AR118</f>
        <v>1.5</v>
      </c>
      <c r="R118" s="4">
        <f t="shared" si="8"/>
        <v>465900849.26666665</v>
      </c>
      <c r="S118" s="43">
        <f>'A) Base RI'!AM118</f>
        <v>79</v>
      </c>
      <c r="T118" s="4">
        <f t="shared" si="9"/>
        <v>439311198.39999998</v>
      </c>
      <c r="U118" s="4">
        <f t="shared" si="10"/>
        <v>5897479.10464135</v>
      </c>
      <c r="V118" s="14">
        <f>'A) Base RI'!O118</f>
        <v>13168590.65</v>
      </c>
      <c r="W118" s="14">
        <f>'A) Base RI'!P118</f>
        <v>8943912.6999999993</v>
      </c>
      <c r="X118" s="14">
        <f>'A) Base RI'!R118</f>
        <v>6074642.5</v>
      </c>
      <c r="Y118" s="4">
        <f t="shared" si="11"/>
        <v>28187145.850000001</v>
      </c>
      <c r="Z118" s="14">
        <f>'A) Base RI'!N118</f>
        <v>10512662.449999999</v>
      </c>
      <c r="AA118" s="14">
        <f>'A) Base RI'!S118+'A) Base RI'!T118</f>
        <v>31.25</v>
      </c>
      <c r="AB118" s="14">
        <f>'A) Base RI'!U118</f>
        <v>342730</v>
      </c>
      <c r="AC118" s="14">
        <f>'A) Base RI'!V118</f>
        <v>5261084.9000000004</v>
      </c>
      <c r="AD118" s="14">
        <f>'A) Base RI'!W118</f>
        <v>0</v>
      </c>
      <c r="AE118" s="14">
        <f>'A) Base RI'!Y118</f>
        <v>2943727.35</v>
      </c>
      <c r="AF118" s="14">
        <f>'A) Base RI'!Z118</f>
        <v>0</v>
      </c>
      <c r="AG118" s="14">
        <f>'A) Base RI'!AA118</f>
        <v>14236152.35</v>
      </c>
      <c r="AH118" s="14">
        <f>'A) Base RI'!AB118</f>
        <v>0</v>
      </c>
      <c r="AI118" s="14">
        <f>'A) Base RI'!AC118</f>
        <v>21367276.350000001</v>
      </c>
      <c r="AJ118" s="14">
        <f>'A) Base RI'!AD118</f>
        <v>8412968.0999999996</v>
      </c>
      <c r="AK118" s="14">
        <f>'A) Base RI'!AE118</f>
        <v>0</v>
      </c>
      <c r="AL118" s="14">
        <f>'A) Base RI'!AF118</f>
        <v>0</v>
      </c>
      <c r="AM118" s="14">
        <f>'A) Base RI'!AG118</f>
        <v>3066891.44</v>
      </c>
      <c r="AN118" s="14">
        <f>'A) Base RI'!AH118</f>
        <v>7729156.4900000002</v>
      </c>
      <c r="AO118" s="14">
        <f>'A) Base RI'!AI118</f>
        <v>7558073.0499999998</v>
      </c>
      <c r="AP118" s="14">
        <f>'A) Base RI'!AJ118</f>
        <v>1681663.53</v>
      </c>
      <c r="AQ118" s="14">
        <f>'A) Base RI'!AK118</f>
        <v>1681644.88</v>
      </c>
      <c r="AR118" s="14">
        <f>'A) Base RI'!AN118</f>
        <v>134937</v>
      </c>
    </row>
    <row r="119" spans="1:44" x14ac:dyDescent="0.25">
      <c r="A119" s="12">
        <f>'A) Base RI'!A119</f>
        <v>5587</v>
      </c>
      <c r="B119" s="42" t="str">
        <f>'A) Base RI'!B119</f>
        <v>Le Mont-sur-Lausanne</v>
      </c>
      <c r="C119" s="14">
        <f>'A) Base RI'!C119+'A) Base RI'!D119</f>
        <v>22783650.359999999</v>
      </c>
      <c r="D119" s="14">
        <f>'A) Base RI'!AO119</f>
        <v>-402509.5</v>
      </c>
      <c r="E119" s="41">
        <f>'A) Base RI'!AP119</f>
        <v>0</v>
      </c>
      <c r="F119" s="41">
        <f>'A) Base RI'!AQ119</f>
        <v>-16231.38</v>
      </c>
      <c r="G119" s="4">
        <f t="shared" si="6"/>
        <v>22364909.48</v>
      </c>
      <c r="H119" s="14">
        <f>'A) Base RI'!E119</f>
        <v>0</v>
      </c>
      <c r="I119" s="14">
        <f>'A) Base RI'!F119</f>
        <v>0</v>
      </c>
      <c r="J119" s="14">
        <f>'A) Base RI'!G119+'A) Base RI'!H119</f>
        <v>3697287.5</v>
      </c>
      <c r="K119" s="14">
        <f>'A) Base RI'!I119</f>
        <v>89175.05</v>
      </c>
      <c r="L119" s="14">
        <f>'A) Base RI'!J119</f>
        <v>468295.99</v>
      </c>
      <c r="M119" s="14">
        <f>'A) Base RI'!K119</f>
        <v>173689.5</v>
      </c>
      <c r="N119" s="14">
        <f>'A) Base RI'!Q119</f>
        <v>79595.45</v>
      </c>
      <c r="O119" s="14">
        <f t="shared" si="7"/>
        <v>1660722.2916666667</v>
      </c>
      <c r="P119" s="14">
        <f>'A) Base RI'!L119</f>
        <v>1992866.75</v>
      </c>
      <c r="Q119" s="44">
        <f>'A) Base RI'!AR119</f>
        <v>1.2</v>
      </c>
      <c r="R119" s="4">
        <f t="shared" si="8"/>
        <v>28533675.261666667</v>
      </c>
      <c r="S119" s="43">
        <f>'A) Base RI'!AM119</f>
        <v>75</v>
      </c>
      <c r="T119" s="4">
        <f t="shared" si="9"/>
        <v>26699263.469999999</v>
      </c>
      <c r="U119" s="4">
        <f t="shared" si="10"/>
        <v>380449.00348888891</v>
      </c>
      <c r="V119" s="14">
        <f>'A) Base RI'!O119</f>
        <v>837970.6</v>
      </c>
      <c r="W119" s="14">
        <f>'A) Base RI'!P119</f>
        <v>1747466.05</v>
      </c>
      <c r="X119" s="14">
        <f>'A) Base RI'!R119</f>
        <v>367371.45</v>
      </c>
      <c r="Y119" s="4">
        <f t="shared" si="11"/>
        <v>2952808.1</v>
      </c>
      <c r="Z119" s="14">
        <f>'A) Base RI'!N119</f>
        <v>506518.25</v>
      </c>
      <c r="AA119" s="14">
        <f>'A) Base RI'!S119+'A) Base RI'!T119</f>
        <v>2514.5</v>
      </c>
      <c r="AB119" s="14">
        <f>'A) Base RI'!U119</f>
        <v>33450</v>
      </c>
      <c r="AC119" s="14">
        <f>'A) Base RI'!V119</f>
        <v>0</v>
      </c>
      <c r="AD119" s="14">
        <f>'A) Base RI'!W119</f>
        <v>0</v>
      </c>
      <c r="AE119" s="14">
        <f>'A) Base RI'!Y119</f>
        <v>348472</v>
      </c>
      <c r="AF119" s="14">
        <f>'A) Base RI'!Z119</f>
        <v>0</v>
      </c>
      <c r="AG119" s="14">
        <f>'A) Base RI'!AA119</f>
        <v>1351410.5</v>
      </c>
      <c r="AH119" s="14">
        <f>'A) Base RI'!AB119</f>
        <v>0</v>
      </c>
      <c r="AI119" s="14">
        <f>'A) Base RI'!AC119</f>
        <v>601234.56999999995</v>
      </c>
      <c r="AJ119" s="14">
        <f>'A) Base RI'!AD119</f>
        <v>0</v>
      </c>
      <c r="AK119" s="14">
        <f>'A) Base RI'!AE119</f>
        <v>0</v>
      </c>
      <c r="AL119" s="14">
        <f>'A) Base RI'!AF119</f>
        <v>0</v>
      </c>
      <c r="AM119" s="14">
        <f>'A) Base RI'!AG119</f>
        <v>0</v>
      </c>
      <c r="AN119" s="14">
        <f>'A) Base RI'!AH119</f>
        <v>291846.46000000002</v>
      </c>
      <c r="AO119" s="14">
        <f>'A) Base RI'!AI119</f>
        <v>0</v>
      </c>
      <c r="AP119" s="14">
        <f>'A) Base RI'!AJ119</f>
        <v>0</v>
      </c>
      <c r="AQ119" s="14">
        <f>'A) Base RI'!AK119</f>
        <v>0</v>
      </c>
      <c r="AR119" s="14">
        <f>'A) Base RI'!AN119</f>
        <v>7271</v>
      </c>
    </row>
    <row r="120" spans="1:44" x14ac:dyDescent="0.25">
      <c r="A120" s="12">
        <f>'A) Base RI'!A120</f>
        <v>5588</v>
      </c>
      <c r="B120" s="42" t="str">
        <f>'A) Base RI'!B120</f>
        <v>Paudex</v>
      </c>
      <c r="C120" s="14">
        <f>'A) Base RI'!C120+'A) Base RI'!D120</f>
        <v>7457325.3199999994</v>
      </c>
      <c r="D120" s="14">
        <f>'A) Base RI'!AO120</f>
        <v>-41925.31</v>
      </c>
      <c r="E120" s="41">
        <f>'A) Base RI'!AP120</f>
        <v>0</v>
      </c>
      <c r="F120" s="41">
        <f>'A) Base RI'!AQ120</f>
        <v>-23511.37</v>
      </c>
      <c r="G120" s="4">
        <f t="shared" si="6"/>
        <v>7391888.6399999997</v>
      </c>
      <c r="H120" s="14">
        <f>'A) Base RI'!E120</f>
        <v>0</v>
      </c>
      <c r="I120" s="14">
        <f>'A) Base RI'!F120</f>
        <v>0</v>
      </c>
      <c r="J120" s="14">
        <f>'A) Base RI'!G120+'A) Base RI'!H120</f>
        <v>937851.64999999991</v>
      </c>
      <c r="K120" s="14">
        <f>'A) Base RI'!I120</f>
        <v>358764.17</v>
      </c>
      <c r="L120" s="14">
        <f>'A) Base RI'!J120</f>
        <v>165800.16</v>
      </c>
      <c r="M120" s="14">
        <f>'A) Base RI'!K120</f>
        <v>36739.5</v>
      </c>
      <c r="N120" s="14">
        <f>'A) Base RI'!Q120</f>
        <v>34004.75</v>
      </c>
      <c r="O120" s="14">
        <f t="shared" si="7"/>
        <v>471523.35714285716</v>
      </c>
      <c r="P120" s="14">
        <f>'A) Base RI'!L120</f>
        <v>330066.34999999998</v>
      </c>
      <c r="Q120" s="44">
        <f>'A) Base RI'!AR120</f>
        <v>0.7</v>
      </c>
      <c r="R120" s="4">
        <f t="shared" si="8"/>
        <v>9396572.2271428555</v>
      </c>
      <c r="S120" s="43">
        <f>'A) Base RI'!AM120</f>
        <v>61.5</v>
      </c>
      <c r="T120" s="4">
        <f t="shared" si="9"/>
        <v>8888309.3699999992</v>
      </c>
      <c r="U120" s="4">
        <f t="shared" si="10"/>
        <v>152789.79231126595</v>
      </c>
      <c r="V120" s="14">
        <f>'A) Base RI'!O120</f>
        <v>14758.7</v>
      </c>
      <c r="W120" s="14">
        <f>'A) Base RI'!P120</f>
        <v>9185</v>
      </c>
      <c r="X120" s="14">
        <f>'A) Base RI'!R120</f>
        <v>13581.25</v>
      </c>
      <c r="Y120" s="4">
        <f t="shared" si="11"/>
        <v>37524.949999999997</v>
      </c>
      <c r="Z120" s="14">
        <f>'A) Base RI'!N120</f>
        <v>18905.45</v>
      </c>
      <c r="AA120" s="14">
        <f>'A) Base RI'!S120+'A) Base RI'!T120</f>
        <v>260</v>
      </c>
      <c r="AB120" s="14">
        <f>'A) Base RI'!U120</f>
        <v>5437.5</v>
      </c>
      <c r="AC120" s="14">
        <f>'A) Base RI'!V120</f>
        <v>0</v>
      </c>
      <c r="AD120" s="14">
        <f>'A) Base RI'!W120</f>
        <v>0</v>
      </c>
      <c r="AE120" s="14">
        <f>'A) Base RI'!Y120</f>
        <v>0</v>
      </c>
      <c r="AF120" s="14">
        <f>'A) Base RI'!Z120</f>
        <v>1787</v>
      </c>
      <c r="AG120" s="14">
        <f>'A) Base RI'!AA120</f>
        <v>113056</v>
      </c>
      <c r="AH120" s="14">
        <f>'A) Base RI'!AB120</f>
        <v>0</v>
      </c>
      <c r="AI120" s="14">
        <f>'A) Base RI'!AC120</f>
        <v>129627</v>
      </c>
      <c r="AJ120" s="14">
        <f>'A) Base RI'!AD120</f>
        <v>0</v>
      </c>
      <c r="AK120" s="14">
        <f>'A) Base RI'!AE120</f>
        <v>1745</v>
      </c>
      <c r="AL120" s="14">
        <f>'A) Base RI'!AF120</f>
        <v>0</v>
      </c>
      <c r="AM120" s="14">
        <f>'A) Base RI'!AG120</f>
        <v>0</v>
      </c>
      <c r="AN120" s="14">
        <f>'A) Base RI'!AH120</f>
        <v>0</v>
      </c>
      <c r="AO120" s="14">
        <f>'A) Base RI'!AI120</f>
        <v>32208</v>
      </c>
      <c r="AP120" s="14">
        <f>'A) Base RI'!AJ120</f>
        <v>0</v>
      </c>
      <c r="AQ120" s="14">
        <f>'A) Base RI'!AK120</f>
        <v>16104</v>
      </c>
      <c r="AR120" s="14">
        <f>'A) Base RI'!AN120</f>
        <v>1485</v>
      </c>
    </row>
    <row r="121" spans="1:44" x14ac:dyDescent="0.25">
      <c r="A121" s="12">
        <f>'A) Base RI'!A121</f>
        <v>5589</v>
      </c>
      <c r="B121" s="42" t="str">
        <f>'A) Base RI'!B121</f>
        <v>Prilly</v>
      </c>
      <c r="C121" s="14">
        <f>'A) Base RI'!C121+'A) Base RI'!D121</f>
        <v>20054464.079999998</v>
      </c>
      <c r="D121" s="14">
        <f>'A) Base RI'!AO121</f>
        <v>-1003835.5</v>
      </c>
      <c r="E121" s="41">
        <f>'A) Base RI'!AP121</f>
        <v>0</v>
      </c>
      <c r="F121" s="41">
        <f>'A) Base RI'!AQ121</f>
        <v>-3124.18</v>
      </c>
      <c r="G121" s="4">
        <f t="shared" si="6"/>
        <v>19047504.399999999</v>
      </c>
      <c r="H121" s="14">
        <f>'A) Base RI'!E121</f>
        <v>0</v>
      </c>
      <c r="I121" s="14">
        <f>'A) Base RI'!F121</f>
        <v>0</v>
      </c>
      <c r="J121" s="14">
        <f>'A) Base RI'!G121+'A) Base RI'!H121</f>
        <v>10545518.35</v>
      </c>
      <c r="K121" s="14">
        <f>'A) Base RI'!I121</f>
        <v>32826.199999999997</v>
      </c>
      <c r="L121" s="14">
        <f>'A) Base RI'!J121</f>
        <v>1734884.87</v>
      </c>
      <c r="M121" s="14">
        <f>'A) Base RI'!K121</f>
        <v>323358</v>
      </c>
      <c r="N121" s="14">
        <f>'A) Base RI'!Q121</f>
        <v>568438.1</v>
      </c>
      <c r="O121" s="14">
        <f t="shared" si="7"/>
        <v>1734970.6</v>
      </c>
      <c r="P121" s="14">
        <f>'A) Base RI'!L121</f>
        <v>1734970.6</v>
      </c>
      <c r="Q121" s="44">
        <f>'A) Base RI'!AR121</f>
        <v>1</v>
      </c>
      <c r="R121" s="4">
        <f t="shared" si="8"/>
        <v>33987500.520000003</v>
      </c>
      <c r="S121" s="43">
        <f>'A) Base RI'!AM121</f>
        <v>73.5</v>
      </c>
      <c r="T121" s="4">
        <f t="shared" si="9"/>
        <v>31929171.920000002</v>
      </c>
      <c r="U121" s="4">
        <f t="shared" si="10"/>
        <v>462414.97306122456</v>
      </c>
      <c r="V121" s="14">
        <f>'A) Base RI'!O121</f>
        <v>735063.5</v>
      </c>
      <c r="W121" s="14">
        <f>'A) Base RI'!P121</f>
        <v>1528649.05</v>
      </c>
      <c r="X121" s="14">
        <f>'A) Base RI'!R121</f>
        <v>355131.45</v>
      </c>
      <c r="Y121" s="4">
        <f t="shared" si="11"/>
        <v>2618844</v>
      </c>
      <c r="Z121" s="14">
        <f>'A) Base RI'!N121</f>
        <v>1442728.6</v>
      </c>
      <c r="AA121" s="14">
        <f>'A) Base RI'!S121+'A) Base RI'!T121</f>
        <v>737.5</v>
      </c>
      <c r="AB121" s="14">
        <f>'A) Base RI'!U121</f>
        <v>36600</v>
      </c>
      <c r="AC121" s="14">
        <f>'A) Base RI'!V121</f>
        <v>0</v>
      </c>
      <c r="AD121" s="14">
        <f>'A) Base RI'!W121</f>
        <v>0</v>
      </c>
      <c r="AE121" s="14">
        <f>'A) Base RI'!Y121</f>
        <v>108502.6</v>
      </c>
      <c r="AF121" s="14">
        <f>'A) Base RI'!Z121</f>
        <v>0</v>
      </c>
      <c r="AG121" s="14">
        <f>'A) Base RI'!AA121</f>
        <v>1852367.4</v>
      </c>
      <c r="AH121" s="14">
        <f>'A) Base RI'!AB121</f>
        <v>0</v>
      </c>
      <c r="AI121" s="14">
        <f>'A) Base RI'!AC121</f>
        <v>833745.6</v>
      </c>
      <c r="AJ121" s="14">
        <f>'A) Base RI'!AD121</f>
        <v>0</v>
      </c>
      <c r="AK121" s="14">
        <f>'A) Base RI'!AE121</f>
        <v>0</v>
      </c>
      <c r="AL121" s="14">
        <f>'A) Base RI'!AF121</f>
        <v>323.2</v>
      </c>
      <c r="AM121" s="14">
        <f>'A) Base RI'!AG121</f>
        <v>0</v>
      </c>
      <c r="AN121" s="14">
        <f>'A) Base RI'!AH121</f>
        <v>365864.07</v>
      </c>
      <c r="AO121" s="14">
        <f>'A) Base RI'!AI121</f>
        <v>0</v>
      </c>
      <c r="AP121" s="14">
        <f>'A) Base RI'!AJ121</f>
        <v>94079.35</v>
      </c>
      <c r="AQ121" s="14">
        <f>'A) Base RI'!AK121</f>
        <v>0</v>
      </c>
      <c r="AR121" s="14">
        <f>'A) Base RI'!AN121</f>
        <v>11782</v>
      </c>
    </row>
    <row r="122" spans="1:44" x14ac:dyDescent="0.25">
      <c r="A122" s="12">
        <f>'A) Base RI'!A122</f>
        <v>5590</v>
      </c>
      <c r="B122" s="42" t="str">
        <f>'A) Base RI'!B122</f>
        <v>Pully</v>
      </c>
      <c r="C122" s="14">
        <f>'A) Base RI'!C122+'A) Base RI'!D122</f>
        <v>69468681.5</v>
      </c>
      <c r="D122" s="14">
        <f>'A) Base RI'!AO122</f>
        <v>-857905.75</v>
      </c>
      <c r="E122" s="41">
        <f>'A) Base RI'!AP122</f>
        <v>0</v>
      </c>
      <c r="F122" s="41">
        <f>'A) Base RI'!AQ122</f>
        <v>-140766.15</v>
      </c>
      <c r="G122" s="4">
        <f t="shared" si="6"/>
        <v>68470009.599999994</v>
      </c>
      <c r="H122" s="14">
        <f>'A) Base RI'!E122</f>
        <v>0</v>
      </c>
      <c r="I122" s="14">
        <f>'A) Base RI'!F122</f>
        <v>0</v>
      </c>
      <c r="J122" s="14">
        <f>'A) Base RI'!G122+'A) Base RI'!H122</f>
        <v>8433315.5500000007</v>
      </c>
      <c r="K122" s="14">
        <f>'A) Base RI'!I122</f>
        <v>2637484.9300000002</v>
      </c>
      <c r="L122" s="14">
        <f>'A) Base RI'!J122</f>
        <v>1483221.57</v>
      </c>
      <c r="M122" s="14">
        <f>'A) Base RI'!K122</f>
        <v>403703.5</v>
      </c>
      <c r="N122" s="14">
        <f>'A) Base RI'!Q122</f>
        <v>292623.14</v>
      </c>
      <c r="O122" s="14">
        <f t="shared" si="7"/>
        <v>4380697.5714285718</v>
      </c>
      <c r="P122" s="14">
        <f>'A) Base RI'!L122</f>
        <v>3066488.3</v>
      </c>
      <c r="Q122" s="44">
        <f>'A) Base RI'!AR122</f>
        <v>0.7</v>
      </c>
      <c r="R122" s="4">
        <f t="shared" si="8"/>
        <v>86101055.861428559</v>
      </c>
      <c r="S122" s="43">
        <f>'A) Base RI'!AM122</f>
        <v>63</v>
      </c>
      <c r="T122" s="4">
        <f t="shared" si="9"/>
        <v>81316654.789999992</v>
      </c>
      <c r="U122" s="4">
        <f t="shared" si="10"/>
        <v>1366683.426371882</v>
      </c>
      <c r="V122" s="14">
        <f>'A) Base RI'!O122</f>
        <v>5723813.5</v>
      </c>
      <c r="W122" s="14">
        <f>'A) Base RI'!P122</f>
        <v>3248077.9</v>
      </c>
      <c r="X122" s="14">
        <f>'A) Base RI'!R122</f>
        <v>2257616.75</v>
      </c>
      <c r="Y122" s="4">
        <f t="shared" si="11"/>
        <v>11229508.15</v>
      </c>
      <c r="Z122" s="14">
        <f>'A) Base RI'!N122</f>
        <v>118526</v>
      </c>
      <c r="AA122" s="14">
        <f>'A) Base RI'!S122+'A) Base RI'!T122</f>
        <v>2659.65</v>
      </c>
      <c r="AB122" s="14">
        <f>'A) Base RI'!U122</f>
        <v>48900</v>
      </c>
      <c r="AC122" s="14">
        <f>'A) Base RI'!V122</f>
        <v>0</v>
      </c>
      <c r="AD122" s="14">
        <f>'A) Base RI'!W122</f>
        <v>0</v>
      </c>
      <c r="AE122" s="14">
        <f>'A) Base RI'!Y122</f>
        <v>479095.18</v>
      </c>
      <c r="AF122" s="14">
        <f>'A) Base RI'!Z122</f>
        <v>0</v>
      </c>
      <c r="AG122" s="14">
        <f>'A) Base RI'!AA122</f>
        <v>3348168.99</v>
      </c>
      <c r="AH122" s="14">
        <f>'A) Base RI'!AB122</f>
        <v>0</v>
      </c>
      <c r="AI122" s="14">
        <f>'A) Base RI'!AC122</f>
        <v>2642360.9900000002</v>
      </c>
      <c r="AJ122" s="14">
        <f>'A) Base RI'!AD122</f>
        <v>437735.86</v>
      </c>
      <c r="AK122" s="14">
        <f>'A) Base RI'!AE122</f>
        <v>0</v>
      </c>
      <c r="AL122" s="14">
        <f>'A) Base RI'!AF122</f>
        <v>0</v>
      </c>
      <c r="AM122" s="14">
        <f>'A) Base RI'!AG122</f>
        <v>39235.72</v>
      </c>
      <c r="AN122" s="14">
        <f>'A) Base RI'!AH122</f>
        <v>350000.41</v>
      </c>
      <c r="AO122" s="14">
        <f>'A) Base RI'!AI122</f>
        <v>514999.13</v>
      </c>
      <c r="AP122" s="14">
        <f>'A) Base RI'!AJ122</f>
        <v>0</v>
      </c>
      <c r="AQ122" s="14">
        <f>'A) Base RI'!AK122</f>
        <v>0</v>
      </c>
      <c r="AR122" s="14">
        <f>'A) Base RI'!AN122</f>
        <v>17811</v>
      </c>
    </row>
    <row r="123" spans="1:44" x14ac:dyDescent="0.25">
      <c r="A123" s="12">
        <f>'A) Base RI'!A123</f>
        <v>5591</v>
      </c>
      <c r="B123" s="42" t="str">
        <f>'A) Base RI'!B123</f>
        <v>Renens</v>
      </c>
      <c r="C123" s="14">
        <f>'A) Base RI'!C123+'A) Base RI'!D123</f>
        <v>31971297.400000002</v>
      </c>
      <c r="D123" s="14">
        <f>'A) Base RI'!AO123</f>
        <v>-1518948.24</v>
      </c>
      <c r="E123" s="41">
        <f>'A) Base RI'!AP123</f>
        <v>0</v>
      </c>
      <c r="F123" s="41">
        <f>'A) Base RI'!AQ123</f>
        <v>-3899.55</v>
      </c>
      <c r="G123" s="4">
        <f t="shared" si="6"/>
        <v>30448449.610000003</v>
      </c>
      <c r="H123" s="14">
        <f>'A) Base RI'!E123</f>
        <v>0</v>
      </c>
      <c r="I123" s="14">
        <f>'A) Base RI'!F123</f>
        <v>0</v>
      </c>
      <c r="J123" s="14">
        <f>'A) Base RI'!G123+'A) Base RI'!H123</f>
        <v>5173932.5999999996</v>
      </c>
      <c r="K123" s="14">
        <f>'A) Base RI'!I123</f>
        <v>0</v>
      </c>
      <c r="L123" s="14">
        <f>'A) Base RI'!J123</f>
        <v>3007106.98</v>
      </c>
      <c r="M123" s="14">
        <f>'A) Base RI'!K123</f>
        <v>570782.5</v>
      </c>
      <c r="N123" s="14">
        <f>'A) Base RI'!Q123</f>
        <v>470418.13</v>
      </c>
      <c r="O123" s="14">
        <f t="shared" si="7"/>
        <v>3260590.1071428577</v>
      </c>
      <c r="P123" s="14">
        <f>'A) Base RI'!L123</f>
        <v>4564826.1500000004</v>
      </c>
      <c r="Q123" s="44">
        <f>'A) Base RI'!AR123</f>
        <v>1.4</v>
      </c>
      <c r="R123" s="4">
        <f t="shared" si="8"/>
        <v>42931279.927142859</v>
      </c>
      <c r="S123" s="43">
        <f>'A) Base RI'!AM123</f>
        <v>78.5</v>
      </c>
      <c r="T123" s="4">
        <f t="shared" si="9"/>
        <v>39099907.32</v>
      </c>
      <c r="U123" s="4">
        <f t="shared" si="10"/>
        <v>546895.28569608741</v>
      </c>
      <c r="V123" s="14">
        <f>'A) Base RI'!O123</f>
        <v>264140</v>
      </c>
      <c r="W123" s="14">
        <f>'A) Base RI'!P123</f>
        <v>574666.85</v>
      </c>
      <c r="X123" s="14">
        <f>'A) Base RI'!R123</f>
        <v>195701.9</v>
      </c>
      <c r="Y123" s="4">
        <f t="shared" si="11"/>
        <v>1034508.75</v>
      </c>
      <c r="Z123" s="14">
        <f>'A) Base RI'!N123</f>
        <v>2177057.7000000002</v>
      </c>
      <c r="AA123" s="14">
        <f>'A) Base RI'!S123+'A) Base RI'!T123</f>
        <v>4587.5</v>
      </c>
      <c r="AB123" s="14">
        <f>'A) Base RI'!U123</f>
        <v>46900</v>
      </c>
      <c r="AC123" s="14">
        <f>'A) Base RI'!V123</f>
        <v>100251.4</v>
      </c>
      <c r="AD123" s="14">
        <f>'A) Base RI'!W123</f>
        <v>51961</v>
      </c>
      <c r="AE123" s="14">
        <f>'A) Base RI'!Y123</f>
        <v>204716.79999999999</v>
      </c>
      <c r="AF123" s="14">
        <f>'A) Base RI'!Z123</f>
        <v>0</v>
      </c>
      <c r="AG123" s="14">
        <f>'A) Base RI'!AA123</f>
        <v>1321933.3500000001</v>
      </c>
      <c r="AH123" s="14">
        <f>'A) Base RI'!AB123</f>
        <v>21048</v>
      </c>
      <c r="AI123" s="14">
        <f>'A) Base RI'!AC123</f>
        <v>2272976.12</v>
      </c>
      <c r="AJ123" s="14">
        <f>'A) Base RI'!AD123</f>
        <v>0</v>
      </c>
      <c r="AK123" s="14">
        <f>'A) Base RI'!AE123</f>
        <v>0</v>
      </c>
      <c r="AL123" s="14">
        <f>'A) Base RI'!AF123</f>
        <v>0</v>
      </c>
      <c r="AM123" s="14">
        <f>'A) Base RI'!AG123</f>
        <v>2613.85</v>
      </c>
      <c r="AN123" s="14">
        <f>'A) Base RI'!AH123</f>
        <v>562344.14</v>
      </c>
      <c r="AO123" s="14">
        <f>'A) Base RI'!AI123</f>
        <v>0</v>
      </c>
      <c r="AP123" s="14">
        <f>'A) Base RI'!AJ123</f>
        <v>0</v>
      </c>
      <c r="AQ123" s="14">
        <f>'A) Base RI'!AK123</f>
        <v>80334.710000000006</v>
      </c>
      <c r="AR123" s="14">
        <f>'A) Base RI'!AN123</f>
        <v>20362</v>
      </c>
    </row>
    <row r="124" spans="1:44" x14ac:dyDescent="0.25">
      <c r="A124" s="12">
        <f>'A) Base RI'!A124</f>
        <v>5592</v>
      </c>
      <c r="B124" s="42" t="str">
        <f>'A) Base RI'!B124</f>
        <v>Romanel-sur-Lausanne</v>
      </c>
      <c r="C124" s="14">
        <f>'A) Base RI'!C124+'A) Base RI'!D124</f>
        <v>6311896.0800000001</v>
      </c>
      <c r="D124" s="14">
        <f>'A) Base RI'!AO124</f>
        <v>-85547.24</v>
      </c>
      <c r="E124" s="41">
        <f>'A) Base RI'!AP124</f>
        <v>0</v>
      </c>
      <c r="F124" s="41">
        <f>'A) Base RI'!AQ124</f>
        <v>-4080.64</v>
      </c>
      <c r="G124" s="4">
        <f t="shared" si="6"/>
        <v>6222268.2000000002</v>
      </c>
      <c r="H124" s="14">
        <f>'A) Base RI'!E124</f>
        <v>0</v>
      </c>
      <c r="I124" s="14">
        <f>'A) Base RI'!F124</f>
        <v>0</v>
      </c>
      <c r="J124" s="14">
        <f>'A) Base RI'!G124+'A) Base RI'!H124</f>
        <v>618001.5</v>
      </c>
      <c r="K124" s="14">
        <f>'A) Base RI'!I124</f>
        <v>19455.8</v>
      </c>
      <c r="L124" s="14">
        <f>'A) Base RI'!J124</f>
        <v>85143.31</v>
      </c>
      <c r="M124" s="14">
        <f>'A) Base RI'!K124</f>
        <v>83295</v>
      </c>
      <c r="N124" s="14">
        <f>'A) Base RI'!Q124</f>
        <v>51681.67</v>
      </c>
      <c r="O124" s="14">
        <f t="shared" si="7"/>
        <v>639323.19999999995</v>
      </c>
      <c r="P124" s="14">
        <f>'A) Base RI'!L124</f>
        <v>639323.19999999995</v>
      </c>
      <c r="Q124" s="44">
        <f>'A) Base RI'!AR124</f>
        <v>1</v>
      </c>
      <c r="R124" s="4">
        <f t="shared" si="8"/>
        <v>7719168.6799999997</v>
      </c>
      <c r="S124" s="43">
        <f>'A) Base RI'!AM124</f>
        <v>70</v>
      </c>
      <c r="T124" s="4">
        <f t="shared" si="9"/>
        <v>6996550.4799999995</v>
      </c>
      <c r="U124" s="4">
        <f t="shared" si="10"/>
        <v>110273.83828571429</v>
      </c>
      <c r="V124" s="14">
        <f>'A) Base RI'!O124</f>
        <v>2835</v>
      </c>
      <c r="W124" s="14">
        <f>'A) Base RI'!P124</f>
        <v>208475.15</v>
      </c>
      <c r="X124" s="14">
        <f>'A) Base RI'!R124</f>
        <v>645041.35</v>
      </c>
      <c r="Y124" s="4">
        <f t="shared" si="11"/>
        <v>856351.5</v>
      </c>
      <c r="Z124" s="14">
        <f>'A) Base RI'!N124</f>
        <v>229362.6</v>
      </c>
      <c r="AA124" s="14">
        <f>'A) Base RI'!S124+'A) Base RI'!T124</f>
        <v>1932.25</v>
      </c>
      <c r="AB124" s="14">
        <f>'A) Base RI'!U124</f>
        <v>15975</v>
      </c>
      <c r="AC124" s="14">
        <f>'A) Base RI'!V124</f>
        <v>0</v>
      </c>
      <c r="AD124" s="14">
        <f>'A) Base RI'!W124</f>
        <v>0</v>
      </c>
      <c r="AE124" s="14">
        <f>'A) Base RI'!Y124</f>
        <v>22666.799999999999</v>
      </c>
      <c r="AF124" s="14">
        <f>'A) Base RI'!Z124</f>
        <v>22427.15</v>
      </c>
      <c r="AG124" s="14">
        <f>'A) Base RI'!AA124</f>
        <v>151662.59</v>
      </c>
      <c r="AH124" s="14">
        <f>'A) Base RI'!AB124</f>
        <v>0</v>
      </c>
      <c r="AI124" s="14">
        <f>'A) Base RI'!AC124</f>
        <v>220051.99</v>
      </c>
      <c r="AJ124" s="14">
        <f>'A) Base RI'!AD124</f>
        <v>6083.75</v>
      </c>
      <c r="AK124" s="14">
        <f>'A) Base RI'!AE124</f>
        <v>14419.27</v>
      </c>
      <c r="AL124" s="14">
        <f>'A) Base RI'!AF124</f>
        <v>0</v>
      </c>
      <c r="AM124" s="14">
        <f>'A) Base RI'!AG124</f>
        <v>0</v>
      </c>
      <c r="AN124" s="14">
        <f>'A) Base RI'!AH124</f>
        <v>102021.66</v>
      </c>
      <c r="AO124" s="14">
        <f>'A) Base RI'!AI124</f>
        <v>58301.27</v>
      </c>
      <c r="AP124" s="14">
        <f>'A) Base RI'!AJ124</f>
        <v>43725.96</v>
      </c>
      <c r="AQ124" s="14">
        <f>'A) Base RI'!AK124</f>
        <v>0</v>
      </c>
      <c r="AR124" s="14">
        <f>'A) Base RI'!AN124</f>
        <v>3351</v>
      </c>
    </row>
    <row r="125" spans="1:44" x14ac:dyDescent="0.25">
      <c r="A125" s="12">
        <f>'A) Base RI'!A125</f>
        <v>5601</v>
      </c>
      <c r="B125" s="42" t="str">
        <f>'A) Base RI'!B125</f>
        <v>Chexbres</v>
      </c>
      <c r="C125" s="14">
        <f>'A) Base RI'!C125+'A) Base RI'!D125</f>
        <v>6052085.7599999998</v>
      </c>
      <c r="D125" s="14">
        <f>'A) Base RI'!AO125</f>
        <v>-94240.93</v>
      </c>
      <c r="E125" s="41">
        <f>'A) Base RI'!AP125</f>
        <v>0</v>
      </c>
      <c r="F125" s="41">
        <f>'A) Base RI'!AQ125</f>
        <v>-2451.25</v>
      </c>
      <c r="G125" s="4">
        <f t="shared" si="6"/>
        <v>5955393.5800000001</v>
      </c>
      <c r="H125" s="14">
        <f>'A) Base RI'!E125</f>
        <v>0</v>
      </c>
      <c r="I125" s="14">
        <f>'A) Base RI'!F125</f>
        <v>0</v>
      </c>
      <c r="J125" s="14">
        <f>'A) Base RI'!G125+'A) Base RI'!H125</f>
        <v>219518.44999999998</v>
      </c>
      <c r="K125" s="14">
        <f>'A) Base RI'!I125</f>
        <v>-16752.3</v>
      </c>
      <c r="L125" s="14">
        <f>'A) Base RI'!J125</f>
        <v>117107.69</v>
      </c>
      <c r="M125" s="14">
        <f>'A) Base RI'!K125</f>
        <v>8891</v>
      </c>
      <c r="N125" s="14">
        <f>'A) Base RI'!Q125</f>
        <v>5097.82</v>
      </c>
      <c r="O125" s="14">
        <f t="shared" si="7"/>
        <v>397141.25</v>
      </c>
      <c r="P125" s="14">
        <f>'A) Base RI'!L125</f>
        <v>397141.25</v>
      </c>
      <c r="Q125" s="44">
        <f>'A) Base RI'!AR125</f>
        <v>1</v>
      </c>
      <c r="R125" s="4">
        <f t="shared" si="8"/>
        <v>6686397.4900000012</v>
      </c>
      <c r="S125" s="43">
        <f>'A) Base RI'!AM125</f>
        <v>64</v>
      </c>
      <c r="T125" s="4">
        <f t="shared" si="9"/>
        <v>6280365.2400000012</v>
      </c>
      <c r="U125" s="4">
        <f t="shared" si="10"/>
        <v>104474.96078125002</v>
      </c>
      <c r="V125" s="14">
        <f>'A) Base RI'!O125</f>
        <v>222283.4</v>
      </c>
      <c r="W125" s="14">
        <f>'A) Base RI'!P125</f>
        <v>190490.3</v>
      </c>
      <c r="X125" s="14">
        <f>'A) Base RI'!R125</f>
        <v>206850.4</v>
      </c>
      <c r="Y125" s="4">
        <f t="shared" si="11"/>
        <v>619624.1</v>
      </c>
      <c r="Z125" s="14">
        <f>'A) Base RI'!N125</f>
        <v>53917.5</v>
      </c>
      <c r="AA125" s="14">
        <f>'A) Base RI'!S125+'A) Base RI'!T125</f>
        <v>281.25</v>
      </c>
      <c r="AB125" s="14">
        <f>'A) Base RI'!U125</f>
        <v>7875</v>
      </c>
      <c r="AC125" s="14">
        <f>'A) Base RI'!V125</f>
        <v>0</v>
      </c>
      <c r="AD125" s="14">
        <f>'A) Base RI'!W125</f>
        <v>0</v>
      </c>
      <c r="AE125" s="14">
        <f>'A) Base RI'!Y125</f>
        <v>0</v>
      </c>
      <c r="AF125" s="14">
        <f>'A) Base RI'!Z125</f>
        <v>30837.3</v>
      </c>
      <c r="AG125" s="14">
        <f>'A) Base RI'!AA125</f>
        <v>272512.59999999998</v>
      </c>
      <c r="AH125" s="14">
        <f>'A) Base RI'!AB125</f>
        <v>239526.8</v>
      </c>
      <c r="AI125" s="14">
        <f>'A) Base RI'!AC125</f>
        <v>134521.35</v>
      </c>
      <c r="AJ125" s="14">
        <f>'A) Base RI'!AD125</f>
        <v>0</v>
      </c>
      <c r="AK125" s="14">
        <f>'A) Base RI'!AE125</f>
        <v>27537.4</v>
      </c>
      <c r="AL125" s="14">
        <f>'A) Base RI'!AF125</f>
        <v>0</v>
      </c>
      <c r="AM125" s="14">
        <f>'A) Base RI'!AG125</f>
        <v>70609.7</v>
      </c>
      <c r="AN125" s="14">
        <f>'A) Base RI'!AH125</f>
        <v>0</v>
      </c>
      <c r="AO125" s="14">
        <f>'A) Base RI'!AI125</f>
        <v>49942.8</v>
      </c>
      <c r="AP125" s="14">
        <f>'A) Base RI'!AJ125</f>
        <v>0</v>
      </c>
      <c r="AQ125" s="14">
        <f>'A) Base RI'!AK125</f>
        <v>0</v>
      </c>
      <c r="AR125" s="14">
        <f>'A) Base RI'!AN125</f>
        <v>2218</v>
      </c>
    </row>
    <row r="126" spans="1:44" x14ac:dyDescent="0.25">
      <c r="A126" s="12">
        <f>'A) Base RI'!A126</f>
        <v>5604</v>
      </c>
      <c r="B126" s="42" t="str">
        <f>'A) Base RI'!B126</f>
        <v>Forel (Lavaux)</v>
      </c>
      <c r="C126" s="14">
        <f>'A) Base RI'!C126+'A) Base RI'!D126</f>
        <v>3810028.94</v>
      </c>
      <c r="D126" s="14">
        <f>'A) Base RI'!AO126</f>
        <v>-105822.34</v>
      </c>
      <c r="E126" s="41">
        <f>'A) Base RI'!AP126</f>
        <v>0</v>
      </c>
      <c r="F126" s="41">
        <f>'A) Base RI'!AQ126</f>
        <v>-94.9</v>
      </c>
      <c r="G126" s="4">
        <f t="shared" si="6"/>
        <v>3704111.7</v>
      </c>
      <c r="H126" s="14">
        <f>'A) Base RI'!E126</f>
        <v>0</v>
      </c>
      <c r="I126" s="14">
        <f>'A) Base RI'!F126</f>
        <v>0</v>
      </c>
      <c r="J126" s="14">
        <f>'A) Base RI'!G126+'A) Base RI'!H126</f>
        <v>247938.3</v>
      </c>
      <c r="K126" s="14">
        <f>'A) Base RI'!I126</f>
        <v>16687.75</v>
      </c>
      <c r="L126" s="14">
        <f>'A) Base RI'!J126</f>
        <v>113948.82</v>
      </c>
      <c r="M126" s="14">
        <f>'A) Base RI'!K126</f>
        <v>22190</v>
      </c>
      <c r="N126" s="14">
        <f>'A) Base RI'!Q126</f>
        <v>14444.97</v>
      </c>
      <c r="O126" s="14">
        <f t="shared" si="7"/>
        <v>335678.05</v>
      </c>
      <c r="P126" s="14">
        <f>'A) Base RI'!L126</f>
        <v>335678.05</v>
      </c>
      <c r="Q126" s="44">
        <f>'A) Base RI'!AR126</f>
        <v>1</v>
      </c>
      <c r="R126" s="4">
        <f t="shared" si="8"/>
        <v>4454999.59</v>
      </c>
      <c r="S126" s="43">
        <f>'A) Base RI'!AM126</f>
        <v>68</v>
      </c>
      <c r="T126" s="4">
        <f t="shared" si="9"/>
        <v>4097131.54</v>
      </c>
      <c r="U126" s="4">
        <f t="shared" si="10"/>
        <v>65514.699852941172</v>
      </c>
      <c r="V126" s="14">
        <f>'A) Base RI'!O126</f>
        <v>1597</v>
      </c>
      <c r="W126" s="14">
        <f>'A) Base RI'!P126</f>
        <v>164254.85</v>
      </c>
      <c r="X126" s="14">
        <f>'A) Base RI'!R126</f>
        <v>112373.9</v>
      </c>
      <c r="Y126" s="4">
        <f t="shared" si="11"/>
        <v>278225.75</v>
      </c>
      <c r="Z126" s="14">
        <f>'A) Base RI'!N126</f>
        <v>6750.8</v>
      </c>
      <c r="AA126" s="14">
        <f>'A) Base RI'!S126+'A) Base RI'!T126</f>
        <v>1902.5</v>
      </c>
      <c r="AB126" s="14">
        <f>'A) Base RI'!U126</f>
        <v>20925</v>
      </c>
      <c r="AC126" s="14">
        <f>'A) Base RI'!V126</f>
        <v>0</v>
      </c>
      <c r="AD126" s="14">
        <f>'A) Base RI'!W126</f>
        <v>465.6</v>
      </c>
      <c r="AE126" s="14">
        <f>'A) Base RI'!Y126</f>
        <v>110395.85</v>
      </c>
      <c r="AF126" s="14">
        <f>'A) Base RI'!Z126</f>
        <v>6252.75</v>
      </c>
      <c r="AG126" s="14">
        <f>'A) Base RI'!AA126</f>
        <v>363039.1</v>
      </c>
      <c r="AH126" s="14">
        <f>'A) Base RI'!AB126</f>
        <v>0</v>
      </c>
      <c r="AI126" s="14">
        <f>'A) Base RI'!AC126</f>
        <v>102229.65</v>
      </c>
      <c r="AJ126" s="14">
        <f>'A) Base RI'!AD126</f>
        <v>39523.599999999999</v>
      </c>
      <c r="AK126" s="14">
        <f>'A) Base RI'!AE126</f>
        <v>2880</v>
      </c>
      <c r="AL126" s="14">
        <f>'A) Base RI'!AF126</f>
        <v>0</v>
      </c>
      <c r="AM126" s="14">
        <f>'A) Base RI'!AG126</f>
        <v>12797.45</v>
      </c>
      <c r="AN126" s="14">
        <f>'A) Base RI'!AH126</f>
        <v>0</v>
      </c>
      <c r="AO126" s="14">
        <f>'A) Base RI'!AI126</f>
        <v>0</v>
      </c>
      <c r="AP126" s="14">
        <f>'A) Base RI'!AJ126</f>
        <v>0</v>
      </c>
      <c r="AQ126" s="14">
        <f>'A) Base RI'!AK126</f>
        <v>0</v>
      </c>
      <c r="AR126" s="14">
        <f>'A) Base RI'!AN126</f>
        <v>2085</v>
      </c>
    </row>
    <row r="127" spans="1:44" x14ac:dyDescent="0.25">
      <c r="A127" s="12">
        <f>'A) Base RI'!A127</f>
        <v>5606</v>
      </c>
      <c r="B127" s="42" t="str">
        <f>'A) Base RI'!B127</f>
        <v>Lutry</v>
      </c>
      <c r="C127" s="14">
        <f>'A) Base RI'!C127+'A) Base RI'!D127</f>
        <v>36503226.649999999</v>
      </c>
      <c r="D127" s="14">
        <f>'A) Base RI'!AO127</f>
        <v>-578306.67000000004</v>
      </c>
      <c r="E127" s="41">
        <f>'A) Base RI'!AP127</f>
        <v>0</v>
      </c>
      <c r="F127" s="41">
        <f>'A) Base RI'!AQ127</f>
        <v>-33528.300000000003</v>
      </c>
      <c r="G127" s="4">
        <f t="shared" si="6"/>
        <v>35891391.68</v>
      </c>
      <c r="H127" s="14">
        <f>'A) Base RI'!E127</f>
        <v>0</v>
      </c>
      <c r="I127" s="14">
        <f>'A) Base RI'!F127</f>
        <v>0</v>
      </c>
      <c r="J127" s="14">
        <f>'A) Base RI'!G127+'A) Base RI'!H127</f>
        <v>909907.10000000009</v>
      </c>
      <c r="K127" s="14">
        <f>'A) Base RI'!I127</f>
        <v>1289309.25</v>
      </c>
      <c r="L127" s="14">
        <f>'A) Base RI'!J127</f>
        <v>495942.40000000002</v>
      </c>
      <c r="M127" s="14">
        <f>'A) Base RI'!K127</f>
        <v>126842</v>
      </c>
      <c r="N127" s="14">
        <f>'A) Base RI'!Q127</f>
        <v>266358.36</v>
      </c>
      <c r="O127" s="14">
        <f t="shared" si="7"/>
        <v>2598606.0714285714</v>
      </c>
      <c r="P127" s="14">
        <f>'A) Base RI'!L127</f>
        <v>1819024.25</v>
      </c>
      <c r="Q127" s="44">
        <f>'A) Base RI'!AR127</f>
        <v>0.7</v>
      </c>
      <c r="R127" s="4">
        <f t="shared" si="8"/>
        <v>41578356.861428574</v>
      </c>
      <c r="S127" s="43">
        <f>'A) Base RI'!AM127</f>
        <v>56</v>
      </c>
      <c r="T127" s="4">
        <f t="shared" si="9"/>
        <v>38852908.789999999</v>
      </c>
      <c r="U127" s="4">
        <f t="shared" si="10"/>
        <v>742470.65823979594</v>
      </c>
      <c r="V127" s="14">
        <f>'A) Base RI'!O127</f>
        <v>4657943.5</v>
      </c>
      <c r="W127" s="14">
        <f>'A) Base RI'!P127</f>
        <v>1204786.6499999999</v>
      </c>
      <c r="X127" s="14">
        <f>'A) Base RI'!R127</f>
        <v>1661257.1</v>
      </c>
      <c r="Y127" s="4">
        <f t="shared" si="11"/>
        <v>7523987.25</v>
      </c>
      <c r="Z127" s="14">
        <f>'A) Base RI'!N127</f>
        <v>83906.4</v>
      </c>
      <c r="AA127" s="14">
        <f>'A) Base RI'!S127+'A) Base RI'!T127</f>
        <v>881.25</v>
      </c>
      <c r="AB127" s="14">
        <f>'A) Base RI'!U127</f>
        <v>42100</v>
      </c>
      <c r="AC127" s="14">
        <f>'A) Base RI'!V127</f>
        <v>1039.7</v>
      </c>
      <c r="AD127" s="14">
        <f>'A) Base RI'!W127</f>
        <v>6175.65</v>
      </c>
      <c r="AE127" s="14">
        <f>'A) Base RI'!Y127</f>
        <v>701449.85</v>
      </c>
      <c r="AF127" s="14">
        <f>'A) Base RI'!Z127</f>
        <v>0</v>
      </c>
      <c r="AG127" s="14">
        <f>'A) Base RI'!AA127</f>
        <v>1222453.8500000001</v>
      </c>
      <c r="AH127" s="14">
        <f>'A) Base RI'!AB127</f>
        <v>0</v>
      </c>
      <c r="AI127" s="14">
        <f>'A) Base RI'!AC127</f>
        <v>1410853.32</v>
      </c>
      <c r="AJ127" s="14">
        <f>'A) Base RI'!AD127</f>
        <v>489724.1</v>
      </c>
      <c r="AK127" s="14">
        <f>'A) Base RI'!AE127</f>
        <v>0</v>
      </c>
      <c r="AL127" s="14">
        <f>'A) Base RI'!AF127</f>
        <v>0</v>
      </c>
      <c r="AM127" s="14">
        <f>'A) Base RI'!AG127</f>
        <v>13929.5</v>
      </c>
      <c r="AN127" s="14">
        <f>'A) Base RI'!AH127</f>
        <v>275297.95</v>
      </c>
      <c r="AO127" s="14">
        <f>'A) Base RI'!AI127</f>
        <v>196010.1</v>
      </c>
      <c r="AP127" s="14">
        <f>'A) Base RI'!AJ127</f>
        <v>78404.05</v>
      </c>
      <c r="AQ127" s="14">
        <f>'A) Base RI'!AK127</f>
        <v>0</v>
      </c>
      <c r="AR127" s="14">
        <f>'A) Base RI'!AN127</f>
        <v>9739</v>
      </c>
    </row>
    <row r="128" spans="1:44" x14ac:dyDescent="0.25">
      <c r="A128" s="12">
        <f>'A) Base RI'!A128</f>
        <v>5607</v>
      </c>
      <c r="B128" s="42" t="str">
        <f>'A) Base RI'!B128</f>
        <v>Puidoux</v>
      </c>
      <c r="C128" s="14">
        <f>'A) Base RI'!C128+'A) Base RI'!D128</f>
        <v>5243706.0199999996</v>
      </c>
      <c r="D128" s="14">
        <f>'A) Base RI'!AO128</f>
        <v>-101741.41</v>
      </c>
      <c r="E128" s="41">
        <f>'A) Base RI'!AP128</f>
        <v>0</v>
      </c>
      <c r="F128" s="41">
        <f>'A) Base RI'!AQ128</f>
        <v>-985.34</v>
      </c>
      <c r="G128" s="4">
        <f t="shared" si="6"/>
        <v>5140979.2699999996</v>
      </c>
      <c r="H128" s="14">
        <f>'A) Base RI'!E128</f>
        <v>0</v>
      </c>
      <c r="I128" s="14">
        <f>'A) Base RI'!F128</f>
        <v>0</v>
      </c>
      <c r="J128" s="14">
        <f>'A) Base RI'!G128+'A) Base RI'!H128</f>
        <v>757732.64999999991</v>
      </c>
      <c r="K128" s="14">
        <f>'A) Base RI'!I128</f>
        <v>76798</v>
      </c>
      <c r="L128" s="14">
        <f>'A) Base RI'!J128</f>
        <v>231266.95</v>
      </c>
      <c r="M128" s="14">
        <f>'A) Base RI'!K128</f>
        <v>52015.5</v>
      </c>
      <c r="N128" s="14">
        <f>'A) Base RI'!Q128</f>
        <v>54765.96</v>
      </c>
      <c r="O128" s="14">
        <f t="shared" si="7"/>
        <v>545089.08695652173</v>
      </c>
      <c r="P128" s="14">
        <f>'A) Base RI'!L128</f>
        <v>626852.44999999995</v>
      </c>
      <c r="Q128" s="44">
        <f>'A) Base RI'!AR128</f>
        <v>1.1499999999999999</v>
      </c>
      <c r="R128" s="4">
        <f t="shared" si="8"/>
        <v>6858647.4169565216</v>
      </c>
      <c r="S128" s="43">
        <f>'A) Base RI'!AM128</f>
        <v>68</v>
      </c>
      <c r="T128" s="4">
        <f t="shared" si="9"/>
        <v>6261542.8300000001</v>
      </c>
      <c r="U128" s="4">
        <f t="shared" si="10"/>
        <v>100862.46201406649</v>
      </c>
      <c r="V128" s="14">
        <f>'A) Base RI'!O128</f>
        <v>0</v>
      </c>
      <c r="W128" s="14">
        <f>'A) Base RI'!P128</f>
        <v>259202.2</v>
      </c>
      <c r="X128" s="14">
        <f>'A) Base RI'!R128</f>
        <v>172248.75</v>
      </c>
      <c r="Y128" s="4">
        <f t="shared" si="11"/>
        <v>431450.95</v>
      </c>
      <c r="Z128" s="14">
        <f>'A) Base RI'!N128</f>
        <v>140910.85</v>
      </c>
      <c r="AA128" s="14">
        <f>'A) Base RI'!S128+'A) Base RI'!T128</f>
        <v>218.75</v>
      </c>
      <c r="AB128" s="14">
        <f>'A) Base RI'!U128</f>
        <v>19550</v>
      </c>
      <c r="AC128" s="14">
        <f>'A) Base RI'!V128</f>
        <v>0</v>
      </c>
      <c r="AD128" s="14">
        <f>'A) Base RI'!W128</f>
        <v>0</v>
      </c>
      <c r="AE128" s="14">
        <f>'A) Base RI'!Y128</f>
        <v>105996.2</v>
      </c>
      <c r="AF128" s="14">
        <f>'A) Base RI'!Z128</f>
        <v>0</v>
      </c>
      <c r="AG128" s="14">
        <f>'A) Base RI'!AA128</f>
        <v>171676.85</v>
      </c>
      <c r="AH128" s="14">
        <f>'A) Base RI'!AB128</f>
        <v>322404</v>
      </c>
      <c r="AI128" s="14">
        <f>'A) Base RI'!AC128</f>
        <v>150523</v>
      </c>
      <c r="AJ128" s="14">
        <f>'A) Base RI'!AD128</f>
        <v>219766.9</v>
      </c>
      <c r="AK128" s="14">
        <f>'A) Base RI'!AE128</f>
        <v>0</v>
      </c>
      <c r="AL128" s="14">
        <f>'A) Base RI'!AF128</f>
        <v>0</v>
      </c>
      <c r="AM128" s="14">
        <f>'A) Base RI'!AG128</f>
        <v>43342</v>
      </c>
      <c r="AN128" s="14">
        <f>'A) Base RI'!AH128</f>
        <v>141845.45000000001</v>
      </c>
      <c r="AO128" s="14">
        <f>'A) Base RI'!AI128</f>
        <v>0</v>
      </c>
      <c r="AP128" s="14">
        <f>'A) Base RI'!AJ128</f>
        <v>0</v>
      </c>
      <c r="AQ128" s="14">
        <f>'A) Base RI'!AK128</f>
        <v>0</v>
      </c>
      <c r="AR128" s="14">
        <f>'A) Base RI'!AN128</f>
        <v>2858</v>
      </c>
    </row>
    <row r="129" spans="1:44" x14ac:dyDescent="0.25">
      <c r="A129" s="12">
        <f>'A) Base RI'!A129</f>
        <v>5609</v>
      </c>
      <c r="B129" s="42" t="str">
        <f>'A) Base RI'!B129</f>
        <v>Rivaz</v>
      </c>
      <c r="C129" s="14">
        <f>'A) Base RI'!C129+'A) Base RI'!D129</f>
        <v>949984.36</v>
      </c>
      <c r="D129" s="14">
        <f>'A) Base RI'!AO129</f>
        <v>-5364.15</v>
      </c>
      <c r="E129" s="41">
        <f>'A) Base RI'!AP129</f>
        <v>0</v>
      </c>
      <c r="F129" s="41">
        <f>'A) Base RI'!AQ129</f>
        <v>-162.15</v>
      </c>
      <c r="G129" s="4">
        <f t="shared" si="6"/>
        <v>944458.05999999994</v>
      </c>
      <c r="H129" s="14">
        <f>'A) Base RI'!E129</f>
        <v>0</v>
      </c>
      <c r="I129" s="14">
        <f>'A) Base RI'!F129</f>
        <v>0</v>
      </c>
      <c r="J129" s="14">
        <f>'A) Base RI'!G129+'A) Base RI'!H129</f>
        <v>21859.899999999998</v>
      </c>
      <c r="K129" s="14">
        <f>'A) Base RI'!I129</f>
        <v>0</v>
      </c>
      <c r="L129" s="14">
        <f>'A) Base RI'!J129</f>
        <v>7777.46</v>
      </c>
      <c r="M129" s="14">
        <f>'A) Base RI'!K129</f>
        <v>1366.5</v>
      </c>
      <c r="N129" s="14">
        <f>'A) Base RI'!Q129</f>
        <v>0</v>
      </c>
      <c r="O129" s="14">
        <f t="shared" si="7"/>
        <v>48300.6</v>
      </c>
      <c r="P129" s="14">
        <f>'A) Base RI'!L129</f>
        <v>48300.6</v>
      </c>
      <c r="Q129" s="44">
        <f>'A) Base RI'!AR129</f>
        <v>1</v>
      </c>
      <c r="R129" s="4">
        <f t="shared" si="8"/>
        <v>1023762.5199999999</v>
      </c>
      <c r="S129" s="43">
        <f>'A) Base RI'!AM129</f>
        <v>63.5</v>
      </c>
      <c r="T129" s="4">
        <f t="shared" si="9"/>
        <v>974095.41999999993</v>
      </c>
      <c r="U129" s="4">
        <f t="shared" si="10"/>
        <v>16122.244409448818</v>
      </c>
      <c r="V129" s="14">
        <f>'A) Base RI'!O129</f>
        <v>87719.9</v>
      </c>
      <c r="W129" s="14">
        <f>'A) Base RI'!P129</f>
        <v>9177.7000000000007</v>
      </c>
      <c r="X129" s="14">
        <f>'A) Base RI'!R129</f>
        <v>5781.25</v>
      </c>
      <c r="Y129" s="4">
        <f t="shared" si="11"/>
        <v>102678.84999999999</v>
      </c>
      <c r="Z129" s="14">
        <f>'A) Base RI'!N129</f>
        <v>0</v>
      </c>
      <c r="AA129" s="14">
        <f>'A) Base RI'!S129+'A) Base RI'!T129</f>
        <v>31.25</v>
      </c>
      <c r="AB129" s="14">
        <f>'A) Base RI'!U129</f>
        <v>600</v>
      </c>
      <c r="AC129" s="14">
        <f>'A) Base RI'!V129</f>
        <v>0</v>
      </c>
      <c r="AD129" s="14">
        <f>'A) Base RI'!W129</f>
        <v>0</v>
      </c>
      <c r="AE129" s="14">
        <f>'A) Base RI'!Y129</f>
        <v>0</v>
      </c>
      <c r="AF129" s="14">
        <f>'A) Base RI'!Z129</f>
        <v>0</v>
      </c>
      <c r="AG129" s="14">
        <f>'A) Base RI'!AA129</f>
        <v>33932</v>
      </c>
      <c r="AH129" s="14">
        <f>'A) Base RI'!AB129</f>
        <v>35437.300000000003</v>
      </c>
      <c r="AI129" s="14">
        <f>'A) Base RI'!AC129</f>
        <v>22928.76</v>
      </c>
      <c r="AJ129" s="14">
        <f>'A) Base RI'!AD129</f>
        <v>0</v>
      </c>
      <c r="AK129" s="14">
        <f>'A) Base RI'!AE129</f>
        <v>0</v>
      </c>
      <c r="AL129" s="14">
        <f>'A) Base RI'!AF129</f>
        <v>0</v>
      </c>
      <c r="AM129" s="14">
        <f>'A) Base RI'!AG129</f>
        <v>7706</v>
      </c>
      <c r="AN129" s="14">
        <f>'A) Base RI'!AH129</f>
        <v>6453.6</v>
      </c>
      <c r="AO129" s="14">
        <f>'A) Base RI'!AI129</f>
        <v>0</v>
      </c>
      <c r="AP129" s="14">
        <f>'A) Base RI'!AJ129</f>
        <v>0</v>
      </c>
      <c r="AQ129" s="14">
        <f>'A) Base RI'!AK129</f>
        <v>0</v>
      </c>
      <c r="AR129" s="14">
        <f>'A) Base RI'!AN129</f>
        <v>360</v>
      </c>
    </row>
    <row r="130" spans="1:44" x14ac:dyDescent="0.25">
      <c r="A130" s="12">
        <f>'A) Base RI'!A130</f>
        <v>5610</v>
      </c>
      <c r="B130" s="42" t="str">
        <f>'A) Base RI'!B130</f>
        <v>St-Saphorin (Lavaux)</v>
      </c>
      <c r="C130" s="14">
        <f>'A) Base RI'!C130+'A) Base RI'!D130</f>
        <v>1126331.27</v>
      </c>
      <c r="D130" s="14">
        <f>'A) Base RI'!AO130</f>
        <v>-12320.9</v>
      </c>
      <c r="E130" s="41">
        <f>'A) Base RI'!AP130</f>
        <v>0</v>
      </c>
      <c r="F130" s="41">
        <f>'A) Base RI'!AQ130</f>
        <v>-1251.57</v>
      </c>
      <c r="G130" s="4">
        <f t="shared" si="6"/>
        <v>1112758.8</v>
      </c>
      <c r="H130" s="14">
        <f>'A) Base RI'!E130</f>
        <v>0</v>
      </c>
      <c r="I130" s="14">
        <f>'A) Base RI'!F130</f>
        <v>0</v>
      </c>
      <c r="J130" s="14">
        <f>'A) Base RI'!G130+'A) Base RI'!H130</f>
        <v>8059.5</v>
      </c>
      <c r="K130" s="14">
        <f>'A) Base RI'!I130</f>
        <v>85888.15</v>
      </c>
      <c r="L130" s="14">
        <f>'A) Base RI'!J130</f>
        <v>9239.2000000000007</v>
      </c>
      <c r="M130" s="14">
        <f>'A) Base RI'!K130</f>
        <v>6587.5</v>
      </c>
      <c r="N130" s="14">
        <f>'A) Base RI'!Q130</f>
        <v>0</v>
      </c>
      <c r="O130" s="14">
        <f t="shared" si="7"/>
        <v>77885.05</v>
      </c>
      <c r="P130" s="14">
        <f>'A) Base RI'!L130</f>
        <v>77885.05</v>
      </c>
      <c r="Q130" s="44">
        <f>'A) Base RI'!AR130</f>
        <v>1</v>
      </c>
      <c r="R130" s="4">
        <f t="shared" si="8"/>
        <v>1300418.2</v>
      </c>
      <c r="S130" s="43">
        <f>'A) Base RI'!AM130</f>
        <v>62</v>
      </c>
      <c r="T130" s="4">
        <f t="shared" si="9"/>
        <v>1215945.6499999999</v>
      </c>
      <c r="U130" s="4">
        <f t="shared" si="10"/>
        <v>20974.487096774192</v>
      </c>
      <c r="V130" s="14">
        <f>'A) Base RI'!O130</f>
        <v>0</v>
      </c>
      <c r="W130" s="14">
        <f>'A) Base RI'!P130</f>
        <v>22106.05</v>
      </c>
      <c r="X130" s="14">
        <f>'A) Base RI'!R130</f>
        <v>29817.1</v>
      </c>
      <c r="Y130" s="4">
        <f t="shared" si="11"/>
        <v>51923.149999999994</v>
      </c>
      <c r="Z130" s="14">
        <f>'A) Base RI'!N130</f>
        <v>0</v>
      </c>
      <c r="AA130" s="14">
        <f>'A) Base RI'!S130+'A) Base RI'!T130</f>
        <v>62.5</v>
      </c>
      <c r="AB130" s="14">
        <f>'A) Base RI'!U130</f>
        <v>4425</v>
      </c>
      <c r="AC130" s="14">
        <f>'A) Base RI'!V130</f>
        <v>0</v>
      </c>
      <c r="AD130" s="14">
        <f>'A) Base RI'!W130</f>
        <v>0</v>
      </c>
      <c r="AE130" s="14">
        <f>'A) Base RI'!Y130</f>
        <v>9207.5</v>
      </c>
      <c r="AF130" s="14">
        <f>'A) Base RI'!Z130</f>
        <v>0</v>
      </c>
      <c r="AG130" s="14">
        <f>'A) Base RI'!AA130</f>
        <v>55602</v>
      </c>
      <c r="AH130" s="14">
        <f>'A) Base RI'!AB130</f>
        <v>0</v>
      </c>
      <c r="AI130" s="14">
        <f>'A) Base RI'!AC130</f>
        <v>0</v>
      </c>
      <c r="AJ130" s="14">
        <f>'A) Base RI'!AD130</f>
        <v>18415.05</v>
      </c>
      <c r="AK130" s="14">
        <f>'A) Base RI'!AE130</f>
        <v>0</v>
      </c>
      <c r="AL130" s="14">
        <f>'A) Base RI'!AF130</f>
        <v>0</v>
      </c>
      <c r="AM130" s="14">
        <f>'A) Base RI'!AG130</f>
        <v>0</v>
      </c>
      <c r="AN130" s="14">
        <f>'A) Base RI'!AH130</f>
        <v>0</v>
      </c>
      <c r="AO130" s="14">
        <f>'A) Base RI'!AI130</f>
        <v>0</v>
      </c>
      <c r="AP130" s="14">
        <f>'A) Base RI'!AJ130</f>
        <v>0</v>
      </c>
      <c r="AQ130" s="14">
        <f>'A) Base RI'!AK130</f>
        <v>0</v>
      </c>
      <c r="AR130" s="14">
        <f>'A) Base RI'!AN130</f>
        <v>383</v>
      </c>
    </row>
    <row r="131" spans="1:44" x14ac:dyDescent="0.25">
      <c r="A131" s="12">
        <f>'A) Base RI'!A131</f>
        <v>5611</v>
      </c>
      <c r="B131" s="42" t="str">
        <f>'A) Base RI'!B131</f>
        <v>Savigny</v>
      </c>
      <c r="C131" s="14">
        <f>'A) Base RI'!C131+'A) Base RI'!D131</f>
        <v>7430519.0699999994</v>
      </c>
      <c r="D131" s="14">
        <f>'A) Base RI'!AO131</f>
        <v>-156040.35999999999</v>
      </c>
      <c r="E131" s="41">
        <f>'A) Base RI'!AP131</f>
        <v>0</v>
      </c>
      <c r="F131" s="41">
        <f>'A) Base RI'!AQ131</f>
        <v>-869.8</v>
      </c>
      <c r="G131" s="4">
        <f t="shared" si="6"/>
        <v>7273608.9099999992</v>
      </c>
      <c r="H131" s="14">
        <f>'A) Base RI'!E131</f>
        <v>0</v>
      </c>
      <c r="I131" s="14">
        <f>'A) Base RI'!F131</f>
        <v>0</v>
      </c>
      <c r="J131" s="14">
        <f>'A) Base RI'!G131+'A) Base RI'!H131</f>
        <v>559544.4</v>
      </c>
      <c r="K131" s="14">
        <f>'A) Base RI'!I131</f>
        <v>43016.6</v>
      </c>
      <c r="L131" s="14">
        <f>'A) Base RI'!J131</f>
        <v>192844.12</v>
      </c>
      <c r="M131" s="14">
        <f>'A) Base RI'!K131</f>
        <v>16503</v>
      </c>
      <c r="N131" s="14">
        <f>'A) Base RI'!Q131</f>
        <v>43624.72</v>
      </c>
      <c r="O131" s="14">
        <f t="shared" si="7"/>
        <v>601789.5</v>
      </c>
      <c r="P131" s="14">
        <f>'A) Base RI'!L131</f>
        <v>601789.5</v>
      </c>
      <c r="Q131" s="44">
        <f>'A) Base RI'!AR131</f>
        <v>1</v>
      </c>
      <c r="R131" s="4">
        <f t="shared" si="8"/>
        <v>8730931.25</v>
      </c>
      <c r="S131" s="43">
        <f>'A) Base RI'!AM131</f>
        <v>67</v>
      </c>
      <c r="T131" s="4">
        <f t="shared" si="9"/>
        <v>8112638.7499999991</v>
      </c>
      <c r="U131" s="4">
        <f t="shared" si="10"/>
        <v>130312.40671641791</v>
      </c>
      <c r="V131" s="14">
        <f>'A) Base RI'!O131</f>
        <v>228645.4</v>
      </c>
      <c r="W131" s="14">
        <f>'A) Base RI'!P131</f>
        <v>286887.65000000002</v>
      </c>
      <c r="X131" s="14">
        <f>'A) Base RI'!R131</f>
        <v>303108.8</v>
      </c>
      <c r="Y131" s="4">
        <f t="shared" si="11"/>
        <v>818641.85000000009</v>
      </c>
      <c r="Z131" s="14">
        <f>'A) Base RI'!N131</f>
        <v>93366.8</v>
      </c>
      <c r="AA131" s="14">
        <f>'A) Base RI'!S131+'A) Base RI'!T131</f>
        <v>300</v>
      </c>
      <c r="AB131" s="14">
        <f>'A) Base RI'!U131</f>
        <v>21665</v>
      </c>
      <c r="AC131" s="14">
        <f>'A) Base RI'!V131</f>
        <v>2762.1</v>
      </c>
      <c r="AD131" s="14">
        <f>'A) Base RI'!W131</f>
        <v>0</v>
      </c>
      <c r="AE131" s="14">
        <f>'A) Base RI'!Y131</f>
        <v>94325.7</v>
      </c>
      <c r="AF131" s="14">
        <f>'A) Base RI'!Z131</f>
        <v>1072.8</v>
      </c>
      <c r="AG131" s="14">
        <f>'A) Base RI'!AA131</f>
        <v>0</v>
      </c>
      <c r="AH131" s="14">
        <f>'A) Base RI'!AB131</f>
        <v>0</v>
      </c>
      <c r="AI131" s="14">
        <f>'A) Base RI'!AC131</f>
        <v>310499.3</v>
      </c>
      <c r="AJ131" s="14">
        <f>'A) Base RI'!AD131</f>
        <v>12596.25</v>
      </c>
      <c r="AK131" s="14">
        <f>'A) Base RI'!AE131</f>
        <v>1783.1</v>
      </c>
      <c r="AL131" s="14">
        <f>'A) Base RI'!AF131</f>
        <v>0</v>
      </c>
      <c r="AM131" s="14">
        <f>'A) Base RI'!AG131</f>
        <v>0</v>
      </c>
      <c r="AN131" s="14">
        <f>'A) Base RI'!AH131</f>
        <v>0</v>
      </c>
      <c r="AO131" s="14">
        <f>'A) Base RI'!AI131</f>
        <v>0</v>
      </c>
      <c r="AP131" s="14">
        <f>'A) Base RI'!AJ131</f>
        <v>0</v>
      </c>
      <c r="AQ131" s="14">
        <f>'A) Base RI'!AK131</f>
        <v>0</v>
      </c>
      <c r="AR131" s="14">
        <f>'A) Base RI'!AN131</f>
        <v>3304</v>
      </c>
    </row>
    <row r="132" spans="1:44" x14ac:dyDescent="0.25">
      <c r="A132" s="12">
        <f>'A) Base RI'!A132</f>
        <v>5613</v>
      </c>
      <c r="B132" s="42" t="str">
        <f>'A) Base RI'!B132</f>
        <v>Bourg-en-Lavaux</v>
      </c>
      <c r="C132" s="14">
        <f>'A) Base RI'!C132+'A) Base RI'!D132</f>
        <v>16130488.289999999</v>
      </c>
      <c r="D132" s="14">
        <f>'A) Base RI'!AO132</f>
        <v>-149729.23000000001</v>
      </c>
      <c r="E132" s="41">
        <f>'A) Base RI'!AP132</f>
        <v>0</v>
      </c>
      <c r="F132" s="41">
        <f>'A) Base RI'!AQ132</f>
        <v>-8039.1</v>
      </c>
      <c r="G132" s="4">
        <f t="shared" si="6"/>
        <v>15972719.959999999</v>
      </c>
      <c r="H132" s="14">
        <f>'A) Base RI'!E132</f>
        <v>0</v>
      </c>
      <c r="I132" s="14">
        <f>'A) Base RI'!F132</f>
        <v>0</v>
      </c>
      <c r="J132" s="14">
        <f>'A) Base RI'!G132+'A) Base RI'!H132</f>
        <v>260035.80000000002</v>
      </c>
      <c r="K132" s="14">
        <f>'A) Base RI'!I132</f>
        <v>251209.32</v>
      </c>
      <c r="L132" s="14">
        <f>'A) Base RI'!J132</f>
        <v>274822.02</v>
      </c>
      <c r="M132" s="14">
        <f>'A) Base RI'!K132</f>
        <v>30839.5</v>
      </c>
      <c r="N132" s="14">
        <f>'A) Base RI'!Q132</f>
        <v>69854.11</v>
      </c>
      <c r="O132" s="14">
        <f t="shared" si="7"/>
        <v>1175711.5333333334</v>
      </c>
      <c r="P132" s="14">
        <f>'A) Base RI'!L132</f>
        <v>1763567.3</v>
      </c>
      <c r="Q132" s="44">
        <f>'A) Base RI'!AR132</f>
        <v>1.5</v>
      </c>
      <c r="R132" s="4">
        <f t="shared" si="8"/>
        <v>18035192.243333336</v>
      </c>
      <c r="S132" s="43">
        <f>'A) Base RI'!AM132</f>
        <v>61</v>
      </c>
      <c r="T132" s="4">
        <f t="shared" si="9"/>
        <v>16828641.210000001</v>
      </c>
      <c r="U132" s="4">
        <f t="shared" si="10"/>
        <v>295658.88923497271</v>
      </c>
      <c r="V132" s="14">
        <f>'A) Base RI'!O132</f>
        <v>630527.80000000005</v>
      </c>
      <c r="W132" s="14">
        <f>'A) Base RI'!P132</f>
        <v>954319.55</v>
      </c>
      <c r="X132" s="14">
        <f>'A) Base RI'!R132</f>
        <v>1037617</v>
      </c>
      <c r="Y132" s="4">
        <f t="shared" si="11"/>
        <v>2622464.35</v>
      </c>
      <c r="Z132" s="14">
        <f>'A) Base RI'!N132</f>
        <v>39091.699999999997</v>
      </c>
      <c r="AA132" s="14">
        <f>'A) Base RI'!S132+'A) Base RI'!T132</f>
        <v>425</v>
      </c>
      <c r="AB132" s="14">
        <f>'A) Base RI'!U132</f>
        <v>24100</v>
      </c>
      <c r="AC132" s="14">
        <f>'A) Base RI'!V132</f>
        <v>0</v>
      </c>
      <c r="AD132" s="14">
        <f>'A) Base RI'!W132</f>
        <v>0</v>
      </c>
      <c r="AE132" s="14">
        <f>'A) Base RI'!Y132</f>
        <v>-89470.399999999994</v>
      </c>
      <c r="AF132" s="14">
        <f>'A) Base RI'!Z132</f>
        <v>0</v>
      </c>
      <c r="AG132" s="14">
        <f>'A) Base RI'!AA132</f>
        <v>818821.6</v>
      </c>
      <c r="AH132" s="14">
        <f>'A) Base RI'!AB132</f>
        <v>340808</v>
      </c>
      <c r="AI132" s="14">
        <f>'A) Base RI'!AC132</f>
        <v>99730.35</v>
      </c>
      <c r="AJ132" s="14">
        <f>'A) Base RI'!AD132</f>
        <v>0</v>
      </c>
      <c r="AK132" s="14">
        <f>'A) Base RI'!AE132</f>
        <v>0</v>
      </c>
      <c r="AL132" s="14">
        <f>'A) Base RI'!AF132</f>
        <v>0</v>
      </c>
      <c r="AM132" s="14">
        <f>'A) Base RI'!AG132</f>
        <v>149780.04999999999</v>
      </c>
      <c r="AN132" s="14">
        <f>'A) Base RI'!AH132</f>
        <v>0</v>
      </c>
      <c r="AO132" s="14">
        <f>'A) Base RI'!AI132</f>
        <v>0</v>
      </c>
      <c r="AP132" s="14">
        <f>'A) Base RI'!AJ132</f>
        <v>0</v>
      </c>
      <c r="AQ132" s="14">
        <f>'A) Base RI'!AK132</f>
        <v>0</v>
      </c>
      <c r="AR132" s="14">
        <f>'A) Base RI'!AN132</f>
        <v>5247</v>
      </c>
    </row>
    <row r="133" spans="1:44" x14ac:dyDescent="0.25">
      <c r="A133" s="12">
        <f>'A) Base RI'!A133</f>
        <v>5621</v>
      </c>
      <c r="B133" s="42" t="str">
        <f>'A) Base RI'!B133</f>
        <v>Aclens</v>
      </c>
      <c r="C133" s="14">
        <f>'A) Base RI'!C133+'A) Base RI'!D133</f>
        <v>1103589.77</v>
      </c>
      <c r="D133" s="14">
        <f>'A) Base RI'!AO133</f>
        <v>-13453.91</v>
      </c>
      <c r="E133" s="41">
        <f>'A) Base RI'!AP133</f>
        <v>0</v>
      </c>
      <c r="F133" s="41">
        <f>'A) Base RI'!AQ133</f>
        <v>-228.54</v>
      </c>
      <c r="G133" s="4">
        <f t="shared" si="6"/>
        <v>1089907.32</v>
      </c>
      <c r="H133" s="14">
        <f>'A) Base RI'!E133</f>
        <v>0</v>
      </c>
      <c r="I133" s="14">
        <f>'A) Base RI'!F133</f>
        <v>0</v>
      </c>
      <c r="J133" s="14">
        <f>'A) Base RI'!G133+'A) Base RI'!H133</f>
        <v>652358.44999999995</v>
      </c>
      <c r="K133" s="14">
        <f>'A) Base RI'!I133</f>
        <v>0</v>
      </c>
      <c r="L133" s="14">
        <f>'A) Base RI'!J133</f>
        <v>64728.53</v>
      </c>
      <c r="M133" s="14">
        <f>'A) Base RI'!K133</f>
        <v>9076</v>
      </c>
      <c r="N133" s="14">
        <f>'A) Base RI'!Q133</f>
        <v>2344.4499999999998</v>
      </c>
      <c r="O133" s="14">
        <f t="shared" si="7"/>
        <v>274664.27272727271</v>
      </c>
      <c r="P133" s="14">
        <f>'A) Base RI'!L133</f>
        <v>302130.7</v>
      </c>
      <c r="Q133" s="44">
        <f>'A) Base RI'!AR133</f>
        <v>1.1000000000000001</v>
      </c>
      <c r="R133" s="4">
        <f t="shared" si="8"/>
        <v>2093079.0227272727</v>
      </c>
      <c r="S133" s="43">
        <f>'A) Base RI'!AM133</f>
        <v>62</v>
      </c>
      <c r="T133" s="4">
        <f t="shared" si="9"/>
        <v>1809338.75</v>
      </c>
      <c r="U133" s="4">
        <f t="shared" si="10"/>
        <v>33759.339076246331</v>
      </c>
      <c r="V133" s="14">
        <f>'A) Base RI'!O133</f>
        <v>2926.9</v>
      </c>
      <c r="W133" s="14">
        <f>'A) Base RI'!P133</f>
        <v>102534</v>
      </c>
      <c r="X133" s="14">
        <f>'A) Base RI'!R133</f>
        <v>56362.35</v>
      </c>
      <c r="Y133" s="4">
        <f t="shared" si="11"/>
        <v>161823.25</v>
      </c>
      <c r="Z133" s="14">
        <f>'A) Base RI'!N133</f>
        <v>144149.65</v>
      </c>
      <c r="AA133" s="14">
        <f>'A) Base RI'!S133+'A) Base RI'!T133</f>
        <v>650</v>
      </c>
      <c r="AB133" s="14">
        <f>'A) Base RI'!U133</f>
        <v>2880</v>
      </c>
      <c r="AC133" s="14">
        <f>'A) Base RI'!V133</f>
        <v>0</v>
      </c>
      <c r="AD133" s="14">
        <f>'A) Base RI'!W133</f>
        <v>0</v>
      </c>
      <c r="AE133" s="14">
        <f>'A) Base RI'!Y133</f>
        <v>9424</v>
      </c>
      <c r="AF133" s="14">
        <f>'A) Base RI'!Z133</f>
        <v>0</v>
      </c>
      <c r="AG133" s="14">
        <f>'A) Base RI'!AA133</f>
        <v>161635</v>
      </c>
      <c r="AH133" s="14">
        <f>'A) Base RI'!AB133</f>
        <v>0</v>
      </c>
      <c r="AI133" s="14">
        <f>'A) Base RI'!AC133</f>
        <v>41580</v>
      </c>
      <c r="AJ133" s="14">
        <f>'A) Base RI'!AD133</f>
        <v>14069</v>
      </c>
      <c r="AK133" s="14">
        <f>'A) Base RI'!AE133</f>
        <v>0</v>
      </c>
      <c r="AL133" s="14">
        <f>'A) Base RI'!AF133</f>
        <v>0</v>
      </c>
      <c r="AM133" s="14">
        <f>'A) Base RI'!AG133</f>
        <v>0</v>
      </c>
      <c r="AN133" s="14">
        <f>'A) Base RI'!AH133</f>
        <v>101948</v>
      </c>
      <c r="AO133" s="14">
        <f>'A) Base RI'!AI133</f>
        <v>0</v>
      </c>
      <c r="AP133" s="14">
        <f>'A) Base RI'!AJ133</f>
        <v>0</v>
      </c>
      <c r="AQ133" s="14">
        <f>'A) Base RI'!AK133</f>
        <v>0</v>
      </c>
      <c r="AR133" s="14">
        <f>'A) Base RI'!AN133</f>
        <v>528</v>
      </c>
    </row>
    <row r="134" spans="1:44" x14ac:dyDescent="0.25">
      <c r="A134" s="12">
        <f>'A) Base RI'!A134</f>
        <v>5622</v>
      </c>
      <c r="B134" s="42" t="str">
        <f>'A) Base RI'!B134</f>
        <v>Bremblens</v>
      </c>
      <c r="C134" s="14">
        <f>'A) Base RI'!C134+'A) Base RI'!D134</f>
        <v>1541988.85</v>
      </c>
      <c r="D134" s="14">
        <f>'A) Base RI'!AO134</f>
        <v>-160.82</v>
      </c>
      <c r="E134" s="41">
        <f>'A) Base RI'!AP134</f>
        <v>0</v>
      </c>
      <c r="F134" s="41">
        <f>'A) Base RI'!AQ134</f>
        <v>-25.93</v>
      </c>
      <c r="G134" s="4">
        <f t="shared" si="6"/>
        <v>1541802.1</v>
      </c>
      <c r="H134" s="14">
        <f>'A) Base RI'!E134</f>
        <v>0</v>
      </c>
      <c r="I134" s="14">
        <f>'A) Base RI'!F134</f>
        <v>0</v>
      </c>
      <c r="J134" s="14">
        <f>'A) Base RI'!G134+'A) Base RI'!H134</f>
        <v>178061.15</v>
      </c>
      <c r="K134" s="14">
        <f>'A) Base RI'!I134</f>
        <v>0</v>
      </c>
      <c r="L134" s="14">
        <f>'A) Base RI'!J134</f>
        <v>4017.66</v>
      </c>
      <c r="M134" s="14">
        <f>'A) Base RI'!K134</f>
        <v>4925</v>
      </c>
      <c r="N134" s="14">
        <f>'A) Base RI'!Q134</f>
        <v>1670.14</v>
      </c>
      <c r="O134" s="14">
        <f t="shared" si="7"/>
        <v>125859</v>
      </c>
      <c r="P134" s="14">
        <f>'A) Base RI'!L134</f>
        <v>125859</v>
      </c>
      <c r="Q134" s="44">
        <f>'A) Base RI'!AR134</f>
        <v>1</v>
      </c>
      <c r="R134" s="4">
        <f t="shared" si="8"/>
        <v>1856335.0499999998</v>
      </c>
      <c r="S134" s="43">
        <f>'A) Base RI'!AM134</f>
        <v>66</v>
      </c>
      <c r="T134" s="4">
        <f t="shared" si="9"/>
        <v>1725551.0499999998</v>
      </c>
      <c r="U134" s="4">
        <f t="shared" si="10"/>
        <v>28126.288636363635</v>
      </c>
      <c r="V134" s="14">
        <f>'A) Base RI'!O134</f>
        <v>0</v>
      </c>
      <c r="W134" s="14">
        <f>'A) Base RI'!P134</f>
        <v>30048.9</v>
      </c>
      <c r="X134" s="14">
        <f>'A) Base RI'!R134</f>
        <v>28011.7</v>
      </c>
      <c r="Y134" s="4">
        <f t="shared" si="11"/>
        <v>58060.600000000006</v>
      </c>
      <c r="Z134" s="14">
        <f>'A) Base RI'!N134</f>
        <v>28375.7</v>
      </c>
      <c r="AA134" s="14">
        <f>'A) Base RI'!S134+'A) Base RI'!T134</f>
        <v>0</v>
      </c>
      <c r="AB134" s="14">
        <f>'A) Base RI'!U134</f>
        <v>2260</v>
      </c>
      <c r="AC134" s="14">
        <f>'A) Base RI'!V134</f>
        <v>0</v>
      </c>
      <c r="AD134" s="14">
        <f>'A) Base RI'!W134</f>
        <v>0</v>
      </c>
      <c r="AE134" s="14">
        <f>'A) Base RI'!Y134</f>
        <v>19136.5</v>
      </c>
      <c r="AF134" s="14">
        <f>'A) Base RI'!Z134</f>
        <v>0</v>
      </c>
      <c r="AG134" s="14">
        <f>'A) Base RI'!AA134</f>
        <v>176668.65</v>
      </c>
      <c r="AH134" s="14">
        <f>'A) Base RI'!AB134</f>
        <v>0</v>
      </c>
      <c r="AI134" s="14">
        <f>'A) Base RI'!AC134</f>
        <v>63235.9</v>
      </c>
      <c r="AJ134" s="14">
        <f>'A) Base RI'!AD134</f>
        <v>17360</v>
      </c>
      <c r="AK134" s="14">
        <f>'A) Base RI'!AE134</f>
        <v>0</v>
      </c>
      <c r="AL134" s="14">
        <f>'A) Base RI'!AF134</f>
        <v>0</v>
      </c>
      <c r="AM134" s="14">
        <f>'A) Base RI'!AG134</f>
        <v>0</v>
      </c>
      <c r="AN134" s="14">
        <f>'A) Base RI'!AH134</f>
        <v>0</v>
      </c>
      <c r="AO134" s="14">
        <f>'A) Base RI'!AI134</f>
        <v>0</v>
      </c>
      <c r="AP134" s="14">
        <f>'A) Base RI'!AJ134</f>
        <v>0</v>
      </c>
      <c r="AQ134" s="14">
        <f>'A) Base RI'!AK134</f>
        <v>0</v>
      </c>
      <c r="AR134" s="14">
        <f>'A) Base RI'!AN134</f>
        <v>511</v>
      </c>
    </row>
    <row r="135" spans="1:44" x14ac:dyDescent="0.25">
      <c r="A135" s="12">
        <f>'A) Base RI'!A135</f>
        <v>5623</v>
      </c>
      <c r="B135" s="42" t="str">
        <f>'A) Base RI'!B135</f>
        <v>Buchillon</v>
      </c>
      <c r="C135" s="14">
        <f>'A) Base RI'!C135+'A) Base RI'!D135</f>
        <v>3888297.08</v>
      </c>
      <c r="D135" s="14">
        <f>'A) Base RI'!AO135</f>
        <v>-3359.29</v>
      </c>
      <c r="E135" s="41">
        <f>'A) Base RI'!AP135</f>
        <v>0</v>
      </c>
      <c r="F135" s="41">
        <f>'A) Base RI'!AQ135</f>
        <v>-19079.59</v>
      </c>
      <c r="G135" s="4">
        <f t="shared" si="6"/>
        <v>3865858.2</v>
      </c>
      <c r="H135" s="14">
        <f>'A) Base RI'!E135</f>
        <v>0</v>
      </c>
      <c r="I135" s="14">
        <f>'A) Base RI'!F135</f>
        <v>0</v>
      </c>
      <c r="J135" s="14">
        <f>'A) Base RI'!G135+'A) Base RI'!H135</f>
        <v>27707</v>
      </c>
      <c r="K135" s="14">
        <f>'A) Base RI'!I135</f>
        <v>208050</v>
      </c>
      <c r="L135" s="14">
        <f>'A) Base RI'!J135</f>
        <v>161990.88</v>
      </c>
      <c r="M135" s="14">
        <f>'A) Base RI'!K135</f>
        <v>3166.5</v>
      </c>
      <c r="N135" s="14">
        <f>'A) Base RI'!Q135</f>
        <v>-461.45</v>
      </c>
      <c r="O135" s="14">
        <f t="shared" si="7"/>
        <v>294103</v>
      </c>
      <c r="P135" s="14">
        <f>'A) Base RI'!L135</f>
        <v>235282.4</v>
      </c>
      <c r="Q135" s="44">
        <f>'A) Base RI'!AR135</f>
        <v>0.8</v>
      </c>
      <c r="R135" s="4">
        <f t="shared" si="8"/>
        <v>4560414.13</v>
      </c>
      <c r="S135" s="43">
        <f>'A) Base RI'!AM135</f>
        <v>53</v>
      </c>
      <c r="T135" s="4">
        <f t="shared" si="9"/>
        <v>4263144.63</v>
      </c>
      <c r="U135" s="4">
        <f t="shared" si="10"/>
        <v>86045.549622641513</v>
      </c>
      <c r="V135" s="14">
        <f>'A) Base RI'!O135</f>
        <v>182468.6</v>
      </c>
      <c r="W135" s="14">
        <f>'A) Base RI'!P135</f>
        <v>150588.95000000001</v>
      </c>
      <c r="X135" s="14">
        <f>'A) Base RI'!R135</f>
        <v>280376.7</v>
      </c>
      <c r="Y135" s="4">
        <f t="shared" si="11"/>
        <v>613434.25</v>
      </c>
      <c r="Z135" s="14">
        <f>'A) Base RI'!N135</f>
        <v>398.45</v>
      </c>
      <c r="AA135" s="14">
        <f>'A) Base RI'!S135+'A) Base RI'!T135</f>
        <v>750</v>
      </c>
      <c r="AB135" s="14">
        <f>'A) Base RI'!U135</f>
        <v>1137.5</v>
      </c>
      <c r="AC135" s="14">
        <f>'A) Base RI'!V135</f>
        <v>0</v>
      </c>
      <c r="AD135" s="14">
        <f>'A) Base RI'!W135</f>
        <v>0</v>
      </c>
      <c r="AE135" s="14">
        <f>'A) Base RI'!Y135</f>
        <v>-1616</v>
      </c>
      <c r="AF135" s="14">
        <f>'A) Base RI'!Z135</f>
        <v>0</v>
      </c>
      <c r="AG135" s="14">
        <f>'A) Base RI'!AA135</f>
        <v>143236.9</v>
      </c>
      <c r="AH135" s="14">
        <f>'A) Base RI'!AB135</f>
        <v>0</v>
      </c>
      <c r="AI135" s="14">
        <f>'A) Base RI'!AC135</f>
        <v>90088.4</v>
      </c>
      <c r="AJ135" s="14">
        <f>'A) Base RI'!AD135</f>
        <v>-1185.5</v>
      </c>
      <c r="AK135" s="14">
        <f>'A) Base RI'!AE135</f>
        <v>0</v>
      </c>
      <c r="AL135" s="14">
        <f>'A) Base RI'!AF135</f>
        <v>0</v>
      </c>
      <c r="AM135" s="14">
        <f>'A) Base RI'!AG135</f>
        <v>0</v>
      </c>
      <c r="AN135" s="14">
        <f>'A) Base RI'!AH135</f>
        <v>0</v>
      </c>
      <c r="AO135" s="14">
        <f>'A) Base RI'!AI135</f>
        <v>0</v>
      </c>
      <c r="AP135" s="14">
        <f>'A) Base RI'!AJ135</f>
        <v>0</v>
      </c>
      <c r="AQ135" s="14">
        <f>'A) Base RI'!AK135</f>
        <v>0</v>
      </c>
      <c r="AR135" s="14">
        <f>'A) Base RI'!AN135</f>
        <v>624</v>
      </c>
    </row>
    <row r="136" spans="1:44" x14ac:dyDescent="0.25">
      <c r="A136" s="12">
        <f>'A) Base RI'!A136</f>
        <v>5624</v>
      </c>
      <c r="B136" s="42" t="str">
        <f>'A) Base RI'!B136</f>
        <v>Bussigny</v>
      </c>
      <c r="C136" s="14">
        <f>'A) Base RI'!C136+'A) Base RI'!D136</f>
        <v>13028362.85</v>
      </c>
      <c r="D136" s="14">
        <f>'A) Base RI'!AO136</f>
        <v>-242520</v>
      </c>
      <c r="E136" s="41">
        <f>'A) Base RI'!AP136</f>
        <v>0</v>
      </c>
      <c r="F136" s="41">
        <f>'A) Base RI'!AQ136</f>
        <v>-20879.64</v>
      </c>
      <c r="G136" s="4">
        <f t="shared" ref="G136:G199" si="12">SUM(C136:F136)</f>
        <v>12764963.209999999</v>
      </c>
      <c r="H136" s="14">
        <f>'A) Base RI'!E136</f>
        <v>0</v>
      </c>
      <c r="I136" s="14">
        <f>'A) Base RI'!F136</f>
        <v>0</v>
      </c>
      <c r="J136" s="14">
        <f>'A) Base RI'!G136+'A) Base RI'!H136</f>
        <v>3899055.2600000002</v>
      </c>
      <c r="K136" s="14">
        <f>'A) Base RI'!I136</f>
        <v>0</v>
      </c>
      <c r="L136" s="14">
        <f>'A) Base RI'!J136</f>
        <v>785335.9</v>
      </c>
      <c r="M136" s="14">
        <f>'A) Base RI'!K136</f>
        <v>164076.5</v>
      </c>
      <c r="N136" s="14">
        <f>'A) Base RI'!Q136</f>
        <v>51983.07</v>
      </c>
      <c r="O136" s="14">
        <f t="shared" ref="O136:O199" si="13">(P136/Q136)*1</f>
        <v>1689426</v>
      </c>
      <c r="P136" s="14">
        <f>'A) Base RI'!L136</f>
        <v>1689426</v>
      </c>
      <c r="Q136" s="44">
        <f>'A) Base RI'!AR136</f>
        <v>1</v>
      </c>
      <c r="R136" s="4">
        <f t="shared" ref="R136:R199" si="14">SUM(G136:O136)</f>
        <v>19354839.939999998</v>
      </c>
      <c r="S136" s="43">
        <f>'A) Base RI'!AM136</f>
        <v>62</v>
      </c>
      <c r="T136" s="4">
        <f t="shared" ref="T136:T199" si="15">(G136+H136+J136+K136+L136+N136)</f>
        <v>17501337.439999998</v>
      </c>
      <c r="U136" s="4">
        <f t="shared" ref="U136:U199" si="16">R136/S136</f>
        <v>312174.83774193545</v>
      </c>
      <c r="V136" s="14">
        <f>'A) Base RI'!O136</f>
        <v>2229859.7999999998</v>
      </c>
      <c r="W136" s="14">
        <f>'A) Base RI'!P136</f>
        <v>1395907.4</v>
      </c>
      <c r="X136" s="14">
        <f>'A) Base RI'!R136</f>
        <v>882876.7</v>
      </c>
      <c r="Y136" s="4">
        <f t="shared" ref="Y136:Y199" si="17">SUM(V136:X136)</f>
        <v>4508643.8999999994</v>
      </c>
      <c r="Z136" s="14">
        <f>'A) Base RI'!N136</f>
        <v>1218010.7</v>
      </c>
      <c r="AA136" s="14">
        <f>'A) Base RI'!S136+'A) Base RI'!T136</f>
        <v>0</v>
      </c>
      <c r="AB136" s="14">
        <f>'A) Base RI'!U136</f>
        <v>30400</v>
      </c>
      <c r="AC136" s="14">
        <f>'A) Base RI'!V136</f>
        <v>0</v>
      </c>
      <c r="AD136" s="14">
        <f>'A) Base RI'!W136</f>
        <v>0</v>
      </c>
      <c r="AE136" s="14">
        <f>'A) Base RI'!Y136</f>
        <v>1123292.8500000001</v>
      </c>
      <c r="AF136" s="14">
        <f>'A) Base RI'!Z136</f>
        <v>0</v>
      </c>
      <c r="AG136" s="14">
        <f>'A) Base RI'!AA136</f>
        <v>1490047.82</v>
      </c>
      <c r="AH136" s="14">
        <f>'A) Base RI'!AB136</f>
        <v>0</v>
      </c>
      <c r="AI136" s="14">
        <f>'A) Base RI'!AC136</f>
        <v>942515.4</v>
      </c>
      <c r="AJ136" s="14">
        <f>'A) Base RI'!AD136</f>
        <v>723360</v>
      </c>
      <c r="AK136" s="14">
        <f>'A) Base RI'!AE136</f>
        <v>0</v>
      </c>
      <c r="AL136" s="14">
        <f>'A) Base RI'!AF136</f>
        <v>0</v>
      </c>
      <c r="AM136" s="14">
        <f>'A) Base RI'!AG136</f>
        <v>256397.7</v>
      </c>
      <c r="AN136" s="14">
        <f>'A) Base RI'!AH136</f>
        <v>496502.65</v>
      </c>
      <c r="AO136" s="14">
        <f>'A) Base RI'!AI136</f>
        <v>0</v>
      </c>
      <c r="AP136" s="14">
        <f>'A) Base RI'!AJ136</f>
        <v>0</v>
      </c>
      <c r="AQ136" s="14">
        <f>'A) Base RI'!AK136</f>
        <v>0</v>
      </c>
      <c r="AR136" s="14">
        <f>'A) Base RI'!AN136</f>
        <v>8215</v>
      </c>
    </row>
    <row r="137" spans="1:44" x14ac:dyDescent="0.25">
      <c r="A137" s="12">
        <f>'A) Base RI'!A137</f>
        <v>5625</v>
      </c>
      <c r="B137" s="42" t="str">
        <f>'A) Base RI'!B137</f>
        <v>Bussy-Chardonney</v>
      </c>
      <c r="C137" s="14">
        <f>'A) Base RI'!C137+'A) Base RI'!D137</f>
        <v>1128105.5900000001</v>
      </c>
      <c r="D137" s="14">
        <f>'A) Base RI'!AO137</f>
        <v>-48.01</v>
      </c>
      <c r="E137" s="41">
        <f>'A) Base RI'!AP137</f>
        <v>0</v>
      </c>
      <c r="F137" s="41">
        <f>'A) Base RI'!AQ137</f>
        <v>0</v>
      </c>
      <c r="G137" s="4">
        <f t="shared" si="12"/>
        <v>1128057.58</v>
      </c>
      <c r="H137" s="14">
        <f>'A) Base RI'!E137</f>
        <v>0</v>
      </c>
      <c r="I137" s="14">
        <f>'A) Base RI'!F137</f>
        <v>0</v>
      </c>
      <c r="J137" s="14">
        <f>'A) Base RI'!G137+'A) Base RI'!H137</f>
        <v>9637.5</v>
      </c>
      <c r="K137" s="14">
        <f>'A) Base RI'!I137</f>
        <v>49537.55</v>
      </c>
      <c r="L137" s="14">
        <f>'A) Base RI'!J137</f>
        <v>-14334.28</v>
      </c>
      <c r="M137" s="14">
        <f>'A) Base RI'!K137</f>
        <v>5595</v>
      </c>
      <c r="N137" s="14">
        <f>'A) Base RI'!Q137</f>
        <v>0</v>
      </c>
      <c r="O137" s="14">
        <f t="shared" si="13"/>
        <v>82970.791666666672</v>
      </c>
      <c r="P137" s="14">
        <f>'A) Base RI'!L137</f>
        <v>99564.95</v>
      </c>
      <c r="Q137" s="44">
        <f>'A) Base RI'!AR137</f>
        <v>1.2</v>
      </c>
      <c r="R137" s="4">
        <f t="shared" si="14"/>
        <v>1261464.1416666668</v>
      </c>
      <c r="S137" s="43">
        <f>'A) Base RI'!AM137</f>
        <v>78</v>
      </c>
      <c r="T137" s="4">
        <f t="shared" si="15"/>
        <v>1172898.3500000001</v>
      </c>
      <c r="U137" s="4">
        <f t="shared" si="16"/>
        <v>16172.617200854704</v>
      </c>
      <c r="V137" s="14">
        <f>'A) Base RI'!O137</f>
        <v>0</v>
      </c>
      <c r="W137" s="14">
        <f>'A) Base RI'!P137</f>
        <v>46750</v>
      </c>
      <c r="X137" s="14">
        <f>'A) Base RI'!R137</f>
        <v>56465.7</v>
      </c>
      <c r="Y137" s="4">
        <f t="shared" si="17"/>
        <v>103215.7</v>
      </c>
      <c r="Z137" s="14">
        <f>'A) Base RI'!N137</f>
        <v>0</v>
      </c>
      <c r="AA137" s="14">
        <f>'A) Base RI'!S137+'A) Base RI'!T137</f>
        <v>1700</v>
      </c>
      <c r="AB137" s="14">
        <f>'A) Base RI'!U137</f>
        <v>760</v>
      </c>
      <c r="AC137" s="14">
        <f>'A) Base RI'!V137</f>
        <v>0</v>
      </c>
      <c r="AD137" s="14">
        <f>'A) Base RI'!W137</f>
        <v>0</v>
      </c>
      <c r="AE137" s="14">
        <f>'A) Base RI'!Y137</f>
        <v>0</v>
      </c>
      <c r="AF137" s="14">
        <f>'A) Base RI'!Z137</f>
        <v>0</v>
      </c>
      <c r="AG137" s="14">
        <f>'A) Base RI'!AA137</f>
        <v>56704.2</v>
      </c>
      <c r="AH137" s="14">
        <f>'A) Base RI'!AB137</f>
        <v>0</v>
      </c>
      <c r="AI137" s="14">
        <f>'A) Base RI'!AC137</f>
        <v>43705.65</v>
      </c>
      <c r="AJ137" s="14">
        <f>'A) Base RI'!AD137</f>
        <v>0</v>
      </c>
      <c r="AK137" s="14">
        <f>'A) Base RI'!AE137</f>
        <v>0</v>
      </c>
      <c r="AL137" s="14">
        <f>'A) Base RI'!AF137</f>
        <v>0</v>
      </c>
      <c r="AM137" s="14">
        <f>'A) Base RI'!AG137</f>
        <v>0</v>
      </c>
      <c r="AN137" s="14">
        <f>'A) Base RI'!AH137</f>
        <v>0</v>
      </c>
      <c r="AO137" s="14">
        <f>'A) Base RI'!AI137</f>
        <v>0</v>
      </c>
      <c r="AP137" s="14">
        <f>'A) Base RI'!AJ137</f>
        <v>0</v>
      </c>
      <c r="AQ137" s="14">
        <f>'A) Base RI'!AK137</f>
        <v>0</v>
      </c>
      <c r="AR137" s="14">
        <f>'A) Base RI'!AN137</f>
        <v>377</v>
      </c>
    </row>
    <row r="138" spans="1:44" x14ac:dyDescent="0.25">
      <c r="A138" s="12">
        <f>'A) Base RI'!A138</f>
        <v>5627</v>
      </c>
      <c r="B138" s="42" t="str">
        <f>'A) Base RI'!B138</f>
        <v>Chavannes-près-Renens</v>
      </c>
      <c r="C138" s="14">
        <f>'A) Base RI'!C138+'A) Base RI'!D138</f>
        <v>10149434.76</v>
      </c>
      <c r="D138" s="14">
        <f>'A) Base RI'!AO138</f>
        <v>-459715.05</v>
      </c>
      <c r="E138" s="41">
        <f>'A) Base RI'!AP138</f>
        <v>0</v>
      </c>
      <c r="F138" s="41">
        <f>'A) Base RI'!AQ138</f>
        <v>-398.83</v>
      </c>
      <c r="G138" s="4">
        <f t="shared" si="12"/>
        <v>9689320.879999999</v>
      </c>
      <c r="H138" s="14">
        <f>'A) Base RI'!E138</f>
        <v>0</v>
      </c>
      <c r="I138" s="14">
        <f>'A) Base RI'!F138</f>
        <v>0</v>
      </c>
      <c r="J138" s="14">
        <f>'A) Base RI'!G138+'A) Base RI'!H138</f>
        <v>974027.7</v>
      </c>
      <c r="K138" s="14">
        <f>'A) Base RI'!I138</f>
        <v>0</v>
      </c>
      <c r="L138" s="14">
        <f>'A) Base RI'!J138</f>
        <v>1052456.1299999999</v>
      </c>
      <c r="M138" s="14">
        <f>'A) Base RI'!K138</f>
        <v>223872</v>
      </c>
      <c r="N138" s="14">
        <f>'A) Base RI'!Q138</f>
        <v>117131.63</v>
      </c>
      <c r="O138" s="14">
        <f t="shared" si="13"/>
        <v>781633.53333333333</v>
      </c>
      <c r="P138" s="14">
        <f>'A) Base RI'!L138</f>
        <v>1172450.3</v>
      </c>
      <c r="Q138" s="44">
        <f>'A) Base RI'!AR138</f>
        <v>1.5</v>
      </c>
      <c r="R138" s="4">
        <f t="shared" si="14"/>
        <v>12838441.873333331</v>
      </c>
      <c r="S138" s="43">
        <f>'A) Base RI'!AM138</f>
        <v>79</v>
      </c>
      <c r="T138" s="4">
        <f t="shared" si="15"/>
        <v>11832936.339999998</v>
      </c>
      <c r="U138" s="4">
        <f t="shared" si="16"/>
        <v>162511.92244725736</v>
      </c>
      <c r="V138" s="14">
        <f>'A) Base RI'!O138</f>
        <v>30787.5</v>
      </c>
      <c r="W138" s="14">
        <f>'A) Base RI'!P138</f>
        <v>262184.05</v>
      </c>
      <c r="X138" s="14">
        <f>'A) Base RI'!R138</f>
        <v>92715.35</v>
      </c>
      <c r="Y138" s="4">
        <f t="shared" si="17"/>
        <v>385686.9</v>
      </c>
      <c r="Z138" s="14">
        <f>'A) Base RI'!N138</f>
        <v>422979.5</v>
      </c>
      <c r="AA138" s="14">
        <f>'A) Base RI'!S138+'A) Base RI'!T138</f>
        <v>0</v>
      </c>
      <c r="AB138" s="14">
        <f>'A) Base RI'!U138</f>
        <v>27675</v>
      </c>
      <c r="AC138" s="14">
        <f>'A) Base RI'!V138</f>
        <v>1707</v>
      </c>
      <c r="AD138" s="14">
        <f>'A) Base RI'!W138</f>
        <v>2636.2</v>
      </c>
      <c r="AE138" s="14">
        <f>'A) Base RI'!Y138</f>
        <v>255368.55</v>
      </c>
      <c r="AF138" s="14">
        <f>'A) Base RI'!Z138</f>
        <v>0</v>
      </c>
      <c r="AG138" s="14">
        <f>'A) Base RI'!AA138</f>
        <v>564924.15</v>
      </c>
      <c r="AH138" s="14">
        <f>'A) Base RI'!AB138</f>
        <v>0</v>
      </c>
      <c r="AI138" s="14">
        <f>'A) Base RI'!AC138</f>
        <v>394626.2</v>
      </c>
      <c r="AJ138" s="14">
        <f>'A) Base RI'!AD138</f>
        <v>0</v>
      </c>
      <c r="AK138" s="14">
        <f>'A) Base RI'!AE138</f>
        <v>0</v>
      </c>
      <c r="AL138" s="14">
        <f>'A) Base RI'!AF138</f>
        <v>0</v>
      </c>
      <c r="AM138" s="14">
        <f>'A) Base RI'!AG138</f>
        <v>18435.259999999998</v>
      </c>
      <c r="AN138" s="14">
        <f>'A) Base RI'!AH138</f>
        <v>0</v>
      </c>
      <c r="AO138" s="14">
        <f>'A) Base RI'!AI138</f>
        <v>0</v>
      </c>
      <c r="AP138" s="14">
        <f>'A) Base RI'!AJ138</f>
        <v>0</v>
      </c>
      <c r="AQ138" s="14">
        <f>'A) Base RI'!AK138</f>
        <v>0</v>
      </c>
      <c r="AR138" s="14">
        <f>'A) Base RI'!AN138</f>
        <v>7374</v>
      </c>
    </row>
    <row r="139" spans="1:44" x14ac:dyDescent="0.25">
      <c r="A139" s="12">
        <f>'A) Base RI'!A139</f>
        <v>5628</v>
      </c>
      <c r="B139" s="42" t="str">
        <f>'A) Base RI'!B139</f>
        <v>Chigny</v>
      </c>
      <c r="C139" s="14">
        <f>'A) Base RI'!C139+'A) Base RI'!D139</f>
        <v>1064224.6000000001</v>
      </c>
      <c r="D139" s="14">
        <f>'A) Base RI'!AO139</f>
        <v>-6182.63</v>
      </c>
      <c r="E139" s="41">
        <f>'A) Base RI'!AP139</f>
        <v>0</v>
      </c>
      <c r="F139" s="41">
        <f>'A) Base RI'!AQ139</f>
        <v>0</v>
      </c>
      <c r="G139" s="4">
        <f t="shared" si="12"/>
        <v>1058041.9700000002</v>
      </c>
      <c r="H139" s="14">
        <f>'A) Base RI'!E139</f>
        <v>0</v>
      </c>
      <c r="I139" s="14">
        <f>'A) Base RI'!F139</f>
        <v>0</v>
      </c>
      <c r="J139" s="14">
        <f>'A) Base RI'!G139+'A) Base RI'!H139</f>
        <v>14916.2</v>
      </c>
      <c r="K139" s="14">
        <f>'A) Base RI'!I139</f>
        <v>0</v>
      </c>
      <c r="L139" s="14">
        <f>'A) Base RI'!J139</f>
        <v>21649.25</v>
      </c>
      <c r="M139" s="14">
        <f>'A) Base RI'!K139</f>
        <v>859.5</v>
      </c>
      <c r="N139" s="14">
        <f>'A) Base RI'!Q139</f>
        <v>5148.6499999999996</v>
      </c>
      <c r="O139" s="14">
        <f t="shared" si="13"/>
        <v>81369.6875</v>
      </c>
      <c r="P139" s="14">
        <f>'A) Base RI'!L139</f>
        <v>65095.75</v>
      </c>
      <c r="Q139" s="44">
        <f>'A) Base RI'!AR139</f>
        <v>0.8</v>
      </c>
      <c r="R139" s="4">
        <f t="shared" si="14"/>
        <v>1181985.2575000001</v>
      </c>
      <c r="S139" s="43">
        <f>'A) Base RI'!AM139</f>
        <v>62</v>
      </c>
      <c r="T139" s="4">
        <f t="shared" si="15"/>
        <v>1099756.07</v>
      </c>
      <c r="U139" s="4">
        <f t="shared" si="16"/>
        <v>19064.278346774194</v>
      </c>
      <c r="V139" s="14">
        <f>'A) Base RI'!O139</f>
        <v>0</v>
      </c>
      <c r="W139" s="14">
        <f>'A) Base RI'!P139</f>
        <v>0</v>
      </c>
      <c r="X139" s="14">
        <f>'A) Base RI'!R139</f>
        <v>0</v>
      </c>
      <c r="Y139" s="4">
        <f t="shared" si="17"/>
        <v>0</v>
      </c>
      <c r="Z139" s="14">
        <f>'A) Base RI'!N139</f>
        <v>4636.45</v>
      </c>
      <c r="AA139" s="14">
        <f>'A) Base RI'!S139+'A) Base RI'!T139</f>
        <v>0</v>
      </c>
      <c r="AB139" s="14">
        <f>'A) Base RI'!U139</f>
        <v>0</v>
      </c>
      <c r="AC139" s="14">
        <f>'A) Base RI'!V139</f>
        <v>0</v>
      </c>
      <c r="AD139" s="14">
        <f>'A) Base RI'!W139</f>
        <v>0</v>
      </c>
      <c r="AE139" s="14">
        <f>'A) Base RI'!Y139</f>
        <v>15075</v>
      </c>
      <c r="AF139" s="14">
        <f>'A) Base RI'!Z139</f>
        <v>1917</v>
      </c>
      <c r="AG139" s="14">
        <f>'A) Base RI'!AA139</f>
        <v>66407.8</v>
      </c>
      <c r="AH139" s="14">
        <f>'A) Base RI'!AB139</f>
        <v>0</v>
      </c>
      <c r="AI139" s="14">
        <f>'A) Base RI'!AC139</f>
        <v>20526.7</v>
      </c>
      <c r="AJ139" s="14">
        <f>'A) Base RI'!AD139</f>
        <v>0</v>
      </c>
      <c r="AK139" s="14">
        <f>'A) Base RI'!AE139</f>
        <v>0</v>
      </c>
      <c r="AL139" s="14">
        <f>'A) Base RI'!AF139</f>
        <v>0</v>
      </c>
      <c r="AM139" s="14">
        <f>'A) Base RI'!AG139</f>
        <v>0</v>
      </c>
      <c r="AN139" s="14">
        <f>'A) Base RI'!AH139</f>
        <v>7632.35</v>
      </c>
      <c r="AO139" s="14">
        <f>'A) Base RI'!AI139</f>
        <v>0</v>
      </c>
      <c r="AP139" s="14">
        <f>'A) Base RI'!AJ139</f>
        <v>0</v>
      </c>
      <c r="AQ139" s="14">
        <f>'A) Base RI'!AK139</f>
        <v>0</v>
      </c>
      <c r="AR139" s="14">
        <f>'A) Base RI'!AN139</f>
        <v>331</v>
      </c>
    </row>
    <row r="140" spans="1:44" x14ac:dyDescent="0.25">
      <c r="A140" s="12">
        <f>'A) Base RI'!A140</f>
        <v>5629</v>
      </c>
      <c r="B140" s="42" t="str">
        <f>'A) Base RI'!B140</f>
        <v>Clarmont</v>
      </c>
      <c r="C140" s="14">
        <f>'A) Base RI'!C140+'A) Base RI'!D140</f>
        <v>540513.88</v>
      </c>
      <c r="D140" s="14">
        <f>'A) Base RI'!AO140</f>
        <v>-10.87</v>
      </c>
      <c r="E140" s="41">
        <f>'A) Base RI'!AP140</f>
        <v>0</v>
      </c>
      <c r="F140" s="41">
        <f>'A) Base RI'!AQ140</f>
        <v>0</v>
      </c>
      <c r="G140" s="4">
        <f t="shared" si="12"/>
        <v>540503.01</v>
      </c>
      <c r="H140" s="14">
        <f>'A) Base RI'!E140</f>
        <v>0</v>
      </c>
      <c r="I140" s="14">
        <f>'A) Base RI'!F140</f>
        <v>0</v>
      </c>
      <c r="J140" s="14">
        <f>'A) Base RI'!G140+'A) Base RI'!H140</f>
        <v>-925.50000000000011</v>
      </c>
      <c r="K140" s="14">
        <f>'A) Base RI'!I140</f>
        <v>0</v>
      </c>
      <c r="L140" s="14">
        <f>'A) Base RI'!J140</f>
        <v>-1380.18</v>
      </c>
      <c r="M140" s="14">
        <f>'A) Base RI'!K140</f>
        <v>458</v>
      </c>
      <c r="N140" s="14">
        <f>'A) Base RI'!Q140</f>
        <v>969</v>
      </c>
      <c r="O140" s="14">
        <f t="shared" si="13"/>
        <v>29018.1</v>
      </c>
      <c r="P140" s="14">
        <f>'A) Base RI'!L140</f>
        <v>29018.1</v>
      </c>
      <c r="Q140" s="44">
        <f>'A) Base RI'!AR140</f>
        <v>1</v>
      </c>
      <c r="R140" s="4">
        <f t="shared" si="14"/>
        <v>568642.42999999993</v>
      </c>
      <c r="S140" s="43">
        <f>'A) Base RI'!AM140</f>
        <v>75</v>
      </c>
      <c r="T140" s="4">
        <f t="shared" si="15"/>
        <v>539166.32999999996</v>
      </c>
      <c r="U140" s="4">
        <f t="shared" si="16"/>
        <v>7581.8990666666659</v>
      </c>
      <c r="V140" s="14">
        <f>'A) Base RI'!O140</f>
        <v>0</v>
      </c>
      <c r="W140" s="14">
        <f>'A) Base RI'!P140</f>
        <v>990</v>
      </c>
      <c r="X140" s="14">
        <f>'A) Base RI'!R140</f>
        <v>20246</v>
      </c>
      <c r="Y140" s="4">
        <f t="shared" si="17"/>
        <v>21236</v>
      </c>
      <c r="Z140" s="14">
        <f>'A) Base RI'!N140</f>
        <v>0</v>
      </c>
      <c r="AA140" s="14">
        <f>'A) Base RI'!S140+'A) Base RI'!T140</f>
        <v>0</v>
      </c>
      <c r="AB140" s="14">
        <f>'A) Base RI'!U140</f>
        <v>450</v>
      </c>
      <c r="AC140" s="14">
        <f>'A) Base RI'!V140</f>
        <v>0</v>
      </c>
      <c r="AD140" s="14">
        <f>'A) Base RI'!W140</f>
        <v>0</v>
      </c>
      <c r="AE140" s="14">
        <f>'A) Base RI'!Y140</f>
        <v>28108.6</v>
      </c>
      <c r="AF140" s="14">
        <f>'A) Base RI'!Z140</f>
        <v>0</v>
      </c>
      <c r="AG140" s="14">
        <f>'A) Base RI'!AA140</f>
        <v>34753.5</v>
      </c>
      <c r="AH140" s="14">
        <f>'A) Base RI'!AB140</f>
        <v>0</v>
      </c>
      <c r="AI140" s="14">
        <f>'A) Base RI'!AC140</f>
        <v>13255.85</v>
      </c>
      <c r="AJ140" s="14">
        <f>'A) Base RI'!AD140</f>
        <v>22121.7</v>
      </c>
      <c r="AK140" s="14">
        <f>'A) Base RI'!AE140</f>
        <v>0</v>
      </c>
      <c r="AL140" s="14">
        <f>'A) Base RI'!AF140</f>
        <v>0</v>
      </c>
      <c r="AM140" s="14">
        <f>'A) Base RI'!AG140</f>
        <v>0</v>
      </c>
      <c r="AN140" s="14">
        <f>'A) Base RI'!AH140</f>
        <v>0</v>
      </c>
      <c r="AO140" s="14">
        <f>'A) Base RI'!AI140</f>
        <v>0</v>
      </c>
      <c r="AP140" s="14">
        <f>'A) Base RI'!AJ140</f>
        <v>0</v>
      </c>
      <c r="AQ140" s="14">
        <f>'A) Base RI'!AK140</f>
        <v>0</v>
      </c>
      <c r="AR140" s="14">
        <f>'A) Base RI'!AN140</f>
        <v>160</v>
      </c>
    </row>
    <row r="141" spans="1:44" x14ac:dyDescent="0.25">
      <c r="A141" s="12">
        <f>'A) Base RI'!A141</f>
        <v>5631</v>
      </c>
      <c r="B141" s="42" t="str">
        <f>'A) Base RI'!B141</f>
        <v>Denens</v>
      </c>
      <c r="C141" s="14">
        <f>'A) Base RI'!C141+'A) Base RI'!D141</f>
        <v>1968646.2</v>
      </c>
      <c r="D141" s="14">
        <f>'A) Base RI'!AO141</f>
        <v>-28557.16</v>
      </c>
      <c r="E141" s="41">
        <f>'A) Base RI'!AP141</f>
        <v>0</v>
      </c>
      <c r="F141" s="41">
        <f>'A) Base RI'!AQ141</f>
        <v>-1508.4</v>
      </c>
      <c r="G141" s="4">
        <f t="shared" si="12"/>
        <v>1938580.6400000001</v>
      </c>
      <c r="H141" s="14">
        <f>'A) Base RI'!E141</f>
        <v>0</v>
      </c>
      <c r="I141" s="14">
        <f>'A) Base RI'!F141</f>
        <v>0</v>
      </c>
      <c r="J141" s="14">
        <f>'A) Base RI'!G141+'A) Base RI'!H141</f>
        <v>42046.1</v>
      </c>
      <c r="K141" s="14">
        <f>'A) Base RI'!I141</f>
        <v>107078.8</v>
      </c>
      <c r="L141" s="14">
        <f>'A) Base RI'!J141</f>
        <v>67396.210000000006</v>
      </c>
      <c r="M141" s="14">
        <f>'A) Base RI'!K141</f>
        <v>2290</v>
      </c>
      <c r="N141" s="14">
        <f>'A) Base RI'!Q141</f>
        <v>0</v>
      </c>
      <c r="O141" s="14">
        <f t="shared" si="13"/>
        <v>169456.7</v>
      </c>
      <c r="P141" s="14">
        <f>'A) Base RI'!L141</f>
        <v>169456.7</v>
      </c>
      <c r="Q141" s="44">
        <f>'A) Base RI'!AR141</f>
        <v>1</v>
      </c>
      <c r="R141" s="4">
        <f t="shared" si="14"/>
        <v>2326848.4500000007</v>
      </c>
      <c r="S141" s="43">
        <f>'A) Base RI'!AM141</f>
        <v>68</v>
      </c>
      <c r="T141" s="4">
        <f t="shared" si="15"/>
        <v>2155101.7500000005</v>
      </c>
      <c r="U141" s="4">
        <f t="shared" si="16"/>
        <v>34218.35955882354</v>
      </c>
      <c r="V141" s="14">
        <f>'A) Base RI'!O141</f>
        <v>83000</v>
      </c>
      <c r="W141" s="14">
        <f>'A) Base RI'!P141</f>
        <v>176193.6</v>
      </c>
      <c r="X141" s="14">
        <f>'A) Base RI'!R141</f>
        <v>288956.84999999998</v>
      </c>
      <c r="Y141" s="4">
        <f t="shared" si="17"/>
        <v>548150.44999999995</v>
      </c>
      <c r="Z141" s="14">
        <f>'A) Base RI'!N141</f>
        <v>0</v>
      </c>
      <c r="AA141" s="14">
        <f>'A) Base RI'!S141+'A) Base RI'!T141</f>
        <v>762.5</v>
      </c>
      <c r="AB141" s="14">
        <f>'A) Base RI'!U141</f>
        <v>1350</v>
      </c>
      <c r="AC141" s="14">
        <f>'A) Base RI'!V141</f>
        <v>0</v>
      </c>
      <c r="AD141" s="14">
        <f>'A) Base RI'!W141</f>
        <v>0</v>
      </c>
      <c r="AE141" s="14">
        <f>'A) Base RI'!Y141</f>
        <v>82025.600000000006</v>
      </c>
      <c r="AF141" s="14">
        <f>'A) Base RI'!Z141</f>
        <v>0</v>
      </c>
      <c r="AG141" s="14">
        <f>'A) Base RI'!AA141</f>
        <v>116557.7</v>
      </c>
      <c r="AH141" s="14">
        <f>'A) Base RI'!AB141</f>
        <v>0</v>
      </c>
      <c r="AI141" s="14">
        <f>'A) Base RI'!AC141</f>
        <v>45189.9</v>
      </c>
      <c r="AJ141" s="14">
        <f>'A) Base RI'!AD141</f>
        <v>0</v>
      </c>
      <c r="AK141" s="14">
        <f>'A) Base RI'!AE141</f>
        <v>0</v>
      </c>
      <c r="AL141" s="14">
        <f>'A) Base RI'!AF141</f>
        <v>0</v>
      </c>
      <c r="AM141" s="14">
        <f>'A) Base RI'!AG141</f>
        <v>0</v>
      </c>
      <c r="AN141" s="14">
        <f>'A) Base RI'!AH141</f>
        <v>0</v>
      </c>
      <c r="AO141" s="14">
        <f>'A) Base RI'!AI141</f>
        <v>0</v>
      </c>
      <c r="AP141" s="14">
        <f>'A) Base RI'!AJ141</f>
        <v>0</v>
      </c>
      <c r="AQ141" s="14">
        <f>'A) Base RI'!AK141</f>
        <v>0</v>
      </c>
      <c r="AR141" s="14">
        <f>'A) Base RI'!AN141</f>
        <v>714</v>
      </c>
    </row>
    <row r="142" spans="1:44" x14ac:dyDescent="0.25">
      <c r="A142" s="12">
        <f>'A) Base RI'!A142</f>
        <v>5632</v>
      </c>
      <c r="B142" s="42" t="str">
        <f>'A) Base RI'!B142</f>
        <v>Denges</v>
      </c>
      <c r="C142" s="14">
        <f>'A) Base RI'!C142+'A) Base RI'!D142</f>
        <v>3728600.9299999997</v>
      </c>
      <c r="D142" s="14">
        <f>'A) Base RI'!AO142</f>
        <v>-104862.68</v>
      </c>
      <c r="E142" s="41">
        <f>'A) Base RI'!AP142</f>
        <v>0</v>
      </c>
      <c r="F142" s="41">
        <f>'A) Base RI'!AQ142</f>
        <v>-314.43</v>
      </c>
      <c r="G142" s="4">
        <f t="shared" si="12"/>
        <v>3623423.8199999994</v>
      </c>
      <c r="H142" s="14">
        <f>'A) Base RI'!E142</f>
        <v>0</v>
      </c>
      <c r="I142" s="14">
        <f>'A) Base RI'!F142</f>
        <v>0</v>
      </c>
      <c r="J142" s="14">
        <f>'A) Base RI'!G142+'A) Base RI'!H142</f>
        <v>224631.25</v>
      </c>
      <c r="K142" s="14">
        <f>'A) Base RI'!I142</f>
        <v>0</v>
      </c>
      <c r="L142" s="14">
        <f>'A) Base RI'!J142</f>
        <v>141070.09</v>
      </c>
      <c r="M142" s="14">
        <f>'A) Base RI'!K142</f>
        <v>24259.5</v>
      </c>
      <c r="N142" s="14">
        <f>'A) Base RI'!Q142</f>
        <v>44285.74</v>
      </c>
      <c r="O142" s="14">
        <f t="shared" si="13"/>
        <v>319504.75</v>
      </c>
      <c r="P142" s="14">
        <f>'A) Base RI'!L142</f>
        <v>319504.75</v>
      </c>
      <c r="Q142" s="44">
        <f>'A) Base RI'!AR142</f>
        <v>1</v>
      </c>
      <c r="R142" s="4">
        <f t="shared" si="14"/>
        <v>4377175.1499999994</v>
      </c>
      <c r="S142" s="43">
        <f>'A) Base RI'!AM142</f>
        <v>62</v>
      </c>
      <c r="T142" s="4">
        <f t="shared" si="15"/>
        <v>4033410.8999999994</v>
      </c>
      <c r="U142" s="4">
        <f t="shared" si="16"/>
        <v>70599.599193548376</v>
      </c>
      <c r="V142" s="14">
        <f>'A) Base RI'!O142</f>
        <v>14846</v>
      </c>
      <c r="W142" s="14">
        <f>'A) Base RI'!P142</f>
        <v>147242.9</v>
      </c>
      <c r="X142" s="14">
        <f>'A) Base RI'!R142</f>
        <v>89450.3</v>
      </c>
      <c r="Y142" s="4">
        <f t="shared" si="17"/>
        <v>251539.20000000001</v>
      </c>
      <c r="Z142" s="14">
        <f>'A) Base RI'!N142</f>
        <v>63740.2</v>
      </c>
      <c r="AA142" s="14">
        <f>'A) Base RI'!S142+'A) Base RI'!T142</f>
        <v>0</v>
      </c>
      <c r="AB142" s="14">
        <f>'A) Base RI'!U142</f>
        <v>4025</v>
      </c>
      <c r="AC142" s="14">
        <f>'A) Base RI'!V142</f>
        <v>0</v>
      </c>
      <c r="AD142" s="14">
        <f>'A) Base RI'!W142</f>
        <v>0</v>
      </c>
      <c r="AE142" s="14">
        <f>'A) Base RI'!Y142</f>
        <v>10505</v>
      </c>
      <c r="AF142" s="14">
        <f>'A) Base RI'!Z142</f>
        <v>5422.3</v>
      </c>
      <c r="AG142" s="14">
        <f>'A) Base RI'!AA142</f>
        <v>217412.7</v>
      </c>
      <c r="AH142" s="14">
        <f>'A) Base RI'!AB142</f>
        <v>74135.5</v>
      </c>
      <c r="AI142" s="14">
        <f>'A) Base RI'!AC142</f>
        <v>110330</v>
      </c>
      <c r="AJ142" s="14">
        <f>'A) Base RI'!AD142</f>
        <v>0</v>
      </c>
      <c r="AK142" s="14">
        <f>'A) Base RI'!AE142</f>
        <v>0</v>
      </c>
      <c r="AL142" s="14">
        <f>'A) Base RI'!AF142</f>
        <v>0</v>
      </c>
      <c r="AM142" s="14">
        <f>'A) Base RI'!AG142</f>
        <v>0</v>
      </c>
      <c r="AN142" s="14">
        <f>'A) Base RI'!AH142</f>
        <v>57772.800000000003</v>
      </c>
      <c r="AO142" s="14">
        <f>'A) Base RI'!AI142</f>
        <v>0</v>
      </c>
      <c r="AP142" s="14">
        <f>'A) Base RI'!AJ142</f>
        <v>0</v>
      </c>
      <c r="AQ142" s="14">
        <f>'A) Base RI'!AK142</f>
        <v>0</v>
      </c>
      <c r="AR142" s="14">
        <f>'A) Base RI'!AN142</f>
        <v>1651</v>
      </c>
    </row>
    <row r="143" spans="1:44" x14ac:dyDescent="0.25">
      <c r="A143" s="12">
        <f>'A) Base RI'!A143</f>
        <v>5633</v>
      </c>
      <c r="B143" s="42" t="str">
        <f>'A) Base RI'!B143</f>
        <v>Echandens</v>
      </c>
      <c r="C143" s="14">
        <f>'A) Base RI'!C143+'A) Base RI'!D143</f>
        <v>6479333.5</v>
      </c>
      <c r="D143" s="14">
        <f>'A) Base RI'!AO143</f>
        <v>-42049.3</v>
      </c>
      <c r="E143" s="41">
        <f>'A) Base RI'!AP143</f>
        <v>0</v>
      </c>
      <c r="F143" s="41">
        <f>'A) Base RI'!AQ143</f>
        <v>0</v>
      </c>
      <c r="G143" s="4">
        <f t="shared" si="12"/>
        <v>6437284.2000000002</v>
      </c>
      <c r="H143" s="14">
        <f>'A) Base RI'!E143</f>
        <v>0</v>
      </c>
      <c r="I143" s="14">
        <f>'A) Base RI'!F143</f>
        <v>0</v>
      </c>
      <c r="J143" s="14">
        <f>'A) Base RI'!G143+'A) Base RI'!H143</f>
        <v>757330.9</v>
      </c>
      <c r="K143" s="14">
        <f>'A) Base RI'!I143</f>
        <v>0</v>
      </c>
      <c r="L143" s="14">
        <f>'A) Base RI'!J143</f>
        <v>-128977.85</v>
      </c>
      <c r="M143" s="14">
        <f>'A) Base RI'!K143</f>
        <v>21130</v>
      </c>
      <c r="N143" s="14">
        <f>'A) Base RI'!Q143</f>
        <v>8110.75</v>
      </c>
      <c r="O143" s="14">
        <f t="shared" si="13"/>
        <v>531956.30000000005</v>
      </c>
      <c r="P143" s="14">
        <f>'A) Base RI'!L143</f>
        <v>531956.30000000005</v>
      </c>
      <c r="Q143" s="44">
        <f>'A) Base RI'!AR143</f>
        <v>1</v>
      </c>
      <c r="R143" s="4">
        <f t="shared" si="14"/>
        <v>7626834.3000000007</v>
      </c>
      <c r="S143" s="43">
        <f>'A) Base RI'!AM143</f>
        <v>62</v>
      </c>
      <c r="T143" s="4">
        <f t="shared" si="15"/>
        <v>7073748.0000000009</v>
      </c>
      <c r="U143" s="4">
        <f t="shared" si="16"/>
        <v>123013.45645161292</v>
      </c>
      <c r="V143" s="14">
        <f>'A) Base RI'!O143</f>
        <v>51762.7</v>
      </c>
      <c r="W143" s="14">
        <f>'A) Base RI'!P143</f>
        <v>377820.75</v>
      </c>
      <c r="X143" s="14">
        <f>'A) Base RI'!R143</f>
        <v>153567.75</v>
      </c>
      <c r="Y143" s="4">
        <f t="shared" si="17"/>
        <v>583151.19999999995</v>
      </c>
      <c r="Z143" s="14">
        <f>'A) Base RI'!N143</f>
        <v>151361.35</v>
      </c>
      <c r="AA143" s="14">
        <f>'A) Base RI'!S143+'A) Base RI'!T143</f>
        <v>2670</v>
      </c>
      <c r="AB143" s="14">
        <f>'A) Base RI'!U143</f>
        <v>8082</v>
      </c>
      <c r="AC143" s="14">
        <f>'A) Base RI'!V143</f>
        <v>0</v>
      </c>
      <c r="AD143" s="14">
        <f>'A) Base RI'!W143</f>
        <v>0</v>
      </c>
      <c r="AE143" s="14">
        <f>'A) Base RI'!Y143</f>
        <v>148800</v>
      </c>
      <c r="AF143" s="14">
        <f>'A) Base RI'!Z143</f>
        <v>0</v>
      </c>
      <c r="AG143" s="14">
        <f>'A) Base RI'!AA143</f>
        <v>377290.47</v>
      </c>
      <c r="AH143" s="14">
        <f>'A) Base RI'!AB143</f>
        <v>0</v>
      </c>
      <c r="AI143" s="14">
        <f>'A) Base RI'!AC143</f>
        <v>130217.2</v>
      </c>
      <c r="AJ143" s="14">
        <f>'A) Base RI'!AD143</f>
        <v>0</v>
      </c>
      <c r="AK143" s="14">
        <f>'A) Base RI'!AE143</f>
        <v>0</v>
      </c>
      <c r="AL143" s="14">
        <f>'A) Base RI'!AF143</f>
        <v>0</v>
      </c>
      <c r="AM143" s="14">
        <f>'A) Base RI'!AG143</f>
        <v>0</v>
      </c>
      <c r="AN143" s="14">
        <f>'A) Base RI'!AH143</f>
        <v>0</v>
      </c>
      <c r="AO143" s="14">
        <f>'A) Base RI'!AI143</f>
        <v>0</v>
      </c>
      <c r="AP143" s="14">
        <f>'A) Base RI'!AJ143</f>
        <v>0</v>
      </c>
      <c r="AQ143" s="14">
        <f>'A) Base RI'!AK143</f>
        <v>0</v>
      </c>
      <c r="AR143" s="14">
        <f>'A) Base RI'!AN143</f>
        <v>2631</v>
      </c>
    </row>
    <row r="144" spans="1:44" x14ac:dyDescent="0.25">
      <c r="A144" s="12">
        <f>'A) Base RI'!A144</f>
        <v>5634</v>
      </c>
      <c r="B144" s="42" t="str">
        <f>'A) Base RI'!B144</f>
        <v>Echichens</v>
      </c>
      <c r="C144" s="14">
        <f>'A) Base RI'!C144+'A) Base RI'!D144</f>
        <v>7498825.4900000002</v>
      </c>
      <c r="D144" s="14">
        <f>'A) Base RI'!AO144</f>
        <v>-22422.2</v>
      </c>
      <c r="E144" s="41">
        <f>'A) Base RI'!AP144</f>
        <v>0</v>
      </c>
      <c r="F144" s="41">
        <f>'A) Base RI'!AQ144</f>
        <v>-1041.8800000000001</v>
      </c>
      <c r="G144" s="4">
        <f t="shared" si="12"/>
        <v>7475361.4100000001</v>
      </c>
      <c r="H144" s="14">
        <f>'A) Base RI'!E144</f>
        <v>0</v>
      </c>
      <c r="I144" s="14">
        <f>'A) Base RI'!F144</f>
        <v>0</v>
      </c>
      <c r="J144" s="14">
        <f>'A) Base RI'!G144+'A) Base RI'!H144</f>
        <v>146226.25</v>
      </c>
      <c r="K144" s="14">
        <f>'A) Base RI'!I144</f>
        <v>56786.5</v>
      </c>
      <c r="L144" s="14">
        <f>'A) Base RI'!J144</f>
        <v>94492.26</v>
      </c>
      <c r="M144" s="14">
        <f>'A) Base RI'!K144</f>
        <v>15918.5</v>
      </c>
      <c r="N144" s="14">
        <f>'A) Base RI'!Q144</f>
        <v>4932.6499999999996</v>
      </c>
      <c r="O144" s="14">
        <f t="shared" si="13"/>
        <v>479176.15</v>
      </c>
      <c r="P144" s="14">
        <f>'A) Base RI'!L144</f>
        <v>479176.15</v>
      </c>
      <c r="Q144" s="44">
        <f>'A) Base RI'!AR144</f>
        <v>1</v>
      </c>
      <c r="R144" s="4">
        <f t="shared" si="14"/>
        <v>8272893.7200000007</v>
      </c>
      <c r="S144" s="43">
        <f>'A) Base RI'!AM144</f>
        <v>68</v>
      </c>
      <c r="T144" s="4">
        <f t="shared" si="15"/>
        <v>7777799.0700000003</v>
      </c>
      <c r="U144" s="4">
        <f t="shared" si="16"/>
        <v>121660.2017647059</v>
      </c>
      <c r="V144" s="14">
        <f>'A) Base RI'!O144</f>
        <v>72319</v>
      </c>
      <c r="W144" s="14">
        <f>'A) Base RI'!P144</f>
        <v>260831.95</v>
      </c>
      <c r="X144" s="14">
        <f>'A) Base RI'!R144</f>
        <v>163959.54999999999</v>
      </c>
      <c r="Y144" s="4">
        <f t="shared" si="17"/>
        <v>497110.5</v>
      </c>
      <c r="Z144" s="14">
        <f>'A) Base RI'!N144</f>
        <v>12832.1</v>
      </c>
      <c r="AA144" s="14">
        <f>'A) Base RI'!S144+'A) Base RI'!T144</f>
        <v>1397</v>
      </c>
      <c r="AB144" s="14">
        <f>'A) Base RI'!U144</f>
        <v>7485</v>
      </c>
      <c r="AC144" s="14">
        <f>'A) Base RI'!V144</f>
        <v>0</v>
      </c>
      <c r="AD144" s="14">
        <f>'A) Base RI'!W144</f>
        <v>0</v>
      </c>
      <c r="AE144" s="14">
        <f>'A) Base RI'!Y144</f>
        <v>145114.9</v>
      </c>
      <c r="AF144" s="14">
        <f>'A) Base RI'!Z144</f>
        <v>0</v>
      </c>
      <c r="AG144" s="14">
        <f>'A) Base RI'!AA144</f>
        <v>530023.19999999995</v>
      </c>
      <c r="AH144" s="14">
        <f>'A) Base RI'!AB144</f>
        <v>0</v>
      </c>
      <c r="AI144" s="14">
        <f>'A) Base RI'!AC144</f>
        <v>173497.35</v>
      </c>
      <c r="AJ144" s="14">
        <f>'A) Base RI'!AD144</f>
        <v>96414.9</v>
      </c>
      <c r="AK144" s="14">
        <f>'A) Base RI'!AE144</f>
        <v>0</v>
      </c>
      <c r="AL144" s="14">
        <f>'A) Base RI'!AF144</f>
        <v>0</v>
      </c>
      <c r="AM144" s="14">
        <f>'A) Base RI'!AG144</f>
        <v>0</v>
      </c>
      <c r="AN144" s="14">
        <f>'A) Base RI'!AH144</f>
        <v>0</v>
      </c>
      <c r="AO144" s="14">
        <f>'A) Base RI'!AI144</f>
        <v>0</v>
      </c>
      <c r="AP144" s="14">
        <f>'A) Base RI'!AJ144</f>
        <v>0</v>
      </c>
      <c r="AQ144" s="14">
        <f>'A) Base RI'!AK144</f>
        <v>0</v>
      </c>
      <c r="AR144" s="14">
        <f>'A) Base RI'!AN144</f>
        <v>2585</v>
      </c>
    </row>
    <row r="145" spans="1:44" x14ac:dyDescent="0.25">
      <c r="A145" s="12">
        <f>'A) Base RI'!A145</f>
        <v>5635</v>
      </c>
      <c r="B145" s="42" t="str">
        <f>'A) Base RI'!B145</f>
        <v>Ecublens</v>
      </c>
      <c r="C145" s="14">
        <f>'A) Base RI'!C145+'A) Base RI'!D145</f>
        <v>20891931.629999999</v>
      </c>
      <c r="D145" s="14">
        <f>'A) Base RI'!AO145</f>
        <v>-248471.89</v>
      </c>
      <c r="E145" s="41">
        <f>'A) Base RI'!AP145</f>
        <v>0</v>
      </c>
      <c r="F145" s="41">
        <f>'A) Base RI'!AQ145</f>
        <v>-3623.97</v>
      </c>
      <c r="G145" s="4">
        <f t="shared" si="12"/>
        <v>20639835.77</v>
      </c>
      <c r="H145" s="14">
        <f>'A) Base RI'!E145</f>
        <v>0</v>
      </c>
      <c r="I145" s="14">
        <f>'A) Base RI'!F145</f>
        <v>0</v>
      </c>
      <c r="J145" s="14">
        <f>'A) Base RI'!G145+'A) Base RI'!H145</f>
        <v>4512256.05</v>
      </c>
      <c r="K145" s="14">
        <f>'A) Base RI'!I145</f>
        <v>-58726.91</v>
      </c>
      <c r="L145" s="14">
        <f>'A) Base RI'!J145</f>
        <v>1743764.18</v>
      </c>
      <c r="M145" s="14">
        <f>'A) Base RI'!K145</f>
        <v>237347.5</v>
      </c>
      <c r="N145" s="14">
        <f>'A) Base RI'!Q145</f>
        <v>86771.46</v>
      </c>
      <c r="O145" s="14">
        <f t="shared" si="13"/>
        <v>1984192.4736842108</v>
      </c>
      <c r="P145" s="14">
        <f>'A) Base RI'!L145</f>
        <v>1884982.85</v>
      </c>
      <c r="Q145" s="44">
        <f>'A) Base RI'!AR145</f>
        <v>0.95</v>
      </c>
      <c r="R145" s="4">
        <f t="shared" si="14"/>
        <v>29145440.523684211</v>
      </c>
      <c r="S145" s="43">
        <f>'A) Base RI'!AM145</f>
        <v>62</v>
      </c>
      <c r="T145" s="4">
        <f t="shared" si="15"/>
        <v>26923900.550000001</v>
      </c>
      <c r="U145" s="4">
        <f t="shared" si="16"/>
        <v>470087.75038200343</v>
      </c>
      <c r="V145" s="14">
        <f>'A) Base RI'!O145</f>
        <v>161281.29999999999</v>
      </c>
      <c r="W145" s="14">
        <f>'A) Base RI'!P145</f>
        <v>399090.4</v>
      </c>
      <c r="X145" s="14">
        <f>'A) Base RI'!R145</f>
        <v>376309.45</v>
      </c>
      <c r="Y145" s="4">
        <f t="shared" si="17"/>
        <v>936681.14999999991</v>
      </c>
      <c r="Z145" s="14">
        <f>'A) Base RI'!N145</f>
        <v>1941766.45</v>
      </c>
      <c r="AA145" s="14">
        <f>'A) Base RI'!S145+'A) Base RI'!T145</f>
        <v>47721.05</v>
      </c>
      <c r="AB145" s="14">
        <f>'A) Base RI'!U145</f>
        <v>39600</v>
      </c>
      <c r="AC145" s="14">
        <f>'A) Base RI'!V145</f>
        <v>98831.07</v>
      </c>
      <c r="AD145" s="14">
        <f>'A) Base RI'!W145</f>
        <v>0</v>
      </c>
      <c r="AE145" s="14">
        <f>'A) Base RI'!Y145</f>
        <v>137542.5</v>
      </c>
      <c r="AF145" s="14">
        <f>'A) Base RI'!Z145</f>
        <v>0</v>
      </c>
      <c r="AG145" s="14">
        <f>'A) Base RI'!AA145</f>
        <v>1388926.96</v>
      </c>
      <c r="AH145" s="14">
        <f>'A) Base RI'!AB145</f>
        <v>0</v>
      </c>
      <c r="AI145" s="14">
        <f>'A) Base RI'!AC145</f>
        <v>1270065.6000000001</v>
      </c>
      <c r="AJ145" s="14">
        <f>'A) Base RI'!AD145</f>
        <v>0</v>
      </c>
      <c r="AK145" s="14">
        <f>'A) Base RI'!AE145</f>
        <v>0</v>
      </c>
      <c r="AL145" s="14">
        <f>'A) Base RI'!AF145</f>
        <v>0</v>
      </c>
      <c r="AM145" s="14">
        <f>'A) Base RI'!AG145</f>
        <v>323157.5</v>
      </c>
      <c r="AN145" s="14">
        <f>'A) Base RI'!AH145</f>
        <v>1134285.1000000001</v>
      </c>
      <c r="AO145" s="14">
        <f>'A) Base RI'!AI145</f>
        <v>0</v>
      </c>
      <c r="AP145" s="14">
        <f>'A) Base RI'!AJ145</f>
        <v>0</v>
      </c>
      <c r="AQ145" s="14">
        <f>'A) Base RI'!AK145</f>
        <v>162040.5</v>
      </c>
      <c r="AR145" s="14">
        <f>'A) Base RI'!AN145</f>
        <v>12288</v>
      </c>
    </row>
    <row r="146" spans="1:44" x14ac:dyDescent="0.25">
      <c r="A146" s="12">
        <f>'A) Base RI'!A146</f>
        <v>5636</v>
      </c>
      <c r="B146" s="42" t="str">
        <f>'A) Base RI'!B146</f>
        <v>Etoy</v>
      </c>
      <c r="C146" s="14">
        <f>'A) Base RI'!C146+'A) Base RI'!D146</f>
        <v>6522245.0499999998</v>
      </c>
      <c r="D146" s="14">
        <f>'A) Base RI'!AO146</f>
        <v>-36164.75</v>
      </c>
      <c r="E146" s="41">
        <f>'A) Base RI'!AP146</f>
        <v>0</v>
      </c>
      <c r="F146" s="41">
        <f>'A) Base RI'!AQ146</f>
        <v>-5651.85</v>
      </c>
      <c r="G146" s="4">
        <f t="shared" si="12"/>
        <v>6480428.4500000002</v>
      </c>
      <c r="H146" s="14">
        <f>'A) Base RI'!E146</f>
        <v>0</v>
      </c>
      <c r="I146" s="14">
        <f>'A) Base RI'!F146</f>
        <v>0</v>
      </c>
      <c r="J146" s="14">
        <f>'A) Base RI'!G146+'A) Base RI'!H146</f>
        <v>1589566.05</v>
      </c>
      <c r="K146" s="14">
        <f>'A) Base RI'!I146</f>
        <v>68348.100000000006</v>
      </c>
      <c r="L146" s="14">
        <f>'A) Base RI'!J146</f>
        <v>441345.13</v>
      </c>
      <c r="M146" s="14">
        <f>'A) Base RI'!K146</f>
        <v>101585</v>
      </c>
      <c r="N146" s="14">
        <f>'A) Base RI'!Q146</f>
        <v>10612.7</v>
      </c>
      <c r="O146" s="14">
        <f t="shared" si="13"/>
        <v>993636.15</v>
      </c>
      <c r="P146" s="14">
        <f>'A) Base RI'!L146</f>
        <v>993636.15</v>
      </c>
      <c r="Q146" s="44">
        <f>'A) Base RI'!AR146</f>
        <v>1</v>
      </c>
      <c r="R146" s="4">
        <f t="shared" si="14"/>
        <v>9685521.5800000001</v>
      </c>
      <c r="S146" s="43">
        <f>'A) Base RI'!AM146</f>
        <v>61</v>
      </c>
      <c r="T146" s="4">
        <f t="shared" si="15"/>
        <v>8590300.4299999997</v>
      </c>
      <c r="U146" s="4">
        <f t="shared" si="16"/>
        <v>158779.04229508198</v>
      </c>
      <c r="V146" s="14">
        <f>'A) Base RI'!O146</f>
        <v>71537.399999999994</v>
      </c>
      <c r="W146" s="14">
        <f>'A) Base RI'!P146</f>
        <v>382246.35</v>
      </c>
      <c r="X146" s="14">
        <f>'A) Base RI'!R146</f>
        <v>113621.1</v>
      </c>
      <c r="Y146" s="4">
        <f t="shared" si="17"/>
        <v>567404.85</v>
      </c>
      <c r="Z146" s="14">
        <f>'A) Base RI'!N146</f>
        <v>581441.30000000005</v>
      </c>
      <c r="AA146" s="14">
        <f>'A) Base RI'!S146+'A) Base RI'!T146</f>
        <v>27931.1</v>
      </c>
      <c r="AB146" s="14">
        <f>'A) Base RI'!U146</f>
        <v>6900</v>
      </c>
      <c r="AC146" s="14">
        <f>'A) Base RI'!V146</f>
        <v>0</v>
      </c>
      <c r="AD146" s="14">
        <f>'A) Base RI'!W146</f>
        <v>0</v>
      </c>
      <c r="AE146" s="14">
        <f>'A) Base RI'!Y146</f>
        <v>150191.65</v>
      </c>
      <c r="AF146" s="14">
        <f>'A) Base RI'!Z146</f>
        <v>249037.9</v>
      </c>
      <c r="AG146" s="14">
        <f>'A) Base RI'!AA146</f>
        <v>214607.75</v>
      </c>
      <c r="AH146" s="14">
        <f>'A) Base RI'!AB146</f>
        <v>0</v>
      </c>
      <c r="AI146" s="14">
        <f>'A) Base RI'!AC146</f>
        <v>117713.5</v>
      </c>
      <c r="AJ146" s="14">
        <f>'A) Base RI'!AD146</f>
        <v>127144.2</v>
      </c>
      <c r="AK146" s="14">
        <f>'A) Base RI'!AE146</f>
        <v>0</v>
      </c>
      <c r="AL146" s="14">
        <f>'A) Base RI'!AF146</f>
        <v>0</v>
      </c>
      <c r="AM146" s="14">
        <f>'A) Base RI'!AG146</f>
        <v>0</v>
      </c>
      <c r="AN146" s="14">
        <f>'A) Base RI'!AH146</f>
        <v>172936.8</v>
      </c>
      <c r="AO146" s="14">
        <f>'A) Base RI'!AI146</f>
        <v>0</v>
      </c>
      <c r="AP146" s="14">
        <f>'A) Base RI'!AJ146</f>
        <v>0</v>
      </c>
      <c r="AQ146" s="14">
        <f>'A) Base RI'!AK146</f>
        <v>0</v>
      </c>
      <c r="AR146" s="14">
        <f>'A) Base RI'!AN146</f>
        <v>2932</v>
      </c>
    </row>
    <row r="147" spans="1:44" x14ac:dyDescent="0.25">
      <c r="A147" s="12">
        <f>'A) Base RI'!A147</f>
        <v>5637</v>
      </c>
      <c r="B147" s="42" t="str">
        <f>'A) Base RI'!B147</f>
        <v>Lavigny</v>
      </c>
      <c r="C147" s="14">
        <f>'A) Base RI'!C147+'A) Base RI'!D147</f>
        <v>2101681.2600000002</v>
      </c>
      <c r="D147" s="14">
        <f>'A) Base RI'!AO147</f>
        <v>-46022.7</v>
      </c>
      <c r="E147" s="41">
        <f>'A) Base RI'!AP147</f>
        <v>0</v>
      </c>
      <c r="F147" s="41">
        <f>'A) Base RI'!AQ147</f>
        <v>-229.79</v>
      </c>
      <c r="G147" s="4">
        <f t="shared" si="12"/>
        <v>2055428.7700000003</v>
      </c>
      <c r="H147" s="14">
        <f>'A) Base RI'!E147</f>
        <v>0</v>
      </c>
      <c r="I147" s="14">
        <f>'A) Base RI'!F147</f>
        <v>0</v>
      </c>
      <c r="J147" s="14">
        <f>'A) Base RI'!G147+'A) Base RI'!H147</f>
        <v>17415.099999999999</v>
      </c>
      <c r="K147" s="14">
        <f>'A) Base RI'!I147</f>
        <v>0</v>
      </c>
      <c r="L147" s="14">
        <f>'A) Base RI'!J147</f>
        <v>70350.11</v>
      </c>
      <c r="M147" s="14">
        <f>'A) Base RI'!K147</f>
        <v>3729.5</v>
      </c>
      <c r="N147" s="14">
        <f>'A) Base RI'!Q147</f>
        <v>-1836.62</v>
      </c>
      <c r="O147" s="14">
        <f t="shared" si="13"/>
        <v>170029.56666666668</v>
      </c>
      <c r="P147" s="14">
        <f>'A) Base RI'!L147</f>
        <v>255044.35</v>
      </c>
      <c r="Q147" s="44">
        <f>'A) Base RI'!AR147</f>
        <v>1.5</v>
      </c>
      <c r="R147" s="4">
        <f t="shared" si="14"/>
        <v>2315116.4266666672</v>
      </c>
      <c r="S147" s="43">
        <f>'A) Base RI'!AM147</f>
        <v>74.5</v>
      </c>
      <c r="T147" s="4">
        <f t="shared" si="15"/>
        <v>2141357.3600000003</v>
      </c>
      <c r="U147" s="4">
        <f t="shared" si="16"/>
        <v>31075.388277404931</v>
      </c>
      <c r="V147" s="14">
        <f>'A) Base RI'!O147</f>
        <v>50024</v>
      </c>
      <c r="W147" s="14">
        <f>'A) Base RI'!P147</f>
        <v>92665.65</v>
      </c>
      <c r="X147" s="14">
        <f>'A) Base RI'!R147</f>
        <v>99699.35</v>
      </c>
      <c r="Y147" s="4">
        <f t="shared" si="17"/>
        <v>242389</v>
      </c>
      <c r="Z147" s="14">
        <f>'A) Base RI'!N147</f>
        <v>254087.65</v>
      </c>
      <c r="AA147" s="14">
        <f>'A) Base RI'!S147+'A) Base RI'!T147</f>
        <v>782.5</v>
      </c>
      <c r="AB147" s="14">
        <f>'A) Base RI'!U147</f>
        <v>3000</v>
      </c>
      <c r="AC147" s="14">
        <f>'A) Base RI'!V147</f>
        <v>0</v>
      </c>
      <c r="AD147" s="14">
        <f>'A) Base RI'!W147</f>
        <v>0</v>
      </c>
      <c r="AE147" s="14">
        <f>'A) Base RI'!Y147</f>
        <v>13602.7</v>
      </c>
      <c r="AF147" s="14">
        <f>'A) Base RI'!Z147</f>
        <v>0</v>
      </c>
      <c r="AG147" s="14">
        <f>'A) Base RI'!AA147</f>
        <v>154610.5</v>
      </c>
      <c r="AH147" s="14">
        <f>'A) Base RI'!AB147</f>
        <v>0</v>
      </c>
      <c r="AI147" s="14">
        <f>'A) Base RI'!AC147</f>
        <v>89065.3</v>
      </c>
      <c r="AJ147" s="14">
        <f>'A) Base RI'!AD147</f>
        <v>14965.45</v>
      </c>
      <c r="AK147" s="14">
        <f>'A) Base RI'!AE147</f>
        <v>0</v>
      </c>
      <c r="AL147" s="14">
        <f>'A) Base RI'!AF147</f>
        <v>0</v>
      </c>
      <c r="AM147" s="14">
        <f>'A) Base RI'!AG147</f>
        <v>0</v>
      </c>
      <c r="AN147" s="14">
        <f>'A) Base RI'!AH147</f>
        <v>39634.300000000003</v>
      </c>
      <c r="AO147" s="14">
        <f>'A) Base RI'!AI147</f>
        <v>0</v>
      </c>
      <c r="AP147" s="14">
        <f>'A) Base RI'!AJ147</f>
        <v>0</v>
      </c>
      <c r="AQ147" s="14">
        <f>'A) Base RI'!AK147</f>
        <v>0</v>
      </c>
      <c r="AR147" s="14">
        <f>'A) Base RI'!AN147</f>
        <v>981</v>
      </c>
    </row>
    <row r="148" spans="1:44" x14ac:dyDescent="0.25">
      <c r="A148" s="12">
        <f>'A) Base RI'!A148</f>
        <v>5638</v>
      </c>
      <c r="B148" s="42" t="str">
        <f>'A) Base RI'!B148</f>
        <v>Lonay</v>
      </c>
      <c r="C148" s="14">
        <f>'A) Base RI'!C148+'A) Base RI'!D148</f>
        <v>6590955.9800000004</v>
      </c>
      <c r="D148" s="14">
        <f>'A) Base RI'!AO148</f>
        <v>-663.02</v>
      </c>
      <c r="E148" s="41">
        <f>'A) Base RI'!AP148</f>
        <v>0</v>
      </c>
      <c r="F148" s="41">
        <f>'A) Base RI'!AQ148</f>
        <v>-4172.17</v>
      </c>
      <c r="G148" s="4">
        <f t="shared" si="12"/>
        <v>6586120.790000001</v>
      </c>
      <c r="H148" s="14">
        <f>'A) Base RI'!E148</f>
        <v>0</v>
      </c>
      <c r="I148" s="14">
        <f>'A) Base RI'!F148</f>
        <v>0</v>
      </c>
      <c r="J148" s="14">
        <f>'A) Base RI'!G148+'A) Base RI'!H148</f>
        <v>868357.65</v>
      </c>
      <c r="K148" s="14">
        <f>'A) Base RI'!I148</f>
        <v>144011.41</v>
      </c>
      <c r="L148" s="14">
        <f>'A) Base RI'!J148</f>
        <v>146460.03</v>
      </c>
      <c r="M148" s="14">
        <f>'A) Base RI'!K148</f>
        <v>51758</v>
      </c>
      <c r="N148" s="14">
        <f>'A) Base RI'!Q148</f>
        <v>6848.1</v>
      </c>
      <c r="O148" s="14">
        <f t="shared" si="13"/>
        <v>582600.4</v>
      </c>
      <c r="P148" s="14">
        <f>'A) Base RI'!L148</f>
        <v>582600.4</v>
      </c>
      <c r="Q148" s="44">
        <f>'A) Base RI'!AR148</f>
        <v>1</v>
      </c>
      <c r="R148" s="4">
        <f t="shared" si="14"/>
        <v>8386156.3800000018</v>
      </c>
      <c r="S148" s="43">
        <f>'A) Base RI'!AM148</f>
        <v>55</v>
      </c>
      <c r="T148" s="4">
        <f t="shared" si="15"/>
        <v>7751797.9800000014</v>
      </c>
      <c r="U148" s="4">
        <f t="shared" si="16"/>
        <v>152475.57054545457</v>
      </c>
      <c r="V148" s="14">
        <f>'A) Base RI'!O148</f>
        <v>1503271.3</v>
      </c>
      <c r="W148" s="14">
        <f>'A) Base RI'!P148</f>
        <v>105204</v>
      </c>
      <c r="X148" s="14">
        <f>'A) Base RI'!R148</f>
        <v>175603.9</v>
      </c>
      <c r="Y148" s="4">
        <f t="shared" si="17"/>
        <v>1784079.2</v>
      </c>
      <c r="Z148" s="14">
        <f>'A) Base RI'!N148</f>
        <v>129820.9</v>
      </c>
      <c r="AA148" s="14">
        <f>'A) Base RI'!S148+'A) Base RI'!T148</f>
        <v>0</v>
      </c>
      <c r="AB148" s="14">
        <f>'A) Base RI'!U148</f>
        <v>12200</v>
      </c>
      <c r="AC148" s="14">
        <f>'A) Base RI'!V148</f>
        <v>0</v>
      </c>
      <c r="AD148" s="14">
        <f>'A) Base RI'!W148</f>
        <v>0</v>
      </c>
      <c r="AE148" s="14">
        <f>'A) Base RI'!Y148</f>
        <v>45086.400000000001</v>
      </c>
      <c r="AF148" s="14">
        <f>'A) Base RI'!Z148</f>
        <v>0</v>
      </c>
      <c r="AG148" s="14">
        <f>'A) Base RI'!AA148</f>
        <v>489061.2</v>
      </c>
      <c r="AH148" s="14">
        <f>'A) Base RI'!AB148</f>
        <v>0</v>
      </c>
      <c r="AI148" s="14">
        <f>'A) Base RI'!AC148</f>
        <v>281297.3</v>
      </c>
      <c r="AJ148" s="14">
        <f>'A) Base RI'!AD148</f>
        <v>0</v>
      </c>
      <c r="AK148" s="14">
        <f>'A) Base RI'!AE148</f>
        <v>0</v>
      </c>
      <c r="AL148" s="14">
        <f>'A) Base RI'!AF148</f>
        <v>0</v>
      </c>
      <c r="AM148" s="14">
        <f>'A) Base RI'!AG148</f>
        <v>0</v>
      </c>
      <c r="AN148" s="14">
        <f>'A) Base RI'!AH148</f>
        <v>0</v>
      </c>
      <c r="AO148" s="14">
        <f>'A) Base RI'!AI148</f>
        <v>0</v>
      </c>
      <c r="AP148" s="14">
        <f>'A) Base RI'!AJ148</f>
        <v>0</v>
      </c>
      <c r="AQ148" s="14">
        <f>'A) Base RI'!AK148</f>
        <v>0</v>
      </c>
      <c r="AR148" s="14">
        <f>'A) Base RI'!AN148</f>
        <v>2536</v>
      </c>
    </row>
    <row r="149" spans="1:44" x14ac:dyDescent="0.25">
      <c r="A149" s="12">
        <f>'A) Base RI'!A149</f>
        <v>5639</v>
      </c>
      <c r="B149" s="42" t="str">
        <f>'A) Base RI'!B149</f>
        <v>Lully</v>
      </c>
      <c r="C149" s="14">
        <f>'A) Base RI'!C149+'A) Base RI'!D149</f>
        <v>2295454.5299999998</v>
      </c>
      <c r="D149" s="14">
        <f>'A) Base RI'!AO149</f>
        <v>-6386.52</v>
      </c>
      <c r="E149" s="41">
        <f>'A) Base RI'!AP149</f>
        <v>0</v>
      </c>
      <c r="F149" s="41">
        <f>'A) Base RI'!AQ149</f>
        <v>0</v>
      </c>
      <c r="G149" s="4">
        <f t="shared" si="12"/>
        <v>2289068.0099999998</v>
      </c>
      <c r="H149" s="14">
        <f>'A) Base RI'!E149</f>
        <v>0</v>
      </c>
      <c r="I149" s="14">
        <f>'A) Base RI'!F149</f>
        <v>0</v>
      </c>
      <c r="J149" s="14">
        <f>'A) Base RI'!G149+'A) Base RI'!H149</f>
        <v>85413.65</v>
      </c>
      <c r="K149" s="14">
        <f>'A) Base RI'!I149</f>
        <v>0</v>
      </c>
      <c r="L149" s="14">
        <f>'A) Base RI'!J149</f>
        <v>27626.17</v>
      </c>
      <c r="M149" s="14">
        <f>'A) Base RI'!K149</f>
        <v>3232</v>
      </c>
      <c r="N149" s="14">
        <f>'A) Base RI'!Q149</f>
        <v>323.14</v>
      </c>
      <c r="O149" s="14">
        <f t="shared" si="13"/>
        <v>175761.16</v>
      </c>
      <c r="P149" s="14">
        <f>'A) Base RI'!L149</f>
        <v>219701.45</v>
      </c>
      <c r="Q149" s="44">
        <f>'A) Base RI'!AR149</f>
        <v>1.25</v>
      </c>
      <c r="R149" s="4">
        <f t="shared" si="14"/>
        <v>2581424.13</v>
      </c>
      <c r="S149" s="43">
        <f>'A) Base RI'!AM149</f>
        <v>61</v>
      </c>
      <c r="T149" s="4">
        <f t="shared" si="15"/>
        <v>2402430.9699999997</v>
      </c>
      <c r="U149" s="4">
        <f t="shared" si="16"/>
        <v>42318.428360655736</v>
      </c>
      <c r="V149" s="14">
        <f>'A) Base RI'!O149</f>
        <v>27528.6</v>
      </c>
      <c r="W149" s="14">
        <f>'A) Base RI'!P149</f>
        <v>122241.75</v>
      </c>
      <c r="X149" s="14">
        <f>'A) Base RI'!R149</f>
        <v>125088.4</v>
      </c>
      <c r="Y149" s="4">
        <f t="shared" si="17"/>
        <v>274858.75</v>
      </c>
      <c r="Z149" s="14">
        <f>'A) Base RI'!N149</f>
        <v>0</v>
      </c>
      <c r="AA149" s="14">
        <f>'A) Base RI'!S149+'A) Base RI'!T149</f>
        <v>0</v>
      </c>
      <c r="AB149" s="14">
        <f>'A) Base RI'!U149</f>
        <v>1975</v>
      </c>
      <c r="AC149" s="14">
        <f>'A) Base RI'!V149</f>
        <v>0</v>
      </c>
      <c r="AD149" s="14">
        <f>'A) Base RI'!W149</f>
        <v>0</v>
      </c>
      <c r="AE149" s="14">
        <f>'A) Base RI'!Y149</f>
        <v>40758.6</v>
      </c>
      <c r="AF149" s="14">
        <f>'A) Base RI'!Z149</f>
        <v>0</v>
      </c>
      <c r="AG149" s="14">
        <f>'A) Base RI'!AA149</f>
        <v>107295.7</v>
      </c>
      <c r="AH149" s="14">
        <f>'A) Base RI'!AB149</f>
        <v>0</v>
      </c>
      <c r="AI149" s="14">
        <f>'A) Base RI'!AC149</f>
        <v>60508.3</v>
      </c>
      <c r="AJ149" s="14">
        <f>'A) Base RI'!AD149</f>
        <v>0</v>
      </c>
      <c r="AK149" s="14">
        <f>'A) Base RI'!AE149</f>
        <v>0</v>
      </c>
      <c r="AL149" s="14">
        <f>'A) Base RI'!AF149</f>
        <v>0</v>
      </c>
      <c r="AM149" s="14">
        <f>'A) Base RI'!AG149</f>
        <v>0</v>
      </c>
      <c r="AN149" s="14">
        <f>'A) Base RI'!AH149</f>
        <v>0</v>
      </c>
      <c r="AO149" s="14">
        <f>'A) Base RI'!AI149</f>
        <v>0</v>
      </c>
      <c r="AP149" s="14">
        <f>'A) Base RI'!AJ149</f>
        <v>0</v>
      </c>
      <c r="AQ149" s="14">
        <f>'A) Base RI'!AK149</f>
        <v>0</v>
      </c>
      <c r="AR149" s="14">
        <f>'A) Base RI'!AN149</f>
        <v>760</v>
      </c>
    </row>
    <row r="150" spans="1:44" x14ac:dyDescent="0.25">
      <c r="A150" s="12">
        <f>'A) Base RI'!A150</f>
        <v>5640</v>
      </c>
      <c r="B150" s="42" t="str">
        <f>'A) Base RI'!B150</f>
        <v>Lussy-sur-Morges</v>
      </c>
      <c r="C150" s="14">
        <f>'A) Base RI'!C150+'A) Base RI'!D150</f>
        <v>2598648.8000000003</v>
      </c>
      <c r="D150" s="14">
        <f>'A) Base RI'!AO150</f>
        <v>-5784.96</v>
      </c>
      <c r="E150" s="41">
        <f>'A) Base RI'!AP150</f>
        <v>0</v>
      </c>
      <c r="F150" s="41">
        <f>'A) Base RI'!AQ150</f>
        <v>-3220.58</v>
      </c>
      <c r="G150" s="4">
        <f t="shared" si="12"/>
        <v>2589643.2600000002</v>
      </c>
      <c r="H150" s="14">
        <f>'A) Base RI'!E150</f>
        <v>0</v>
      </c>
      <c r="I150" s="14">
        <f>'A) Base RI'!F150</f>
        <v>0</v>
      </c>
      <c r="J150" s="14">
        <f>'A) Base RI'!G150+'A) Base RI'!H150</f>
        <v>202301.75</v>
      </c>
      <c r="K150" s="14">
        <f>'A) Base RI'!I150</f>
        <v>60120.82</v>
      </c>
      <c r="L150" s="14">
        <f>'A) Base RI'!J150</f>
        <v>-38575.050000000003</v>
      </c>
      <c r="M150" s="14">
        <f>'A) Base RI'!K150</f>
        <v>1498.5</v>
      </c>
      <c r="N150" s="14">
        <f>'A) Base RI'!Q150</f>
        <v>1796.8</v>
      </c>
      <c r="O150" s="14">
        <f t="shared" si="13"/>
        <v>173729.65</v>
      </c>
      <c r="P150" s="14">
        <f>'A) Base RI'!L150</f>
        <v>173729.65</v>
      </c>
      <c r="Q150" s="44">
        <f>'A) Base RI'!AR150</f>
        <v>1</v>
      </c>
      <c r="R150" s="4">
        <f t="shared" si="14"/>
        <v>2990515.73</v>
      </c>
      <c r="S150" s="43">
        <f>'A) Base RI'!AM150</f>
        <v>66</v>
      </c>
      <c r="T150" s="4">
        <f t="shared" si="15"/>
        <v>2815287.58</v>
      </c>
      <c r="U150" s="4">
        <f t="shared" si="16"/>
        <v>45310.844393939391</v>
      </c>
      <c r="V150" s="14">
        <f>'A) Base RI'!O150</f>
        <v>217086.5</v>
      </c>
      <c r="W150" s="14">
        <f>'A) Base RI'!P150</f>
        <v>37730</v>
      </c>
      <c r="X150" s="14">
        <f>'A) Base RI'!R150</f>
        <v>13027.6</v>
      </c>
      <c r="Y150" s="4">
        <f t="shared" si="17"/>
        <v>267844.09999999998</v>
      </c>
      <c r="Z150" s="14">
        <f>'A) Base RI'!N150</f>
        <v>18171.5</v>
      </c>
      <c r="AA150" s="14">
        <f>'A) Base RI'!S150+'A) Base RI'!T150</f>
        <v>0</v>
      </c>
      <c r="AB150" s="14">
        <f>'A) Base RI'!U150</f>
        <v>4700</v>
      </c>
      <c r="AC150" s="14">
        <f>'A) Base RI'!V150</f>
        <v>0</v>
      </c>
      <c r="AD150" s="14">
        <f>'A) Base RI'!W150</f>
        <v>0</v>
      </c>
      <c r="AE150" s="14">
        <f>'A) Base RI'!Y150</f>
        <v>22400</v>
      </c>
      <c r="AF150" s="14">
        <f>'A) Base RI'!Z150</f>
        <v>0</v>
      </c>
      <c r="AG150" s="14">
        <f>'A) Base RI'!AA150</f>
        <v>67498.100000000006</v>
      </c>
      <c r="AH150" s="14">
        <f>'A) Base RI'!AB150</f>
        <v>0</v>
      </c>
      <c r="AI150" s="14">
        <f>'A) Base RI'!AC150</f>
        <v>37290</v>
      </c>
      <c r="AJ150" s="14">
        <f>'A) Base RI'!AD150</f>
        <v>0</v>
      </c>
      <c r="AK150" s="14">
        <f>'A) Base RI'!AE150</f>
        <v>0</v>
      </c>
      <c r="AL150" s="14">
        <f>'A) Base RI'!AF150</f>
        <v>0</v>
      </c>
      <c r="AM150" s="14">
        <f>'A) Base RI'!AG150</f>
        <v>0</v>
      </c>
      <c r="AN150" s="14">
        <f>'A) Base RI'!AH150</f>
        <v>0</v>
      </c>
      <c r="AO150" s="14">
        <f>'A) Base RI'!AI150</f>
        <v>0</v>
      </c>
      <c r="AP150" s="14">
        <f>'A) Base RI'!AJ150</f>
        <v>0</v>
      </c>
      <c r="AQ150" s="14">
        <f>'A) Base RI'!AK150</f>
        <v>0</v>
      </c>
      <c r="AR150" s="14">
        <f>'A) Base RI'!AN150</f>
        <v>646</v>
      </c>
    </row>
    <row r="151" spans="1:44" x14ac:dyDescent="0.25">
      <c r="A151" s="12">
        <f>'A) Base RI'!A151</f>
        <v>5642</v>
      </c>
      <c r="B151" s="42" t="str">
        <f>'A) Base RI'!B151</f>
        <v>Morges</v>
      </c>
      <c r="C151" s="14">
        <f>'A) Base RI'!C151+'A) Base RI'!D151</f>
        <v>37410804.659999996</v>
      </c>
      <c r="D151" s="14">
        <f>'A) Base RI'!AO151</f>
        <v>-885440.77</v>
      </c>
      <c r="E151" s="41">
        <f>'A) Base RI'!AP151</f>
        <v>0</v>
      </c>
      <c r="F151" s="41">
        <f>'A) Base RI'!AQ151</f>
        <v>-14566.03</v>
      </c>
      <c r="G151" s="4">
        <f t="shared" si="12"/>
        <v>36510797.859999992</v>
      </c>
      <c r="H151" s="14">
        <f>'A) Base RI'!E151</f>
        <v>0</v>
      </c>
      <c r="I151" s="14">
        <f>'A) Base RI'!F151</f>
        <v>0</v>
      </c>
      <c r="J151" s="14">
        <f>'A) Base RI'!G151+'A) Base RI'!H151</f>
        <v>6497218.3500000006</v>
      </c>
      <c r="K151" s="14">
        <f>'A) Base RI'!I151</f>
        <v>320341</v>
      </c>
      <c r="L151" s="14">
        <f>'A) Base RI'!J151</f>
        <v>2230683.2000000002</v>
      </c>
      <c r="M151" s="14">
        <f>'A) Base RI'!K151</f>
        <v>397545.5</v>
      </c>
      <c r="N151" s="14">
        <f>'A) Base RI'!Q151</f>
        <v>122510.89</v>
      </c>
      <c r="O151" s="14">
        <f t="shared" si="13"/>
        <v>2924442.15</v>
      </c>
      <c r="P151" s="14">
        <f>'A) Base RI'!L151</f>
        <v>2924442.15</v>
      </c>
      <c r="Q151" s="44">
        <f>'A) Base RI'!AR151</f>
        <v>1</v>
      </c>
      <c r="R151" s="4">
        <f t="shared" si="14"/>
        <v>49003538.949999996</v>
      </c>
      <c r="S151" s="43">
        <f>'A) Base RI'!AM151</f>
        <v>68.5</v>
      </c>
      <c r="T151" s="4">
        <f t="shared" si="15"/>
        <v>45681551.299999997</v>
      </c>
      <c r="U151" s="4">
        <f t="shared" si="16"/>
        <v>715380.13065693423</v>
      </c>
      <c r="V151" s="14">
        <f>'A) Base RI'!O151</f>
        <v>4249449.4000000004</v>
      </c>
      <c r="W151" s="14">
        <f>'A) Base RI'!P151</f>
        <v>1141891.05</v>
      </c>
      <c r="X151" s="14">
        <f>'A) Base RI'!R151</f>
        <v>818165.3</v>
      </c>
      <c r="Y151" s="4">
        <f t="shared" si="17"/>
        <v>6209505.75</v>
      </c>
      <c r="Z151" s="14">
        <f>'A) Base RI'!N151</f>
        <v>1193384.05</v>
      </c>
      <c r="AA151" s="14">
        <f>'A) Base RI'!S151+'A) Base RI'!T151</f>
        <v>70813</v>
      </c>
      <c r="AB151" s="14">
        <f>'A) Base RI'!U151</f>
        <v>42530</v>
      </c>
      <c r="AC151" s="14">
        <f>'A) Base RI'!V151</f>
        <v>0</v>
      </c>
      <c r="AD151" s="14">
        <f>'A) Base RI'!W151</f>
        <v>0</v>
      </c>
      <c r="AE151" s="14">
        <f>'A) Base RI'!Y151</f>
        <v>178945.1</v>
      </c>
      <c r="AF151" s="14">
        <f>'A) Base RI'!Z151</f>
        <v>0</v>
      </c>
      <c r="AG151" s="14">
        <f>'A) Base RI'!AA151</f>
        <v>4267566.7</v>
      </c>
      <c r="AH151" s="14">
        <f>'A) Base RI'!AB151</f>
        <v>0</v>
      </c>
      <c r="AI151" s="14">
        <f>'A) Base RI'!AC151</f>
        <v>1058699.6000000001</v>
      </c>
      <c r="AJ151" s="14">
        <f>'A) Base RI'!AD151</f>
        <v>178945.1</v>
      </c>
      <c r="AK151" s="14">
        <f>'A) Base RI'!AE151</f>
        <v>0</v>
      </c>
      <c r="AL151" s="14">
        <f>'A) Base RI'!AF151</f>
        <v>0</v>
      </c>
      <c r="AM151" s="14">
        <f>'A) Base RI'!AG151</f>
        <v>213153.5</v>
      </c>
      <c r="AN151" s="14">
        <f>'A) Base RI'!AH151</f>
        <v>0</v>
      </c>
      <c r="AO151" s="14">
        <f>'A) Base RI'!AI151</f>
        <v>0</v>
      </c>
      <c r="AP151" s="14">
        <f>'A) Base RI'!AJ151</f>
        <v>0</v>
      </c>
      <c r="AQ151" s="14">
        <f>'A) Base RI'!AK151</f>
        <v>0</v>
      </c>
      <c r="AR151" s="14">
        <f>'A) Base RI'!AN151</f>
        <v>15623</v>
      </c>
    </row>
    <row r="152" spans="1:44" x14ac:dyDescent="0.25">
      <c r="A152" s="12">
        <f>'A) Base RI'!A152</f>
        <v>5643</v>
      </c>
      <c r="B152" s="42" t="str">
        <f>'A) Base RI'!B152</f>
        <v>Préverenges</v>
      </c>
      <c r="C152" s="14">
        <f>'A) Base RI'!C152+'A) Base RI'!D152</f>
        <v>13031452.689999999</v>
      </c>
      <c r="D152" s="14">
        <f>'A) Base RI'!AO152</f>
        <v>-171988.52</v>
      </c>
      <c r="E152" s="41">
        <f>'A) Base RI'!AP152</f>
        <v>0</v>
      </c>
      <c r="F152" s="41">
        <f>'A) Base RI'!AQ152</f>
        <v>-4282.45</v>
      </c>
      <c r="G152" s="4">
        <f t="shared" si="12"/>
        <v>12855181.720000001</v>
      </c>
      <c r="H152" s="14">
        <f>'A) Base RI'!E152</f>
        <v>0</v>
      </c>
      <c r="I152" s="14">
        <f>'A) Base RI'!F152</f>
        <v>0</v>
      </c>
      <c r="J152" s="14">
        <f>'A) Base RI'!G152+'A) Base RI'!H152</f>
        <v>1302976.25</v>
      </c>
      <c r="K152" s="14">
        <f>'A) Base RI'!I152</f>
        <v>233582.95</v>
      </c>
      <c r="L152" s="14">
        <f>'A) Base RI'!J152</f>
        <v>444402.24</v>
      </c>
      <c r="M152" s="14">
        <f>'A) Base RI'!K152</f>
        <v>77686.5</v>
      </c>
      <c r="N152" s="14">
        <f>'A) Base RI'!Q152</f>
        <v>45774.82</v>
      </c>
      <c r="O152" s="14">
        <f t="shared" si="13"/>
        <v>1027181.85</v>
      </c>
      <c r="P152" s="14">
        <f>'A) Base RI'!L152</f>
        <v>1027181.85</v>
      </c>
      <c r="Q152" s="44">
        <f>'A) Base RI'!AR152</f>
        <v>1</v>
      </c>
      <c r="R152" s="4">
        <f t="shared" si="14"/>
        <v>15986786.33</v>
      </c>
      <c r="S152" s="43">
        <f>'A) Base RI'!AM152</f>
        <v>64</v>
      </c>
      <c r="T152" s="4">
        <f t="shared" si="15"/>
        <v>14881917.98</v>
      </c>
      <c r="U152" s="4">
        <f t="shared" si="16"/>
        <v>249793.53640625</v>
      </c>
      <c r="V152" s="14">
        <f>'A) Base RI'!O152</f>
        <v>57979.1</v>
      </c>
      <c r="W152" s="14">
        <f>'A) Base RI'!P152</f>
        <v>466985.55</v>
      </c>
      <c r="X152" s="14">
        <f>'A) Base RI'!R152</f>
        <v>297315.55</v>
      </c>
      <c r="Y152" s="4">
        <f t="shared" si="17"/>
        <v>822280.2</v>
      </c>
      <c r="Z152" s="14">
        <f>'A) Base RI'!N152</f>
        <v>160776.25</v>
      </c>
      <c r="AA152" s="14">
        <f>'A) Base RI'!S152+'A) Base RI'!T152</f>
        <v>3792.5</v>
      </c>
      <c r="AB152" s="14">
        <f>'A) Base RI'!U152</f>
        <v>17640</v>
      </c>
      <c r="AC152" s="14">
        <f>'A) Base RI'!V152</f>
        <v>0</v>
      </c>
      <c r="AD152" s="14">
        <f>'A) Base RI'!W152</f>
        <v>0</v>
      </c>
      <c r="AE152" s="14">
        <f>'A) Base RI'!Y152</f>
        <v>238581.1</v>
      </c>
      <c r="AF152" s="14">
        <f>'A) Base RI'!Z152</f>
        <v>0</v>
      </c>
      <c r="AG152" s="14">
        <f>'A) Base RI'!AA152</f>
        <v>855481.02</v>
      </c>
      <c r="AH152" s="14">
        <f>'A) Base RI'!AB152</f>
        <v>0</v>
      </c>
      <c r="AI152" s="14">
        <f>'A) Base RI'!AC152</f>
        <v>406601.55</v>
      </c>
      <c r="AJ152" s="14">
        <f>'A) Base RI'!AD152</f>
        <v>0</v>
      </c>
      <c r="AK152" s="14">
        <f>'A) Base RI'!AE152</f>
        <v>0</v>
      </c>
      <c r="AL152" s="14">
        <f>'A) Base RI'!AF152</f>
        <v>0</v>
      </c>
      <c r="AM152" s="14">
        <f>'A) Base RI'!AG152</f>
        <v>0</v>
      </c>
      <c r="AN152" s="14">
        <f>'A) Base RI'!AH152</f>
        <v>110434.3</v>
      </c>
      <c r="AO152" s="14">
        <f>'A) Base RI'!AI152</f>
        <v>0</v>
      </c>
      <c r="AP152" s="14">
        <f>'A) Base RI'!AJ152</f>
        <v>0</v>
      </c>
      <c r="AQ152" s="14">
        <f>'A) Base RI'!AK152</f>
        <v>0</v>
      </c>
      <c r="AR152" s="14">
        <f>'A) Base RI'!AN152</f>
        <v>5263</v>
      </c>
    </row>
    <row r="153" spans="1:44" x14ac:dyDescent="0.25">
      <c r="A153" s="12">
        <f>'A) Base RI'!A153</f>
        <v>5644</v>
      </c>
      <c r="B153" s="42" t="str">
        <f>'A) Base RI'!B153</f>
        <v>Reverolle</v>
      </c>
      <c r="C153" s="14">
        <f>'A) Base RI'!C153+'A) Base RI'!D153</f>
        <v>1088128.07</v>
      </c>
      <c r="D153" s="14">
        <f>'A) Base RI'!AO153</f>
        <v>-1708.78</v>
      </c>
      <c r="E153" s="41">
        <f>'A) Base RI'!AP153</f>
        <v>0</v>
      </c>
      <c r="F153" s="41">
        <f>'A) Base RI'!AQ153</f>
        <v>-0.47</v>
      </c>
      <c r="G153" s="4">
        <f t="shared" si="12"/>
        <v>1086418.82</v>
      </c>
      <c r="H153" s="14">
        <f>'A) Base RI'!E153</f>
        <v>0</v>
      </c>
      <c r="I153" s="14">
        <f>'A) Base RI'!F153</f>
        <v>0</v>
      </c>
      <c r="J153" s="14">
        <f>'A) Base RI'!G153+'A) Base RI'!H153</f>
        <v>28641.699999999997</v>
      </c>
      <c r="K153" s="14">
        <f>'A) Base RI'!I153</f>
        <v>0</v>
      </c>
      <c r="L153" s="14">
        <f>'A) Base RI'!J153</f>
        <v>4237.1099999999997</v>
      </c>
      <c r="M153" s="14">
        <f>'A) Base RI'!K153</f>
        <v>366</v>
      </c>
      <c r="N153" s="14">
        <f>'A) Base RI'!Q153</f>
        <v>0</v>
      </c>
      <c r="O153" s="14">
        <f t="shared" si="13"/>
        <v>65545.55</v>
      </c>
      <c r="P153" s="14">
        <f>'A) Base RI'!L153</f>
        <v>65545.55</v>
      </c>
      <c r="Q153" s="44">
        <f>'A) Base RI'!AR153</f>
        <v>1</v>
      </c>
      <c r="R153" s="4">
        <f t="shared" si="14"/>
        <v>1185209.1800000002</v>
      </c>
      <c r="S153" s="43">
        <f>'A) Base RI'!AM153</f>
        <v>76</v>
      </c>
      <c r="T153" s="4">
        <f t="shared" si="15"/>
        <v>1119297.6300000001</v>
      </c>
      <c r="U153" s="4">
        <f t="shared" si="16"/>
        <v>15594.857631578949</v>
      </c>
      <c r="V153" s="14">
        <f>'A) Base RI'!O153</f>
        <v>0</v>
      </c>
      <c r="W153" s="14">
        <f>'A) Base RI'!P153</f>
        <v>44931</v>
      </c>
      <c r="X153" s="14">
        <f>'A) Base RI'!R153</f>
        <v>52721.599999999999</v>
      </c>
      <c r="Y153" s="4">
        <f t="shared" si="17"/>
        <v>97652.6</v>
      </c>
      <c r="Z153" s="14">
        <f>'A) Base RI'!N153</f>
        <v>7214.6</v>
      </c>
      <c r="AA153" s="14">
        <f>'A) Base RI'!S153+'A) Base RI'!T153</f>
        <v>560</v>
      </c>
      <c r="AB153" s="14">
        <f>'A) Base RI'!U153</f>
        <v>2600</v>
      </c>
      <c r="AC153" s="14">
        <f>'A) Base RI'!V153</f>
        <v>0</v>
      </c>
      <c r="AD153" s="14">
        <f>'A) Base RI'!W153</f>
        <v>0</v>
      </c>
      <c r="AE153" s="14">
        <f>'A) Base RI'!Y153</f>
        <v>12127</v>
      </c>
      <c r="AF153" s="14">
        <f>'A) Base RI'!Z153</f>
        <v>0</v>
      </c>
      <c r="AG153" s="14">
        <f>'A) Base RI'!AA153</f>
        <v>64140.2</v>
      </c>
      <c r="AH153" s="14">
        <f>'A) Base RI'!AB153</f>
        <v>0</v>
      </c>
      <c r="AI153" s="14">
        <f>'A) Base RI'!AC153</f>
        <v>30560</v>
      </c>
      <c r="AJ153" s="14">
        <f>'A) Base RI'!AD153</f>
        <v>7502</v>
      </c>
      <c r="AK153" s="14">
        <f>'A) Base RI'!AE153</f>
        <v>0</v>
      </c>
      <c r="AL153" s="14">
        <f>'A) Base RI'!AF153</f>
        <v>0</v>
      </c>
      <c r="AM153" s="14">
        <f>'A) Base RI'!AG153</f>
        <v>0</v>
      </c>
      <c r="AN153" s="14">
        <f>'A) Base RI'!AH153</f>
        <v>7223.7</v>
      </c>
      <c r="AO153" s="14">
        <f>'A) Base RI'!AI153</f>
        <v>0</v>
      </c>
      <c r="AP153" s="14">
        <f>'A) Base RI'!AJ153</f>
        <v>0</v>
      </c>
      <c r="AQ153" s="14">
        <f>'A) Base RI'!AK153</f>
        <v>0</v>
      </c>
      <c r="AR153" s="14">
        <f>'A) Base RI'!AN153</f>
        <v>360</v>
      </c>
    </row>
    <row r="154" spans="1:44" x14ac:dyDescent="0.25">
      <c r="A154" s="12">
        <f>'A) Base RI'!A154</f>
        <v>5645</v>
      </c>
      <c r="B154" s="42" t="str">
        <f>'A) Base RI'!B154</f>
        <v>Romanel-sur-Morges</v>
      </c>
      <c r="C154" s="14">
        <f>'A) Base RI'!C154+'A) Base RI'!D154</f>
        <v>989607.0199999999</v>
      </c>
      <c r="D154" s="14">
        <f>'A) Base RI'!AO154</f>
        <v>-10663.26</v>
      </c>
      <c r="E154" s="41">
        <f>'A) Base RI'!AP154</f>
        <v>0</v>
      </c>
      <c r="F154" s="41">
        <f>'A) Base RI'!AQ154</f>
        <v>-37.65</v>
      </c>
      <c r="G154" s="4">
        <f t="shared" si="12"/>
        <v>978906.10999999987</v>
      </c>
      <c r="H154" s="14">
        <f>'A) Base RI'!E154</f>
        <v>0</v>
      </c>
      <c r="I154" s="14">
        <f>'A) Base RI'!F154</f>
        <v>0</v>
      </c>
      <c r="J154" s="14">
        <f>'A) Base RI'!G154+'A) Base RI'!H154</f>
        <v>251016.45</v>
      </c>
      <c r="K154" s="14">
        <f>'A) Base RI'!I154</f>
        <v>0</v>
      </c>
      <c r="L154" s="14">
        <f>'A) Base RI'!J154</f>
        <v>43484.57</v>
      </c>
      <c r="M154" s="14">
        <f>'A) Base RI'!K154</f>
        <v>7817</v>
      </c>
      <c r="N154" s="14">
        <f>'A) Base RI'!Q154</f>
        <v>3685.64</v>
      </c>
      <c r="O154" s="14">
        <f t="shared" si="13"/>
        <v>136292.125</v>
      </c>
      <c r="P154" s="14">
        <f>'A) Base RI'!L154</f>
        <v>109033.7</v>
      </c>
      <c r="Q154" s="44">
        <f>'A) Base RI'!AR154</f>
        <v>0.8</v>
      </c>
      <c r="R154" s="4">
        <f t="shared" si="14"/>
        <v>1421201.8949999998</v>
      </c>
      <c r="S154" s="43">
        <f>'A) Base RI'!AM154</f>
        <v>56</v>
      </c>
      <c r="T154" s="4">
        <f t="shared" si="15"/>
        <v>1277092.7699999998</v>
      </c>
      <c r="U154" s="4">
        <f t="shared" si="16"/>
        <v>25378.60526785714</v>
      </c>
      <c r="V154" s="14">
        <f>'A) Base RI'!O154</f>
        <v>6750.3</v>
      </c>
      <c r="W154" s="14">
        <f>'A) Base RI'!P154</f>
        <v>18205</v>
      </c>
      <c r="X154" s="14">
        <f>'A) Base RI'!R154</f>
        <v>17342.95</v>
      </c>
      <c r="Y154" s="4">
        <f t="shared" si="17"/>
        <v>42298.25</v>
      </c>
      <c r="Z154" s="14">
        <f>'A) Base RI'!N154</f>
        <v>51663.6</v>
      </c>
      <c r="AA154" s="14">
        <f>'A) Base RI'!S154+'A) Base RI'!T154</f>
        <v>0</v>
      </c>
      <c r="AB154" s="14">
        <f>'A) Base RI'!U154</f>
        <v>750</v>
      </c>
      <c r="AC154" s="14">
        <f>'A) Base RI'!V154</f>
        <v>0</v>
      </c>
      <c r="AD154" s="14">
        <f>'A) Base RI'!W154</f>
        <v>0</v>
      </c>
      <c r="AE154" s="14">
        <f>'A) Base RI'!Y154</f>
        <v>12417.65</v>
      </c>
      <c r="AF154" s="14">
        <f>'A) Base RI'!Z154</f>
        <v>0</v>
      </c>
      <c r="AG154" s="14">
        <f>'A) Base RI'!AA154</f>
        <v>111386.9</v>
      </c>
      <c r="AH154" s="14">
        <f>'A) Base RI'!AB154</f>
        <v>0</v>
      </c>
      <c r="AI154" s="14">
        <f>'A) Base RI'!AC154</f>
        <v>48398</v>
      </c>
      <c r="AJ154" s="14">
        <f>'A) Base RI'!AD154</f>
        <v>17630.8</v>
      </c>
      <c r="AK154" s="14">
        <f>'A) Base RI'!AE154</f>
        <v>0</v>
      </c>
      <c r="AL154" s="14">
        <f>'A) Base RI'!AF154</f>
        <v>0</v>
      </c>
      <c r="AM154" s="14">
        <f>'A) Base RI'!AG154</f>
        <v>0</v>
      </c>
      <c r="AN154" s="14">
        <f>'A) Base RI'!AH154</f>
        <v>26594</v>
      </c>
      <c r="AO154" s="14">
        <f>'A) Base RI'!AI154</f>
        <v>0</v>
      </c>
      <c r="AP154" s="14">
        <f>'A) Base RI'!AJ154</f>
        <v>0</v>
      </c>
      <c r="AQ154" s="14">
        <f>'A) Base RI'!AK154</f>
        <v>0</v>
      </c>
      <c r="AR154" s="14">
        <f>'A) Base RI'!AN154</f>
        <v>459</v>
      </c>
    </row>
    <row r="155" spans="1:44" x14ac:dyDescent="0.25">
      <c r="A155" s="12">
        <f>'A) Base RI'!A155</f>
        <v>5646</v>
      </c>
      <c r="B155" s="42" t="str">
        <f>'A) Base RI'!B155</f>
        <v>Saint-Prex</v>
      </c>
      <c r="C155" s="14">
        <f>'A) Base RI'!C155+'A) Base RI'!D155</f>
        <v>12190119.210000001</v>
      </c>
      <c r="D155" s="14">
        <f>'A) Base RI'!AO155</f>
        <v>-350425.71</v>
      </c>
      <c r="E155" s="41">
        <f>'A) Base RI'!AP155</f>
        <v>0</v>
      </c>
      <c r="F155" s="41">
        <f>'A) Base RI'!AQ155</f>
        <v>-8749.7099999999991</v>
      </c>
      <c r="G155" s="4">
        <f t="shared" si="12"/>
        <v>11830943.789999999</v>
      </c>
      <c r="H155" s="14">
        <f>'A) Base RI'!E155</f>
        <v>0</v>
      </c>
      <c r="I155" s="14">
        <f>'A) Base RI'!F155</f>
        <v>0</v>
      </c>
      <c r="J155" s="14">
        <f>'A) Base RI'!G155+'A) Base RI'!H155</f>
        <v>2107112.65</v>
      </c>
      <c r="K155" s="14">
        <f>'A) Base RI'!I155</f>
        <v>624273.18000000005</v>
      </c>
      <c r="L155" s="14">
        <f>'A) Base RI'!J155</f>
        <v>734525.25</v>
      </c>
      <c r="M155" s="14">
        <f>'A) Base RI'!K155</f>
        <v>119824.5</v>
      </c>
      <c r="N155" s="14">
        <f>'A) Base RI'!Q155</f>
        <v>58825.46</v>
      </c>
      <c r="O155" s="14">
        <f t="shared" si="13"/>
        <v>1426965.45</v>
      </c>
      <c r="P155" s="14">
        <f>'A) Base RI'!L155</f>
        <v>1426965.45</v>
      </c>
      <c r="Q155" s="44">
        <f>'A) Base RI'!AR155</f>
        <v>1</v>
      </c>
      <c r="R155" s="4">
        <f t="shared" si="14"/>
        <v>16902470.280000001</v>
      </c>
      <c r="S155" s="43">
        <f>'A) Base RI'!AM155</f>
        <v>55</v>
      </c>
      <c r="T155" s="4">
        <f t="shared" si="15"/>
        <v>15355680.33</v>
      </c>
      <c r="U155" s="4">
        <f t="shared" si="16"/>
        <v>307317.64145454549</v>
      </c>
      <c r="V155" s="14">
        <f>'A) Base RI'!O155</f>
        <v>1443954.6</v>
      </c>
      <c r="W155" s="14">
        <f>'A) Base RI'!P155</f>
        <v>870874.45</v>
      </c>
      <c r="X155" s="14">
        <f>'A) Base RI'!R155</f>
        <v>623458.15</v>
      </c>
      <c r="Y155" s="4">
        <f t="shared" si="17"/>
        <v>2938287.1999999997</v>
      </c>
      <c r="Z155" s="14">
        <f>'A) Base RI'!N155</f>
        <v>493653.25</v>
      </c>
      <c r="AA155" s="14">
        <f>'A) Base RI'!S155+'A) Base RI'!T155</f>
        <v>4570</v>
      </c>
      <c r="AB155" s="14">
        <f>'A) Base RI'!U155</f>
        <v>48600</v>
      </c>
      <c r="AC155" s="14">
        <f>'A) Base RI'!V155</f>
        <v>0</v>
      </c>
      <c r="AD155" s="14">
        <f>'A) Base RI'!W155</f>
        <v>0</v>
      </c>
      <c r="AE155" s="14">
        <f>'A) Base RI'!Y155</f>
        <v>443693.77</v>
      </c>
      <c r="AF155" s="14">
        <f>'A) Base RI'!Z155</f>
        <v>0</v>
      </c>
      <c r="AG155" s="14">
        <f>'A) Base RI'!AA155</f>
        <v>866570.02</v>
      </c>
      <c r="AH155" s="14">
        <f>'A) Base RI'!AB155</f>
        <v>0</v>
      </c>
      <c r="AI155" s="14">
        <f>'A) Base RI'!AC155</f>
        <v>532039.05000000005</v>
      </c>
      <c r="AJ155" s="14">
        <f>'A) Base RI'!AD155</f>
        <v>185414.38</v>
      </c>
      <c r="AK155" s="14">
        <f>'A) Base RI'!AE155</f>
        <v>0</v>
      </c>
      <c r="AL155" s="14">
        <f>'A) Base RI'!AF155</f>
        <v>0</v>
      </c>
      <c r="AM155" s="14">
        <f>'A) Base RI'!AG155</f>
        <v>36772</v>
      </c>
      <c r="AN155" s="14">
        <f>'A) Base RI'!AH155</f>
        <v>0</v>
      </c>
      <c r="AO155" s="14">
        <f>'A) Base RI'!AI155</f>
        <v>0</v>
      </c>
      <c r="AP155" s="14">
        <f>'A) Base RI'!AJ155</f>
        <v>0</v>
      </c>
      <c r="AQ155" s="14">
        <f>'A) Base RI'!AK155</f>
        <v>0</v>
      </c>
      <c r="AR155" s="14">
        <f>'A) Base RI'!AN155</f>
        <v>5604</v>
      </c>
    </row>
    <row r="156" spans="1:44" x14ac:dyDescent="0.25">
      <c r="A156" s="12">
        <f>'A) Base RI'!A156</f>
        <v>5648</v>
      </c>
      <c r="B156" s="42" t="str">
        <f>'A) Base RI'!B156</f>
        <v>Saint-Sulpice</v>
      </c>
      <c r="C156" s="14">
        <f>'A) Base RI'!C156+'A) Base RI'!D156</f>
        <v>13988659.939999999</v>
      </c>
      <c r="D156" s="14">
        <f>'A) Base RI'!AO156</f>
        <v>-141302.87</v>
      </c>
      <c r="E156" s="41">
        <f>'A) Base RI'!AP156</f>
        <v>0</v>
      </c>
      <c r="F156" s="41">
        <f>'A) Base RI'!AQ156</f>
        <v>-9904.2900000000009</v>
      </c>
      <c r="G156" s="4">
        <f t="shared" si="12"/>
        <v>13837452.780000001</v>
      </c>
      <c r="H156" s="14">
        <f>'A) Base RI'!E156</f>
        <v>0</v>
      </c>
      <c r="I156" s="14">
        <f>'A) Base RI'!F156</f>
        <v>0</v>
      </c>
      <c r="J156" s="14">
        <f>'A) Base RI'!G156+'A) Base RI'!H156</f>
        <v>627850.31000000006</v>
      </c>
      <c r="K156" s="14">
        <f>'A) Base RI'!I156</f>
        <v>666665.6</v>
      </c>
      <c r="L156" s="14">
        <f>'A) Base RI'!J156</f>
        <v>564645</v>
      </c>
      <c r="M156" s="14">
        <f>'A) Base RI'!K156</f>
        <v>92465.5</v>
      </c>
      <c r="N156" s="14">
        <f>'A) Base RI'!Q156</f>
        <v>-3712.22</v>
      </c>
      <c r="O156" s="14">
        <f t="shared" si="13"/>
        <v>1118091.7249999999</v>
      </c>
      <c r="P156" s="14">
        <f>'A) Base RI'!L156</f>
        <v>894473.38</v>
      </c>
      <c r="Q156" s="44">
        <f>'A) Base RI'!AR156</f>
        <v>0.8</v>
      </c>
      <c r="R156" s="4">
        <f t="shared" si="14"/>
        <v>16903458.695</v>
      </c>
      <c r="S156" s="43">
        <f>'A) Base RI'!AM156</f>
        <v>55</v>
      </c>
      <c r="T156" s="4">
        <f t="shared" si="15"/>
        <v>15692901.470000001</v>
      </c>
      <c r="U156" s="4">
        <f t="shared" si="16"/>
        <v>307335.61263636366</v>
      </c>
      <c r="V156" s="14">
        <f>'A) Base RI'!O156</f>
        <v>0</v>
      </c>
      <c r="W156" s="14">
        <f>'A) Base RI'!P156</f>
        <v>1284511.93</v>
      </c>
      <c r="X156" s="14">
        <f>'A) Base RI'!R156</f>
        <v>1296740.3</v>
      </c>
      <c r="Y156" s="4">
        <f t="shared" si="17"/>
        <v>2581252.23</v>
      </c>
      <c r="Z156" s="14">
        <f>'A) Base RI'!N156</f>
        <v>71491.8</v>
      </c>
      <c r="AA156" s="14">
        <f>'A) Base RI'!S156+'A) Base RI'!T156</f>
        <v>0</v>
      </c>
      <c r="AB156" s="14">
        <f>'A) Base RI'!U156</f>
        <v>15650</v>
      </c>
      <c r="AC156" s="14">
        <f>'A) Base RI'!V156</f>
        <v>0</v>
      </c>
      <c r="AD156" s="14">
        <f>'A) Base RI'!W156</f>
        <v>0</v>
      </c>
      <c r="AE156" s="14">
        <f>'A) Base RI'!Y156</f>
        <v>1098973.3</v>
      </c>
      <c r="AF156" s="14">
        <f>'A) Base RI'!Z156</f>
        <v>0</v>
      </c>
      <c r="AG156" s="14">
        <f>'A) Base RI'!AA156</f>
        <v>902691.65</v>
      </c>
      <c r="AH156" s="14">
        <f>'A) Base RI'!AB156</f>
        <v>0</v>
      </c>
      <c r="AI156" s="14">
        <f>'A) Base RI'!AC156</f>
        <v>303541.03000000003</v>
      </c>
      <c r="AJ156" s="14">
        <f>'A) Base RI'!AD156</f>
        <v>0</v>
      </c>
      <c r="AK156" s="14">
        <f>'A) Base RI'!AE156</f>
        <v>0</v>
      </c>
      <c r="AL156" s="14">
        <f>'A) Base RI'!AF156</f>
        <v>0</v>
      </c>
      <c r="AM156" s="14">
        <f>'A) Base RI'!AG156</f>
        <v>132507.72</v>
      </c>
      <c r="AN156" s="14">
        <f>'A) Base RI'!AH156</f>
        <v>132632.51999999999</v>
      </c>
      <c r="AO156" s="14">
        <f>'A) Base RI'!AI156</f>
        <v>0</v>
      </c>
      <c r="AP156" s="14">
        <f>'A) Base RI'!AJ156</f>
        <v>0</v>
      </c>
      <c r="AQ156" s="14">
        <f>'A) Base RI'!AK156</f>
        <v>0</v>
      </c>
      <c r="AR156" s="14">
        <f>'A) Base RI'!AN156</f>
        <v>3898</v>
      </c>
    </row>
    <row r="157" spans="1:44" x14ac:dyDescent="0.25">
      <c r="A157" s="12">
        <f>'A) Base RI'!A157</f>
        <v>5649</v>
      </c>
      <c r="B157" s="42" t="str">
        <f>'A) Base RI'!B157</f>
        <v>Tolochenaz</v>
      </c>
      <c r="C157" s="14">
        <f>'A) Base RI'!C157+'A) Base RI'!D157</f>
        <v>4205656.3100000005</v>
      </c>
      <c r="D157" s="14">
        <f>'A) Base RI'!AO157</f>
        <v>-83826.570000000007</v>
      </c>
      <c r="E157" s="41">
        <f>'A) Base RI'!AP157</f>
        <v>0</v>
      </c>
      <c r="F157" s="41">
        <f>'A) Base RI'!AQ157</f>
        <v>-472.53</v>
      </c>
      <c r="G157" s="4">
        <f t="shared" si="12"/>
        <v>4121357.2100000009</v>
      </c>
      <c r="H157" s="14">
        <f>'A) Base RI'!E157</f>
        <v>0</v>
      </c>
      <c r="I157" s="14">
        <f>'A) Base RI'!F157</f>
        <v>0</v>
      </c>
      <c r="J157" s="14">
        <f>'A) Base RI'!G157+'A) Base RI'!H157</f>
        <v>1887534.2999999998</v>
      </c>
      <c r="K157" s="14">
        <f>'A) Base RI'!I157</f>
        <v>41286.5</v>
      </c>
      <c r="L157" s="14">
        <f>'A) Base RI'!J157</f>
        <v>478624.57</v>
      </c>
      <c r="M157" s="14">
        <f>'A) Base RI'!K157</f>
        <v>59599.5</v>
      </c>
      <c r="N157" s="14">
        <f>'A) Base RI'!Q157</f>
        <v>2758.39</v>
      </c>
      <c r="O157" s="14">
        <f t="shared" si="13"/>
        <v>517247.6</v>
      </c>
      <c r="P157" s="14">
        <f>'A) Base RI'!L157</f>
        <v>517247.6</v>
      </c>
      <c r="Q157" s="44">
        <f>'A) Base RI'!AR157</f>
        <v>1</v>
      </c>
      <c r="R157" s="4">
        <f t="shared" si="14"/>
        <v>7108408.0700000003</v>
      </c>
      <c r="S157" s="43">
        <f>'A) Base RI'!AM157</f>
        <v>65</v>
      </c>
      <c r="T157" s="4">
        <f t="shared" si="15"/>
        <v>6531560.9700000007</v>
      </c>
      <c r="U157" s="4">
        <f t="shared" si="16"/>
        <v>109360.12415384616</v>
      </c>
      <c r="V157" s="14">
        <f>'A) Base RI'!O157</f>
        <v>77493.600000000006</v>
      </c>
      <c r="W157" s="14">
        <f>'A) Base RI'!P157</f>
        <v>170195.45</v>
      </c>
      <c r="X157" s="14">
        <f>'A) Base RI'!R157</f>
        <v>140839.70000000001</v>
      </c>
      <c r="Y157" s="4">
        <f t="shared" si="17"/>
        <v>388528.75</v>
      </c>
      <c r="Z157" s="14">
        <f>'A) Base RI'!N157</f>
        <v>438479.5</v>
      </c>
      <c r="AA157" s="14">
        <f>'A) Base RI'!S157+'A) Base RI'!T157</f>
        <v>0</v>
      </c>
      <c r="AB157" s="14">
        <f>'A) Base RI'!U157</f>
        <v>3345</v>
      </c>
      <c r="AC157" s="14">
        <f>'A) Base RI'!V157</f>
        <v>0</v>
      </c>
      <c r="AD157" s="14">
        <f>'A) Base RI'!W157</f>
        <v>0</v>
      </c>
      <c r="AE157" s="14">
        <f>'A) Base RI'!Y157</f>
        <v>71099.649999999994</v>
      </c>
      <c r="AF157" s="14">
        <f>'A) Base RI'!Z157</f>
        <v>0</v>
      </c>
      <c r="AG157" s="14">
        <f>'A) Base RI'!AA157</f>
        <v>441701.5</v>
      </c>
      <c r="AH157" s="14">
        <f>'A) Base RI'!AB157</f>
        <v>0</v>
      </c>
      <c r="AI157" s="14">
        <f>'A) Base RI'!AC157</f>
        <v>95055</v>
      </c>
      <c r="AJ157" s="14">
        <f>'A) Base RI'!AD157</f>
        <v>0</v>
      </c>
      <c r="AK157" s="14">
        <f>'A) Base RI'!AE157</f>
        <v>0</v>
      </c>
      <c r="AL157" s="14">
        <f>'A) Base RI'!AF157</f>
        <v>0</v>
      </c>
      <c r="AM157" s="14">
        <f>'A) Base RI'!AG157</f>
        <v>0</v>
      </c>
      <c r="AN157" s="14">
        <f>'A) Base RI'!AH157</f>
        <v>128558.9</v>
      </c>
      <c r="AO157" s="14">
        <f>'A) Base RI'!AI157</f>
        <v>0</v>
      </c>
      <c r="AP157" s="14">
        <f>'A) Base RI'!AJ157</f>
        <v>0</v>
      </c>
      <c r="AQ157" s="14">
        <f>'A) Base RI'!AK157</f>
        <v>0</v>
      </c>
      <c r="AR157" s="14">
        <f>'A) Base RI'!AN157</f>
        <v>1855</v>
      </c>
    </row>
    <row r="158" spans="1:44" x14ac:dyDescent="0.25">
      <c r="A158" s="12">
        <f>'A) Base RI'!A158</f>
        <v>5650</v>
      </c>
      <c r="B158" s="42" t="str">
        <f>'A) Base RI'!B158</f>
        <v>Vaux-sur-Morges</v>
      </c>
      <c r="C158" s="14">
        <f>'A) Base RI'!C158+'A) Base RI'!D158</f>
        <v>7162218.0800000001</v>
      </c>
      <c r="D158" s="14">
        <f>'A) Base RI'!AO158</f>
        <v>-2.82</v>
      </c>
      <c r="E158" s="41">
        <f>'A) Base RI'!AP158</f>
        <v>0</v>
      </c>
      <c r="F158" s="41">
        <f>'A) Base RI'!AQ158</f>
        <v>0</v>
      </c>
      <c r="G158" s="4">
        <f t="shared" si="12"/>
        <v>7162215.2599999998</v>
      </c>
      <c r="H158" s="14">
        <f>'A) Base RI'!E158</f>
        <v>0</v>
      </c>
      <c r="I158" s="14">
        <f>'A) Base RI'!F158</f>
        <v>0</v>
      </c>
      <c r="J158" s="14">
        <f>'A) Base RI'!G158+'A) Base RI'!H158</f>
        <v>11573.349999999999</v>
      </c>
      <c r="K158" s="14">
        <f>'A) Base RI'!I158</f>
        <v>0</v>
      </c>
      <c r="L158" s="14">
        <f>'A) Base RI'!J158</f>
        <v>1427.62</v>
      </c>
      <c r="M158" s="14">
        <f>'A) Base RI'!K158</f>
        <v>0</v>
      </c>
      <c r="N158" s="14">
        <f>'A) Base RI'!Q158</f>
        <v>0</v>
      </c>
      <c r="O158" s="14">
        <f t="shared" si="13"/>
        <v>42181.04</v>
      </c>
      <c r="P158" s="14">
        <f>'A) Base RI'!L158</f>
        <v>52726.3</v>
      </c>
      <c r="Q158" s="44">
        <f>'A) Base RI'!AR158</f>
        <v>1.25</v>
      </c>
      <c r="R158" s="4">
        <f t="shared" si="14"/>
        <v>7217397.2699999996</v>
      </c>
      <c r="S158" s="43">
        <f>'A) Base RI'!AM158</f>
        <v>39</v>
      </c>
      <c r="T158" s="4">
        <f t="shared" si="15"/>
        <v>7175216.2299999995</v>
      </c>
      <c r="U158" s="4">
        <f t="shared" si="16"/>
        <v>185061.46846153846</v>
      </c>
      <c r="V158" s="14">
        <f>'A) Base RI'!O158</f>
        <v>71154.3</v>
      </c>
      <c r="W158" s="14">
        <f>'A) Base RI'!P158</f>
        <v>0</v>
      </c>
      <c r="X158" s="14">
        <f>'A) Base RI'!R158</f>
        <v>0</v>
      </c>
      <c r="Y158" s="4">
        <f t="shared" si="17"/>
        <v>71154.3</v>
      </c>
      <c r="Z158" s="14">
        <f>'A) Base RI'!N158</f>
        <v>0</v>
      </c>
      <c r="AA158" s="14">
        <f>'A) Base RI'!S158+'A) Base RI'!T158</f>
        <v>0</v>
      </c>
      <c r="AB158" s="14">
        <f>'A) Base RI'!U158</f>
        <v>510</v>
      </c>
      <c r="AC158" s="14">
        <f>'A) Base RI'!V158</f>
        <v>0</v>
      </c>
      <c r="AD158" s="14">
        <f>'A) Base RI'!W158</f>
        <v>0</v>
      </c>
      <c r="AE158" s="14">
        <f>'A) Base RI'!Y158</f>
        <v>0</v>
      </c>
      <c r="AF158" s="14">
        <f>'A) Base RI'!Z158</f>
        <v>0</v>
      </c>
      <c r="AG158" s="14">
        <f>'A) Base RI'!AA158</f>
        <v>26646.05</v>
      </c>
      <c r="AH158" s="14">
        <f>'A) Base RI'!AB158</f>
        <v>0</v>
      </c>
      <c r="AI158" s="14">
        <f>'A) Base RI'!AC158</f>
        <v>21113.9</v>
      </c>
      <c r="AJ158" s="14">
        <f>'A) Base RI'!AD158</f>
        <v>0</v>
      </c>
      <c r="AK158" s="14">
        <f>'A) Base RI'!AE158</f>
        <v>0</v>
      </c>
      <c r="AL158" s="14">
        <f>'A) Base RI'!AF158</f>
        <v>0</v>
      </c>
      <c r="AM158" s="14">
        <f>'A) Base RI'!AG158</f>
        <v>0</v>
      </c>
      <c r="AN158" s="14">
        <f>'A) Base RI'!AH158</f>
        <v>0</v>
      </c>
      <c r="AO158" s="14">
        <f>'A) Base RI'!AI158</f>
        <v>0</v>
      </c>
      <c r="AP158" s="14">
        <f>'A) Base RI'!AJ158</f>
        <v>0</v>
      </c>
      <c r="AQ158" s="14">
        <f>'A) Base RI'!AK158</f>
        <v>0</v>
      </c>
      <c r="AR158" s="14">
        <f>'A) Base RI'!AN158</f>
        <v>203</v>
      </c>
    </row>
    <row r="159" spans="1:44" x14ac:dyDescent="0.25">
      <c r="A159" s="12">
        <f>'A) Base RI'!A159</f>
        <v>5651</v>
      </c>
      <c r="B159" s="42" t="str">
        <f>'A) Base RI'!B159</f>
        <v>Villars-Sainte-Croix</v>
      </c>
      <c r="C159" s="14">
        <f>'A) Base RI'!C159+'A) Base RI'!D159</f>
        <v>1770971.53</v>
      </c>
      <c r="D159" s="14">
        <f>'A) Base RI'!AO159</f>
        <v>-102556.47</v>
      </c>
      <c r="E159" s="41">
        <f>'A) Base RI'!AP159</f>
        <v>0</v>
      </c>
      <c r="F159" s="41">
        <f>'A) Base RI'!AQ159</f>
        <v>-17.239999999999998</v>
      </c>
      <c r="G159" s="4">
        <f t="shared" si="12"/>
        <v>1668397.82</v>
      </c>
      <c r="H159" s="14">
        <f>'A) Base RI'!E159</f>
        <v>0</v>
      </c>
      <c r="I159" s="14">
        <f>'A) Base RI'!F159</f>
        <v>0</v>
      </c>
      <c r="J159" s="14">
        <f>'A) Base RI'!G159+'A) Base RI'!H159</f>
        <v>247611.6</v>
      </c>
      <c r="K159" s="14">
        <f>'A) Base RI'!I159</f>
        <v>0</v>
      </c>
      <c r="L159" s="14">
        <f>'A) Base RI'!J159</f>
        <v>22047.200000000001</v>
      </c>
      <c r="M159" s="14">
        <f>'A) Base RI'!K159</f>
        <v>13268</v>
      </c>
      <c r="N159" s="14">
        <f>'A) Base RI'!Q159</f>
        <v>79586.55</v>
      </c>
      <c r="O159" s="14">
        <f t="shared" si="13"/>
        <v>200663.4</v>
      </c>
      <c r="P159" s="14">
        <f>'A) Base RI'!L159</f>
        <v>200663.4</v>
      </c>
      <c r="Q159" s="44">
        <f>'A) Base RI'!AR159</f>
        <v>1</v>
      </c>
      <c r="R159" s="4">
        <f t="shared" si="14"/>
        <v>2231574.5700000003</v>
      </c>
      <c r="S159" s="43">
        <f>'A) Base RI'!AM159</f>
        <v>59</v>
      </c>
      <c r="T159" s="4">
        <f t="shared" si="15"/>
        <v>2017643.1700000002</v>
      </c>
      <c r="U159" s="4">
        <f t="shared" si="16"/>
        <v>37823.297796610175</v>
      </c>
      <c r="V159" s="14">
        <f>'A) Base RI'!O159</f>
        <v>0</v>
      </c>
      <c r="W159" s="14">
        <f>'A) Base RI'!P159</f>
        <v>221104.3</v>
      </c>
      <c r="X159" s="14">
        <f>'A) Base RI'!R159</f>
        <v>228523.35</v>
      </c>
      <c r="Y159" s="4">
        <f t="shared" si="17"/>
        <v>449627.65</v>
      </c>
      <c r="Z159" s="14">
        <f>'A) Base RI'!N159</f>
        <v>128413.05</v>
      </c>
      <c r="AA159" s="14">
        <f>'A) Base RI'!S159+'A) Base RI'!T159</f>
        <v>0</v>
      </c>
      <c r="AB159" s="14">
        <f>'A) Base RI'!U159</f>
        <v>3760</v>
      </c>
      <c r="AC159" s="14">
        <f>'A) Base RI'!V159</f>
        <v>0</v>
      </c>
      <c r="AD159" s="14">
        <f>'A) Base RI'!W159</f>
        <v>0</v>
      </c>
      <c r="AE159" s="14">
        <f>'A) Base RI'!Y159</f>
        <v>476225.45</v>
      </c>
      <c r="AF159" s="14">
        <f>'A) Base RI'!Z159</f>
        <v>0</v>
      </c>
      <c r="AG159" s="14">
        <f>'A) Base RI'!AA159</f>
        <v>86554.55</v>
      </c>
      <c r="AH159" s="14">
        <f>'A) Base RI'!AB159</f>
        <v>0</v>
      </c>
      <c r="AI159" s="14">
        <f>'A) Base RI'!AC159</f>
        <v>97823.85</v>
      </c>
      <c r="AJ159" s="14">
        <f>'A) Base RI'!AD159</f>
        <v>271239.3</v>
      </c>
      <c r="AK159" s="14">
        <f>'A) Base RI'!AE159</f>
        <v>0</v>
      </c>
      <c r="AL159" s="14">
        <f>'A) Base RI'!AF159</f>
        <v>0</v>
      </c>
      <c r="AM159" s="14">
        <f>'A) Base RI'!AG159</f>
        <v>0</v>
      </c>
      <c r="AN159" s="14">
        <f>'A) Base RI'!AH159</f>
        <v>41370.800000000003</v>
      </c>
      <c r="AO159" s="14">
        <f>'A) Base RI'!AI159</f>
        <v>0</v>
      </c>
      <c r="AP159" s="14">
        <f>'A) Base RI'!AJ159</f>
        <v>0</v>
      </c>
      <c r="AQ159" s="14">
        <f>'A) Base RI'!AK159</f>
        <v>0</v>
      </c>
      <c r="AR159" s="14">
        <f>'A) Base RI'!AN159</f>
        <v>709</v>
      </c>
    </row>
    <row r="160" spans="1:44" x14ac:dyDescent="0.25">
      <c r="A160" s="12">
        <f>'A) Base RI'!A160</f>
        <v>5652</v>
      </c>
      <c r="B160" s="42" t="str">
        <f>'A) Base RI'!B160</f>
        <v>Villars-sous-Yens</v>
      </c>
      <c r="C160" s="14">
        <f>'A) Base RI'!C160+'A) Base RI'!D160</f>
        <v>1659219.21</v>
      </c>
      <c r="D160" s="14">
        <f>'A) Base RI'!AO160</f>
        <v>-589.14</v>
      </c>
      <c r="E160" s="41">
        <f>'A) Base RI'!AP160</f>
        <v>0</v>
      </c>
      <c r="F160" s="41">
        <f>'A) Base RI'!AQ160</f>
        <v>-62.45</v>
      </c>
      <c r="G160" s="4">
        <f t="shared" si="12"/>
        <v>1658567.62</v>
      </c>
      <c r="H160" s="14">
        <f>'A) Base RI'!E160</f>
        <v>0</v>
      </c>
      <c r="I160" s="14">
        <f>'A) Base RI'!F160</f>
        <v>0</v>
      </c>
      <c r="J160" s="14">
        <f>'A) Base RI'!G160+'A) Base RI'!H160</f>
        <v>15235.45</v>
      </c>
      <c r="K160" s="14">
        <f>'A) Base RI'!I160</f>
        <v>0</v>
      </c>
      <c r="L160" s="14">
        <f>'A) Base RI'!J160</f>
        <v>26229.4</v>
      </c>
      <c r="M160" s="14">
        <f>'A) Base RI'!K160</f>
        <v>1104</v>
      </c>
      <c r="N160" s="14">
        <f>'A) Base RI'!Q160</f>
        <v>0</v>
      </c>
      <c r="O160" s="14">
        <f t="shared" si="13"/>
        <v>95524.916666666672</v>
      </c>
      <c r="P160" s="14">
        <f>'A) Base RI'!L160</f>
        <v>114629.9</v>
      </c>
      <c r="Q160" s="44">
        <f>'A) Base RI'!AR160</f>
        <v>1.2</v>
      </c>
      <c r="R160" s="4">
        <f t="shared" si="14"/>
        <v>1796661.3866666667</v>
      </c>
      <c r="S160" s="43">
        <f>'A) Base RI'!AM160</f>
        <v>76</v>
      </c>
      <c r="T160" s="4">
        <f t="shared" si="15"/>
        <v>1700032.47</v>
      </c>
      <c r="U160" s="4">
        <f t="shared" si="16"/>
        <v>23640.281403508772</v>
      </c>
      <c r="V160" s="14">
        <f>'A) Base RI'!O160</f>
        <v>0.7</v>
      </c>
      <c r="W160" s="14">
        <f>'A) Base RI'!P160</f>
        <v>55316.15</v>
      </c>
      <c r="X160" s="14">
        <f>'A) Base RI'!R160</f>
        <v>0</v>
      </c>
      <c r="Y160" s="4">
        <f t="shared" si="17"/>
        <v>55316.85</v>
      </c>
      <c r="Z160" s="14">
        <f>'A) Base RI'!N160</f>
        <v>2164.85</v>
      </c>
      <c r="AA160" s="14">
        <f>'A) Base RI'!S160+'A) Base RI'!T160</f>
        <v>0</v>
      </c>
      <c r="AB160" s="14">
        <f>'A) Base RI'!U160</f>
        <v>3250</v>
      </c>
      <c r="AC160" s="14">
        <f>'A) Base RI'!V160</f>
        <v>0</v>
      </c>
      <c r="AD160" s="14">
        <f>'A) Base RI'!W160</f>
        <v>0</v>
      </c>
      <c r="AE160" s="14">
        <f>'A) Base RI'!Y160</f>
        <v>33370</v>
      </c>
      <c r="AF160" s="14">
        <f>'A) Base RI'!Z160</f>
        <v>-1457.4</v>
      </c>
      <c r="AG160" s="14">
        <f>'A) Base RI'!AA160</f>
        <v>76184.45</v>
      </c>
      <c r="AH160" s="14">
        <f>'A) Base RI'!AB160</f>
        <v>0</v>
      </c>
      <c r="AI160" s="14">
        <f>'A) Base RI'!AC160</f>
        <v>38875</v>
      </c>
      <c r="AJ160" s="14">
        <f>'A) Base RI'!AD160</f>
        <v>0</v>
      </c>
      <c r="AK160" s="14">
        <f>'A) Base RI'!AE160</f>
        <v>0</v>
      </c>
      <c r="AL160" s="14">
        <f>'A) Base RI'!AF160</f>
        <v>0</v>
      </c>
      <c r="AM160" s="14">
        <f>'A) Base RI'!AG160</f>
        <v>0</v>
      </c>
      <c r="AN160" s="14">
        <f>'A) Base RI'!AH160</f>
        <v>0</v>
      </c>
      <c r="AO160" s="14">
        <f>'A) Base RI'!AI160</f>
        <v>0</v>
      </c>
      <c r="AP160" s="14">
        <f>'A) Base RI'!AJ160</f>
        <v>0</v>
      </c>
      <c r="AQ160" s="14">
        <f>'A) Base RI'!AK160</f>
        <v>0</v>
      </c>
      <c r="AR160" s="14">
        <f>'A) Base RI'!AN160</f>
        <v>564</v>
      </c>
    </row>
    <row r="161" spans="1:44" x14ac:dyDescent="0.25">
      <c r="A161" s="12">
        <f>'A) Base RI'!A161</f>
        <v>5653</v>
      </c>
      <c r="B161" s="42" t="str">
        <f>'A) Base RI'!B161</f>
        <v>Vufflens-le-Château</v>
      </c>
      <c r="C161" s="14">
        <f>'A) Base RI'!C161+'A) Base RI'!D161</f>
        <v>3007865.7199999997</v>
      </c>
      <c r="D161" s="14">
        <f>'A) Base RI'!AO161</f>
        <v>-8565.82</v>
      </c>
      <c r="E161" s="41">
        <f>'A) Base RI'!AP161</f>
        <v>0</v>
      </c>
      <c r="F161" s="41">
        <f>'A) Base RI'!AQ161</f>
        <v>-2688.78</v>
      </c>
      <c r="G161" s="4">
        <f t="shared" si="12"/>
        <v>2996611.12</v>
      </c>
      <c r="H161" s="14">
        <f>'A) Base RI'!E161</f>
        <v>0</v>
      </c>
      <c r="I161" s="14">
        <f>'A) Base RI'!F161</f>
        <v>0</v>
      </c>
      <c r="J161" s="14">
        <f>'A) Base RI'!G161+'A) Base RI'!H161</f>
        <v>4823.6000000000004</v>
      </c>
      <c r="K161" s="14">
        <f>'A) Base RI'!I161</f>
        <v>101621.3</v>
      </c>
      <c r="L161" s="14">
        <f>'A) Base RI'!J161</f>
        <v>-34165.269999999997</v>
      </c>
      <c r="M161" s="14">
        <f>'A) Base RI'!K161</f>
        <v>2764.5</v>
      </c>
      <c r="N161" s="14">
        <f>'A) Base RI'!Q161</f>
        <v>0</v>
      </c>
      <c r="O161" s="14">
        <f t="shared" si="13"/>
        <v>217892.37499999997</v>
      </c>
      <c r="P161" s="14">
        <f>'A) Base RI'!L161</f>
        <v>174313.9</v>
      </c>
      <c r="Q161" s="44">
        <f>'A) Base RI'!AR161</f>
        <v>0.8</v>
      </c>
      <c r="R161" s="4">
        <f t="shared" si="14"/>
        <v>3289547.625</v>
      </c>
      <c r="S161" s="43">
        <f>'A) Base RI'!AM161</f>
        <v>55</v>
      </c>
      <c r="T161" s="4">
        <f t="shared" si="15"/>
        <v>3068890.75</v>
      </c>
      <c r="U161" s="4">
        <f t="shared" si="16"/>
        <v>59809.956818181818</v>
      </c>
      <c r="V161" s="14">
        <f>'A) Base RI'!O161</f>
        <v>0</v>
      </c>
      <c r="W161" s="14">
        <f>'A) Base RI'!P161</f>
        <v>106254.2</v>
      </c>
      <c r="X161" s="14">
        <f>'A) Base RI'!R161</f>
        <v>59381.1</v>
      </c>
      <c r="Y161" s="4">
        <f t="shared" si="17"/>
        <v>165635.29999999999</v>
      </c>
      <c r="Z161" s="14">
        <f>'A) Base RI'!N161</f>
        <v>1822.2</v>
      </c>
      <c r="AA161" s="14">
        <f>'A) Base RI'!S161+'A) Base RI'!T161</f>
        <v>400</v>
      </c>
      <c r="AB161" s="14">
        <f>'A) Base RI'!U161</f>
        <v>5600</v>
      </c>
      <c r="AC161" s="14">
        <f>'A) Base RI'!V161</f>
        <v>0</v>
      </c>
      <c r="AD161" s="14">
        <f>'A) Base RI'!W161</f>
        <v>0</v>
      </c>
      <c r="AE161" s="14">
        <f>'A) Base RI'!Y161</f>
        <v>82136.2</v>
      </c>
      <c r="AF161" s="14">
        <f>'A) Base RI'!Z161</f>
        <v>0</v>
      </c>
      <c r="AG161" s="14">
        <f>'A) Base RI'!AA161</f>
        <v>100498.9</v>
      </c>
      <c r="AH161" s="14">
        <f>'A) Base RI'!AB161</f>
        <v>0</v>
      </c>
      <c r="AI161" s="14">
        <f>'A) Base RI'!AC161</f>
        <v>44764.9</v>
      </c>
      <c r="AJ161" s="14">
        <f>'A) Base RI'!AD161</f>
        <v>0</v>
      </c>
      <c r="AK161" s="14">
        <f>'A) Base RI'!AE161</f>
        <v>0</v>
      </c>
      <c r="AL161" s="14">
        <f>'A) Base RI'!AF161</f>
        <v>0</v>
      </c>
      <c r="AM161" s="14">
        <f>'A) Base RI'!AG161</f>
        <v>0</v>
      </c>
      <c r="AN161" s="14">
        <f>'A) Base RI'!AH161</f>
        <v>0</v>
      </c>
      <c r="AO161" s="14">
        <f>'A) Base RI'!AI161</f>
        <v>0</v>
      </c>
      <c r="AP161" s="14">
        <f>'A) Base RI'!AJ161</f>
        <v>0</v>
      </c>
      <c r="AQ161" s="14">
        <f>'A) Base RI'!AK161</f>
        <v>0</v>
      </c>
      <c r="AR161" s="14">
        <f>'A) Base RI'!AN161</f>
        <v>821</v>
      </c>
    </row>
    <row r="162" spans="1:44" x14ac:dyDescent="0.25">
      <c r="A162" s="12">
        <f>'A) Base RI'!A162</f>
        <v>5654</v>
      </c>
      <c r="B162" s="42" t="str">
        <f>'A) Base RI'!B162</f>
        <v>Vullierens</v>
      </c>
      <c r="C162" s="14">
        <f>'A) Base RI'!C162+'A) Base RI'!D162</f>
        <v>1175545.6300000001</v>
      </c>
      <c r="D162" s="14">
        <f>'A) Base RI'!AO162</f>
        <v>-6531.73</v>
      </c>
      <c r="E162" s="41">
        <f>'A) Base RI'!AP162</f>
        <v>0</v>
      </c>
      <c r="F162" s="41">
        <f>'A) Base RI'!AQ162</f>
        <v>-1165.55</v>
      </c>
      <c r="G162" s="4">
        <f t="shared" si="12"/>
        <v>1167848.3500000001</v>
      </c>
      <c r="H162" s="14">
        <f>'A) Base RI'!E162</f>
        <v>0</v>
      </c>
      <c r="I162" s="14">
        <f>'A) Base RI'!F162</f>
        <v>0</v>
      </c>
      <c r="J162" s="14">
        <f>'A) Base RI'!G162+'A) Base RI'!H162</f>
        <v>26397.550000000003</v>
      </c>
      <c r="K162" s="14">
        <f>'A) Base RI'!I162</f>
        <v>0</v>
      </c>
      <c r="L162" s="14">
        <f>'A) Base RI'!J162</f>
        <v>11184.62</v>
      </c>
      <c r="M162" s="14">
        <f>'A) Base RI'!K162</f>
        <v>729</v>
      </c>
      <c r="N162" s="14">
        <f>'A) Base RI'!Q162</f>
        <v>0</v>
      </c>
      <c r="O162" s="14">
        <f t="shared" si="13"/>
        <v>81956.149999999994</v>
      </c>
      <c r="P162" s="14">
        <f>'A) Base RI'!L162</f>
        <v>81956.149999999994</v>
      </c>
      <c r="Q162" s="44">
        <f>'A) Base RI'!AR162</f>
        <v>1</v>
      </c>
      <c r="R162" s="4">
        <f t="shared" si="14"/>
        <v>1288115.6700000002</v>
      </c>
      <c r="S162" s="43">
        <f>'A) Base RI'!AM162</f>
        <v>76</v>
      </c>
      <c r="T162" s="4">
        <f t="shared" si="15"/>
        <v>1205430.5200000003</v>
      </c>
      <c r="U162" s="4">
        <f t="shared" si="16"/>
        <v>16948.890394736845</v>
      </c>
      <c r="V162" s="14">
        <f>'A) Base RI'!O162</f>
        <v>120000</v>
      </c>
      <c r="W162" s="14">
        <f>'A) Base RI'!P162</f>
        <v>2150.5</v>
      </c>
      <c r="X162" s="14">
        <f>'A) Base RI'!R162</f>
        <v>12917.7</v>
      </c>
      <c r="Y162" s="4">
        <f t="shared" si="17"/>
        <v>135068.20000000001</v>
      </c>
      <c r="Z162" s="14">
        <f>'A) Base RI'!N162</f>
        <v>0</v>
      </c>
      <c r="AA162" s="14">
        <f>'A) Base RI'!S162+'A) Base RI'!T162</f>
        <v>2069.5</v>
      </c>
      <c r="AB162" s="14">
        <f>'A) Base RI'!U162</f>
        <v>3100</v>
      </c>
      <c r="AC162" s="14">
        <f>'A) Base RI'!V162</f>
        <v>0</v>
      </c>
      <c r="AD162" s="14">
        <f>'A) Base RI'!W162</f>
        <v>0</v>
      </c>
      <c r="AE162" s="14">
        <f>'A) Base RI'!Y162</f>
        <v>40000</v>
      </c>
      <c r="AF162" s="14">
        <f>'A) Base RI'!Z162</f>
        <v>0</v>
      </c>
      <c r="AG162" s="14">
        <f>'A) Base RI'!AA162</f>
        <v>144523.95000000001</v>
      </c>
      <c r="AH162" s="14">
        <f>'A) Base RI'!AB162</f>
        <v>0</v>
      </c>
      <c r="AI162" s="14">
        <f>'A) Base RI'!AC162</f>
        <v>19001.45</v>
      </c>
      <c r="AJ162" s="14">
        <f>'A) Base RI'!AD162</f>
        <v>8000</v>
      </c>
      <c r="AK162" s="14">
        <f>'A) Base RI'!AE162</f>
        <v>0</v>
      </c>
      <c r="AL162" s="14">
        <f>'A) Base RI'!AF162</f>
        <v>0</v>
      </c>
      <c r="AM162" s="14">
        <f>'A) Base RI'!AG162</f>
        <v>0</v>
      </c>
      <c r="AN162" s="14">
        <f>'A) Base RI'!AH162</f>
        <v>13536.85</v>
      </c>
      <c r="AO162" s="14">
        <f>'A) Base RI'!AI162</f>
        <v>0</v>
      </c>
      <c r="AP162" s="14">
        <f>'A) Base RI'!AJ162</f>
        <v>0</v>
      </c>
      <c r="AQ162" s="14">
        <f>'A) Base RI'!AK162</f>
        <v>0</v>
      </c>
      <c r="AR162" s="14">
        <f>'A) Base RI'!AN162</f>
        <v>460</v>
      </c>
    </row>
    <row r="163" spans="1:44" x14ac:dyDescent="0.25">
      <c r="A163" s="12">
        <f>'A) Base RI'!A163</f>
        <v>5655</v>
      </c>
      <c r="B163" s="42" t="str">
        <f>'A) Base RI'!B163</f>
        <v>Yens</v>
      </c>
      <c r="C163" s="14">
        <f>'A) Base RI'!C163+'A) Base RI'!D163</f>
        <v>4163833.88</v>
      </c>
      <c r="D163" s="14">
        <f>'A) Base RI'!AO163</f>
        <v>-38671.760000000002</v>
      </c>
      <c r="E163" s="41">
        <f>'A) Base RI'!AP163</f>
        <v>0</v>
      </c>
      <c r="F163" s="41">
        <f>'A) Base RI'!AQ163</f>
        <v>-944.31</v>
      </c>
      <c r="G163" s="4">
        <f t="shared" si="12"/>
        <v>4124217.81</v>
      </c>
      <c r="H163" s="14">
        <f>'A) Base RI'!E163</f>
        <v>0</v>
      </c>
      <c r="I163" s="14">
        <f>'A) Base RI'!F163</f>
        <v>0</v>
      </c>
      <c r="J163" s="14">
        <f>'A) Base RI'!G163+'A) Base RI'!H163</f>
        <v>116120.3</v>
      </c>
      <c r="K163" s="14">
        <f>'A) Base RI'!I163</f>
        <v>256403.75</v>
      </c>
      <c r="L163" s="14">
        <f>'A) Base RI'!J163</f>
        <v>139768.19</v>
      </c>
      <c r="M163" s="14">
        <f>'A) Base RI'!K163</f>
        <v>5616.5</v>
      </c>
      <c r="N163" s="14">
        <f>'A) Base RI'!Q163</f>
        <v>0</v>
      </c>
      <c r="O163" s="14">
        <f t="shared" si="13"/>
        <v>329705.05</v>
      </c>
      <c r="P163" s="14">
        <f>'A) Base RI'!L163</f>
        <v>329705.05</v>
      </c>
      <c r="Q163" s="44">
        <f>'A) Base RI'!AR163</f>
        <v>1</v>
      </c>
      <c r="R163" s="4">
        <f t="shared" si="14"/>
        <v>4971831.6000000006</v>
      </c>
      <c r="S163" s="43">
        <f>'A) Base RI'!AM163</f>
        <v>73</v>
      </c>
      <c r="T163" s="4">
        <f t="shared" si="15"/>
        <v>4636510.0500000007</v>
      </c>
      <c r="U163" s="4">
        <f t="shared" si="16"/>
        <v>68107.282191780832</v>
      </c>
      <c r="V163" s="14">
        <f>'A) Base RI'!O163</f>
        <v>7736.9</v>
      </c>
      <c r="W163" s="14">
        <f>'A) Base RI'!P163</f>
        <v>390493.5</v>
      </c>
      <c r="X163" s="14">
        <f>'A) Base RI'!R163</f>
        <v>403147.95</v>
      </c>
      <c r="Y163" s="4">
        <f t="shared" si="17"/>
        <v>801378.35000000009</v>
      </c>
      <c r="Z163" s="14">
        <f>'A) Base RI'!N163</f>
        <v>51970.45</v>
      </c>
      <c r="AA163" s="14">
        <f>'A) Base RI'!S163+'A) Base RI'!T163</f>
        <v>275</v>
      </c>
      <c r="AB163" s="14">
        <f>'A) Base RI'!U163</f>
        <v>6810</v>
      </c>
      <c r="AC163" s="14">
        <f>'A) Base RI'!V163</f>
        <v>1160</v>
      </c>
      <c r="AD163" s="14">
        <f>'A) Base RI'!W163</f>
        <v>0</v>
      </c>
      <c r="AE163" s="14">
        <f>'A) Base RI'!Y163</f>
        <v>45922.5</v>
      </c>
      <c r="AF163" s="14">
        <f>'A) Base RI'!Z163</f>
        <v>0</v>
      </c>
      <c r="AG163" s="14">
        <f>'A) Base RI'!AA163</f>
        <v>182101.25</v>
      </c>
      <c r="AH163" s="14">
        <f>'A) Base RI'!AB163</f>
        <v>0</v>
      </c>
      <c r="AI163" s="14">
        <f>'A) Base RI'!AC163</f>
        <v>73048.5</v>
      </c>
      <c r="AJ163" s="14">
        <f>'A) Base RI'!AD163</f>
        <v>74984.2</v>
      </c>
      <c r="AK163" s="14">
        <f>'A) Base RI'!AE163</f>
        <v>0</v>
      </c>
      <c r="AL163" s="14">
        <f>'A) Base RI'!AF163</f>
        <v>0</v>
      </c>
      <c r="AM163" s="14">
        <f>'A) Base RI'!AG163</f>
        <v>0</v>
      </c>
      <c r="AN163" s="14">
        <f>'A) Base RI'!AH163</f>
        <v>0</v>
      </c>
      <c r="AO163" s="14">
        <f>'A) Base RI'!AI163</f>
        <v>0</v>
      </c>
      <c r="AP163" s="14">
        <f>'A) Base RI'!AJ163</f>
        <v>0</v>
      </c>
      <c r="AQ163" s="14">
        <f>'A) Base RI'!AK163</f>
        <v>0</v>
      </c>
      <c r="AR163" s="14">
        <f>'A) Base RI'!AN163</f>
        <v>1405</v>
      </c>
    </row>
    <row r="164" spans="1:44" x14ac:dyDescent="0.25">
      <c r="A164" s="12">
        <f>'A) Base RI'!A164</f>
        <v>5661</v>
      </c>
      <c r="B164" s="42" t="str">
        <f>'A) Base RI'!B164</f>
        <v>Boulens</v>
      </c>
      <c r="C164" s="14">
        <f>'A) Base RI'!C164+'A) Base RI'!D164</f>
        <v>529094.52</v>
      </c>
      <c r="D164" s="14">
        <f>'A) Base RI'!AO164</f>
        <v>-18806.599999999999</v>
      </c>
      <c r="E164" s="41">
        <f>'A) Base RI'!AP164</f>
        <v>0</v>
      </c>
      <c r="F164" s="41">
        <f>'A) Base RI'!AQ164</f>
        <v>0</v>
      </c>
      <c r="G164" s="4">
        <f t="shared" si="12"/>
        <v>510287.92000000004</v>
      </c>
      <c r="H164" s="14">
        <f>'A) Base RI'!E164</f>
        <v>0</v>
      </c>
      <c r="I164" s="14">
        <f>'A) Base RI'!F164</f>
        <v>1530</v>
      </c>
      <c r="J164" s="14">
        <f>'A) Base RI'!G164+'A) Base RI'!H164</f>
        <v>16656.3</v>
      </c>
      <c r="K164" s="14">
        <f>'A) Base RI'!I164</f>
        <v>0</v>
      </c>
      <c r="L164" s="14">
        <f>'A) Base RI'!J164</f>
        <v>6417.22</v>
      </c>
      <c r="M164" s="14">
        <f>'A) Base RI'!K164</f>
        <v>312</v>
      </c>
      <c r="N164" s="14">
        <f>'A) Base RI'!Q164</f>
        <v>1200</v>
      </c>
      <c r="O164" s="14">
        <f t="shared" si="13"/>
        <v>38517.1</v>
      </c>
      <c r="P164" s="14">
        <f>'A) Base RI'!L164</f>
        <v>38517.1</v>
      </c>
      <c r="Q164" s="44">
        <f>'A) Base RI'!AR164</f>
        <v>1</v>
      </c>
      <c r="R164" s="4">
        <f t="shared" si="14"/>
        <v>574920.54</v>
      </c>
      <c r="S164" s="43">
        <f>'A) Base RI'!AM164</f>
        <v>79</v>
      </c>
      <c r="T164" s="4">
        <f t="shared" si="15"/>
        <v>534561.44000000006</v>
      </c>
      <c r="U164" s="4">
        <f t="shared" si="16"/>
        <v>7277.4751898734185</v>
      </c>
      <c r="V164" s="14">
        <f>'A) Base RI'!O164</f>
        <v>0</v>
      </c>
      <c r="W164" s="14">
        <f>'A) Base RI'!P164</f>
        <v>21114.5</v>
      </c>
      <c r="X164" s="14">
        <f>'A) Base RI'!R164</f>
        <v>8426.5</v>
      </c>
      <c r="Y164" s="4">
        <f t="shared" si="17"/>
        <v>29541</v>
      </c>
      <c r="Z164" s="14">
        <f>'A) Base RI'!N164</f>
        <v>13789.55</v>
      </c>
      <c r="AA164" s="14">
        <f>'A) Base RI'!S164+'A) Base RI'!T164</f>
        <v>0</v>
      </c>
      <c r="AB164" s="14">
        <f>'A) Base RI'!U164</f>
        <v>1800</v>
      </c>
      <c r="AC164" s="14">
        <f>'A) Base RI'!V164</f>
        <v>0</v>
      </c>
      <c r="AD164" s="14">
        <f>'A) Base RI'!W164</f>
        <v>0</v>
      </c>
      <c r="AE164" s="14">
        <f>'A) Base RI'!Y164</f>
        <v>63000</v>
      </c>
      <c r="AF164" s="14">
        <f>'A) Base RI'!Z164</f>
        <v>0</v>
      </c>
      <c r="AG164" s="14">
        <f>'A) Base RI'!AA164</f>
        <v>29626.85</v>
      </c>
      <c r="AH164" s="14">
        <f>'A) Base RI'!AB164</f>
        <v>0</v>
      </c>
      <c r="AI164" s="14">
        <f>'A) Base RI'!AC164</f>
        <v>23556.799999999999</v>
      </c>
      <c r="AJ164" s="14">
        <f>'A) Base RI'!AD164</f>
        <v>0</v>
      </c>
      <c r="AK164" s="14">
        <f>'A) Base RI'!AE164</f>
        <v>0</v>
      </c>
      <c r="AL164" s="14">
        <f>'A) Base RI'!AF164</f>
        <v>0</v>
      </c>
      <c r="AM164" s="14">
        <f>'A) Base RI'!AG164</f>
        <v>0</v>
      </c>
      <c r="AN164" s="14">
        <f>'A) Base RI'!AH164</f>
        <v>0</v>
      </c>
      <c r="AO164" s="14">
        <f>'A) Base RI'!AI164</f>
        <v>0</v>
      </c>
      <c r="AP164" s="14">
        <f>'A) Base RI'!AJ164</f>
        <v>0</v>
      </c>
      <c r="AQ164" s="14">
        <f>'A) Base RI'!AK164</f>
        <v>0</v>
      </c>
      <c r="AR164" s="14">
        <f>'A) Base RI'!AN164</f>
        <v>325</v>
      </c>
    </row>
    <row r="165" spans="1:44" x14ac:dyDescent="0.25">
      <c r="A165" s="12">
        <f>'A) Base RI'!A165</f>
        <v>5662</v>
      </c>
      <c r="B165" s="42" t="str">
        <f>'A) Base RI'!B165</f>
        <v>Brenles</v>
      </c>
      <c r="C165" s="14">
        <f>'A) Base RI'!C165+'A) Base RI'!D165</f>
        <v>351224.5</v>
      </c>
      <c r="D165" s="14">
        <f>'A) Base RI'!AO165</f>
        <v>-3286.52</v>
      </c>
      <c r="E165" s="41">
        <f>'A) Base RI'!AP165</f>
        <v>0</v>
      </c>
      <c r="F165" s="41">
        <f>'A) Base RI'!AQ165</f>
        <v>-0.12</v>
      </c>
      <c r="G165" s="4">
        <f t="shared" si="12"/>
        <v>347937.86</v>
      </c>
      <c r="H165" s="14">
        <f>'A) Base RI'!E165</f>
        <v>0</v>
      </c>
      <c r="I165" s="14">
        <f>'A) Base RI'!F165</f>
        <v>0</v>
      </c>
      <c r="J165" s="14">
        <f>'A) Base RI'!G165+'A) Base RI'!H165</f>
        <v>-1693.5</v>
      </c>
      <c r="K165" s="14">
        <f>'A) Base RI'!I165</f>
        <v>0</v>
      </c>
      <c r="L165" s="14">
        <f>'A) Base RI'!J165</f>
        <v>883.42</v>
      </c>
      <c r="M165" s="14">
        <f>'A) Base RI'!K165</f>
        <v>0</v>
      </c>
      <c r="N165" s="14">
        <f>'A) Base RI'!Q165</f>
        <v>0</v>
      </c>
      <c r="O165" s="14">
        <f t="shared" si="13"/>
        <v>17915.444444444445</v>
      </c>
      <c r="P165" s="14">
        <f>'A) Base RI'!L165</f>
        <v>16123.9</v>
      </c>
      <c r="Q165" s="44">
        <f>'A) Base RI'!AR165</f>
        <v>0.9</v>
      </c>
      <c r="R165" s="4">
        <f t="shared" si="14"/>
        <v>365043.22444444441</v>
      </c>
      <c r="S165" s="43">
        <f>'A) Base RI'!AM165</f>
        <v>78</v>
      </c>
      <c r="T165" s="4">
        <f t="shared" si="15"/>
        <v>347127.77999999997</v>
      </c>
      <c r="U165" s="4">
        <f t="shared" si="16"/>
        <v>4680.0413390313388</v>
      </c>
      <c r="V165" s="14">
        <f>'A) Base RI'!O165</f>
        <v>4058.6</v>
      </c>
      <c r="W165" s="14">
        <f>'A) Base RI'!P165</f>
        <v>13117.5</v>
      </c>
      <c r="X165" s="14">
        <f>'A) Base RI'!R165</f>
        <v>0</v>
      </c>
      <c r="Y165" s="4">
        <f t="shared" si="17"/>
        <v>17176.099999999999</v>
      </c>
      <c r="Z165" s="14">
        <f>'A) Base RI'!N165</f>
        <v>0</v>
      </c>
      <c r="AA165" s="14">
        <f>'A) Base RI'!S165+'A) Base RI'!T165</f>
        <v>0</v>
      </c>
      <c r="AB165" s="14">
        <f>'A) Base RI'!U165</f>
        <v>720</v>
      </c>
      <c r="AC165" s="14">
        <f>'A) Base RI'!V165</f>
        <v>0</v>
      </c>
      <c r="AD165" s="14">
        <f>'A) Base RI'!W165</f>
        <v>0</v>
      </c>
      <c r="AE165" s="14">
        <f>'A) Base RI'!Y165</f>
        <v>0</v>
      </c>
      <c r="AF165" s="14">
        <f>'A) Base RI'!Z165</f>
        <v>0</v>
      </c>
      <c r="AG165" s="14">
        <f>'A) Base RI'!AA165</f>
        <v>20000</v>
      </c>
      <c r="AH165" s="14">
        <f>'A) Base RI'!AB165</f>
        <v>0</v>
      </c>
      <c r="AI165" s="14">
        <f>'A) Base RI'!AC165</f>
        <v>15000</v>
      </c>
      <c r="AJ165" s="14">
        <f>'A) Base RI'!AD165</f>
        <v>0</v>
      </c>
      <c r="AK165" s="14">
        <f>'A) Base RI'!AE165</f>
        <v>0</v>
      </c>
      <c r="AL165" s="14">
        <f>'A) Base RI'!AF165</f>
        <v>0</v>
      </c>
      <c r="AM165" s="14">
        <f>'A) Base RI'!AG165</f>
        <v>0</v>
      </c>
      <c r="AN165" s="14">
        <f>'A) Base RI'!AH165</f>
        <v>0</v>
      </c>
      <c r="AO165" s="14">
        <f>'A) Base RI'!AI165</f>
        <v>0</v>
      </c>
      <c r="AP165" s="14">
        <f>'A) Base RI'!AJ165</f>
        <v>0</v>
      </c>
      <c r="AQ165" s="14">
        <f>'A) Base RI'!AK165</f>
        <v>0</v>
      </c>
      <c r="AR165" s="14">
        <f>'A) Base RI'!AN165</f>
        <v>144</v>
      </c>
    </row>
    <row r="166" spans="1:44" x14ac:dyDescent="0.25">
      <c r="A166" s="12">
        <f>'A) Base RI'!A166</f>
        <v>5663</v>
      </c>
      <c r="B166" s="42" t="str">
        <f>'A) Base RI'!B166</f>
        <v>Bussy-sur-Moudon</v>
      </c>
      <c r="C166" s="14">
        <f>'A) Base RI'!C166+'A) Base RI'!D166</f>
        <v>371922.11</v>
      </c>
      <c r="D166" s="14">
        <f>'A) Base RI'!AO166</f>
        <v>-2948.65</v>
      </c>
      <c r="E166" s="41">
        <f>'A) Base RI'!AP166</f>
        <v>0</v>
      </c>
      <c r="F166" s="41">
        <f>'A) Base RI'!AQ166</f>
        <v>0</v>
      </c>
      <c r="G166" s="4">
        <f t="shared" si="12"/>
        <v>368973.45999999996</v>
      </c>
      <c r="H166" s="14">
        <f>'A) Base RI'!E166</f>
        <v>0</v>
      </c>
      <c r="I166" s="14">
        <f>'A) Base RI'!F166</f>
        <v>1260</v>
      </c>
      <c r="J166" s="14">
        <f>'A) Base RI'!G166+'A) Base RI'!H166</f>
        <v>6925.8</v>
      </c>
      <c r="K166" s="14">
        <f>'A) Base RI'!I166</f>
        <v>0</v>
      </c>
      <c r="L166" s="14">
        <f>'A) Base RI'!J166</f>
        <v>2558.2600000000002</v>
      </c>
      <c r="M166" s="14">
        <f>'A) Base RI'!K166</f>
        <v>-4752</v>
      </c>
      <c r="N166" s="14">
        <f>'A) Base RI'!Q166</f>
        <v>0</v>
      </c>
      <c r="O166" s="14">
        <f t="shared" si="13"/>
        <v>24962.799999999999</v>
      </c>
      <c r="P166" s="14">
        <f>'A) Base RI'!L166</f>
        <v>24962.799999999999</v>
      </c>
      <c r="Q166" s="44">
        <f>'A) Base RI'!AR166</f>
        <v>1</v>
      </c>
      <c r="R166" s="4">
        <f t="shared" si="14"/>
        <v>399928.31999999995</v>
      </c>
      <c r="S166" s="43">
        <f>'A) Base RI'!AM166</f>
        <v>80</v>
      </c>
      <c r="T166" s="4">
        <f t="shared" si="15"/>
        <v>378457.51999999996</v>
      </c>
      <c r="U166" s="4">
        <f t="shared" si="16"/>
        <v>4999.1039999999994</v>
      </c>
      <c r="V166" s="14">
        <f>'A) Base RI'!O166</f>
        <v>0</v>
      </c>
      <c r="W166" s="14">
        <f>'A) Base RI'!P166</f>
        <v>34419</v>
      </c>
      <c r="X166" s="14">
        <f>'A) Base RI'!R166</f>
        <v>27108.3</v>
      </c>
      <c r="Y166" s="4">
        <f t="shared" si="17"/>
        <v>61527.3</v>
      </c>
      <c r="Z166" s="14">
        <f>'A) Base RI'!N166</f>
        <v>0</v>
      </c>
      <c r="AA166" s="14">
        <f>'A) Base RI'!S166+'A) Base RI'!T166</f>
        <v>0</v>
      </c>
      <c r="AB166" s="14">
        <f>'A) Base RI'!U166</f>
        <v>1320</v>
      </c>
      <c r="AC166" s="14">
        <f>'A) Base RI'!V166</f>
        <v>0</v>
      </c>
      <c r="AD166" s="14">
        <f>'A) Base RI'!W166</f>
        <v>0</v>
      </c>
      <c r="AE166" s="14">
        <f>'A) Base RI'!Y166</f>
        <v>2597</v>
      </c>
      <c r="AF166" s="14">
        <f>'A) Base RI'!Z166</f>
        <v>0</v>
      </c>
      <c r="AG166" s="14">
        <f>'A) Base RI'!AA166</f>
        <v>24083.3</v>
      </c>
      <c r="AH166" s="14">
        <f>'A) Base RI'!AB166</f>
        <v>0</v>
      </c>
      <c r="AI166" s="14">
        <f>'A) Base RI'!AC166</f>
        <v>16885.5</v>
      </c>
      <c r="AJ166" s="14">
        <f>'A) Base RI'!AD166</f>
        <v>0</v>
      </c>
      <c r="AK166" s="14">
        <f>'A) Base RI'!AE166</f>
        <v>0</v>
      </c>
      <c r="AL166" s="14">
        <f>'A) Base RI'!AF166</f>
        <v>0</v>
      </c>
      <c r="AM166" s="14">
        <f>'A) Base RI'!AG166</f>
        <v>0</v>
      </c>
      <c r="AN166" s="14">
        <f>'A) Base RI'!AH166</f>
        <v>0</v>
      </c>
      <c r="AO166" s="14">
        <f>'A) Base RI'!AI166</f>
        <v>0</v>
      </c>
      <c r="AP166" s="14">
        <f>'A) Base RI'!AJ166</f>
        <v>0</v>
      </c>
      <c r="AQ166" s="14">
        <f>'A) Base RI'!AK166</f>
        <v>0</v>
      </c>
      <c r="AR166" s="14">
        <f>'A) Base RI'!AN166</f>
        <v>198</v>
      </c>
    </row>
    <row r="167" spans="1:44" x14ac:dyDescent="0.25">
      <c r="A167" s="12">
        <f>'A) Base RI'!A167</f>
        <v>5665</v>
      </c>
      <c r="B167" s="42" t="str">
        <f>'A) Base RI'!B167</f>
        <v>Chavannes-sur-Moudon</v>
      </c>
      <c r="C167" s="14">
        <f>'A) Base RI'!C167+'A) Base RI'!D167</f>
        <v>322178.01</v>
      </c>
      <c r="D167" s="14">
        <f>'A) Base RI'!AO167</f>
        <v>-493.37</v>
      </c>
      <c r="E167" s="41">
        <f>'A) Base RI'!AP167</f>
        <v>0</v>
      </c>
      <c r="F167" s="41">
        <f>'A) Base RI'!AQ167</f>
        <v>0</v>
      </c>
      <c r="G167" s="4">
        <f t="shared" si="12"/>
        <v>321684.64</v>
      </c>
      <c r="H167" s="14">
        <f>'A) Base RI'!E167</f>
        <v>0</v>
      </c>
      <c r="I167" s="14">
        <f>'A) Base RI'!F167</f>
        <v>0</v>
      </c>
      <c r="J167" s="14">
        <f>'A) Base RI'!G167+'A) Base RI'!H167</f>
        <v>3352.6</v>
      </c>
      <c r="K167" s="14">
        <f>'A) Base RI'!I167</f>
        <v>0</v>
      </c>
      <c r="L167" s="14">
        <f>'A) Base RI'!J167</f>
        <v>457.6</v>
      </c>
      <c r="M167" s="14">
        <f>'A) Base RI'!K167</f>
        <v>4.5</v>
      </c>
      <c r="N167" s="14">
        <f>'A) Base RI'!Q167</f>
        <v>0</v>
      </c>
      <c r="O167" s="14">
        <f t="shared" si="13"/>
        <v>22585.8</v>
      </c>
      <c r="P167" s="14">
        <f>'A) Base RI'!L167</f>
        <v>22585.8</v>
      </c>
      <c r="Q167" s="44">
        <f>'A) Base RI'!AR167</f>
        <v>1</v>
      </c>
      <c r="R167" s="4">
        <f t="shared" si="14"/>
        <v>348085.13999999996</v>
      </c>
      <c r="S167" s="43">
        <f>'A) Base RI'!AM167</f>
        <v>72</v>
      </c>
      <c r="T167" s="4">
        <f t="shared" si="15"/>
        <v>325494.83999999997</v>
      </c>
      <c r="U167" s="4">
        <f t="shared" si="16"/>
        <v>4834.5158333333329</v>
      </c>
      <c r="V167" s="14">
        <f>'A) Base RI'!O167</f>
        <v>0</v>
      </c>
      <c r="W167" s="14">
        <f>'A) Base RI'!P167</f>
        <v>0</v>
      </c>
      <c r="X167" s="14">
        <f>'A) Base RI'!R167</f>
        <v>0</v>
      </c>
      <c r="Y167" s="4">
        <f t="shared" si="17"/>
        <v>0</v>
      </c>
      <c r="Z167" s="14">
        <f>'A) Base RI'!N167</f>
        <v>0</v>
      </c>
      <c r="AA167" s="14">
        <f>'A) Base RI'!S167+'A) Base RI'!T167</f>
        <v>200</v>
      </c>
      <c r="AB167" s="14">
        <f>'A) Base RI'!U167</f>
        <v>720</v>
      </c>
      <c r="AC167" s="14">
        <f>'A) Base RI'!V167</f>
        <v>0</v>
      </c>
      <c r="AD167" s="14">
        <f>'A) Base RI'!W167</f>
        <v>0</v>
      </c>
      <c r="AE167" s="14">
        <f>'A) Base RI'!Y167</f>
        <v>0</v>
      </c>
      <c r="AF167" s="14">
        <f>'A) Base RI'!Z167</f>
        <v>0</v>
      </c>
      <c r="AG167" s="14">
        <f>'A) Base RI'!AA167</f>
        <v>12530.4</v>
      </c>
      <c r="AH167" s="14">
        <f>'A) Base RI'!AB167</f>
        <v>0</v>
      </c>
      <c r="AI167" s="14">
        <f>'A) Base RI'!AC167</f>
        <v>20392.099999999999</v>
      </c>
      <c r="AJ167" s="14">
        <f>'A) Base RI'!AD167</f>
        <v>0</v>
      </c>
      <c r="AK167" s="14">
        <f>'A) Base RI'!AE167</f>
        <v>0</v>
      </c>
      <c r="AL167" s="14">
        <f>'A) Base RI'!AF167</f>
        <v>0</v>
      </c>
      <c r="AM167" s="14">
        <f>'A) Base RI'!AG167</f>
        <v>0</v>
      </c>
      <c r="AN167" s="14">
        <f>'A) Base RI'!AH167</f>
        <v>0</v>
      </c>
      <c r="AO167" s="14">
        <f>'A) Base RI'!AI167</f>
        <v>0</v>
      </c>
      <c r="AP167" s="14">
        <f>'A) Base RI'!AJ167</f>
        <v>0</v>
      </c>
      <c r="AQ167" s="14">
        <f>'A) Base RI'!AK167</f>
        <v>0</v>
      </c>
      <c r="AR167" s="14">
        <f>'A) Base RI'!AN167</f>
        <v>224</v>
      </c>
    </row>
    <row r="168" spans="1:44" x14ac:dyDescent="0.25">
      <c r="A168" s="12">
        <f>'A) Base RI'!A168</f>
        <v>5666</v>
      </c>
      <c r="B168" s="42" t="str">
        <f>'A) Base RI'!B168</f>
        <v>Chesalles-sur-Moudon</v>
      </c>
      <c r="C168" s="14">
        <f>'A) Base RI'!C168+'A) Base RI'!D168</f>
        <v>236618.76</v>
      </c>
      <c r="D168" s="14">
        <f>'A) Base RI'!AO168</f>
        <v>-847.44</v>
      </c>
      <c r="E168" s="41">
        <f>'A) Base RI'!AP168</f>
        <v>0</v>
      </c>
      <c r="F168" s="41">
        <f>'A) Base RI'!AQ168</f>
        <v>0</v>
      </c>
      <c r="G168" s="4">
        <f t="shared" si="12"/>
        <v>235771.32</v>
      </c>
      <c r="H168" s="14">
        <f>'A) Base RI'!E168</f>
        <v>0</v>
      </c>
      <c r="I168" s="14">
        <f>'A) Base RI'!F168</f>
        <v>0</v>
      </c>
      <c r="J168" s="14">
        <f>'A) Base RI'!G168+'A) Base RI'!H168</f>
        <v>2082.6999999999998</v>
      </c>
      <c r="K168" s="14">
        <f>'A) Base RI'!I168</f>
        <v>0</v>
      </c>
      <c r="L168" s="14">
        <f>'A) Base RI'!J168</f>
        <v>6056.94</v>
      </c>
      <c r="M168" s="14">
        <f>'A) Base RI'!K168</f>
        <v>663</v>
      </c>
      <c r="N168" s="14">
        <f>'A) Base RI'!Q168</f>
        <v>0</v>
      </c>
      <c r="O168" s="14">
        <f t="shared" si="13"/>
        <v>22521.16</v>
      </c>
      <c r="P168" s="14">
        <f>'A) Base RI'!L168</f>
        <v>28151.45</v>
      </c>
      <c r="Q168" s="44">
        <f>'A) Base RI'!AR168</f>
        <v>1.25</v>
      </c>
      <c r="R168" s="4">
        <f t="shared" si="14"/>
        <v>267095.12</v>
      </c>
      <c r="S168" s="43">
        <f>'A) Base RI'!AM168</f>
        <v>75</v>
      </c>
      <c r="T168" s="4">
        <f t="shared" si="15"/>
        <v>243910.96000000002</v>
      </c>
      <c r="U168" s="4">
        <f t="shared" si="16"/>
        <v>3561.2682666666665</v>
      </c>
      <c r="V168" s="14">
        <f>'A) Base RI'!O168</f>
        <v>0</v>
      </c>
      <c r="W168" s="14">
        <f>'A) Base RI'!P168</f>
        <v>4778.1499999999996</v>
      </c>
      <c r="X168" s="14">
        <f>'A) Base RI'!R168</f>
        <v>0</v>
      </c>
      <c r="Y168" s="4">
        <f t="shared" si="17"/>
        <v>4778.1499999999996</v>
      </c>
      <c r="Z168" s="14">
        <f>'A) Base RI'!N168</f>
        <v>0</v>
      </c>
      <c r="AA168" s="14">
        <f>'A) Base RI'!S168+'A) Base RI'!T168</f>
        <v>0</v>
      </c>
      <c r="AB168" s="14">
        <f>'A) Base RI'!U168</f>
        <v>1300</v>
      </c>
      <c r="AC168" s="14">
        <f>'A) Base RI'!V168</f>
        <v>0</v>
      </c>
      <c r="AD168" s="14">
        <f>'A) Base RI'!W168</f>
        <v>0</v>
      </c>
      <c r="AE168" s="14">
        <f>'A) Base RI'!Y168</f>
        <v>9000</v>
      </c>
      <c r="AF168" s="14">
        <f>'A) Base RI'!Z168</f>
        <v>0</v>
      </c>
      <c r="AG168" s="14">
        <f>'A) Base RI'!AA168</f>
        <v>17313.650000000001</v>
      </c>
      <c r="AH168" s="14">
        <f>'A) Base RI'!AB168</f>
        <v>0</v>
      </c>
      <c r="AI168" s="14">
        <f>'A) Base RI'!AC168</f>
        <v>17882</v>
      </c>
      <c r="AJ168" s="14">
        <f>'A) Base RI'!AD168</f>
        <v>0</v>
      </c>
      <c r="AK168" s="14">
        <f>'A) Base RI'!AE168</f>
        <v>0</v>
      </c>
      <c r="AL168" s="14">
        <f>'A) Base RI'!AF168</f>
        <v>0</v>
      </c>
      <c r="AM168" s="14">
        <f>'A) Base RI'!AG168</f>
        <v>0</v>
      </c>
      <c r="AN168" s="14">
        <f>'A) Base RI'!AH168</f>
        <v>0</v>
      </c>
      <c r="AO168" s="14">
        <f>'A) Base RI'!AI168</f>
        <v>0</v>
      </c>
      <c r="AP168" s="14">
        <f>'A) Base RI'!AJ168</f>
        <v>0</v>
      </c>
      <c r="AQ168" s="14">
        <f>'A) Base RI'!AK168</f>
        <v>0</v>
      </c>
      <c r="AR168" s="14">
        <f>'A) Base RI'!AN168</f>
        <v>169</v>
      </c>
    </row>
    <row r="169" spans="1:44" x14ac:dyDescent="0.25">
      <c r="A169" s="12">
        <f>'A) Base RI'!A169</f>
        <v>5668</v>
      </c>
      <c r="B169" s="42" t="str">
        <f>'A) Base RI'!B169</f>
        <v>Cremin</v>
      </c>
      <c r="C169" s="14">
        <f>'A) Base RI'!C169+'A) Base RI'!D169</f>
        <v>63322.32</v>
      </c>
      <c r="D169" s="14">
        <f>'A) Base RI'!AO169</f>
        <v>-15.61</v>
      </c>
      <c r="E169" s="41">
        <f>'A) Base RI'!AP169</f>
        <v>0</v>
      </c>
      <c r="F169" s="41">
        <f>'A) Base RI'!AQ169</f>
        <v>0</v>
      </c>
      <c r="G169" s="4">
        <f t="shared" si="12"/>
        <v>63306.71</v>
      </c>
      <c r="H169" s="14">
        <f>'A) Base RI'!E169</f>
        <v>0</v>
      </c>
      <c r="I169" s="14">
        <f>'A) Base RI'!F169</f>
        <v>0</v>
      </c>
      <c r="J169" s="14">
        <f>'A) Base RI'!G169+'A) Base RI'!H169</f>
        <v>-42.8</v>
      </c>
      <c r="K169" s="14">
        <f>'A) Base RI'!I169</f>
        <v>0</v>
      </c>
      <c r="L169" s="14">
        <f>'A) Base RI'!J169</f>
        <v>513.09</v>
      </c>
      <c r="M169" s="14">
        <f>'A) Base RI'!K169</f>
        <v>20</v>
      </c>
      <c r="N169" s="14">
        <f>'A) Base RI'!Q169</f>
        <v>0</v>
      </c>
      <c r="O169" s="14">
        <f t="shared" si="13"/>
        <v>5731.55</v>
      </c>
      <c r="P169" s="14">
        <f>'A) Base RI'!L169</f>
        <v>5731.55</v>
      </c>
      <c r="Q169" s="44">
        <f>'A) Base RI'!AR169</f>
        <v>1</v>
      </c>
      <c r="R169" s="4">
        <f t="shared" si="14"/>
        <v>69528.549999999988</v>
      </c>
      <c r="S169" s="43">
        <f>'A) Base RI'!AM169</f>
        <v>77</v>
      </c>
      <c r="T169" s="4">
        <f t="shared" si="15"/>
        <v>63776.999999999993</v>
      </c>
      <c r="U169" s="4">
        <f t="shared" si="16"/>
        <v>902.96818181818162</v>
      </c>
      <c r="V169" s="14">
        <f>'A) Base RI'!O169</f>
        <v>0</v>
      </c>
      <c r="W169" s="14">
        <f>'A) Base RI'!P169</f>
        <v>0</v>
      </c>
      <c r="X169" s="14">
        <f>'A) Base RI'!R169</f>
        <v>0</v>
      </c>
      <c r="Y169" s="4">
        <f t="shared" si="17"/>
        <v>0</v>
      </c>
      <c r="Z169" s="14">
        <f>'A) Base RI'!N169</f>
        <v>0</v>
      </c>
      <c r="AA169" s="14">
        <f>'A) Base RI'!S169+'A) Base RI'!T169</f>
        <v>0</v>
      </c>
      <c r="AB169" s="14">
        <f>'A) Base RI'!U169</f>
        <v>225</v>
      </c>
      <c r="AC169" s="14">
        <f>'A) Base RI'!V169</f>
        <v>0</v>
      </c>
      <c r="AD169" s="14">
        <f>'A) Base RI'!W169</f>
        <v>0</v>
      </c>
      <c r="AE169" s="14">
        <f>'A) Base RI'!Y169</f>
        <v>0</v>
      </c>
      <c r="AF169" s="14">
        <f>'A) Base RI'!Z169</f>
        <v>0</v>
      </c>
      <c r="AG169" s="14">
        <f>'A) Base RI'!AA169</f>
        <v>3110.8</v>
      </c>
      <c r="AH169" s="14">
        <f>'A) Base RI'!AB169</f>
        <v>0</v>
      </c>
      <c r="AI169" s="14">
        <f>'A) Base RI'!AC169</f>
        <v>6300</v>
      </c>
      <c r="AJ169" s="14">
        <f>'A) Base RI'!AD169</f>
        <v>0</v>
      </c>
      <c r="AK169" s="14">
        <f>'A) Base RI'!AE169</f>
        <v>0</v>
      </c>
      <c r="AL169" s="14">
        <f>'A) Base RI'!AF169</f>
        <v>0</v>
      </c>
      <c r="AM169" s="14">
        <f>'A) Base RI'!AG169</f>
        <v>0</v>
      </c>
      <c r="AN169" s="14">
        <f>'A) Base RI'!AH169</f>
        <v>1563.15</v>
      </c>
      <c r="AO169" s="14">
        <f>'A) Base RI'!AI169</f>
        <v>0</v>
      </c>
      <c r="AP169" s="14">
        <f>'A) Base RI'!AJ169</f>
        <v>0</v>
      </c>
      <c r="AQ169" s="14">
        <f>'A) Base RI'!AK169</f>
        <v>0</v>
      </c>
      <c r="AR169" s="14">
        <f>'A) Base RI'!AN169</f>
        <v>58</v>
      </c>
    </row>
    <row r="170" spans="1:44" x14ac:dyDescent="0.25">
      <c r="A170" s="12">
        <f>'A) Base RI'!A170</f>
        <v>5669</v>
      </c>
      <c r="B170" s="42" t="str">
        <f>'A) Base RI'!B170</f>
        <v>Curtilles</v>
      </c>
      <c r="C170" s="14">
        <f>'A) Base RI'!C170+'A) Base RI'!D170</f>
        <v>562365.46</v>
      </c>
      <c r="D170" s="14">
        <f>'A) Base RI'!AO170</f>
        <v>-6331.51</v>
      </c>
      <c r="E170" s="41">
        <f>'A) Base RI'!AP170</f>
        <v>0</v>
      </c>
      <c r="F170" s="41">
        <f>'A) Base RI'!AQ170</f>
        <v>-88.23</v>
      </c>
      <c r="G170" s="4">
        <f t="shared" si="12"/>
        <v>555945.72</v>
      </c>
      <c r="H170" s="14">
        <f>'A) Base RI'!E170</f>
        <v>0</v>
      </c>
      <c r="I170" s="14">
        <f>'A) Base RI'!F170</f>
        <v>0</v>
      </c>
      <c r="J170" s="14">
        <f>'A) Base RI'!G170+'A) Base RI'!H170</f>
        <v>10351.9</v>
      </c>
      <c r="K170" s="14">
        <f>'A) Base RI'!I170</f>
        <v>0</v>
      </c>
      <c r="L170" s="14">
        <f>'A) Base RI'!J170</f>
        <v>18198.57</v>
      </c>
      <c r="M170" s="14">
        <f>'A) Base RI'!K170</f>
        <v>337</v>
      </c>
      <c r="N170" s="14">
        <f>'A) Base RI'!Q170</f>
        <v>0</v>
      </c>
      <c r="O170" s="14">
        <f t="shared" si="13"/>
        <v>42128.4</v>
      </c>
      <c r="P170" s="14">
        <f>'A) Base RI'!L170</f>
        <v>21064.2</v>
      </c>
      <c r="Q170" s="44">
        <f>'A) Base RI'!AR170</f>
        <v>0.5</v>
      </c>
      <c r="R170" s="4">
        <f t="shared" si="14"/>
        <v>626961.59</v>
      </c>
      <c r="S170" s="43">
        <f>'A) Base RI'!AM170</f>
        <v>72</v>
      </c>
      <c r="T170" s="4">
        <f t="shared" si="15"/>
        <v>584496.18999999994</v>
      </c>
      <c r="U170" s="4">
        <f t="shared" si="16"/>
        <v>8707.7998611111107</v>
      </c>
      <c r="V170" s="14">
        <f>'A) Base RI'!O170</f>
        <v>0</v>
      </c>
      <c r="W170" s="14">
        <f>'A) Base RI'!P170</f>
        <v>45632.4</v>
      </c>
      <c r="X170" s="14">
        <f>'A) Base RI'!R170</f>
        <v>40462.65</v>
      </c>
      <c r="Y170" s="4">
        <f t="shared" si="17"/>
        <v>86095.05</v>
      </c>
      <c r="Z170" s="14">
        <f>'A) Base RI'!N170</f>
        <v>0</v>
      </c>
      <c r="AA170" s="14">
        <f>'A) Base RI'!S170+'A) Base RI'!T170</f>
        <v>140</v>
      </c>
      <c r="AB170" s="14">
        <f>'A) Base RI'!U170</f>
        <v>3600</v>
      </c>
      <c r="AC170" s="14">
        <f>'A) Base RI'!V170</f>
        <v>0</v>
      </c>
      <c r="AD170" s="14">
        <f>'A) Base RI'!W170</f>
        <v>0</v>
      </c>
      <c r="AE170" s="14">
        <f>'A) Base RI'!Y170</f>
        <v>0</v>
      </c>
      <c r="AF170" s="14">
        <f>'A) Base RI'!Z170</f>
        <v>0</v>
      </c>
      <c r="AG170" s="14">
        <f>'A) Base RI'!AA170</f>
        <v>20511.650000000001</v>
      </c>
      <c r="AH170" s="14">
        <f>'A) Base RI'!AB170</f>
        <v>0</v>
      </c>
      <c r="AI170" s="14">
        <f>'A) Base RI'!AC170</f>
        <v>19561.400000000001</v>
      </c>
      <c r="AJ170" s="14">
        <f>'A) Base RI'!AD170</f>
        <v>0</v>
      </c>
      <c r="AK170" s="14">
        <f>'A) Base RI'!AE170</f>
        <v>0</v>
      </c>
      <c r="AL170" s="14">
        <f>'A) Base RI'!AF170</f>
        <v>0</v>
      </c>
      <c r="AM170" s="14">
        <f>'A) Base RI'!AG170</f>
        <v>0</v>
      </c>
      <c r="AN170" s="14">
        <f>'A) Base RI'!AH170</f>
        <v>0</v>
      </c>
      <c r="AO170" s="14">
        <f>'A) Base RI'!AI170</f>
        <v>0</v>
      </c>
      <c r="AP170" s="14">
        <f>'A) Base RI'!AJ170</f>
        <v>0</v>
      </c>
      <c r="AQ170" s="14">
        <f>'A) Base RI'!AK170</f>
        <v>0</v>
      </c>
      <c r="AR170" s="14">
        <f>'A) Base RI'!AN170</f>
        <v>311</v>
      </c>
    </row>
    <row r="171" spans="1:44" x14ac:dyDescent="0.25">
      <c r="A171" s="12">
        <f>'A) Base RI'!A171</f>
        <v>5671</v>
      </c>
      <c r="B171" s="42" t="str">
        <f>'A) Base RI'!B171</f>
        <v>Dompierre</v>
      </c>
      <c r="C171" s="14">
        <f>'A) Base RI'!C171+'A) Base RI'!D171</f>
        <v>435769.08999999997</v>
      </c>
      <c r="D171" s="14">
        <f>'A) Base RI'!AO171</f>
        <v>-1146.17</v>
      </c>
      <c r="E171" s="41">
        <f>'A) Base RI'!AP171</f>
        <v>0</v>
      </c>
      <c r="F171" s="41">
        <f>'A) Base RI'!AQ171</f>
        <v>0</v>
      </c>
      <c r="G171" s="4">
        <f t="shared" si="12"/>
        <v>434622.92</v>
      </c>
      <c r="H171" s="14">
        <f>'A) Base RI'!E171</f>
        <v>0</v>
      </c>
      <c r="I171" s="14">
        <f>'A) Base RI'!F171</f>
        <v>0</v>
      </c>
      <c r="J171" s="14">
        <f>'A) Base RI'!G171+'A) Base RI'!H171</f>
        <v>20690.7</v>
      </c>
      <c r="K171" s="14">
        <f>'A) Base RI'!I171</f>
        <v>0</v>
      </c>
      <c r="L171" s="14">
        <f>'A) Base RI'!J171</f>
        <v>10761.46</v>
      </c>
      <c r="M171" s="14">
        <f>'A) Base RI'!K171</f>
        <v>61.5</v>
      </c>
      <c r="N171" s="14">
        <f>'A) Base RI'!Q171</f>
        <v>0</v>
      </c>
      <c r="O171" s="14">
        <f t="shared" si="13"/>
        <v>31999</v>
      </c>
      <c r="P171" s="14">
        <f>'A) Base RI'!L171</f>
        <v>31999</v>
      </c>
      <c r="Q171" s="44">
        <f>'A) Base RI'!AR171</f>
        <v>1</v>
      </c>
      <c r="R171" s="4">
        <f t="shared" si="14"/>
        <v>498135.58</v>
      </c>
      <c r="S171" s="43">
        <f>'A) Base RI'!AM171</f>
        <v>80</v>
      </c>
      <c r="T171" s="4">
        <f t="shared" si="15"/>
        <v>466075.08</v>
      </c>
      <c r="U171" s="4">
        <f t="shared" si="16"/>
        <v>6226.6947500000006</v>
      </c>
      <c r="V171" s="14">
        <f>'A) Base RI'!O171</f>
        <v>0</v>
      </c>
      <c r="W171" s="14">
        <f>'A) Base RI'!P171</f>
        <v>24709.85</v>
      </c>
      <c r="X171" s="14">
        <f>'A) Base RI'!R171</f>
        <v>36998.449999999997</v>
      </c>
      <c r="Y171" s="4">
        <f t="shared" si="17"/>
        <v>61708.299999999996</v>
      </c>
      <c r="Z171" s="14">
        <f>'A) Base RI'!N171</f>
        <v>0</v>
      </c>
      <c r="AA171" s="14">
        <f>'A) Base RI'!S171+'A) Base RI'!T171</f>
        <v>0</v>
      </c>
      <c r="AB171" s="14">
        <f>'A) Base RI'!U171</f>
        <v>2430</v>
      </c>
      <c r="AC171" s="14">
        <f>'A) Base RI'!V171</f>
        <v>0</v>
      </c>
      <c r="AD171" s="14">
        <f>'A) Base RI'!W171</f>
        <v>0</v>
      </c>
      <c r="AE171" s="14">
        <f>'A) Base RI'!Y171</f>
        <v>0</v>
      </c>
      <c r="AF171" s="14">
        <f>'A) Base RI'!Z171</f>
        <v>0</v>
      </c>
      <c r="AG171" s="14">
        <f>'A) Base RI'!AA171</f>
        <v>0</v>
      </c>
      <c r="AH171" s="14">
        <f>'A) Base RI'!AB171</f>
        <v>11673.8</v>
      </c>
      <c r="AI171" s="14">
        <f>'A) Base RI'!AC171</f>
        <v>15135</v>
      </c>
      <c r="AJ171" s="14">
        <f>'A) Base RI'!AD171</f>
        <v>0</v>
      </c>
      <c r="AK171" s="14">
        <f>'A) Base RI'!AE171</f>
        <v>0</v>
      </c>
      <c r="AL171" s="14">
        <f>'A) Base RI'!AF171</f>
        <v>0</v>
      </c>
      <c r="AM171" s="14">
        <f>'A) Base RI'!AG171</f>
        <v>0</v>
      </c>
      <c r="AN171" s="14">
        <f>'A) Base RI'!AH171</f>
        <v>0</v>
      </c>
      <c r="AO171" s="14">
        <f>'A) Base RI'!AI171</f>
        <v>0</v>
      </c>
      <c r="AP171" s="14">
        <f>'A) Base RI'!AJ171</f>
        <v>0</v>
      </c>
      <c r="AQ171" s="14">
        <f>'A) Base RI'!AK171</f>
        <v>0</v>
      </c>
      <c r="AR171" s="14">
        <f>'A) Base RI'!AN171</f>
        <v>247</v>
      </c>
    </row>
    <row r="172" spans="1:44" x14ac:dyDescent="0.25">
      <c r="A172" s="12">
        <f>'A) Base RI'!A172</f>
        <v>5672</v>
      </c>
      <c r="B172" s="42" t="str">
        <f>'A) Base RI'!B172</f>
        <v>Forel-sur-Lucens</v>
      </c>
      <c r="C172" s="14">
        <f>'A) Base RI'!C172+'A) Base RI'!D172</f>
        <v>304171.01</v>
      </c>
      <c r="D172" s="14">
        <f>'A) Base RI'!AO172</f>
        <v>-59.66</v>
      </c>
      <c r="E172" s="41">
        <f>'A) Base RI'!AP172</f>
        <v>0</v>
      </c>
      <c r="F172" s="41">
        <f>'A) Base RI'!AQ172</f>
        <v>-0.23</v>
      </c>
      <c r="G172" s="4">
        <f t="shared" si="12"/>
        <v>304111.12000000005</v>
      </c>
      <c r="H172" s="14">
        <f>'A) Base RI'!E172</f>
        <v>0</v>
      </c>
      <c r="I172" s="14">
        <f>'A) Base RI'!F172</f>
        <v>0</v>
      </c>
      <c r="J172" s="14">
        <f>'A) Base RI'!G172+'A) Base RI'!H172</f>
        <v>5610.2999999999993</v>
      </c>
      <c r="K172" s="14">
        <f>'A) Base RI'!I172</f>
        <v>0</v>
      </c>
      <c r="L172" s="14">
        <f>'A) Base RI'!J172</f>
        <v>-1367.65</v>
      </c>
      <c r="M172" s="14">
        <f>'A) Base RI'!K172</f>
        <v>0</v>
      </c>
      <c r="N172" s="14">
        <f>'A) Base RI'!Q172</f>
        <v>1081.1099999999999</v>
      </c>
      <c r="O172" s="14">
        <f t="shared" si="13"/>
        <v>14934.124999999998</v>
      </c>
      <c r="P172" s="14">
        <f>'A) Base RI'!L172</f>
        <v>11947.3</v>
      </c>
      <c r="Q172" s="44">
        <f>'A) Base RI'!AR172</f>
        <v>0.8</v>
      </c>
      <c r="R172" s="4">
        <f t="shared" si="14"/>
        <v>324369.005</v>
      </c>
      <c r="S172" s="43">
        <f>'A) Base RI'!AM172</f>
        <v>75</v>
      </c>
      <c r="T172" s="4">
        <f t="shared" si="15"/>
        <v>309434.88</v>
      </c>
      <c r="U172" s="4">
        <f t="shared" si="16"/>
        <v>4324.9200666666666</v>
      </c>
      <c r="V172" s="14">
        <f>'A) Base RI'!O172</f>
        <v>0</v>
      </c>
      <c r="W172" s="14">
        <f>'A) Base RI'!P172</f>
        <v>0</v>
      </c>
      <c r="X172" s="14">
        <f>'A) Base RI'!R172</f>
        <v>0</v>
      </c>
      <c r="Y172" s="4">
        <f t="shared" si="17"/>
        <v>0</v>
      </c>
      <c r="Z172" s="14">
        <f>'A) Base RI'!N172</f>
        <v>0</v>
      </c>
      <c r="AA172" s="14">
        <f>'A) Base RI'!S172+'A) Base RI'!T172</f>
        <v>0</v>
      </c>
      <c r="AB172" s="14">
        <f>'A) Base RI'!U172</f>
        <v>1125</v>
      </c>
      <c r="AC172" s="14">
        <f>'A) Base RI'!V172</f>
        <v>0</v>
      </c>
      <c r="AD172" s="14">
        <f>'A) Base RI'!W172</f>
        <v>0</v>
      </c>
      <c r="AE172" s="14">
        <f>'A) Base RI'!Y172</f>
        <v>0</v>
      </c>
      <c r="AF172" s="14">
        <f>'A) Base RI'!Z172</f>
        <v>0</v>
      </c>
      <c r="AG172" s="14">
        <f>'A) Base RI'!AA172</f>
        <v>4138.75</v>
      </c>
      <c r="AH172" s="14">
        <f>'A) Base RI'!AB172</f>
        <v>0</v>
      </c>
      <c r="AI172" s="14">
        <f>'A) Base RI'!AC172</f>
        <v>6225</v>
      </c>
      <c r="AJ172" s="14">
        <f>'A) Base RI'!AD172</f>
        <v>6750</v>
      </c>
      <c r="AK172" s="14">
        <f>'A) Base RI'!AE172</f>
        <v>0</v>
      </c>
      <c r="AL172" s="14">
        <f>'A) Base RI'!AF172</f>
        <v>0</v>
      </c>
      <c r="AM172" s="14">
        <f>'A) Base RI'!AG172</f>
        <v>0</v>
      </c>
      <c r="AN172" s="14">
        <f>'A) Base RI'!AH172</f>
        <v>0</v>
      </c>
      <c r="AO172" s="14">
        <f>'A) Base RI'!AI172</f>
        <v>0</v>
      </c>
      <c r="AP172" s="14">
        <f>'A) Base RI'!AJ172</f>
        <v>0</v>
      </c>
      <c r="AQ172" s="14">
        <f>'A) Base RI'!AK172</f>
        <v>0</v>
      </c>
      <c r="AR172" s="14">
        <f>'A) Base RI'!AN172</f>
        <v>154</v>
      </c>
    </row>
    <row r="173" spans="1:44" x14ac:dyDescent="0.25">
      <c r="A173" s="12">
        <f>'A) Base RI'!A173</f>
        <v>5673</v>
      </c>
      <c r="B173" s="42" t="str">
        <f>'A) Base RI'!B173</f>
        <v>Hermenches</v>
      </c>
      <c r="C173" s="14">
        <f>'A) Base RI'!C173+'A) Base RI'!D173</f>
        <v>617466.73</v>
      </c>
      <c r="D173" s="14">
        <f>'A) Base RI'!AO173</f>
        <v>-12318.87</v>
      </c>
      <c r="E173" s="41">
        <f>'A) Base RI'!AP173</f>
        <v>0</v>
      </c>
      <c r="F173" s="41">
        <f>'A) Base RI'!AQ173</f>
        <v>-9</v>
      </c>
      <c r="G173" s="4">
        <f t="shared" si="12"/>
        <v>605138.86</v>
      </c>
      <c r="H173" s="14">
        <f>'A) Base RI'!E173</f>
        <v>0</v>
      </c>
      <c r="I173" s="14">
        <f>'A) Base RI'!F173</f>
        <v>2050</v>
      </c>
      <c r="J173" s="14">
        <f>'A) Base RI'!G173+'A) Base RI'!H173</f>
        <v>6304.8</v>
      </c>
      <c r="K173" s="14">
        <f>'A) Base RI'!I173</f>
        <v>0</v>
      </c>
      <c r="L173" s="14">
        <f>'A) Base RI'!J173</f>
        <v>8899.26</v>
      </c>
      <c r="M173" s="14">
        <f>'A) Base RI'!K173</f>
        <v>7.5</v>
      </c>
      <c r="N173" s="14">
        <f>'A) Base RI'!Q173</f>
        <v>0</v>
      </c>
      <c r="O173" s="14">
        <f t="shared" si="13"/>
        <v>41671.666666666672</v>
      </c>
      <c r="P173" s="14">
        <f>'A) Base RI'!L173</f>
        <v>25003</v>
      </c>
      <c r="Q173" s="44">
        <f>'A) Base RI'!AR173</f>
        <v>0.6</v>
      </c>
      <c r="R173" s="4">
        <f t="shared" si="14"/>
        <v>664072.08666666667</v>
      </c>
      <c r="S173" s="43">
        <f>'A) Base RI'!AM173</f>
        <v>75</v>
      </c>
      <c r="T173" s="4">
        <f t="shared" si="15"/>
        <v>620342.92000000004</v>
      </c>
      <c r="U173" s="4">
        <f t="shared" si="16"/>
        <v>8854.2944888888887</v>
      </c>
      <c r="V173" s="14">
        <f>'A) Base RI'!O173</f>
        <v>0</v>
      </c>
      <c r="W173" s="14">
        <f>'A) Base RI'!P173</f>
        <v>13329.6</v>
      </c>
      <c r="X173" s="14">
        <f>'A) Base RI'!R173</f>
        <v>43285.8</v>
      </c>
      <c r="Y173" s="4">
        <f t="shared" si="17"/>
        <v>56615.4</v>
      </c>
      <c r="Z173" s="14">
        <f>'A) Base RI'!N173</f>
        <v>7878.25</v>
      </c>
      <c r="AA173" s="14">
        <f>'A) Base RI'!S173+'A) Base RI'!T173</f>
        <v>0</v>
      </c>
      <c r="AB173" s="14">
        <f>'A) Base RI'!U173</f>
        <v>1400</v>
      </c>
      <c r="AC173" s="14">
        <f>'A) Base RI'!V173</f>
        <v>0</v>
      </c>
      <c r="AD173" s="14">
        <f>'A) Base RI'!W173</f>
        <v>0</v>
      </c>
      <c r="AE173" s="14">
        <f>'A) Base RI'!Y173</f>
        <v>3500</v>
      </c>
      <c r="AF173" s="14">
        <f>'A) Base RI'!Z173</f>
        <v>0</v>
      </c>
      <c r="AG173" s="14">
        <f>'A) Base RI'!AA173</f>
        <v>63441.599999999999</v>
      </c>
      <c r="AH173" s="14">
        <f>'A) Base RI'!AB173</f>
        <v>0</v>
      </c>
      <c r="AI173" s="14">
        <f>'A) Base RI'!AC173</f>
        <v>23263.4</v>
      </c>
      <c r="AJ173" s="14">
        <f>'A) Base RI'!AD173</f>
        <v>1960</v>
      </c>
      <c r="AK173" s="14">
        <f>'A) Base RI'!AE173</f>
        <v>7051.45</v>
      </c>
      <c r="AL173" s="14">
        <f>'A) Base RI'!AF173</f>
        <v>0</v>
      </c>
      <c r="AM173" s="14">
        <f>'A) Base RI'!AG173</f>
        <v>0</v>
      </c>
      <c r="AN173" s="14">
        <f>'A) Base RI'!AH173</f>
        <v>0</v>
      </c>
      <c r="AO173" s="14">
        <f>'A) Base RI'!AI173</f>
        <v>0</v>
      </c>
      <c r="AP173" s="14">
        <f>'A) Base RI'!AJ173</f>
        <v>0</v>
      </c>
      <c r="AQ173" s="14">
        <f>'A) Base RI'!AK173</f>
        <v>0</v>
      </c>
      <c r="AR173" s="14">
        <f>'A) Base RI'!AN173</f>
        <v>382</v>
      </c>
    </row>
    <row r="174" spans="1:44" x14ac:dyDescent="0.25">
      <c r="A174" s="12">
        <f>'A) Base RI'!A174</f>
        <v>5674</v>
      </c>
      <c r="B174" s="42" t="str">
        <f>'A) Base RI'!B174</f>
        <v>Lovatens</v>
      </c>
      <c r="C174" s="14">
        <f>'A) Base RI'!C174+'A) Base RI'!D174</f>
        <v>229001.38</v>
      </c>
      <c r="D174" s="14">
        <f>'A) Base RI'!AO174</f>
        <v>-0.27</v>
      </c>
      <c r="E174" s="41">
        <f>'A) Base RI'!AP174</f>
        <v>0</v>
      </c>
      <c r="F174" s="41">
        <f>'A) Base RI'!AQ174</f>
        <v>0</v>
      </c>
      <c r="G174" s="4">
        <f t="shared" si="12"/>
        <v>229001.11000000002</v>
      </c>
      <c r="H174" s="14">
        <f>'A) Base RI'!E174</f>
        <v>0</v>
      </c>
      <c r="I174" s="14">
        <f>'A) Base RI'!F174</f>
        <v>0</v>
      </c>
      <c r="J174" s="14">
        <f>'A) Base RI'!G174+'A) Base RI'!H174</f>
        <v>1157.05</v>
      </c>
      <c r="K174" s="14">
        <f>'A) Base RI'!I174</f>
        <v>0</v>
      </c>
      <c r="L174" s="14">
        <f>'A) Base RI'!J174</f>
        <v>4247.22</v>
      </c>
      <c r="M174" s="14">
        <f>'A) Base RI'!K174</f>
        <v>64</v>
      </c>
      <c r="N174" s="14">
        <f>'A) Base RI'!Q174</f>
        <v>0</v>
      </c>
      <c r="O174" s="14">
        <f t="shared" si="13"/>
        <v>16588</v>
      </c>
      <c r="P174" s="14">
        <f>'A) Base RI'!L174</f>
        <v>11611.6</v>
      </c>
      <c r="Q174" s="44">
        <f>'A) Base RI'!AR174</f>
        <v>0.7</v>
      </c>
      <c r="R174" s="4">
        <f t="shared" si="14"/>
        <v>251057.38</v>
      </c>
      <c r="S174" s="43">
        <f>'A) Base RI'!AM174</f>
        <v>75</v>
      </c>
      <c r="T174" s="4">
        <f t="shared" si="15"/>
        <v>234405.38</v>
      </c>
      <c r="U174" s="4">
        <f t="shared" si="16"/>
        <v>3347.4317333333333</v>
      </c>
      <c r="V174" s="14">
        <f>'A) Base RI'!O174</f>
        <v>2197</v>
      </c>
      <c r="W174" s="14">
        <f>'A) Base RI'!P174</f>
        <v>0</v>
      </c>
      <c r="X174" s="14">
        <f>'A) Base RI'!R174</f>
        <v>0</v>
      </c>
      <c r="Y174" s="4">
        <f t="shared" si="17"/>
        <v>2197</v>
      </c>
      <c r="Z174" s="14">
        <f>'A) Base RI'!N174</f>
        <v>0</v>
      </c>
      <c r="AA174" s="14">
        <f>'A) Base RI'!S174+'A) Base RI'!T174</f>
        <v>0</v>
      </c>
      <c r="AB174" s="14">
        <f>'A) Base RI'!U174</f>
        <v>587.5</v>
      </c>
      <c r="AC174" s="14">
        <f>'A) Base RI'!V174</f>
        <v>0</v>
      </c>
      <c r="AD174" s="14">
        <f>'A) Base RI'!W174</f>
        <v>0</v>
      </c>
      <c r="AE174" s="14">
        <f>'A) Base RI'!Y174</f>
        <v>0</v>
      </c>
      <c r="AF174" s="14">
        <f>'A) Base RI'!Z174</f>
        <v>0</v>
      </c>
      <c r="AG174" s="14">
        <f>'A) Base RI'!AA174</f>
        <v>8135.05</v>
      </c>
      <c r="AH174" s="14">
        <f>'A) Base RI'!AB174</f>
        <v>0</v>
      </c>
      <c r="AI174" s="14">
        <f>'A) Base RI'!AC174</f>
        <v>11603.25</v>
      </c>
      <c r="AJ174" s="14">
        <f>'A) Base RI'!AD174</f>
        <v>0</v>
      </c>
      <c r="AK174" s="14">
        <f>'A) Base RI'!AE174</f>
        <v>0</v>
      </c>
      <c r="AL174" s="14">
        <f>'A) Base RI'!AF174</f>
        <v>0</v>
      </c>
      <c r="AM174" s="14">
        <f>'A) Base RI'!AG174</f>
        <v>0</v>
      </c>
      <c r="AN174" s="14">
        <f>'A) Base RI'!AH174</f>
        <v>3420.55</v>
      </c>
      <c r="AO174" s="14">
        <f>'A) Base RI'!AI174</f>
        <v>0</v>
      </c>
      <c r="AP174" s="14">
        <f>'A) Base RI'!AJ174</f>
        <v>0</v>
      </c>
      <c r="AQ174" s="14">
        <f>'A) Base RI'!AK174</f>
        <v>0</v>
      </c>
      <c r="AR174" s="14">
        <f>'A) Base RI'!AN174</f>
        <v>151</v>
      </c>
    </row>
    <row r="175" spans="1:44" x14ac:dyDescent="0.25">
      <c r="A175" s="12">
        <f>'A) Base RI'!A175</f>
        <v>5675</v>
      </c>
      <c r="B175" s="42" t="str">
        <f>'A) Base RI'!B175</f>
        <v>Lucens</v>
      </c>
      <c r="C175" s="14">
        <f>'A) Base RI'!C175+'A) Base RI'!D175</f>
        <v>3797797.95</v>
      </c>
      <c r="D175" s="14">
        <f>'A) Base RI'!AO175</f>
        <v>-182972.9</v>
      </c>
      <c r="E175" s="41">
        <f>'A) Base RI'!AP175</f>
        <v>0</v>
      </c>
      <c r="F175" s="41">
        <f>'A) Base RI'!AQ175</f>
        <v>-424.26</v>
      </c>
      <c r="G175" s="4">
        <f t="shared" si="12"/>
        <v>3614400.7900000005</v>
      </c>
      <c r="H175" s="14">
        <f>'A) Base RI'!E175</f>
        <v>0</v>
      </c>
      <c r="I175" s="14">
        <f>'A) Base RI'!F175</f>
        <v>0</v>
      </c>
      <c r="J175" s="14">
        <f>'A) Base RI'!G175+'A) Base RI'!H175</f>
        <v>630193.25</v>
      </c>
      <c r="K175" s="14">
        <f>'A) Base RI'!I175</f>
        <v>0</v>
      </c>
      <c r="L175" s="14">
        <f>'A) Base RI'!J175</f>
        <v>306767.23</v>
      </c>
      <c r="M175" s="14">
        <f>'A) Base RI'!K175</f>
        <v>27751</v>
      </c>
      <c r="N175" s="14">
        <f>'A) Base RI'!Q175</f>
        <v>16501.599999999999</v>
      </c>
      <c r="O175" s="14">
        <f t="shared" si="13"/>
        <v>458326.59090909088</v>
      </c>
      <c r="P175" s="14">
        <f>'A) Base RI'!L175</f>
        <v>504159.25</v>
      </c>
      <c r="Q175" s="44">
        <f>'A) Base RI'!AR175</f>
        <v>1.1000000000000001</v>
      </c>
      <c r="R175" s="4">
        <f t="shared" si="14"/>
        <v>5053940.4609090919</v>
      </c>
      <c r="S175" s="43">
        <f>'A) Base RI'!AM175</f>
        <v>66</v>
      </c>
      <c r="T175" s="4">
        <f t="shared" si="15"/>
        <v>4567862.870000001</v>
      </c>
      <c r="U175" s="4">
        <f t="shared" si="16"/>
        <v>76574.855468319569</v>
      </c>
      <c r="V175" s="14">
        <f>'A) Base RI'!O175</f>
        <v>33639.599999999999</v>
      </c>
      <c r="W175" s="14">
        <f>'A) Base RI'!P175</f>
        <v>562695.94999999995</v>
      </c>
      <c r="X175" s="14">
        <f>'A) Base RI'!R175</f>
        <v>261783.8</v>
      </c>
      <c r="Y175" s="4">
        <f t="shared" si="17"/>
        <v>858119.34999999986</v>
      </c>
      <c r="Z175" s="14">
        <f>'A) Base RI'!N175</f>
        <v>35023.699999999997</v>
      </c>
      <c r="AA175" s="14">
        <f>'A) Base RI'!S175+'A) Base RI'!T175</f>
        <v>5712.5</v>
      </c>
      <c r="AB175" s="14">
        <f>'A) Base RI'!U175</f>
        <v>19800</v>
      </c>
      <c r="AC175" s="14">
        <f>'A) Base RI'!V175</f>
        <v>0</v>
      </c>
      <c r="AD175" s="14">
        <f>'A) Base RI'!W175</f>
        <v>0</v>
      </c>
      <c r="AE175" s="14">
        <f>'A) Base RI'!Y175</f>
        <v>81927.55</v>
      </c>
      <c r="AF175" s="14">
        <f>'A) Base RI'!Z175</f>
        <v>0</v>
      </c>
      <c r="AG175" s="14">
        <f>'A) Base RI'!AA175</f>
        <v>232022.05</v>
      </c>
      <c r="AH175" s="14">
        <f>'A) Base RI'!AB175</f>
        <v>0</v>
      </c>
      <c r="AI175" s="14">
        <f>'A) Base RI'!AC175</f>
        <v>336961.6</v>
      </c>
      <c r="AJ175" s="14">
        <f>'A) Base RI'!AD175</f>
        <v>50775.05</v>
      </c>
      <c r="AK175" s="14">
        <f>'A) Base RI'!AE175</f>
        <v>0</v>
      </c>
      <c r="AL175" s="14">
        <f>'A) Base RI'!AF175</f>
        <v>0</v>
      </c>
      <c r="AM175" s="14">
        <f>'A) Base RI'!AG175</f>
        <v>0</v>
      </c>
      <c r="AN175" s="14">
        <f>'A) Base RI'!AH175</f>
        <v>395500</v>
      </c>
      <c r="AO175" s="14">
        <f>'A) Base RI'!AI175</f>
        <v>0</v>
      </c>
      <c r="AP175" s="14">
        <f>'A) Base RI'!AJ175</f>
        <v>0</v>
      </c>
      <c r="AQ175" s="14">
        <f>'A) Base RI'!AK175</f>
        <v>0</v>
      </c>
      <c r="AR175" s="14">
        <f>'A) Base RI'!AN175</f>
        <v>3285</v>
      </c>
    </row>
    <row r="176" spans="1:44" x14ac:dyDescent="0.25">
      <c r="A176" s="12">
        <f>'A) Base RI'!A176</f>
        <v>5678</v>
      </c>
      <c r="B176" s="42" t="str">
        <f>'A) Base RI'!B176</f>
        <v>Moudon</v>
      </c>
      <c r="C176" s="14">
        <f>'A) Base RI'!C176+'A) Base RI'!D176</f>
        <v>7216119.71</v>
      </c>
      <c r="D176" s="14">
        <f>'A) Base RI'!AO176</f>
        <v>-371272.65</v>
      </c>
      <c r="E176" s="41">
        <f>'A) Base RI'!AP176</f>
        <v>0</v>
      </c>
      <c r="F176" s="41">
        <f>'A) Base RI'!AQ176</f>
        <v>-14695.08</v>
      </c>
      <c r="G176" s="4">
        <f t="shared" si="12"/>
        <v>6830151.9799999995</v>
      </c>
      <c r="H176" s="14">
        <f>'A) Base RI'!E176</f>
        <v>0</v>
      </c>
      <c r="I176" s="14">
        <f>'A) Base RI'!F176</f>
        <v>25150</v>
      </c>
      <c r="J176" s="14">
        <f>'A) Base RI'!G176+'A) Base RI'!H176</f>
        <v>873766.95</v>
      </c>
      <c r="K176" s="14">
        <f>'A) Base RI'!I176</f>
        <v>0</v>
      </c>
      <c r="L176" s="14">
        <f>'A) Base RI'!J176</f>
        <v>586123.5</v>
      </c>
      <c r="M176" s="14">
        <f>'A) Base RI'!K176</f>
        <v>54797.5</v>
      </c>
      <c r="N176" s="14">
        <f>'A) Base RI'!Q176</f>
        <v>83554.350000000006</v>
      </c>
      <c r="O176" s="14">
        <f t="shared" si="13"/>
        <v>700989.95</v>
      </c>
      <c r="P176" s="14">
        <f>'A) Base RI'!L176</f>
        <v>700989.95</v>
      </c>
      <c r="Q176" s="44">
        <f>'A) Base RI'!AR176</f>
        <v>1</v>
      </c>
      <c r="R176" s="4">
        <f t="shared" si="14"/>
        <v>9154534.2299999986</v>
      </c>
      <c r="S176" s="43">
        <f>'A) Base RI'!AM176</f>
        <v>75</v>
      </c>
      <c r="T176" s="4">
        <f t="shared" si="15"/>
        <v>8373596.7799999993</v>
      </c>
      <c r="U176" s="4">
        <f t="shared" si="16"/>
        <v>122060.45639999998</v>
      </c>
      <c r="V176" s="14">
        <f>'A) Base RI'!O176</f>
        <v>106420.8</v>
      </c>
      <c r="W176" s="14">
        <f>'A) Base RI'!P176</f>
        <v>420747.4</v>
      </c>
      <c r="X176" s="14">
        <f>'A) Base RI'!R176</f>
        <v>190961.3</v>
      </c>
      <c r="Y176" s="4">
        <f t="shared" si="17"/>
        <v>718129.5</v>
      </c>
      <c r="Z176" s="14">
        <f>'A) Base RI'!N176</f>
        <v>114233.35</v>
      </c>
      <c r="AA176" s="14">
        <f>'A) Base RI'!S176+'A) Base RI'!T176</f>
        <v>24718.3</v>
      </c>
      <c r="AB176" s="14">
        <f>'A) Base RI'!U176</f>
        <v>32220</v>
      </c>
      <c r="AC176" s="14">
        <f>'A) Base RI'!V176</f>
        <v>20461.25</v>
      </c>
      <c r="AD176" s="14">
        <f>'A) Base RI'!W176</f>
        <v>1021</v>
      </c>
      <c r="AE176" s="14">
        <f>'A) Base RI'!Y176</f>
        <v>34590.699999999997</v>
      </c>
      <c r="AF176" s="14">
        <f>'A) Base RI'!Z176</f>
        <v>0</v>
      </c>
      <c r="AG176" s="14">
        <f>'A) Base RI'!AA176</f>
        <v>857507.2</v>
      </c>
      <c r="AH176" s="14">
        <f>'A) Base RI'!AB176</f>
        <v>0</v>
      </c>
      <c r="AI176" s="14">
        <f>'A) Base RI'!AC176</f>
        <v>559129.26</v>
      </c>
      <c r="AJ176" s="14">
        <f>'A) Base RI'!AD176</f>
        <v>15646.5</v>
      </c>
      <c r="AK176" s="14">
        <f>'A) Base RI'!AE176</f>
        <v>0</v>
      </c>
      <c r="AL176" s="14">
        <f>'A) Base RI'!AF176</f>
        <v>0</v>
      </c>
      <c r="AM176" s="14">
        <f>'A) Base RI'!AG176</f>
        <v>4944.1000000000004</v>
      </c>
      <c r="AN176" s="14">
        <f>'A) Base RI'!AH176</f>
        <v>200359.85</v>
      </c>
      <c r="AO176" s="14">
        <f>'A) Base RI'!AI176</f>
        <v>0</v>
      </c>
      <c r="AP176" s="14">
        <f>'A) Base RI'!AJ176</f>
        <v>0</v>
      </c>
      <c r="AQ176" s="14">
        <f>'A) Base RI'!AK176</f>
        <v>0</v>
      </c>
      <c r="AR176" s="14">
        <f>'A) Base RI'!AN176</f>
        <v>5770</v>
      </c>
    </row>
    <row r="177" spans="1:44" x14ac:dyDescent="0.25">
      <c r="A177" s="12">
        <f>'A) Base RI'!A177</f>
        <v>5680</v>
      </c>
      <c r="B177" s="42" t="str">
        <f>'A) Base RI'!B177</f>
        <v>Ogens</v>
      </c>
      <c r="C177" s="14">
        <f>'A) Base RI'!C177+'A) Base RI'!D177</f>
        <v>588213.80000000005</v>
      </c>
      <c r="D177" s="14">
        <f>'A) Base RI'!AO177</f>
        <v>-2441.46</v>
      </c>
      <c r="E177" s="41">
        <f>'A) Base RI'!AP177</f>
        <v>0</v>
      </c>
      <c r="F177" s="41">
        <f>'A) Base RI'!AQ177</f>
        <v>-4.01</v>
      </c>
      <c r="G177" s="4">
        <f t="shared" si="12"/>
        <v>585768.33000000007</v>
      </c>
      <c r="H177" s="14">
        <f>'A) Base RI'!E177</f>
        <v>0</v>
      </c>
      <c r="I177" s="14">
        <f>'A) Base RI'!F177</f>
        <v>0</v>
      </c>
      <c r="J177" s="14">
        <f>'A) Base RI'!G177+'A) Base RI'!H177</f>
        <v>8594.6999999999989</v>
      </c>
      <c r="K177" s="14">
        <f>'A) Base RI'!I177</f>
        <v>0</v>
      </c>
      <c r="L177" s="14">
        <f>'A) Base RI'!J177</f>
        <v>4274.45</v>
      </c>
      <c r="M177" s="14">
        <f>'A) Base RI'!K177</f>
        <v>55</v>
      </c>
      <c r="N177" s="14">
        <f>'A) Base RI'!Q177</f>
        <v>1790.03</v>
      </c>
      <c r="O177" s="14">
        <f t="shared" si="13"/>
        <v>36260.26666666667</v>
      </c>
      <c r="P177" s="14">
        <f>'A) Base RI'!L177</f>
        <v>54390.400000000001</v>
      </c>
      <c r="Q177" s="44">
        <f>'A) Base RI'!AR177</f>
        <v>1.5</v>
      </c>
      <c r="R177" s="4">
        <f t="shared" si="14"/>
        <v>636742.77666666673</v>
      </c>
      <c r="S177" s="43">
        <f>'A) Base RI'!AM177</f>
        <v>78</v>
      </c>
      <c r="T177" s="4">
        <f t="shared" si="15"/>
        <v>600427.51</v>
      </c>
      <c r="U177" s="4">
        <f t="shared" si="16"/>
        <v>8163.3689316239324</v>
      </c>
      <c r="V177" s="14">
        <f>'A) Base RI'!O177</f>
        <v>4236.8999999999996</v>
      </c>
      <c r="W177" s="14">
        <f>'A) Base RI'!P177</f>
        <v>4620</v>
      </c>
      <c r="X177" s="14">
        <f>'A) Base RI'!R177</f>
        <v>4444.7</v>
      </c>
      <c r="Y177" s="4">
        <f t="shared" si="17"/>
        <v>13301.599999999999</v>
      </c>
      <c r="Z177" s="14">
        <f>'A) Base RI'!N177</f>
        <v>0</v>
      </c>
      <c r="AA177" s="14">
        <f>'A) Base RI'!S177+'A) Base RI'!T177</f>
        <v>30</v>
      </c>
      <c r="AB177" s="14">
        <f>'A) Base RI'!U177</f>
        <v>2300</v>
      </c>
      <c r="AC177" s="14">
        <f>'A) Base RI'!V177</f>
        <v>0</v>
      </c>
      <c r="AD177" s="14">
        <f>'A) Base RI'!W177</f>
        <v>0</v>
      </c>
      <c r="AE177" s="14">
        <f>'A) Base RI'!Y177</f>
        <v>0</v>
      </c>
      <c r="AF177" s="14">
        <f>'A) Base RI'!Z177</f>
        <v>0</v>
      </c>
      <c r="AG177" s="14">
        <f>'A) Base RI'!AA177</f>
        <v>27521.5</v>
      </c>
      <c r="AH177" s="14">
        <f>'A) Base RI'!AB177</f>
        <v>0</v>
      </c>
      <c r="AI177" s="14">
        <f>'A) Base RI'!AC177</f>
        <v>15496.65</v>
      </c>
      <c r="AJ177" s="14">
        <f>'A) Base RI'!AD177</f>
        <v>0</v>
      </c>
      <c r="AK177" s="14">
        <f>'A) Base RI'!AE177</f>
        <v>0</v>
      </c>
      <c r="AL177" s="14">
        <f>'A) Base RI'!AF177</f>
        <v>0</v>
      </c>
      <c r="AM177" s="14">
        <f>'A) Base RI'!AG177</f>
        <v>0</v>
      </c>
      <c r="AN177" s="14">
        <f>'A) Base RI'!AH177</f>
        <v>5454.6</v>
      </c>
      <c r="AO177" s="14">
        <f>'A) Base RI'!AI177</f>
        <v>0</v>
      </c>
      <c r="AP177" s="14">
        <f>'A) Base RI'!AJ177</f>
        <v>0</v>
      </c>
      <c r="AQ177" s="14">
        <f>'A) Base RI'!AK177</f>
        <v>0</v>
      </c>
      <c r="AR177" s="14">
        <f>'A) Base RI'!AN177</f>
        <v>283</v>
      </c>
    </row>
    <row r="178" spans="1:44" x14ac:dyDescent="0.25">
      <c r="A178" s="12">
        <f>'A) Base RI'!A178</f>
        <v>5683</v>
      </c>
      <c r="B178" s="42" t="str">
        <f>'A) Base RI'!B178</f>
        <v>Prévonloup</v>
      </c>
      <c r="C178" s="14">
        <f>'A) Base RI'!C178+'A) Base RI'!D178</f>
        <v>250929.01</v>
      </c>
      <c r="D178" s="14">
        <f>'A) Base RI'!AO178</f>
        <v>-32226</v>
      </c>
      <c r="E178" s="41">
        <f>'A) Base RI'!AP178</f>
        <v>0</v>
      </c>
      <c r="F178" s="41">
        <f>'A) Base RI'!AQ178</f>
        <v>0</v>
      </c>
      <c r="G178" s="4">
        <f t="shared" si="12"/>
        <v>218703.01</v>
      </c>
      <c r="H178" s="14">
        <f>'A) Base RI'!E178</f>
        <v>0</v>
      </c>
      <c r="I178" s="14">
        <f>'A) Base RI'!F178</f>
        <v>0</v>
      </c>
      <c r="J178" s="14">
        <f>'A) Base RI'!G178+'A) Base RI'!H178</f>
        <v>19437.349999999999</v>
      </c>
      <c r="K178" s="14">
        <f>'A) Base RI'!I178</f>
        <v>0</v>
      </c>
      <c r="L178" s="14">
        <f>'A) Base RI'!J178</f>
        <v>10233.530000000001</v>
      </c>
      <c r="M178" s="14">
        <f>'A) Base RI'!K178</f>
        <v>28</v>
      </c>
      <c r="N178" s="14">
        <f>'A) Base RI'!Q178</f>
        <v>0</v>
      </c>
      <c r="O178" s="14">
        <f t="shared" si="13"/>
        <v>19367.25</v>
      </c>
      <c r="P178" s="14">
        <f>'A) Base RI'!L178</f>
        <v>19367.25</v>
      </c>
      <c r="Q178" s="44">
        <f>'A) Base RI'!AR178</f>
        <v>1</v>
      </c>
      <c r="R178" s="4">
        <f t="shared" si="14"/>
        <v>267769.14</v>
      </c>
      <c r="S178" s="43">
        <f>'A) Base RI'!AM178</f>
        <v>74</v>
      </c>
      <c r="T178" s="4">
        <f t="shared" si="15"/>
        <v>248373.89</v>
      </c>
      <c r="U178" s="4">
        <f t="shared" si="16"/>
        <v>3618.5018918918922</v>
      </c>
      <c r="V178" s="14">
        <f>'A) Base RI'!O178</f>
        <v>0</v>
      </c>
      <c r="W178" s="14">
        <f>'A) Base RI'!P178</f>
        <v>6648.4</v>
      </c>
      <c r="X178" s="14">
        <f>'A) Base RI'!R178</f>
        <v>8668.7000000000007</v>
      </c>
      <c r="Y178" s="4">
        <f t="shared" si="17"/>
        <v>15317.1</v>
      </c>
      <c r="Z178" s="14">
        <f>'A) Base RI'!N178</f>
        <v>0</v>
      </c>
      <c r="AA178" s="14">
        <f>'A) Base RI'!S178+'A) Base RI'!T178</f>
        <v>0</v>
      </c>
      <c r="AB178" s="14">
        <f>'A) Base RI'!U178</f>
        <v>1100</v>
      </c>
      <c r="AC178" s="14">
        <f>'A) Base RI'!V178</f>
        <v>0</v>
      </c>
      <c r="AD178" s="14">
        <f>'A) Base RI'!W178</f>
        <v>0</v>
      </c>
      <c r="AE178" s="14">
        <f>'A) Base RI'!Y178</f>
        <v>0</v>
      </c>
      <c r="AF178" s="14">
        <f>'A) Base RI'!Z178</f>
        <v>0</v>
      </c>
      <c r="AG178" s="14">
        <f>'A) Base RI'!AA178</f>
        <v>9571.25</v>
      </c>
      <c r="AH178" s="14">
        <f>'A) Base RI'!AB178</f>
        <v>4133.8999999999996</v>
      </c>
      <c r="AI178" s="14">
        <f>'A) Base RI'!AC178</f>
        <v>8223.75</v>
      </c>
      <c r="AJ178" s="14">
        <f>'A) Base RI'!AD178</f>
        <v>0</v>
      </c>
      <c r="AK178" s="14">
        <f>'A) Base RI'!AE178</f>
        <v>0</v>
      </c>
      <c r="AL178" s="14">
        <f>'A) Base RI'!AF178</f>
        <v>0</v>
      </c>
      <c r="AM178" s="14">
        <f>'A) Base RI'!AG178</f>
        <v>0</v>
      </c>
      <c r="AN178" s="14">
        <f>'A) Base RI'!AH178</f>
        <v>0</v>
      </c>
      <c r="AO178" s="14">
        <f>'A) Base RI'!AI178</f>
        <v>0</v>
      </c>
      <c r="AP178" s="14">
        <f>'A) Base RI'!AJ178</f>
        <v>0</v>
      </c>
      <c r="AQ178" s="14">
        <f>'A) Base RI'!AK178</f>
        <v>0</v>
      </c>
      <c r="AR178" s="14">
        <f>'A) Base RI'!AN178</f>
        <v>172</v>
      </c>
    </row>
    <row r="179" spans="1:44" x14ac:dyDescent="0.25">
      <c r="A179" s="12">
        <f>'A) Base RI'!A179</f>
        <v>5684</v>
      </c>
      <c r="B179" s="42" t="str">
        <f>'A) Base RI'!B179</f>
        <v>Rossenges</v>
      </c>
      <c r="C179" s="14">
        <f>'A) Base RI'!C179+'A) Base RI'!D179</f>
        <v>148091.29</v>
      </c>
      <c r="D179" s="14">
        <f>'A) Base RI'!AO179</f>
        <v>-171.92</v>
      </c>
      <c r="E179" s="41">
        <f>'A) Base RI'!AP179</f>
        <v>0</v>
      </c>
      <c r="F179" s="41">
        <f>'A) Base RI'!AQ179</f>
        <v>-0.79</v>
      </c>
      <c r="G179" s="4">
        <f t="shared" si="12"/>
        <v>147918.57999999999</v>
      </c>
      <c r="H179" s="14">
        <f>'A) Base RI'!E179</f>
        <v>0</v>
      </c>
      <c r="I179" s="14">
        <f>'A) Base RI'!F179</f>
        <v>0</v>
      </c>
      <c r="J179" s="14">
        <f>'A) Base RI'!G179+'A) Base RI'!H179</f>
        <v>1285.8</v>
      </c>
      <c r="K179" s="14">
        <f>'A) Base RI'!I179</f>
        <v>0</v>
      </c>
      <c r="L179" s="14">
        <f>'A) Base RI'!J179</f>
        <v>0</v>
      </c>
      <c r="M179" s="14">
        <f>'A) Base RI'!K179</f>
        <v>0</v>
      </c>
      <c r="N179" s="14">
        <f>'A) Base RI'!Q179</f>
        <v>0</v>
      </c>
      <c r="O179" s="14">
        <f t="shared" si="13"/>
        <v>7500</v>
      </c>
      <c r="P179" s="14">
        <f>'A) Base RI'!L179</f>
        <v>6000</v>
      </c>
      <c r="Q179" s="44">
        <f>'A) Base RI'!AR179</f>
        <v>0.8</v>
      </c>
      <c r="R179" s="4">
        <f t="shared" si="14"/>
        <v>156704.37999999998</v>
      </c>
      <c r="S179" s="43">
        <f>'A) Base RI'!AM179</f>
        <v>60</v>
      </c>
      <c r="T179" s="4">
        <f t="shared" si="15"/>
        <v>149204.37999999998</v>
      </c>
      <c r="U179" s="4">
        <f t="shared" si="16"/>
        <v>2611.7396666666664</v>
      </c>
      <c r="V179" s="14">
        <f>'A) Base RI'!O179</f>
        <v>0</v>
      </c>
      <c r="W179" s="14">
        <f>'A) Base RI'!P179</f>
        <v>0</v>
      </c>
      <c r="X179" s="14">
        <f>'A) Base RI'!R179</f>
        <v>0</v>
      </c>
      <c r="Y179" s="4">
        <f t="shared" si="17"/>
        <v>0</v>
      </c>
      <c r="Z179" s="14">
        <f>'A) Base RI'!N179</f>
        <v>0</v>
      </c>
      <c r="AA179" s="14">
        <f>'A) Base RI'!S179+'A) Base RI'!T179</f>
        <v>0</v>
      </c>
      <c r="AB179" s="14">
        <f>'A) Base RI'!U179</f>
        <v>20</v>
      </c>
      <c r="AC179" s="14">
        <f>'A) Base RI'!V179</f>
        <v>0</v>
      </c>
      <c r="AD179" s="14">
        <f>'A) Base RI'!W179</f>
        <v>0</v>
      </c>
      <c r="AE179" s="14">
        <f>'A) Base RI'!Y179</f>
        <v>0</v>
      </c>
      <c r="AF179" s="14">
        <f>'A) Base RI'!Z179</f>
        <v>0</v>
      </c>
      <c r="AG179" s="14">
        <f>'A) Base RI'!AA179</f>
        <v>2000</v>
      </c>
      <c r="AH179" s="14">
        <f>'A) Base RI'!AB179</f>
        <v>0</v>
      </c>
      <c r="AI179" s="14">
        <f>'A) Base RI'!AC179</f>
        <v>8284</v>
      </c>
      <c r="AJ179" s="14">
        <f>'A) Base RI'!AD179</f>
        <v>0</v>
      </c>
      <c r="AK179" s="14">
        <f>'A) Base RI'!AE179</f>
        <v>0</v>
      </c>
      <c r="AL179" s="14">
        <f>'A) Base RI'!AF179</f>
        <v>0</v>
      </c>
      <c r="AM179" s="14">
        <f>'A) Base RI'!AG179</f>
        <v>0</v>
      </c>
      <c r="AN179" s="14">
        <f>'A) Base RI'!AH179</f>
        <v>0</v>
      </c>
      <c r="AO179" s="14">
        <f>'A) Base RI'!AI179</f>
        <v>0</v>
      </c>
      <c r="AP179" s="14">
        <f>'A) Base RI'!AJ179</f>
        <v>0</v>
      </c>
      <c r="AQ179" s="14">
        <f>'A) Base RI'!AK179</f>
        <v>0</v>
      </c>
      <c r="AR179" s="14">
        <f>'A) Base RI'!AN179</f>
        <v>65</v>
      </c>
    </row>
    <row r="180" spans="1:44" x14ac:dyDescent="0.25">
      <c r="A180" s="12">
        <f>'A) Base RI'!A180</f>
        <v>5686</v>
      </c>
      <c r="B180" s="42" t="str">
        <f>'A) Base RI'!B180</f>
        <v>Sarzens</v>
      </c>
      <c r="C180" s="14">
        <f>'A) Base RI'!C180+'A) Base RI'!D180</f>
        <v>130035.76</v>
      </c>
      <c r="D180" s="14">
        <f>'A) Base RI'!AO180</f>
        <v>-1418.53</v>
      </c>
      <c r="E180" s="41">
        <f>'A) Base RI'!AP180</f>
        <v>0</v>
      </c>
      <c r="F180" s="41">
        <f>'A) Base RI'!AQ180</f>
        <v>0</v>
      </c>
      <c r="G180" s="4">
        <f t="shared" si="12"/>
        <v>128617.23</v>
      </c>
      <c r="H180" s="14">
        <f>'A) Base RI'!E180</f>
        <v>0</v>
      </c>
      <c r="I180" s="14">
        <f>'A) Base RI'!F180</f>
        <v>0</v>
      </c>
      <c r="J180" s="14">
        <f>'A) Base RI'!G180+'A) Base RI'!H180</f>
        <v>75.650000000000006</v>
      </c>
      <c r="K180" s="14">
        <f>'A) Base RI'!I180</f>
        <v>0</v>
      </c>
      <c r="L180" s="14">
        <f>'A) Base RI'!J180</f>
        <v>-1321.99</v>
      </c>
      <c r="M180" s="14">
        <f>'A) Base RI'!K180</f>
        <v>0</v>
      </c>
      <c r="N180" s="14">
        <f>'A) Base RI'!Q180</f>
        <v>0</v>
      </c>
      <c r="O180" s="14">
        <f t="shared" si="13"/>
        <v>10070.75</v>
      </c>
      <c r="P180" s="14">
        <f>'A) Base RI'!L180</f>
        <v>10070.75</v>
      </c>
      <c r="Q180" s="44">
        <f>'A) Base RI'!AR180</f>
        <v>1</v>
      </c>
      <c r="R180" s="4">
        <f t="shared" si="14"/>
        <v>137441.63999999998</v>
      </c>
      <c r="S180" s="43">
        <f>'A) Base RI'!AM180</f>
        <v>74</v>
      </c>
      <c r="T180" s="4">
        <f t="shared" si="15"/>
        <v>127370.88999999998</v>
      </c>
      <c r="U180" s="4">
        <f t="shared" si="16"/>
        <v>1857.3194594594593</v>
      </c>
      <c r="V180" s="14">
        <f>'A) Base RI'!O180</f>
        <v>0</v>
      </c>
      <c r="W180" s="14">
        <f>'A) Base RI'!P180</f>
        <v>12.1</v>
      </c>
      <c r="X180" s="14">
        <f>'A) Base RI'!R180</f>
        <v>17631.55</v>
      </c>
      <c r="Y180" s="4">
        <f t="shared" si="17"/>
        <v>17643.649999999998</v>
      </c>
      <c r="Z180" s="14">
        <f>'A) Base RI'!N180</f>
        <v>0</v>
      </c>
      <c r="AA180" s="14">
        <f>'A) Base RI'!S180+'A) Base RI'!T180</f>
        <v>0</v>
      </c>
      <c r="AB180" s="14">
        <f>'A) Base RI'!U180</f>
        <v>175</v>
      </c>
      <c r="AC180" s="14">
        <f>'A) Base RI'!V180</f>
        <v>0</v>
      </c>
      <c r="AD180" s="14">
        <f>'A) Base RI'!W180</f>
        <v>0</v>
      </c>
      <c r="AE180" s="14">
        <f>'A) Base RI'!Y180</f>
        <v>0</v>
      </c>
      <c r="AF180" s="14">
        <f>'A) Base RI'!Z180</f>
        <v>0</v>
      </c>
      <c r="AG180" s="14">
        <f>'A) Base RI'!AA180</f>
        <v>3612</v>
      </c>
      <c r="AH180" s="14">
        <f>'A) Base RI'!AB180</f>
        <v>0</v>
      </c>
      <c r="AI180" s="14">
        <f>'A) Base RI'!AC180</f>
        <v>11367.55</v>
      </c>
      <c r="AJ180" s="14">
        <f>'A) Base RI'!AD180</f>
        <v>0</v>
      </c>
      <c r="AK180" s="14">
        <f>'A) Base RI'!AE180</f>
        <v>0</v>
      </c>
      <c r="AL180" s="14">
        <f>'A) Base RI'!AF180</f>
        <v>0</v>
      </c>
      <c r="AM180" s="14">
        <f>'A) Base RI'!AG180</f>
        <v>0</v>
      </c>
      <c r="AN180" s="14">
        <f>'A) Base RI'!AH180</f>
        <v>0</v>
      </c>
      <c r="AO180" s="14">
        <f>'A) Base RI'!AI180</f>
        <v>0</v>
      </c>
      <c r="AP180" s="14">
        <f>'A) Base RI'!AJ180</f>
        <v>0</v>
      </c>
      <c r="AQ180" s="14">
        <f>'A) Base RI'!AK180</f>
        <v>0</v>
      </c>
      <c r="AR180" s="14">
        <f>'A) Base RI'!AN180</f>
        <v>80</v>
      </c>
    </row>
    <row r="181" spans="1:44" x14ac:dyDescent="0.25">
      <c r="A181" s="12">
        <f>'A) Base RI'!A181</f>
        <v>5688</v>
      </c>
      <c r="B181" s="42" t="str">
        <f>'A) Base RI'!B181</f>
        <v>Syens</v>
      </c>
      <c r="C181" s="14">
        <f>'A) Base RI'!C181+'A) Base RI'!D181</f>
        <v>321565.88</v>
      </c>
      <c r="D181" s="14">
        <f>'A) Base RI'!AO181</f>
        <v>-2154.29</v>
      </c>
      <c r="E181" s="41">
        <f>'A) Base RI'!AP181</f>
        <v>0</v>
      </c>
      <c r="F181" s="41">
        <f>'A) Base RI'!AQ181</f>
        <v>0</v>
      </c>
      <c r="G181" s="4">
        <f t="shared" si="12"/>
        <v>319411.59000000003</v>
      </c>
      <c r="H181" s="14">
        <f>'A) Base RI'!E181</f>
        <v>0</v>
      </c>
      <c r="I181" s="14">
        <f>'A) Base RI'!F181</f>
        <v>0</v>
      </c>
      <c r="J181" s="14">
        <f>'A) Base RI'!G181+'A) Base RI'!H181</f>
        <v>46672.600000000006</v>
      </c>
      <c r="K181" s="14">
        <f>'A) Base RI'!I181</f>
        <v>0</v>
      </c>
      <c r="L181" s="14">
        <f>'A) Base RI'!J181</f>
        <v>19968.03</v>
      </c>
      <c r="M181" s="14">
        <f>'A) Base RI'!K181</f>
        <v>348</v>
      </c>
      <c r="N181" s="14">
        <f>'A) Base RI'!Q181</f>
        <v>2144.52</v>
      </c>
      <c r="O181" s="14">
        <f t="shared" si="13"/>
        <v>18609.400000000001</v>
      </c>
      <c r="P181" s="14">
        <f>'A) Base RI'!L181</f>
        <v>18609.400000000001</v>
      </c>
      <c r="Q181" s="44">
        <f>'A) Base RI'!AR181</f>
        <v>1</v>
      </c>
      <c r="R181" s="4">
        <f t="shared" si="14"/>
        <v>407154.14000000013</v>
      </c>
      <c r="S181" s="43">
        <f>'A) Base RI'!AM181</f>
        <v>75.599999999999994</v>
      </c>
      <c r="T181" s="4">
        <f t="shared" si="15"/>
        <v>388196.74000000011</v>
      </c>
      <c r="U181" s="4">
        <f t="shared" si="16"/>
        <v>5385.636772486775</v>
      </c>
      <c r="V181" s="14">
        <f>'A) Base RI'!O181</f>
        <v>0</v>
      </c>
      <c r="W181" s="14">
        <f>'A) Base RI'!P181</f>
        <v>22889.1</v>
      </c>
      <c r="X181" s="14">
        <f>'A) Base RI'!R181</f>
        <v>5384.15</v>
      </c>
      <c r="Y181" s="4">
        <f t="shared" si="17"/>
        <v>28273.25</v>
      </c>
      <c r="Z181" s="14">
        <f>'A) Base RI'!N181</f>
        <v>0</v>
      </c>
      <c r="AA181" s="14">
        <f>'A) Base RI'!S181+'A) Base RI'!T181</f>
        <v>0</v>
      </c>
      <c r="AB181" s="14">
        <f>'A) Base RI'!U181</f>
        <v>360</v>
      </c>
      <c r="AC181" s="14">
        <f>'A) Base RI'!V181</f>
        <v>0</v>
      </c>
      <c r="AD181" s="14">
        <f>'A) Base RI'!W181</f>
        <v>0</v>
      </c>
      <c r="AE181" s="14">
        <f>'A) Base RI'!Y181</f>
        <v>14200</v>
      </c>
      <c r="AF181" s="14">
        <f>'A) Base RI'!Z181</f>
        <v>0</v>
      </c>
      <c r="AG181" s="14">
        <f>'A) Base RI'!AA181</f>
        <v>6255</v>
      </c>
      <c r="AH181" s="14">
        <f>'A) Base RI'!AB181</f>
        <v>0</v>
      </c>
      <c r="AI181" s="14">
        <f>'A) Base RI'!AC181</f>
        <v>13370.55</v>
      </c>
      <c r="AJ181" s="14">
        <f>'A) Base RI'!AD181</f>
        <v>0</v>
      </c>
      <c r="AK181" s="14">
        <f>'A) Base RI'!AE181</f>
        <v>0</v>
      </c>
      <c r="AL181" s="14">
        <f>'A) Base RI'!AF181</f>
        <v>0</v>
      </c>
      <c r="AM181" s="14">
        <f>'A) Base RI'!AG181</f>
        <v>0</v>
      </c>
      <c r="AN181" s="14">
        <f>'A) Base RI'!AH181</f>
        <v>0</v>
      </c>
      <c r="AO181" s="14">
        <f>'A) Base RI'!AI181</f>
        <v>0</v>
      </c>
      <c r="AP181" s="14">
        <f>'A) Base RI'!AJ181</f>
        <v>0</v>
      </c>
      <c r="AQ181" s="14">
        <f>'A) Base RI'!AK181</f>
        <v>0</v>
      </c>
      <c r="AR181" s="14">
        <f>'A) Base RI'!AN181</f>
        <v>139</v>
      </c>
    </row>
    <row r="182" spans="1:44" x14ac:dyDescent="0.25">
      <c r="A182" s="12">
        <f>'A) Base RI'!A182</f>
        <v>5690</v>
      </c>
      <c r="B182" s="42" t="str">
        <f>'A) Base RI'!B182</f>
        <v>Villars-le-Comte</v>
      </c>
      <c r="C182" s="14">
        <f>'A) Base RI'!C182+'A) Base RI'!D182</f>
        <v>244240.43</v>
      </c>
      <c r="D182" s="14">
        <f>'A) Base RI'!AO182</f>
        <v>-522.66999999999996</v>
      </c>
      <c r="E182" s="41">
        <f>'A) Base RI'!AP182</f>
        <v>0</v>
      </c>
      <c r="F182" s="41">
        <f>'A) Base RI'!AQ182</f>
        <v>0</v>
      </c>
      <c r="G182" s="4">
        <f t="shared" si="12"/>
        <v>243717.75999999998</v>
      </c>
      <c r="H182" s="14">
        <f>'A) Base RI'!E182</f>
        <v>0</v>
      </c>
      <c r="I182" s="14">
        <f>'A) Base RI'!F182</f>
        <v>880</v>
      </c>
      <c r="J182" s="14">
        <f>'A) Base RI'!G182+'A) Base RI'!H182</f>
        <v>779.95</v>
      </c>
      <c r="K182" s="14">
        <f>'A) Base RI'!I182</f>
        <v>0</v>
      </c>
      <c r="L182" s="14">
        <f>'A) Base RI'!J182</f>
        <v>0</v>
      </c>
      <c r="M182" s="14">
        <f>'A) Base RI'!K182</f>
        <v>184</v>
      </c>
      <c r="N182" s="14">
        <f>'A) Base RI'!Q182</f>
        <v>0</v>
      </c>
      <c r="O182" s="14">
        <f t="shared" si="13"/>
        <v>18034.100000000002</v>
      </c>
      <c r="P182" s="14">
        <f>'A) Base RI'!L182</f>
        <v>27051.15</v>
      </c>
      <c r="Q182" s="44">
        <f>'A) Base RI'!AR182</f>
        <v>1.5</v>
      </c>
      <c r="R182" s="4">
        <f t="shared" si="14"/>
        <v>263595.81</v>
      </c>
      <c r="S182" s="43">
        <f>'A) Base RI'!AM182</f>
        <v>76</v>
      </c>
      <c r="T182" s="4">
        <f t="shared" si="15"/>
        <v>244497.71</v>
      </c>
      <c r="U182" s="4">
        <f t="shared" si="16"/>
        <v>3468.3659210526316</v>
      </c>
      <c r="V182" s="14">
        <f>'A) Base RI'!O182</f>
        <v>238.4</v>
      </c>
      <c r="W182" s="14">
        <f>'A) Base RI'!P182</f>
        <v>3668.15</v>
      </c>
      <c r="X182" s="14">
        <f>'A) Base RI'!R182</f>
        <v>9516.7000000000007</v>
      </c>
      <c r="Y182" s="4">
        <f t="shared" si="17"/>
        <v>13423.25</v>
      </c>
      <c r="Z182" s="14">
        <f>'A) Base RI'!N182</f>
        <v>0</v>
      </c>
      <c r="AA182" s="14">
        <f>'A) Base RI'!S182+'A) Base RI'!T182</f>
        <v>0</v>
      </c>
      <c r="AB182" s="14">
        <f>'A) Base RI'!U182</f>
        <v>650</v>
      </c>
      <c r="AC182" s="14">
        <f>'A) Base RI'!V182</f>
        <v>0</v>
      </c>
      <c r="AD182" s="14">
        <f>'A) Base RI'!W182</f>
        <v>0</v>
      </c>
      <c r="AE182" s="14">
        <f>'A) Base RI'!Y182</f>
        <v>0</v>
      </c>
      <c r="AF182" s="14">
        <f>'A) Base RI'!Z182</f>
        <v>0</v>
      </c>
      <c r="AG182" s="14">
        <f>'A) Base RI'!AA182</f>
        <v>22984.5</v>
      </c>
      <c r="AH182" s="14">
        <f>'A) Base RI'!AB182</f>
        <v>0</v>
      </c>
      <c r="AI182" s="14">
        <f>'A) Base RI'!AC182</f>
        <v>16638.75</v>
      </c>
      <c r="AJ182" s="14">
        <f>'A) Base RI'!AD182</f>
        <v>0</v>
      </c>
      <c r="AK182" s="14">
        <f>'A) Base RI'!AE182</f>
        <v>0</v>
      </c>
      <c r="AL182" s="14">
        <f>'A) Base RI'!AF182</f>
        <v>0</v>
      </c>
      <c r="AM182" s="14">
        <f>'A) Base RI'!AG182</f>
        <v>0</v>
      </c>
      <c r="AN182" s="14">
        <f>'A) Base RI'!AH182</f>
        <v>0</v>
      </c>
      <c r="AO182" s="14">
        <f>'A) Base RI'!AI182</f>
        <v>0</v>
      </c>
      <c r="AP182" s="14">
        <f>'A) Base RI'!AJ182</f>
        <v>0</v>
      </c>
      <c r="AQ182" s="14">
        <f>'A) Base RI'!AK182</f>
        <v>0</v>
      </c>
      <c r="AR182" s="14">
        <f>'A) Base RI'!AN182</f>
        <v>150</v>
      </c>
    </row>
    <row r="183" spans="1:44" x14ac:dyDescent="0.25">
      <c r="A183" s="12">
        <f>'A) Base RI'!A183</f>
        <v>5692</v>
      </c>
      <c r="B183" s="42" t="str">
        <f>'A) Base RI'!B183</f>
        <v>Vucherens</v>
      </c>
      <c r="C183" s="14">
        <f>'A) Base RI'!C183+'A) Base RI'!D183</f>
        <v>1108721.79</v>
      </c>
      <c r="D183" s="14">
        <f>'A) Base RI'!AO183</f>
        <v>-16941.66</v>
      </c>
      <c r="E183" s="41">
        <f>'A) Base RI'!AP183</f>
        <v>0</v>
      </c>
      <c r="F183" s="41">
        <f>'A) Base RI'!AQ183</f>
        <v>-800.5</v>
      </c>
      <c r="G183" s="4">
        <f t="shared" si="12"/>
        <v>1090979.6300000001</v>
      </c>
      <c r="H183" s="14">
        <f>'A) Base RI'!E183</f>
        <v>0</v>
      </c>
      <c r="I183" s="14">
        <f>'A) Base RI'!F183</f>
        <v>0</v>
      </c>
      <c r="J183" s="14">
        <f>'A) Base RI'!G183+'A) Base RI'!H183</f>
        <v>6089.3</v>
      </c>
      <c r="K183" s="14">
        <f>'A) Base RI'!I183</f>
        <v>0</v>
      </c>
      <c r="L183" s="14">
        <f>'A) Base RI'!J183</f>
        <v>16857.55</v>
      </c>
      <c r="M183" s="14">
        <f>'A) Base RI'!K183</f>
        <v>310</v>
      </c>
      <c r="N183" s="14">
        <f>'A) Base RI'!Q183</f>
        <v>1450.55</v>
      </c>
      <c r="O183" s="14">
        <f t="shared" si="13"/>
        <v>79258.149999999994</v>
      </c>
      <c r="P183" s="14">
        <f>'A) Base RI'!L183</f>
        <v>79258.149999999994</v>
      </c>
      <c r="Q183" s="44">
        <f>'A) Base RI'!AR183</f>
        <v>1</v>
      </c>
      <c r="R183" s="4">
        <f t="shared" si="14"/>
        <v>1194945.1800000002</v>
      </c>
      <c r="S183" s="43">
        <f>'A) Base RI'!AM183</f>
        <v>79</v>
      </c>
      <c r="T183" s="4">
        <f t="shared" si="15"/>
        <v>1115377.0300000003</v>
      </c>
      <c r="U183" s="4">
        <f t="shared" si="16"/>
        <v>15125.888354430383</v>
      </c>
      <c r="V183" s="14">
        <f>'A) Base RI'!O183</f>
        <v>5417.2</v>
      </c>
      <c r="W183" s="14">
        <f>'A) Base RI'!P183</f>
        <v>29387.599999999999</v>
      </c>
      <c r="X183" s="14">
        <f>'A) Base RI'!R183</f>
        <v>42551.05</v>
      </c>
      <c r="Y183" s="4">
        <f t="shared" si="17"/>
        <v>77355.850000000006</v>
      </c>
      <c r="Z183" s="14">
        <f>'A) Base RI'!N183</f>
        <v>6328.2</v>
      </c>
      <c r="AA183" s="14">
        <f>'A) Base RI'!S183+'A) Base RI'!T183</f>
        <v>480</v>
      </c>
      <c r="AB183" s="14">
        <f>'A) Base RI'!U183</f>
        <v>5750</v>
      </c>
      <c r="AC183" s="14">
        <f>'A) Base RI'!V183</f>
        <v>0</v>
      </c>
      <c r="AD183" s="14">
        <f>'A) Base RI'!W183</f>
        <v>0</v>
      </c>
      <c r="AE183" s="14">
        <f>'A) Base RI'!Y183</f>
        <v>-7583.1</v>
      </c>
      <c r="AF183" s="14">
        <f>'A) Base RI'!Z183</f>
        <v>0</v>
      </c>
      <c r="AG183" s="14">
        <f>'A) Base RI'!AA183</f>
        <v>74235</v>
      </c>
      <c r="AH183" s="14">
        <f>'A) Base RI'!AB183</f>
        <v>0</v>
      </c>
      <c r="AI183" s="14">
        <f>'A) Base RI'!AC183</f>
        <v>32666.75</v>
      </c>
      <c r="AJ183" s="14">
        <f>'A) Base RI'!AD183</f>
        <v>-28957.95</v>
      </c>
      <c r="AK183" s="14">
        <f>'A) Base RI'!AE183</f>
        <v>0</v>
      </c>
      <c r="AL183" s="14">
        <f>'A) Base RI'!AF183</f>
        <v>0</v>
      </c>
      <c r="AM183" s="14">
        <f>'A) Base RI'!AG183</f>
        <v>0</v>
      </c>
      <c r="AN183" s="14">
        <f>'A) Base RI'!AH183</f>
        <v>0</v>
      </c>
      <c r="AO183" s="14">
        <f>'A) Base RI'!AI183</f>
        <v>0</v>
      </c>
      <c r="AP183" s="14">
        <f>'A) Base RI'!AJ183</f>
        <v>9646.0499999999993</v>
      </c>
      <c r="AQ183" s="14">
        <f>'A) Base RI'!AK183</f>
        <v>0</v>
      </c>
      <c r="AR183" s="14">
        <f>'A) Base RI'!AN183</f>
        <v>543</v>
      </c>
    </row>
    <row r="184" spans="1:44" x14ac:dyDescent="0.25">
      <c r="A184" s="12">
        <f>'A) Base RI'!A184</f>
        <v>5693</v>
      </c>
      <c r="B184" s="42" t="str">
        <f>'A) Base RI'!B184</f>
        <v>Montanaire</v>
      </c>
      <c r="C184" s="14">
        <f>'A) Base RI'!C184+'A) Base RI'!D184</f>
        <v>4122499.72</v>
      </c>
      <c r="D184" s="14">
        <f>'A) Base RI'!AO184</f>
        <v>-116605.64</v>
      </c>
      <c r="E184" s="41">
        <f>'A) Base RI'!AP184</f>
        <v>-2043.35</v>
      </c>
      <c r="F184" s="41">
        <f>'A) Base RI'!AQ184</f>
        <v>-83.26</v>
      </c>
      <c r="G184" s="4">
        <f t="shared" si="12"/>
        <v>4003767.47</v>
      </c>
      <c r="H184" s="14">
        <f>'A) Base RI'!E184</f>
        <v>0</v>
      </c>
      <c r="I184" s="14">
        <f>'A) Base RI'!F184</f>
        <v>0</v>
      </c>
      <c r="J184" s="14">
        <f>'A) Base RI'!G184+'A) Base RI'!H184</f>
        <v>140002.5</v>
      </c>
      <c r="K184" s="14">
        <f>'A) Base RI'!I184</f>
        <v>0</v>
      </c>
      <c r="L184" s="14">
        <f>'A) Base RI'!J184</f>
        <v>65351.22</v>
      </c>
      <c r="M184" s="14">
        <f>'A) Base RI'!K184</f>
        <v>3011</v>
      </c>
      <c r="N184" s="14">
        <f>'A) Base RI'!Q184</f>
        <v>18485.689999999999</v>
      </c>
      <c r="O184" s="14">
        <f t="shared" si="13"/>
        <v>304503.40000000002</v>
      </c>
      <c r="P184" s="14">
        <f>'A) Base RI'!L184</f>
        <v>304503.40000000002</v>
      </c>
      <c r="Q184" s="44">
        <f>'A) Base RI'!AR184</f>
        <v>1</v>
      </c>
      <c r="R184" s="4">
        <f t="shared" si="14"/>
        <v>4535121.2800000012</v>
      </c>
      <c r="S184" s="43">
        <f>'A) Base RI'!AM184</f>
        <v>72</v>
      </c>
      <c r="T184" s="4">
        <f t="shared" si="15"/>
        <v>4227606.8800000008</v>
      </c>
      <c r="U184" s="4">
        <f t="shared" si="16"/>
        <v>62987.795555555575</v>
      </c>
      <c r="V184" s="14">
        <f>'A) Base RI'!O184</f>
        <v>44675.7</v>
      </c>
      <c r="W184" s="14">
        <f>'A) Base RI'!P184</f>
        <v>149737.65</v>
      </c>
      <c r="X184" s="14">
        <f>'A) Base RI'!R184</f>
        <v>185049</v>
      </c>
      <c r="Y184" s="4">
        <f t="shared" si="17"/>
        <v>379462.35</v>
      </c>
      <c r="Z184" s="14">
        <f>'A) Base RI'!N184</f>
        <v>7935.7</v>
      </c>
      <c r="AA184" s="14">
        <f>'A) Base RI'!S184+'A) Base RI'!T184</f>
        <v>0</v>
      </c>
      <c r="AB184" s="14">
        <f>'A) Base RI'!U184</f>
        <v>13950</v>
      </c>
      <c r="AC184" s="14">
        <f>'A) Base RI'!V184</f>
        <v>0</v>
      </c>
      <c r="AD184" s="14">
        <f>'A) Base RI'!W184</f>
        <v>0</v>
      </c>
      <c r="AE184" s="14">
        <f>'A) Base RI'!Y184</f>
        <v>66356.649999999994</v>
      </c>
      <c r="AF184" s="14">
        <f>'A) Base RI'!Z184</f>
        <v>0</v>
      </c>
      <c r="AG184" s="14">
        <f>'A) Base RI'!AA184</f>
        <v>299191.09999999998</v>
      </c>
      <c r="AH184" s="14">
        <f>'A) Base RI'!AB184</f>
        <v>0</v>
      </c>
      <c r="AI184" s="14">
        <f>'A) Base RI'!AC184</f>
        <v>158822.65</v>
      </c>
      <c r="AJ184" s="14">
        <f>'A) Base RI'!AD184</f>
        <v>27501.599999999999</v>
      </c>
      <c r="AK184" s="14">
        <f>'A) Base RI'!AE184</f>
        <v>0</v>
      </c>
      <c r="AL184" s="14">
        <f>'A) Base RI'!AF184</f>
        <v>0</v>
      </c>
      <c r="AM184" s="14">
        <f>'A) Base RI'!AG184</f>
        <v>0</v>
      </c>
      <c r="AN184" s="14">
        <f>'A) Base RI'!AH184</f>
        <v>86046</v>
      </c>
      <c r="AO184" s="14">
        <f>'A) Base RI'!AI184</f>
        <v>0</v>
      </c>
      <c r="AP184" s="14">
        <f>'A) Base RI'!AJ184</f>
        <v>0</v>
      </c>
      <c r="AQ184" s="14">
        <f>'A) Base RI'!AK184</f>
        <v>0</v>
      </c>
      <c r="AR184" s="14">
        <f>'A) Base RI'!AN184</f>
        <v>2421</v>
      </c>
    </row>
    <row r="185" spans="1:44" x14ac:dyDescent="0.25">
      <c r="A185" s="12">
        <f>'A) Base RI'!A185</f>
        <v>5701</v>
      </c>
      <c r="B185" s="42" t="str">
        <f>'A) Base RI'!B185</f>
        <v>Arnex-sur-Nyon</v>
      </c>
      <c r="C185" s="14">
        <f>'A) Base RI'!C185+'A) Base RI'!D185</f>
        <v>780097.35</v>
      </c>
      <c r="D185" s="14">
        <f>'A) Base RI'!AO185</f>
        <v>-69.930000000000007</v>
      </c>
      <c r="E185" s="41">
        <f>'A) Base RI'!AP185</f>
        <v>0</v>
      </c>
      <c r="F185" s="41">
        <f>'A) Base RI'!AQ185</f>
        <v>-34.869999999999997</v>
      </c>
      <c r="G185" s="4">
        <f t="shared" si="12"/>
        <v>779992.54999999993</v>
      </c>
      <c r="H185" s="14">
        <f>'A) Base RI'!E185</f>
        <v>0</v>
      </c>
      <c r="I185" s="14">
        <f>'A) Base RI'!F185</f>
        <v>0</v>
      </c>
      <c r="J185" s="14">
        <f>'A) Base RI'!G185+'A) Base RI'!H185</f>
        <v>4252.1499999999996</v>
      </c>
      <c r="K185" s="14">
        <f>'A) Base RI'!I185</f>
        <v>58392.45</v>
      </c>
      <c r="L185" s="14">
        <f>'A) Base RI'!J185</f>
        <v>12429.26</v>
      </c>
      <c r="M185" s="14">
        <f>'A) Base RI'!K185</f>
        <v>16</v>
      </c>
      <c r="N185" s="14">
        <f>'A) Base RI'!Q185</f>
        <v>15348.85</v>
      </c>
      <c r="O185" s="14">
        <f t="shared" si="13"/>
        <v>64688.4</v>
      </c>
      <c r="P185" s="14">
        <f>'A) Base RI'!L185</f>
        <v>64688.4</v>
      </c>
      <c r="Q185" s="44">
        <f>'A) Base RI'!AR185</f>
        <v>1</v>
      </c>
      <c r="R185" s="4">
        <f t="shared" si="14"/>
        <v>935119.65999999992</v>
      </c>
      <c r="S185" s="43">
        <f>'A) Base RI'!AM185</f>
        <v>65</v>
      </c>
      <c r="T185" s="4">
        <f t="shared" si="15"/>
        <v>870415.25999999989</v>
      </c>
      <c r="U185" s="4">
        <f t="shared" si="16"/>
        <v>14386.456307692306</v>
      </c>
      <c r="V185" s="14">
        <f>'A) Base RI'!O185</f>
        <v>0</v>
      </c>
      <c r="W185" s="14">
        <f>'A) Base RI'!P185</f>
        <v>47592.800000000003</v>
      </c>
      <c r="X185" s="14">
        <f>'A) Base RI'!R185</f>
        <v>0</v>
      </c>
      <c r="Y185" s="4">
        <f t="shared" si="17"/>
        <v>47592.800000000003</v>
      </c>
      <c r="Z185" s="14">
        <f>'A) Base RI'!N185</f>
        <v>0</v>
      </c>
      <c r="AA185" s="14">
        <f>'A) Base RI'!S185+'A) Base RI'!T185</f>
        <v>0</v>
      </c>
      <c r="AB185" s="14">
        <f>'A) Base RI'!U185</f>
        <v>775</v>
      </c>
      <c r="AC185" s="14">
        <f>'A) Base RI'!V185</f>
        <v>0</v>
      </c>
      <c r="AD185" s="14">
        <f>'A) Base RI'!W185</f>
        <v>0</v>
      </c>
      <c r="AE185" s="14">
        <f>'A) Base RI'!Y185</f>
        <v>0</v>
      </c>
      <c r="AF185" s="14">
        <f>'A) Base RI'!Z185</f>
        <v>0</v>
      </c>
      <c r="AG185" s="14">
        <f>'A) Base RI'!AA185</f>
        <v>22180.73</v>
      </c>
      <c r="AH185" s="14">
        <f>'A) Base RI'!AB185</f>
        <v>0</v>
      </c>
      <c r="AI185" s="14">
        <f>'A) Base RI'!AC185</f>
        <v>14924.7</v>
      </c>
      <c r="AJ185" s="14">
        <f>'A) Base RI'!AD185</f>
        <v>350</v>
      </c>
      <c r="AK185" s="14">
        <f>'A) Base RI'!AE185</f>
        <v>0</v>
      </c>
      <c r="AL185" s="14">
        <f>'A) Base RI'!AF185</f>
        <v>0</v>
      </c>
      <c r="AM185" s="14">
        <f>'A) Base RI'!AG185</f>
        <v>0</v>
      </c>
      <c r="AN185" s="14">
        <f>'A) Base RI'!AH185</f>
        <v>0</v>
      </c>
      <c r="AO185" s="14">
        <f>'A) Base RI'!AI185</f>
        <v>0</v>
      </c>
      <c r="AP185" s="14">
        <f>'A) Base RI'!AJ185</f>
        <v>0</v>
      </c>
      <c r="AQ185" s="14">
        <f>'A) Base RI'!AK185</f>
        <v>0</v>
      </c>
      <c r="AR185" s="14">
        <f>'A) Base RI'!AN185</f>
        <v>208</v>
      </c>
    </row>
    <row r="186" spans="1:44" x14ac:dyDescent="0.25">
      <c r="A186" s="12">
        <f>'A) Base RI'!A186</f>
        <v>5702</v>
      </c>
      <c r="B186" s="42" t="str">
        <f>'A) Base RI'!B186</f>
        <v>Arzier-Le Muids</v>
      </c>
      <c r="C186" s="14">
        <f>'A) Base RI'!C186+'A) Base RI'!D186</f>
        <v>7243717.0600000005</v>
      </c>
      <c r="D186" s="14">
        <f>'A) Base RI'!AO186</f>
        <v>-66129.320000000007</v>
      </c>
      <c r="E186" s="41">
        <f>'A) Base RI'!AP186</f>
        <v>0</v>
      </c>
      <c r="F186" s="41">
        <f>'A) Base RI'!AQ186</f>
        <v>-5159.07</v>
      </c>
      <c r="G186" s="4">
        <f t="shared" si="12"/>
        <v>7172428.6699999999</v>
      </c>
      <c r="H186" s="14">
        <f>'A) Base RI'!E186</f>
        <v>0</v>
      </c>
      <c r="I186" s="14">
        <f>'A) Base RI'!F186</f>
        <v>0</v>
      </c>
      <c r="J186" s="14">
        <f>'A) Base RI'!G186+'A) Base RI'!H186</f>
        <v>233451.05</v>
      </c>
      <c r="K186" s="14">
        <f>'A) Base RI'!I186</f>
        <v>560707.57999999996</v>
      </c>
      <c r="L186" s="14">
        <f>'A) Base RI'!J186</f>
        <v>130327.59</v>
      </c>
      <c r="M186" s="14">
        <f>'A) Base RI'!K186</f>
        <v>9460.5</v>
      </c>
      <c r="N186" s="14">
        <f>'A) Base RI'!Q186</f>
        <v>14129.44</v>
      </c>
      <c r="O186" s="14">
        <f t="shared" si="13"/>
        <v>669042.56666666665</v>
      </c>
      <c r="P186" s="14">
        <f>'A) Base RI'!L186</f>
        <v>1003563.85</v>
      </c>
      <c r="Q186" s="44">
        <f>'A) Base RI'!AR186</f>
        <v>1.5</v>
      </c>
      <c r="R186" s="4">
        <f t="shared" si="14"/>
        <v>8789547.3966666665</v>
      </c>
      <c r="S186" s="43">
        <f>'A) Base RI'!AM186</f>
        <v>64</v>
      </c>
      <c r="T186" s="4">
        <f t="shared" si="15"/>
        <v>8111044.3300000001</v>
      </c>
      <c r="U186" s="4">
        <f t="shared" si="16"/>
        <v>137336.67807291666</v>
      </c>
      <c r="V186" s="14">
        <f>'A) Base RI'!O186</f>
        <v>53902.9</v>
      </c>
      <c r="W186" s="14">
        <f>'A) Base RI'!P186</f>
        <v>429226.4</v>
      </c>
      <c r="X186" s="14">
        <f>'A) Base RI'!R186</f>
        <v>354162</v>
      </c>
      <c r="Y186" s="4">
        <f t="shared" si="17"/>
        <v>837291.3</v>
      </c>
      <c r="Z186" s="14">
        <f>'A) Base RI'!N186</f>
        <v>70134.7</v>
      </c>
      <c r="AA186" s="14">
        <f>'A) Base RI'!S186+'A) Base RI'!T186</f>
        <v>0</v>
      </c>
      <c r="AB186" s="14">
        <f>'A) Base RI'!U186</f>
        <v>22500</v>
      </c>
      <c r="AC186" s="14">
        <f>'A) Base RI'!V186</f>
        <v>0</v>
      </c>
      <c r="AD186" s="14">
        <f>'A) Base RI'!W186</f>
        <v>0</v>
      </c>
      <c r="AE186" s="14">
        <f>'A) Base RI'!Y186</f>
        <v>180654.1</v>
      </c>
      <c r="AF186" s="14">
        <f>'A) Base RI'!Z186</f>
        <v>0</v>
      </c>
      <c r="AG186" s="14">
        <f>'A) Base RI'!AA186</f>
        <v>215120</v>
      </c>
      <c r="AH186" s="14">
        <f>'A) Base RI'!AB186</f>
        <v>0</v>
      </c>
      <c r="AI186" s="14">
        <f>'A) Base RI'!AC186</f>
        <v>224184.9</v>
      </c>
      <c r="AJ186" s="14">
        <f>'A) Base RI'!AD186</f>
        <v>353520.6</v>
      </c>
      <c r="AK186" s="14">
        <f>'A) Base RI'!AE186</f>
        <v>0</v>
      </c>
      <c r="AL186" s="14">
        <f>'A) Base RI'!AF186</f>
        <v>0</v>
      </c>
      <c r="AM186" s="14">
        <f>'A) Base RI'!AG186</f>
        <v>25997.43</v>
      </c>
      <c r="AN186" s="14">
        <f>'A) Base RI'!AH186</f>
        <v>0</v>
      </c>
      <c r="AO186" s="14">
        <f>'A) Base RI'!AI186</f>
        <v>0</v>
      </c>
      <c r="AP186" s="14">
        <f>'A) Base RI'!AJ186</f>
        <v>0</v>
      </c>
      <c r="AQ186" s="14">
        <f>'A) Base RI'!AK186</f>
        <v>0</v>
      </c>
      <c r="AR186" s="14">
        <f>'A) Base RI'!AN186</f>
        <v>2506</v>
      </c>
    </row>
    <row r="187" spans="1:44" x14ac:dyDescent="0.25">
      <c r="A187" s="12">
        <f>'A) Base RI'!A187</f>
        <v>5703</v>
      </c>
      <c r="B187" s="42" t="str">
        <f>'A) Base RI'!B187</f>
        <v>Bassins</v>
      </c>
      <c r="C187" s="14">
        <f>'A) Base RI'!C187+'A) Base RI'!D187</f>
        <v>3296989.5199999996</v>
      </c>
      <c r="D187" s="14">
        <f>'A) Base RI'!AO187</f>
        <v>-39946.870000000003</v>
      </c>
      <c r="E187" s="41">
        <f>'A) Base RI'!AP187</f>
        <v>0</v>
      </c>
      <c r="F187" s="41">
        <f>'A) Base RI'!AQ187</f>
        <v>-221.89</v>
      </c>
      <c r="G187" s="4">
        <f t="shared" si="12"/>
        <v>3256820.7599999993</v>
      </c>
      <c r="H187" s="14">
        <f>'A) Base RI'!E187</f>
        <v>0</v>
      </c>
      <c r="I187" s="14">
        <f>'A) Base RI'!F187</f>
        <v>0</v>
      </c>
      <c r="J187" s="14">
        <f>'A) Base RI'!G187+'A) Base RI'!H187</f>
        <v>-41823</v>
      </c>
      <c r="K187" s="14">
        <f>'A) Base RI'!I187</f>
        <v>60727.25</v>
      </c>
      <c r="L187" s="14">
        <f>'A) Base RI'!J187</f>
        <v>95432.13</v>
      </c>
      <c r="M187" s="14">
        <f>'A) Base RI'!K187</f>
        <v>-329.5</v>
      </c>
      <c r="N187" s="14">
        <f>'A) Base RI'!Q187</f>
        <v>8097.6</v>
      </c>
      <c r="O187" s="14">
        <f t="shared" si="13"/>
        <v>285927.75</v>
      </c>
      <c r="P187" s="14">
        <f>'A) Base RI'!L187</f>
        <v>343113.3</v>
      </c>
      <c r="Q187" s="44">
        <f>'A) Base RI'!AR187</f>
        <v>1.2</v>
      </c>
      <c r="R187" s="4">
        <f t="shared" si="14"/>
        <v>3664852.9899999993</v>
      </c>
      <c r="S187" s="43">
        <f>'A) Base RI'!AM187</f>
        <v>71</v>
      </c>
      <c r="T187" s="4">
        <f t="shared" si="15"/>
        <v>3379254.7399999993</v>
      </c>
      <c r="U187" s="4">
        <f t="shared" si="16"/>
        <v>51617.647746478862</v>
      </c>
      <c r="V187" s="14">
        <f>'A) Base RI'!O187</f>
        <v>15344.4</v>
      </c>
      <c r="W187" s="14">
        <f>'A) Base RI'!P187</f>
        <v>80815.7</v>
      </c>
      <c r="X187" s="14">
        <f>'A) Base RI'!R187</f>
        <v>114194.6</v>
      </c>
      <c r="Y187" s="4">
        <f t="shared" si="17"/>
        <v>210354.7</v>
      </c>
      <c r="Z187" s="14">
        <f>'A) Base RI'!N187</f>
        <v>36530.300000000003</v>
      </c>
      <c r="AA187" s="14">
        <f>'A) Base RI'!S187+'A) Base RI'!T187</f>
        <v>-31.25</v>
      </c>
      <c r="AB187" s="14">
        <f>'A) Base RI'!U187</f>
        <v>9000</v>
      </c>
      <c r="AC187" s="14">
        <f>'A) Base RI'!V187</f>
        <v>0</v>
      </c>
      <c r="AD187" s="14">
        <f>'A) Base RI'!W187</f>
        <v>0</v>
      </c>
      <c r="AE187" s="14">
        <f>'A) Base RI'!Y187</f>
        <v>37856.699999999997</v>
      </c>
      <c r="AF187" s="14">
        <f>'A) Base RI'!Z187</f>
        <v>0</v>
      </c>
      <c r="AG187" s="14">
        <f>'A) Base RI'!AA187</f>
        <v>146826</v>
      </c>
      <c r="AH187" s="14">
        <f>'A) Base RI'!AB187</f>
        <v>0</v>
      </c>
      <c r="AI187" s="14">
        <f>'A) Base RI'!AC187</f>
        <v>92982.15</v>
      </c>
      <c r="AJ187" s="14">
        <f>'A) Base RI'!AD187</f>
        <v>48627.9</v>
      </c>
      <c r="AK187" s="14">
        <f>'A) Base RI'!AE187</f>
        <v>0</v>
      </c>
      <c r="AL187" s="14">
        <f>'A) Base RI'!AF187</f>
        <v>0</v>
      </c>
      <c r="AM187" s="14">
        <f>'A) Base RI'!AG187</f>
        <v>0</v>
      </c>
      <c r="AN187" s="14">
        <f>'A) Base RI'!AH187</f>
        <v>0</v>
      </c>
      <c r="AO187" s="14">
        <f>'A) Base RI'!AI187</f>
        <v>0</v>
      </c>
      <c r="AP187" s="14">
        <f>'A) Base RI'!AJ187</f>
        <v>0</v>
      </c>
      <c r="AQ187" s="14">
        <f>'A) Base RI'!AK187</f>
        <v>0</v>
      </c>
      <c r="AR187" s="14">
        <f>'A) Base RI'!AN187</f>
        <v>1320</v>
      </c>
    </row>
    <row r="188" spans="1:44" x14ac:dyDescent="0.25">
      <c r="A188" s="12">
        <f>'A) Base RI'!A188</f>
        <v>5704</v>
      </c>
      <c r="B188" s="42" t="str">
        <f>'A) Base RI'!B188</f>
        <v>Begnins</v>
      </c>
      <c r="C188" s="14">
        <f>'A) Base RI'!C188+'A) Base RI'!D188</f>
        <v>6609271.9199999999</v>
      </c>
      <c r="D188" s="14">
        <f>'A) Base RI'!AO188</f>
        <v>-73126.27</v>
      </c>
      <c r="E188" s="41">
        <f>'A) Base RI'!AP188</f>
        <v>0</v>
      </c>
      <c r="F188" s="41">
        <f>'A) Base RI'!AQ188</f>
        <v>-6738.77</v>
      </c>
      <c r="G188" s="4">
        <f t="shared" si="12"/>
        <v>6529406.8800000008</v>
      </c>
      <c r="H188" s="14">
        <f>'A) Base RI'!E188</f>
        <v>0</v>
      </c>
      <c r="I188" s="14">
        <f>'A) Base RI'!F188</f>
        <v>0</v>
      </c>
      <c r="J188" s="14">
        <f>'A) Base RI'!G188+'A) Base RI'!H188</f>
        <v>34985.949999999997</v>
      </c>
      <c r="K188" s="14">
        <f>'A) Base RI'!I188</f>
        <v>196108</v>
      </c>
      <c r="L188" s="14">
        <f>'A) Base RI'!J188</f>
        <v>63449.42</v>
      </c>
      <c r="M188" s="14">
        <f>'A) Base RI'!K188</f>
        <v>7583.5</v>
      </c>
      <c r="N188" s="14">
        <f>'A) Base RI'!Q188</f>
        <v>73697.19</v>
      </c>
      <c r="O188" s="14">
        <f t="shared" si="13"/>
        <v>410669.26666666666</v>
      </c>
      <c r="P188" s="14">
        <f>'A) Base RI'!L188</f>
        <v>616003.9</v>
      </c>
      <c r="Q188" s="44">
        <f>'A) Base RI'!AR188</f>
        <v>1.5</v>
      </c>
      <c r="R188" s="4">
        <f t="shared" si="14"/>
        <v>7315900.2066666679</v>
      </c>
      <c r="S188" s="43">
        <f>'A) Base RI'!AM188</f>
        <v>67</v>
      </c>
      <c r="T188" s="4">
        <f t="shared" si="15"/>
        <v>6897647.4400000013</v>
      </c>
      <c r="U188" s="4">
        <f t="shared" si="16"/>
        <v>109192.54039800997</v>
      </c>
      <c r="V188" s="14">
        <f>'A) Base RI'!O188</f>
        <v>3247936.2</v>
      </c>
      <c r="W188" s="14">
        <f>'A) Base RI'!P188</f>
        <v>429027.3</v>
      </c>
      <c r="X188" s="14">
        <f>'A) Base RI'!R188</f>
        <v>220887.55</v>
      </c>
      <c r="Y188" s="4">
        <f t="shared" si="17"/>
        <v>3897851.05</v>
      </c>
      <c r="Z188" s="14">
        <f>'A) Base RI'!N188</f>
        <v>56321.9</v>
      </c>
      <c r="AA188" s="14">
        <f>'A) Base RI'!S188+'A) Base RI'!T188</f>
        <v>93.75</v>
      </c>
      <c r="AB188" s="14">
        <f>'A) Base RI'!U188</f>
        <v>8400</v>
      </c>
      <c r="AC188" s="14">
        <f>'A) Base RI'!V188</f>
        <v>0</v>
      </c>
      <c r="AD188" s="14">
        <f>'A) Base RI'!W188</f>
        <v>0</v>
      </c>
      <c r="AE188" s="14">
        <f>'A) Base RI'!Y188</f>
        <v>57409</v>
      </c>
      <c r="AF188" s="14">
        <f>'A) Base RI'!Z188</f>
        <v>0</v>
      </c>
      <c r="AG188" s="14">
        <f>'A) Base RI'!AA188</f>
        <v>128706.01</v>
      </c>
      <c r="AH188" s="14">
        <f>'A) Base RI'!AB188</f>
        <v>0</v>
      </c>
      <c r="AI188" s="14">
        <f>'A) Base RI'!AC188</f>
        <v>96985.75</v>
      </c>
      <c r="AJ188" s="14">
        <f>'A) Base RI'!AD188</f>
        <v>98716.67</v>
      </c>
      <c r="AK188" s="14">
        <f>'A) Base RI'!AE188</f>
        <v>0</v>
      </c>
      <c r="AL188" s="14">
        <f>'A) Base RI'!AF188</f>
        <v>0</v>
      </c>
      <c r="AM188" s="14">
        <f>'A) Base RI'!AG188</f>
        <v>10450.4</v>
      </c>
      <c r="AN188" s="14">
        <f>'A) Base RI'!AH188</f>
        <v>48276.49</v>
      </c>
      <c r="AO188" s="14">
        <f>'A) Base RI'!AI188</f>
        <v>27585.41</v>
      </c>
      <c r="AP188" s="14">
        <f>'A) Base RI'!AJ188</f>
        <v>0</v>
      </c>
      <c r="AQ188" s="14">
        <f>'A) Base RI'!AK188</f>
        <v>0</v>
      </c>
      <c r="AR188" s="14">
        <f>'A) Base RI'!AN188</f>
        <v>1802</v>
      </c>
    </row>
    <row r="189" spans="1:44" x14ac:dyDescent="0.25">
      <c r="A189" s="12">
        <f>'A) Base RI'!A189</f>
        <v>5705</v>
      </c>
      <c r="B189" s="42" t="str">
        <f>'A) Base RI'!B189</f>
        <v>Bogis-Bossey</v>
      </c>
      <c r="C189" s="14">
        <f>'A) Base RI'!C189+'A) Base RI'!D189</f>
        <v>2844438.94</v>
      </c>
      <c r="D189" s="14">
        <f>'A) Base RI'!AO189</f>
        <v>-11164.11</v>
      </c>
      <c r="E189" s="41">
        <f>'A) Base RI'!AP189</f>
        <v>0</v>
      </c>
      <c r="F189" s="41">
        <f>'A) Base RI'!AQ189</f>
        <v>-863</v>
      </c>
      <c r="G189" s="4">
        <f t="shared" si="12"/>
        <v>2832411.83</v>
      </c>
      <c r="H189" s="14">
        <f>'A) Base RI'!E189</f>
        <v>0</v>
      </c>
      <c r="I189" s="14">
        <f>'A) Base RI'!F189</f>
        <v>0</v>
      </c>
      <c r="J189" s="14">
        <f>'A) Base RI'!G189+'A) Base RI'!H189</f>
        <v>19765.3</v>
      </c>
      <c r="K189" s="14">
        <f>'A) Base RI'!I189</f>
        <v>-3812.75</v>
      </c>
      <c r="L189" s="14">
        <f>'A) Base RI'!J189</f>
        <v>88390.28</v>
      </c>
      <c r="M189" s="14">
        <f>'A) Base RI'!K189</f>
        <v>8146.5</v>
      </c>
      <c r="N189" s="14">
        <f>'A) Base RI'!Q189</f>
        <v>19202.82</v>
      </c>
      <c r="O189" s="14">
        <f t="shared" si="13"/>
        <v>197102.9</v>
      </c>
      <c r="P189" s="14">
        <f>'A) Base RI'!L189</f>
        <v>197102.9</v>
      </c>
      <c r="Q189" s="44">
        <f>'A) Base RI'!AR189</f>
        <v>1</v>
      </c>
      <c r="R189" s="4">
        <f t="shared" si="14"/>
        <v>3161206.8799999994</v>
      </c>
      <c r="S189" s="43">
        <f>'A) Base RI'!AM189</f>
        <v>64</v>
      </c>
      <c r="T189" s="4">
        <f t="shared" si="15"/>
        <v>2955957.4799999995</v>
      </c>
      <c r="U189" s="4">
        <f t="shared" si="16"/>
        <v>49393.857499999991</v>
      </c>
      <c r="V189" s="14">
        <f>'A) Base RI'!O189</f>
        <v>0</v>
      </c>
      <c r="W189" s="14">
        <f>'A) Base RI'!P189</f>
        <v>199062.6</v>
      </c>
      <c r="X189" s="14">
        <f>'A) Base RI'!R189</f>
        <v>142088.1</v>
      </c>
      <c r="Y189" s="4">
        <f t="shared" si="17"/>
        <v>341150.7</v>
      </c>
      <c r="Z189" s="14">
        <f>'A) Base RI'!N189</f>
        <v>33949.199999999997</v>
      </c>
      <c r="AA189" s="14">
        <f>'A) Base RI'!S189+'A) Base RI'!T189</f>
        <v>0</v>
      </c>
      <c r="AB189" s="14">
        <f>'A) Base RI'!U189</f>
        <v>1950</v>
      </c>
      <c r="AC189" s="14">
        <f>'A) Base RI'!V189</f>
        <v>0</v>
      </c>
      <c r="AD189" s="14">
        <f>'A) Base RI'!W189</f>
        <v>0</v>
      </c>
      <c r="AE189" s="14">
        <f>'A) Base RI'!Y189</f>
        <v>1404</v>
      </c>
      <c r="AF189" s="14">
        <f>'A) Base RI'!Z189</f>
        <v>0</v>
      </c>
      <c r="AG189" s="14">
        <f>'A) Base RI'!AA189</f>
        <v>73582.350000000006</v>
      </c>
      <c r="AH189" s="14">
        <f>'A) Base RI'!AB189</f>
        <v>0</v>
      </c>
      <c r="AI189" s="14">
        <f>'A) Base RI'!AC189</f>
        <v>111922.65</v>
      </c>
      <c r="AJ189" s="14">
        <f>'A) Base RI'!AD189</f>
        <v>0</v>
      </c>
      <c r="AK189" s="14">
        <f>'A) Base RI'!AE189</f>
        <v>0</v>
      </c>
      <c r="AL189" s="14">
        <f>'A) Base RI'!AF189</f>
        <v>0</v>
      </c>
      <c r="AM189" s="14">
        <f>'A) Base RI'!AG189</f>
        <v>0</v>
      </c>
      <c r="AN189" s="14">
        <f>'A) Base RI'!AH189</f>
        <v>0</v>
      </c>
      <c r="AO189" s="14">
        <f>'A) Base RI'!AI189</f>
        <v>0</v>
      </c>
      <c r="AP189" s="14">
        <f>'A) Base RI'!AJ189</f>
        <v>0</v>
      </c>
      <c r="AQ189" s="14">
        <f>'A) Base RI'!AK189</f>
        <v>0</v>
      </c>
      <c r="AR189" s="14">
        <f>'A) Base RI'!AN189</f>
        <v>830</v>
      </c>
    </row>
    <row r="190" spans="1:44" x14ac:dyDescent="0.25">
      <c r="A190" s="12">
        <f>'A) Base RI'!A190</f>
        <v>5706</v>
      </c>
      <c r="B190" s="42" t="str">
        <f>'A) Base RI'!B190</f>
        <v>Borex</v>
      </c>
      <c r="C190" s="14">
        <f>'A) Base RI'!C190+'A) Base RI'!D190</f>
        <v>3089686.32</v>
      </c>
      <c r="D190" s="14">
        <f>'A) Base RI'!AO190</f>
        <v>-24625.75</v>
      </c>
      <c r="E190" s="41">
        <f>'A) Base RI'!AP190</f>
        <v>0</v>
      </c>
      <c r="F190" s="41">
        <f>'A) Base RI'!AQ190</f>
        <v>-2508.4699999999998</v>
      </c>
      <c r="G190" s="4">
        <f t="shared" si="12"/>
        <v>3062552.0999999996</v>
      </c>
      <c r="H190" s="14">
        <f>'A) Base RI'!E190</f>
        <v>0</v>
      </c>
      <c r="I190" s="14">
        <f>'A) Base RI'!F190</f>
        <v>0</v>
      </c>
      <c r="J190" s="14">
        <f>'A) Base RI'!G190+'A) Base RI'!H190</f>
        <v>35926.700000000004</v>
      </c>
      <c r="K190" s="14">
        <f>'A) Base RI'!I190</f>
        <v>16223.65</v>
      </c>
      <c r="L190" s="14">
        <f>'A) Base RI'!J190</f>
        <v>-3117.11</v>
      </c>
      <c r="M190" s="14">
        <f>'A) Base RI'!K190</f>
        <v>2127.5</v>
      </c>
      <c r="N190" s="14">
        <f>'A) Base RI'!Q190</f>
        <v>24617.27</v>
      </c>
      <c r="O190" s="14">
        <f t="shared" si="13"/>
        <v>220241.13333333333</v>
      </c>
      <c r="P190" s="14">
        <f>'A) Base RI'!L190</f>
        <v>330361.7</v>
      </c>
      <c r="Q190" s="44">
        <f>'A) Base RI'!AR190</f>
        <v>1.5</v>
      </c>
      <c r="R190" s="4">
        <f t="shared" si="14"/>
        <v>3358571.2433333332</v>
      </c>
      <c r="S190" s="43">
        <f>'A) Base RI'!AM190</f>
        <v>55</v>
      </c>
      <c r="T190" s="4">
        <f t="shared" si="15"/>
        <v>3136202.61</v>
      </c>
      <c r="U190" s="4">
        <f t="shared" si="16"/>
        <v>61064.931696969696</v>
      </c>
      <c r="V190" s="14">
        <f>'A) Base RI'!O190</f>
        <v>349250</v>
      </c>
      <c r="W190" s="14">
        <f>'A) Base RI'!P190</f>
        <v>277870.25</v>
      </c>
      <c r="X190" s="14">
        <f>'A) Base RI'!R190</f>
        <v>128255.65</v>
      </c>
      <c r="Y190" s="4">
        <f t="shared" si="17"/>
        <v>755375.9</v>
      </c>
      <c r="Z190" s="14">
        <f>'A) Base RI'!N190</f>
        <v>3897.65</v>
      </c>
      <c r="AA190" s="14">
        <f>'A) Base RI'!S190+'A) Base RI'!T190</f>
        <v>160</v>
      </c>
      <c r="AB190" s="14">
        <f>'A) Base RI'!U190</f>
        <v>3375</v>
      </c>
      <c r="AC190" s="14">
        <f>'A) Base RI'!V190</f>
        <v>0</v>
      </c>
      <c r="AD190" s="14">
        <f>'A) Base RI'!W190</f>
        <v>0</v>
      </c>
      <c r="AE190" s="14">
        <f>'A) Base RI'!Y190</f>
        <v>-22993.45</v>
      </c>
      <c r="AF190" s="14">
        <f>'A) Base RI'!Z190</f>
        <v>0</v>
      </c>
      <c r="AG190" s="14">
        <f>'A) Base RI'!AA190</f>
        <v>140428.70000000001</v>
      </c>
      <c r="AH190" s="14">
        <f>'A) Base RI'!AB190</f>
        <v>0</v>
      </c>
      <c r="AI190" s="14">
        <f>'A) Base RI'!AC190</f>
        <v>72015.199999999997</v>
      </c>
      <c r="AJ190" s="14">
        <f>'A) Base RI'!AD190</f>
        <v>0</v>
      </c>
      <c r="AK190" s="14">
        <f>'A) Base RI'!AE190</f>
        <v>0</v>
      </c>
      <c r="AL190" s="14">
        <f>'A) Base RI'!AF190</f>
        <v>0</v>
      </c>
      <c r="AM190" s="14">
        <f>'A) Base RI'!AG190</f>
        <v>44</v>
      </c>
      <c r="AN190" s="14">
        <f>'A) Base RI'!AH190</f>
        <v>27405.35</v>
      </c>
      <c r="AO190" s="14">
        <f>'A) Base RI'!AI190</f>
        <v>0</v>
      </c>
      <c r="AP190" s="14">
        <f>'A) Base RI'!AJ190</f>
        <v>0</v>
      </c>
      <c r="AQ190" s="14">
        <f>'A) Base RI'!AK190</f>
        <v>0</v>
      </c>
      <c r="AR190" s="14">
        <f>'A) Base RI'!AN190</f>
        <v>1049</v>
      </c>
    </row>
    <row r="191" spans="1:44" x14ac:dyDescent="0.25">
      <c r="A191" s="12">
        <f>'A) Base RI'!A191</f>
        <v>5707</v>
      </c>
      <c r="B191" s="42" t="str">
        <f>'A) Base RI'!B191</f>
        <v>Chavannes-de-Bogis</v>
      </c>
      <c r="C191" s="14">
        <f>'A) Base RI'!C191+'A) Base RI'!D191</f>
        <v>3808931.8499999996</v>
      </c>
      <c r="D191" s="14">
        <f>'A) Base RI'!AO191</f>
        <v>-11568.52</v>
      </c>
      <c r="E191" s="41">
        <f>'A) Base RI'!AP191</f>
        <v>0</v>
      </c>
      <c r="F191" s="41">
        <f>'A) Base RI'!AQ191</f>
        <v>-1738.45</v>
      </c>
      <c r="G191" s="4">
        <f t="shared" si="12"/>
        <v>3795624.8799999994</v>
      </c>
      <c r="H191" s="14">
        <f>'A) Base RI'!E191</f>
        <v>0</v>
      </c>
      <c r="I191" s="14">
        <f>'A) Base RI'!F191</f>
        <v>0</v>
      </c>
      <c r="J191" s="14">
        <f>'A) Base RI'!G191+'A) Base RI'!H191</f>
        <v>837210.3</v>
      </c>
      <c r="K191" s="14">
        <f>'A) Base RI'!I191</f>
        <v>55173.75</v>
      </c>
      <c r="L191" s="14">
        <f>'A) Base RI'!J191</f>
        <v>108560.48</v>
      </c>
      <c r="M191" s="14">
        <f>'A) Base RI'!K191</f>
        <v>68972.5</v>
      </c>
      <c r="N191" s="14">
        <f>'A) Base RI'!Q191</f>
        <v>0</v>
      </c>
      <c r="O191" s="14">
        <f t="shared" si="13"/>
        <v>450309.10000000003</v>
      </c>
      <c r="P191" s="14">
        <f>'A) Base RI'!L191</f>
        <v>675463.65</v>
      </c>
      <c r="Q191" s="44">
        <f>'A) Base RI'!AR191</f>
        <v>1.5</v>
      </c>
      <c r="R191" s="4">
        <f t="shared" si="14"/>
        <v>5315851.01</v>
      </c>
      <c r="S191" s="43">
        <f>'A) Base RI'!AM191</f>
        <v>59</v>
      </c>
      <c r="T191" s="4">
        <f t="shared" si="15"/>
        <v>4796569.41</v>
      </c>
      <c r="U191" s="4">
        <f t="shared" si="16"/>
        <v>90099.169661016946</v>
      </c>
      <c r="V191" s="14">
        <f>'A) Base RI'!O191</f>
        <v>0</v>
      </c>
      <c r="W191" s="14">
        <f>'A) Base RI'!P191</f>
        <v>71708.800000000003</v>
      </c>
      <c r="X191" s="14">
        <f>'A) Base RI'!R191</f>
        <v>37272.800000000003</v>
      </c>
      <c r="Y191" s="4">
        <f t="shared" si="17"/>
        <v>108981.6</v>
      </c>
      <c r="Z191" s="14">
        <f>'A) Base RI'!N191</f>
        <v>442946.25</v>
      </c>
      <c r="AA191" s="14">
        <f>'A) Base RI'!S191+'A) Base RI'!T191</f>
        <v>375.1</v>
      </c>
      <c r="AB191" s="14">
        <f>'A) Base RI'!U191</f>
        <v>3800</v>
      </c>
      <c r="AC191" s="14">
        <f>'A) Base RI'!V191</f>
        <v>0</v>
      </c>
      <c r="AD191" s="14">
        <f>'A) Base RI'!W191</f>
        <v>0</v>
      </c>
      <c r="AE191" s="14">
        <f>'A) Base RI'!Y191</f>
        <v>4640.1000000000004</v>
      </c>
      <c r="AF191" s="14">
        <f>'A) Base RI'!Z191</f>
        <v>0</v>
      </c>
      <c r="AG191" s="14">
        <f>'A) Base RI'!AA191</f>
        <v>285144.65000000002</v>
      </c>
      <c r="AH191" s="14">
        <f>'A) Base RI'!AB191</f>
        <v>0</v>
      </c>
      <c r="AI191" s="14">
        <f>'A) Base RI'!AC191</f>
        <v>125736.25</v>
      </c>
      <c r="AJ191" s="14">
        <f>'A) Base RI'!AD191</f>
        <v>0</v>
      </c>
      <c r="AK191" s="14">
        <f>'A) Base RI'!AE191</f>
        <v>0</v>
      </c>
      <c r="AL191" s="14">
        <f>'A) Base RI'!AF191</f>
        <v>0</v>
      </c>
      <c r="AM191" s="14">
        <f>'A) Base RI'!AG191</f>
        <v>170208</v>
      </c>
      <c r="AN191" s="14">
        <f>'A) Base RI'!AH191</f>
        <v>109673.5</v>
      </c>
      <c r="AO191" s="14">
        <f>'A) Base RI'!AI191</f>
        <v>0</v>
      </c>
      <c r="AP191" s="14">
        <f>'A) Base RI'!AJ191</f>
        <v>0</v>
      </c>
      <c r="AQ191" s="14">
        <f>'A) Base RI'!AK191</f>
        <v>0</v>
      </c>
      <c r="AR191" s="14">
        <f>'A) Base RI'!AN191</f>
        <v>1155</v>
      </c>
    </row>
    <row r="192" spans="1:44" x14ac:dyDescent="0.25">
      <c r="A192" s="12">
        <f>'A) Base RI'!A192</f>
        <v>5708</v>
      </c>
      <c r="B192" s="42" t="str">
        <f>'A) Base RI'!B192</f>
        <v>Chavannes-des-Bois</v>
      </c>
      <c r="C192" s="14">
        <f>'A) Base RI'!C192+'A) Base RI'!D192</f>
        <v>3511700.15</v>
      </c>
      <c r="D192" s="14">
        <f>'A) Base RI'!AO192</f>
        <v>-14634</v>
      </c>
      <c r="E192" s="41">
        <f>'A) Base RI'!AP192</f>
        <v>0</v>
      </c>
      <c r="F192" s="41">
        <f>'A) Base RI'!AQ192</f>
        <v>-855.21</v>
      </c>
      <c r="G192" s="4">
        <f t="shared" si="12"/>
        <v>3496210.94</v>
      </c>
      <c r="H192" s="14">
        <f>'A) Base RI'!E192</f>
        <v>0</v>
      </c>
      <c r="I192" s="14">
        <f>'A) Base RI'!F192</f>
        <v>0</v>
      </c>
      <c r="J192" s="14">
        <f>'A) Base RI'!G192+'A) Base RI'!H192</f>
        <v>38518.6</v>
      </c>
      <c r="K192" s="14">
        <f>'A) Base RI'!I192</f>
        <v>40073.800000000003</v>
      </c>
      <c r="L192" s="14">
        <f>'A) Base RI'!J192</f>
        <v>-65355.33</v>
      </c>
      <c r="M192" s="14">
        <f>'A) Base RI'!K192</f>
        <v>14512</v>
      </c>
      <c r="N192" s="14">
        <f>'A) Base RI'!Q192</f>
        <v>18270.900000000001</v>
      </c>
      <c r="O192" s="14">
        <f t="shared" si="13"/>
        <v>237110.6</v>
      </c>
      <c r="P192" s="14">
        <f>'A) Base RI'!L192</f>
        <v>355665.9</v>
      </c>
      <c r="Q192" s="44">
        <f>'A) Base RI'!AR192</f>
        <v>1.5</v>
      </c>
      <c r="R192" s="4">
        <f t="shared" si="14"/>
        <v>3779341.51</v>
      </c>
      <c r="S192" s="43">
        <f>'A) Base RI'!AM192</f>
        <v>61</v>
      </c>
      <c r="T192" s="4">
        <f t="shared" si="15"/>
        <v>3527718.9099999997</v>
      </c>
      <c r="U192" s="4">
        <f t="shared" si="16"/>
        <v>61956.418196721308</v>
      </c>
      <c r="V192" s="14">
        <f>'A) Base RI'!O192</f>
        <v>0</v>
      </c>
      <c r="W192" s="14">
        <f>'A) Base RI'!P192</f>
        <v>329934.45</v>
      </c>
      <c r="X192" s="14">
        <f>'A) Base RI'!R192</f>
        <v>104141</v>
      </c>
      <c r="Y192" s="4">
        <f t="shared" si="17"/>
        <v>434075.45</v>
      </c>
      <c r="Z192" s="14">
        <f>'A) Base RI'!N192</f>
        <v>1204.9000000000001</v>
      </c>
      <c r="AA192" s="14">
        <f>'A) Base RI'!S192+'A) Base RI'!T192</f>
        <v>0</v>
      </c>
      <c r="AB192" s="14">
        <f>'A) Base RI'!U192</f>
        <v>1860</v>
      </c>
      <c r="AC192" s="14">
        <f>'A) Base RI'!V192</f>
        <v>0</v>
      </c>
      <c r="AD192" s="14">
        <f>'A) Base RI'!W192</f>
        <v>0</v>
      </c>
      <c r="AE192" s="14">
        <f>'A) Base RI'!Y192</f>
        <v>45213.95</v>
      </c>
      <c r="AF192" s="14">
        <f>'A) Base RI'!Z192</f>
        <v>0</v>
      </c>
      <c r="AG192" s="14">
        <f>'A) Base RI'!AA192</f>
        <v>85184.9</v>
      </c>
      <c r="AH192" s="14">
        <f>'A) Base RI'!AB192</f>
        <v>0</v>
      </c>
      <c r="AI192" s="14">
        <f>'A) Base RI'!AC192</f>
        <v>64503.67</v>
      </c>
      <c r="AJ192" s="14">
        <f>'A) Base RI'!AD192</f>
        <v>0</v>
      </c>
      <c r="AK192" s="14">
        <f>'A) Base RI'!AE192</f>
        <v>0</v>
      </c>
      <c r="AL192" s="14">
        <f>'A) Base RI'!AF192</f>
        <v>0</v>
      </c>
      <c r="AM192" s="14">
        <f>'A) Base RI'!AG192</f>
        <v>0</v>
      </c>
      <c r="AN192" s="14">
        <f>'A) Base RI'!AH192</f>
        <v>0</v>
      </c>
      <c r="AO192" s="14">
        <f>'A) Base RI'!AI192</f>
        <v>0</v>
      </c>
      <c r="AP192" s="14">
        <f>'A) Base RI'!AJ192</f>
        <v>0</v>
      </c>
      <c r="AQ192" s="14">
        <f>'A) Base RI'!AK192</f>
        <v>0</v>
      </c>
      <c r="AR192" s="14">
        <f>'A) Base RI'!AN192</f>
        <v>807</v>
      </c>
    </row>
    <row r="193" spans="1:44" x14ac:dyDescent="0.25">
      <c r="A193" s="12">
        <f>'A) Base RI'!A193</f>
        <v>5709</v>
      </c>
      <c r="B193" s="42" t="str">
        <f>'A) Base RI'!B193</f>
        <v>Chéserex</v>
      </c>
      <c r="C193" s="14">
        <f>'A) Base RI'!C193+'A) Base RI'!D193</f>
        <v>5458913.5999999996</v>
      </c>
      <c r="D193" s="14">
        <f>'A) Base RI'!AO193</f>
        <v>-10729.57</v>
      </c>
      <c r="E193" s="41">
        <f>'A) Base RI'!AP193</f>
        <v>0</v>
      </c>
      <c r="F193" s="41">
        <f>'A) Base RI'!AQ193</f>
        <v>-1977.02</v>
      </c>
      <c r="G193" s="4">
        <f t="shared" si="12"/>
        <v>5446207.0099999998</v>
      </c>
      <c r="H193" s="14">
        <f>'A) Base RI'!E193</f>
        <v>0</v>
      </c>
      <c r="I193" s="14">
        <f>'A) Base RI'!F193</f>
        <v>0</v>
      </c>
      <c r="J193" s="14">
        <f>'A) Base RI'!G193+'A) Base RI'!H193</f>
        <v>1206984.8</v>
      </c>
      <c r="K193" s="14">
        <f>'A) Base RI'!I193</f>
        <v>25022.7</v>
      </c>
      <c r="L193" s="14">
        <f>'A) Base RI'!J193</f>
        <v>264500.98</v>
      </c>
      <c r="M193" s="14">
        <f>'A) Base RI'!K193</f>
        <v>1474.5</v>
      </c>
      <c r="N193" s="14">
        <f>'A) Base RI'!Q193</f>
        <v>1803.7</v>
      </c>
      <c r="O193" s="14">
        <f t="shared" si="13"/>
        <v>293457.55</v>
      </c>
      <c r="P193" s="14">
        <f>'A) Base RI'!L193</f>
        <v>293457.55</v>
      </c>
      <c r="Q193" s="44">
        <f>'A) Base RI'!AR193</f>
        <v>1</v>
      </c>
      <c r="R193" s="4">
        <f t="shared" si="14"/>
        <v>7239451.2400000002</v>
      </c>
      <c r="S193" s="43">
        <f>'A) Base RI'!AM193</f>
        <v>52</v>
      </c>
      <c r="T193" s="4">
        <f t="shared" si="15"/>
        <v>6944519.1900000004</v>
      </c>
      <c r="U193" s="4">
        <f t="shared" si="16"/>
        <v>139220.21615384615</v>
      </c>
      <c r="V193" s="14">
        <f>'A) Base RI'!O193</f>
        <v>0</v>
      </c>
      <c r="W193" s="14">
        <f>'A) Base RI'!P193</f>
        <v>59086.5</v>
      </c>
      <c r="X193" s="14">
        <f>'A) Base RI'!R193</f>
        <v>72545.3</v>
      </c>
      <c r="Y193" s="4">
        <f t="shared" si="17"/>
        <v>131631.79999999999</v>
      </c>
      <c r="Z193" s="14">
        <f>'A) Base RI'!N193</f>
        <v>21812.15</v>
      </c>
      <c r="AA193" s="14">
        <f>'A) Base RI'!S193+'A) Base RI'!T193</f>
        <v>1609.55</v>
      </c>
      <c r="AB193" s="14">
        <f>'A) Base RI'!U193</f>
        <v>9000</v>
      </c>
      <c r="AC193" s="14">
        <f>'A) Base RI'!V193</f>
        <v>0</v>
      </c>
      <c r="AD193" s="14">
        <f>'A) Base RI'!W193</f>
        <v>0</v>
      </c>
      <c r="AE193" s="14">
        <f>'A) Base RI'!Y193</f>
        <v>70791</v>
      </c>
      <c r="AF193" s="14">
        <f>'A) Base RI'!Z193</f>
        <v>46191.95</v>
      </c>
      <c r="AG193" s="14">
        <f>'A) Base RI'!AA193</f>
        <v>38242.5</v>
      </c>
      <c r="AH193" s="14">
        <f>'A) Base RI'!AB193</f>
        <v>0</v>
      </c>
      <c r="AI193" s="14">
        <f>'A) Base RI'!AC193</f>
        <v>77743.05</v>
      </c>
      <c r="AJ193" s="14">
        <f>'A) Base RI'!AD193</f>
        <v>0</v>
      </c>
      <c r="AK193" s="14">
        <f>'A) Base RI'!AE193</f>
        <v>0</v>
      </c>
      <c r="AL193" s="14">
        <f>'A) Base RI'!AF193</f>
        <v>0</v>
      </c>
      <c r="AM193" s="14">
        <f>'A) Base RI'!AG193</f>
        <v>8557.5499999999993</v>
      </c>
      <c r="AN193" s="14">
        <f>'A) Base RI'!AH193</f>
        <v>0</v>
      </c>
      <c r="AO193" s="14">
        <f>'A) Base RI'!AI193</f>
        <v>0</v>
      </c>
      <c r="AP193" s="14">
        <f>'A) Base RI'!AJ193</f>
        <v>0</v>
      </c>
      <c r="AQ193" s="14">
        <f>'A) Base RI'!AK193</f>
        <v>0</v>
      </c>
      <c r="AR193" s="14">
        <f>'A) Base RI'!AN193</f>
        <v>1174</v>
      </c>
    </row>
    <row r="194" spans="1:44" x14ac:dyDescent="0.25">
      <c r="A194" s="12">
        <f>'A) Base RI'!A194</f>
        <v>5710</v>
      </c>
      <c r="B194" s="42" t="str">
        <f>'A) Base RI'!B194</f>
        <v>Coinsins</v>
      </c>
      <c r="C194" s="14">
        <f>'A) Base RI'!C194+'A) Base RI'!D194</f>
        <v>979123.30999999994</v>
      </c>
      <c r="D194" s="14">
        <f>'A) Base RI'!AO194</f>
        <v>-3221.37</v>
      </c>
      <c r="E194" s="41">
        <f>'A) Base RI'!AP194</f>
        <v>0</v>
      </c>
      <c r="F194" s="41">
        <f>'A) Base RI'!AQ194</f>
        <v>-2736.99</v>
      </c>
      <c r="G194" s="4">
        <f t="shared" si="12"/>
        <v>973164.95</v>
      </c>
      <c r="H194" s="14">
        <f>'A) Base RI'!E194</f>
        <v>0</v>
      </c>
      <c r="I194" s="14">
        <f>'A) Base RI'!F194</f>
        <v>0</v>
      </c>
      <c r="J194" s="14">
        <f>'A) Base RI'!G194+'A) Base RI'!H194</f>
        <v>3299942.55</v>
      </c>
      <c r="K194" s="14">
        <f>'A) Base RI'!I194</f>
        <v>89201.4</v>
      </c>
      <c r="L194" s="14">
        <f>'A) Base RI'!J194</f>
        <v>140793.70000000001</v>
      </c>
      <c r="M194" s="14">
        <f>'A) Base RI'!K194</f>
        <v>4997.7</v>
      </c>
      <c r="N194" s="14">
        <f>'A) Base RI'!Q194</f>
        <v>1483.31</v>
      </c>
      <c r="O194" s="14">
        <f t="shared" si="13"/>
        <v>112703.3</v>
      </c>
      <c r="P194" s="14">
        <f>'A) Base RI'!L194</f>
        <v>112703.3</v>
      </c>
      <c r="Q194" s="44">
        <f>'A) Base RI'!AR194</f>
        <v>1</v>
      </c>
      <c r="R194" s="4">
        <f t="shared" si="14"/>
        <v>4622286.91</v>
      </c>
      <c r="S194" s="43">
        <f>'A) Base RI'!AM194</f>
        <v>41</v>
      </c>
      <c r="T194" s="4">
        <f t="shared" si="15"/>
        <v>4504585.91</v>
      </c>
      <c r="U194" s="4">
        <f t="shared" si="16"/>
        <v>112738.70512195122</v>
      </c>
      <c r="V194" s="14">
        <f>'A) Base RI'!O194</f>
        <v>17771.5</v>
      </c>
      <c r="W194" s="14">
        <f>'A) Base RI'!P194</f>
        <v>27225</v>
      </c>
      <c r="X194" s="14">
        <f>'A) Base RI'!R194</f>
        <v>198955.85</v>
      </c>
      <c r="Y194" s="4">
        <f t="shared" si="17"/>
        <v>243952.35</v>
      </c>
      <c r="Z194" s="14">
        <f>'A) Base RI'!N194</f>
        <v>36713.75</v>
      </c>
      <c r="AA194" s="14">
        <f>'A) Base RI'!S194+'A) Base RI'!T194</f>
        <v>31.25</v>
      </c>
      <c r="AB194" s="14">
        <f>'A) Base RI'!U194</f>
        <v>0</v>
      </c>
      <c r="AC194" s="14">
        <f>'A) Base RI'!V194</f>
        <v>0</v>
      </c>
      <c r="AD194" s="14">
        <f>'A) Base RI'!W194</f>
        <v>0</v>
      </c>
      <c r="AE194" s="14">
        <f>'A) Base RI'!Y194</f>
        <v>0</v>
      </c>
      <c r="AF194" s="14">
        <f>'A) Base RI'!Z194</f>
        <v>0</v>
      </c>
      <c r="AG194" s="14">
        <f>'A) Base RI'!AA194</f>
        <v>67347.649999999994</v>
      </c>
      <c r="AH194" s="14">
        <f>'A) Base RI'!AB194</f>
        <v>0</v>
      </c>
      <c r="AI194" s="14">
        <f>'A) Base RI'!AC194</f>
        <v>13775.6</v>
      </c>
      <c r="AJ194" s="14">
        <f>'A) Base RI'!AD194</f>
        <v>0</v>
      </c>
      <c r="AK194" s="14">
        <f>'A) Base RI'!AE194</f>
        <v>0</v>
      </c>
      <c r="AL194" s="14">
        <f>'A) Base RI'!AF194</f>
        <v>0</v>
      </c>
      <c r="AM194" s="14">
        <f>'A) Base RI'!AG194</f>
        <v>8344</v>
      </c>
      <c r="AN194" s="14">
        <f>'A) Base RI'!AH194</f>
        <v>24916.9</v>
      </c>
      <c r="AO194" s="14">
        <f>'A) Base RI'!AI194</f>
        <v>0</v>
      </c>
      <c r="AP194" s="14">
        <f>'A) Base RI'!AJ194</f>
        <v>0</v>
      </c>
      <c r="AQ194" s="14">
        <f>'A) Base RI'!AK194</f>
        <v>0</v>
      </c>
      <c r="AR194" s="14">
        <f>'A) Base RI'!AN194</f>
        <v>435</v>
      </c>
    </row>
    <row r="195" spans="1:44" x14ac:dyDescent="0.25">
      <c r="A195" s="12">
        <f>'A) Base RI'!A195</f>
        <v>5711</v>
      </c>
      <c r="B195" s="42" t="str">
        <f>'A) Base RI'!B195</f>
        <v>Commugny</v>
      </c>
      <c r="C195" s="14">
        <f>'A) Base RI'!C195+'A) Base RI'!D195</f>
        <v>12591784.960000001</v>
      </c>
      <c r="D195" s="14">
        <f>'A) Base RI'!AO195</f>
        <v>-131478.1</v>
      </c>
      <c r="E195" s="41">
        <f>'A) Base RI'!AP195</f>
        <v>0</v>
      </c>
      <c r="F195" s="41">
        <f>'A) Base RI'!AQ195</f>
        <v>-12844.85</v>
      </c>
      <c r="G195" s="4">
        <f t="shared" si="12"/>
        <v>12447462.010000002</v>
      </c>
      <c r="H195" s="14">
        <f>'A) Base RI'!E195</f>
        <v>0</v>
      </c>
      <c r="I195" s="14">
        <f>'A) Base RI'!F195</f>
        <v>0</v>
      </c>
      <c r="J195" s="14">
        <f>'A) Base RI'!G195+'A) Base RI'!H195</f>
        <v>177053.8</v>
      </c>
      <c r="K195" s="14">
        <f>'A) Base RI'!I195</f>
        <v>147080.75</v>
      </c>
      <c r="L195" s="14">
        <f>'A) Base RI'!J195</f>
        <v>166409.51</v>
      </c>
      <c r="M195" s="14">
        <f>'A) Base RI'!K195</f>
        <v>12264.5</v>
      </c>
      <c r="N195" s="14">
        <f>'A) Base RI'!Q195</f>
        <v>12063.29</v>
      </c>
      <c r="O195" s="14">
        <f t="shared" si="13"/>
        <v>778634.38461538451</v>
      </c>
      <c r="P195" s="14">
        <f>'A) Base RI'!L195</f>
        <v>1012224.7</v>
      </c>
      <c r="Q195" s="44">
        <f>'A) Base RI'!AR195</f>
        <v>1.3</v>
      </c>
      <c r="R195" s="4">
        <f t="shared" si="14"/>
        <v>13740968.244615385</v>
      </c>
      <c r="S195" s="43">
        <f>'A) Base RI'!AM195</f>
        <v>58</v>
      </c>
      <c r="T195" s="4">
        <f t="shared" si="15"/>
        <v>12950069.360000001</v>
      </c>
      <c r="U195" s="4">
        <f t="shared" si="16"/>
        <v>236913.245596817</v>
      </c>
      <c r="V195" s="14">
        <f>'A) Base RI'!O195</f>
        <v>0</v>
      </c>
      <c r="W195" s="14">
        <f>'A) Base RI'!P195</f>
        <v>486221.8</v>
      </c>
      <c r="X195" s="14">
        <f>'A) Base RI'!R195</f>
        <v>462280.7</v>
      </c>
      <c r="Y195" s="4">
        <f t="shared" si="17"/>
        <v>948502.5</v>
      </c>
      <c r="Z195" s="14">
        <f>'A) Base RI'!N195</f>
        <v>28572</v>
      </c>
      <c r="AA195" s="14">
        <f>'A) Base RI'!S195+'A) Base RI'!T195</f>
        <v>31.25</v>
      </c>
      <c r="AB195" s="14">
        <f>'A) Base RI'!U195</f>
        <v>15850</v>
      </c>
      <c r="AC195" s="14">
        <f>'A) Base RI'!V195</f>
        <v>0</v>
      </c>
      <c r="AD195" s="14">
        <f>'A) Base RI'!W195</f>
        <v>0</v>
      </c>
      <c r="AE195" s="14">
        <f>'A) Base RI'!Y195</f>
        <v>15616.1</v>
      </c>
      <c r="AF195" s="14">
        <f>'A) Base RI'!Z195</f>
        <v>0</v>
      </c>
      <c r="AG195" s="14">
        <f>'A) Base RI'!AA195</f>
        <v>199253.25</v>
      </c>
      <c r="AH195" s="14">
        <f>'A) Base RI'!AB195</f>
        <v>0</v>
      </c>
      <c r="AI195" s="14">
        <f>'A) Base RI'!AC195</f>
        <v>189650.45</v>
      </c>
      <c r="AJ195" s="14">
        <f>'A) Base RI'!AD195</f>
        <v>57167.45</v>
      </c>
      <c r="AK195" s="14">
        <f>'A) Base RI'!AE195</f>
        <v>0</v>
      </c>
      <c r="AL195" s="14">
        <f>'A) Base RI'!AF195</f>
        <v>0</v>
      </c>
      <c r="AM195" s="14">
        <f>'A) Base RI'!AG195</f>
        <v>14910</v>
      </c>
      <c r="AN195" s="14">
        <f>'A) Base RI'!AH195</f>
        <v>0</v>
      </c>
      <c r="AO195" s="14">
        <f>'A) Base RI'!AI195</f>
        <v>0</v>
      </c>
      <c r="AP195" s="14">
        <f>'A) Base RI'!AJ195</f>
        <v>0</v>
      </c>
      <c r="AQ195" s="14">
        <f>'A) Base RI'!AK195</f>
        <v>0</v>
      </c>
      <c r="AR195" s="14">
        <f>'A) Base RI'!AN195</f>
        <v>2591</v>
      </c>
    </row>
    <row r="196" spans="1:44" x14ac:dyDescent="0.25">
      <c r="A196" s="12">
        <f>'A) Base RI'!A196</f>
        <v>5712</v>
      </c>
      <c r="B196" s="42" t="str">
        <f>'A) Base RI'!B196</f>
        <v>Coppet</v>
      </c>
      <c r="C196" s="14">
        <f>'A) Base RI'!C196+'A) Base RI'!D196</f>
        <v>14071205.129999999</v>
      </c>
      <c r="D196" s="14">
        <f>'A) Base RI'!AO196</f>
        <v>-29174.99</v>
      </c>
      <c r="E196" s="41">
        <f>'A) Base RI'!AP196</f>
        <v>0</v>
      </c>
      <c r="F196" s="41">
        <f>'A) Base RI'!AQ196</f>
        <v>-19336.62</v>
      </c>
      <c r="G196" s="4">
        <f t="shared" si="12"/>
        <v>14022693.52</v>
      </c>
      <c r="H196" s="14">
        <f>'A) Base RI'!E196</f>
        <v>0</v>
      </c>
      <c r="I196" s="14">
        <f>'A) Base RI'!F196</f>
        <v>0</v>
      </c>
      <c r="J196" s="14">
        <f>'A) Base RI'!G196+'A) Base RI'!H196</f>
        <v>169102.30000000002</v>
      </c>
      <c r="K196" s="14">
        <f>'A) Base RI'!I196</f>
        <v>890090.11</v>
      </c>
      <c r="L196" s="14">
        <f>'A) Base RI'!J196</f>
        <v>269378.34000000003</v>
      </c>
      <c r="M196" s="14">
        <f>'A) Base RI'!K196</f>
        <v>30330.5</v>
      </c>
      <c r="N196" s="14">
        <f>'A) Base RI'!Q196</f>
        <v>5698.97</v>
      </c>
      <c r="O196" s="14">
        <f t="shared" si="13"/>
        <v>1023751.9666666667</v>
      </c>
      <c r="P196" s="14">
        <f>'A) Base RI'!L196</f>
        <v>1535627.95</v>
      </c>
      <c r="Q196" s="44">
        <f>'A) Base RI'!AR196</f>
        <v>1.5</v>
      </c>
      <c r="R196" s="4">
        <f t="shared" si="14"/>
        <v>16411045.706666667</v>
      </c>
      <c r="S196" s="43">
        <f>'A) Base RI'!AM196</f>
        <v>53</v>
      </c>
      <c r="T196" s="4">
        <f t="shared" si="15"/>
        <v>15356963.24</v>
      </c>
      <c r="U196" s="4">
        <f t="shared" si="16"/>
        <v>309642.37182389939</v>
      </c>
      <c r="V196" s="14">
        <f>'A) Base RI'!O196</f>
        <v>61496.9</v>
      </c>
      <c r="W196" s="14">
        <f>'A) Base RI'!P196</f>
        <v>421556.7</v>
      </c>
      <c r="X196" s="14">
        <f>'A) Base RI'!R196</f>
        <v>1839110</v>
      </c>
      <c r="Y196" s="4">
        <f t="shared" si="17"/>
        <v>2322163.6</v>
      </c>
      <c r="Z196" s="14">
        <f>'A) Base RI'!N196</f>
        <v>128277.75</v>
      </c>
      <c r="AA196" s="14">
        <f>'A) Base RI'!S196+'A) Base RI'!T196</f>
        <v>81.25</v>
      </c>
      <c r="AB196" s="14">
        <f>'A) Base RI'!U196</f>
        <v>7200</v>
      </c>
      <c r="AC196" s="14">
        <f>'A) Base RI'!V196</f>
        <v>0</v>
      </c>
      <c r="AD196" s="14">
        <f>'A) Base RI'!W196</f>
        <v>0</v>
      </c>
      <c r="AE196" s="14">
        <f>'A) Base RI'!Y196</f>
        <v>144001.22</v>
      </c>
      <c r="AF196" s="14">
        <f>'A) Base RI'!Z196</f>
        <v>0</v>
      </c>
      <c r="AG196" s="14">
        <f>'A) Base RI'!AA196</f>
        <v>218374</v>
      </c>
      <c r="AH196" s="14">
        <f>'A) Base RI'!AB196</f>
        <v>0</v>
      </c>
      <c r="AI196" s="14">
        <f>'A) Base RI'!AC196</f>
        <v>530994.04</v>
      </c>
      <c r="AJ196" s="14">
        <f>'A) Base RI'!AD196</f>
        <v>0</v>
      </c>
      <c r="AK196" s="14">
        <f>'A) Base RI'!AE196</f>
        <v>0</v>
      </c>
      <c r="AL196" s="14">
        <f>'A) Base RI'!AF196</f>
        <v>0</v>
      </c>
      <c r="AM196" s="14">
        <f>'A) Base RI'!AG196</f>
        <v>0</v>
      </c>
      <c r="AN196" s="14">
        <f>'A) Base RI'!AH196</f>
        <v>0</v>
      </c>
      <c r="AO196" s="14">
        <f>'A) Base RI'!AI196</f>
        <v>0</v>
      </c>
      <c r="AP196" s="14">
        <f>'A) Base RI'!AJ196</f>
        <v>0</v>
      </c>
      <c r="AQ196" s="14">
        <f>'A) Base RI'!AK196</f>
        <v>0</v>
      </c>
      <c r="AR196" s="14">
        <f>'A) Base RI'!AN196</f>
        <v>2936</v>
      </c>
    </row>
    <row r="197" spans="1:44" x14ac:dyDescent="0.25">
      <c r="A197" s="12">
        <f>'A) Base RI'!A197</f>
        <v>5713</v>
      </c>
      <c r="B197" s="42" t="str">
        <f>'A) Base RI'!B197</f>
        <v>Crans-près-Céligny</v>
      </c>
      <c r="C197" s="14">
        <f>'A) Base RI'!C197+'A) Base RI'!D197</f>
        <v>12599977.57</v>
      </c>
      <c r="D197" s="14">
        <f>'A) Base RI'!AO197</f>
        <v>-18506.38</v>
      </c>
      <c r="E197" s="41">
        <f>'A) Base RI'!AP197</f>
        <v>0</v>
      </c>
      <c r="F197" s="41">
        <f>'A) Base RI'!AQ197</f>
        <v>-33641.68</v>
      </c>
      <c r="G197" s="4">
        <f t="shared" si="12"/>
        <v>12547829.51</v>
      </c>
      <c r="H197" s="14">
        <f>'A) Base RI'!E197</f>
        <v>0</v>
      </c>
      <c r="I197" s="14">
        <f>'A) Base RI'!F197</f>
        <v>0</v>
      </c>
      <c r="J197" s="14">
        <f>'A) Base RI'!G197+'A) Base RI'!H197</f>
        <v>83296.350000000006</v>
      </c>
      <c r="K197" s="14">
        <f>'A) Base RI'!I197</f>
        <v>285356.87</v>
      </c>
      <c r="L197" s="14">
        <f>'A) Base RI'!J197</f>
        <v>111526.67</v>
      </c>
      <c r="M197" s="14">
        <f>'A) Base RI'!K197</f>
        <v>7287.5</v>
      </c>
      <c r="N197" s="14">
        <f>'A) Base RI'!Q197</f>
        <v>15264.49</v>
      </c>
      <c r="O197" s="14">
        <f t="shared" si="13"/>
        <v>694014.55</v>
      </c>
      <c r="P197" s="14">
        <f>'A) Base RI'!L197</f>
        <v>694014.55</v>
      </c>
      <c r="Q197" s="44">
        <f>'A) Base RI'!AR197</f>
        <v>1</v>
      </c>
      <c r="R197" s="4">
        <f t="shared" si="14"/>
        <v>13744575.939999999</v>
      </c>
      <c r="S197" s="43">
        <f>'A) Base RI'!AM197</f>
        <v>53</v>
      </c>
      <c r="T197" s="4">
        <f t="shared" si="15"/>
        <v>13043273.889999999</v>
      </c>
      <c r="U197" s="4">
        <f t="shared" si="16"/>
        <v>259331.62150943396</v>
      </c>
      <c r="V197" s="14">
        <f>'A) Base RI'!O197</f>
        <v>193288.3</v>
      </c>
      <c r="W197" s="14">
        <f>'A) Base RI'!P197</f>
        <v>577861.94999999995</v>
      </c>
      <c r="X197" s="14">
        <f>'A) Base RI'!R197</f>
        <v>507739.55</v>
      </c>
      <c r="Y197" s="4">
        <f t="shared" si="17"/>
        <v>1278889.8</v>
      </c>
      <c r="Z197" s="14">
        <f>'A) Base RI'!N197</f>
        <v>26999.9</v>
      </c>
      <c r="AA197" s="14">
        <f>'A) Base RI'!S197+'A) Base RI'!T197</f>
        <v>34.5</v>
      </c>
      <c r="AB197" s="14">
        <f>'A) Base RI'!U197</f>
        <v>11500</v>
      </c>
      <c r="AC197" s="14">
        <f>'A) Base RI'!V197</f>
        <v>0</v>
      </c>
      <c r="AD197" s="14">
        <f>'A) Base RI'!W197</f>
        <v>0</v>
      </c>
      <c r="AE197" s="14">
        <f>'A) Base RI'!Y197</f>
        <v>93520</v>
      </c>
      <c r="AF197" s="14">
        <f>'A) Base RI'!Z197</f>
        <v>0</v>
      </c>
      <c r="AG197" s="14">
        <f>'A) Base RI'!AA197</f>
        <v>371408.62</v>
      </c>
      <c r="AH197" s="14">
        <f>'A) Base RI'!AB197</f>
        <v>0</v>
      </c>
      <c r="AI197" s="14">
        <f>'A) Base RI'!AC197</f>
        <v>209915.66</v>
      </c>
      <c r="AJ197" s="14">
        <f>'A) Base RI'!AD197</f>
        <v>0</v>
      </c>
      <c r="AK197" s="14">
        <f>'A) Base RI'!AE197</f>
        <v>0</v>
      </c>
      <c r="AL197" s="14">
        <f>'A) Base RI'!AF197</f>
        <v>0</v>
      </c>
      <c r="AM197" s="14">
        <f>'A) Base RI'!AG197</f>
        <v>0</v>
      </c>
      <c r="AN197" s="14">
        <f>'A) Base RI'!AH197</f>
        <v>77354.95</v>
      </c>
      <c r="AO197" s="14">
        <f>'A) Base RI'!AI197</f>
        <v>0</v>
      </c>
      <c r="AP197" s="14">
        <f>'A) Base RI'!AJ197</f>
        <v>0</v>
      </c>
      <c r="AQ197" s="14">
        <f>'A) Base RI'!AK197</f>
        <v>0</v>
      </c>
      <c r="AR197" s="14">
        <f>'A) Base RI'!AN197</f>
        <v>2044</v>
      </c>
    </row>
    <row r="198" spans="1:44" x14ac:dyDescent="0.25">
      <c r="A198" s="12">
        <f>'A) Base RI'!A198</f>
        <v>5714</v>
      </c>
      <c r="B198" s="42" t="str">
        <f>'A) Base RI'!B198</f>
        <v>Crassier</v>
      </c>
      <c r="C198" s="14">
        <f>'A) Base RI'!C198+'A) Base RI'!D198</f>
        <v>4154534.3</v>
      </c>
      <c r="D198" s="14">
        <f>'A) Base RI'!AO198</f>
        <v>-27301.22</v>
      </c>
      <c r="E198" s="41">
        <f>'A) Base RI'!AP198</f>
        <v>0</v>
      </c>
      <c r="F198" s="41">
        <f>'A) Base RI'!AQ198</f>
        <v>-2246.0300000000002</v>
      </c>
      <c r="G198" s="4">
        <f t="shared" si="12"/>
        <v>4124987.05</v>
      </c>
      <c r="H198" s="14">
        <f>'A) Base RI'!E198</f>
        <v>0</v>
      </c>
      <c r="I198" s="14">
        <f>'A) Base RI'!F198</f>
        <v>0</v>
      </c>
      <c r="J198" s="14">
        <f>'A) Base RI'!G198+'A) Base RI'!H198</f>
        <v>252845</v>
      </c>
      <c r="K198" s="14">
        <f>'A) Base RI'!I198</f>
        <v>105376.32000000001</v>
      </c>
      <c r="L198" s="14">
        <f>'A) Base RI'!J198</f>
        <v>58849.68</v>
      </c>
      <c r="M198" s="14">
        <f>'A) Base RI'!K198</f>
        <v>3910.5</v>
      </c>
      <c r="N198" s="14">
        <f>'A) Base RI'!Q198</f>
        <v>0</v>
      </c>
      <c r="O198" s="14">
        <f t="shared" si="13"/>
        <v>253427.35</v>
      </c>
      <c r="P198" s="14">
        <f>'A) Base RI'!L198</f>
        <v>253427.35</v>
      </c>
      <c r="Q198" s="44">
        <f>'A) Base RI'!AR198</f>
        <v>1</v>
      </c>
      <c r="R198" s="4">
        <f t="shared" si="14"/>
        <v>4799395.8999999994</v>
      </c>
      <c r="S198" s="43">
        <f>'A) Base RI'!AM198</f>
        <v>64</v>
      </c>
      <c r="T198" s="4">
        <f t="shared" si="15"/>
        <v>4542058.05</v>
      </c>
      <c r="U198" s="4">
        <f t="shared" si="16"/>
        <v>74990.560937499991</v>
      </c>
      <c r="V198" s="14">
        <f>'A) Base RI'!O198</f>
        <v>0</v>
      </c>
      <c r="W198" s="14">
        <f>'A) Base RI'!P198</f>
        <v>221501.4</v>
      </c>
      <c r="X198" s="14">
        <f>'A) Base RI'!R198</f>
        <v>67539.100000000006</v>
      </c>
      <c r="Y198" s="4">
        <f t="shared" si="17"/>
        <v>289040.5</v>
      </c>
      <c r="Z198" s="14">
        <f>'A) Base RI'!N198</f>
        <v>96901.1</v>
      </c>
      <c r="AA198" s="14">
        <f>'A) Base RI'!S198+'A) Base RI'!T198</f>
        <v>362.5</v>
      </c>
      <c r="AB198" s="14">
        <f>'A) Base RI'!U198</f>
        <v>4200</v>
      </c>
      <c r="AC198" s="14">
        <f>'A) Base RI'!V198</f>
        <v>0</v>
      </c>
      <c r="AD198" s="14">
        <f>'A) Base RI'!W198</f>
        <v>0</v>
      </c>
      <c r="AE198" s="14">
        <f>'A) Base RI'!Y198</f>
        <v>1717</v>
      </c>
      <c r="AF198" s="14">
        <f>'A) Base RI'!Z198</f>
        <v>0</v>
      </c>
      <c r="AG198" s="14">
        <f>'A) Base RI'!AA198</f>
        <v>81973.100000000006</v>
      </c>
      <c r="AH198" s="14">
        <f>'A) Base RI'!AB198</f>
        <v>0</v>
      </c>
      <c r="AI198" s="14">
        <f>'A) Base RI'!AC198</f>
        <v>95764.15</v>
      </c>
      <c r="AJ198" s="14">
        <f>'A) Base RI'!AD198</f>
        <v>547.5</v>
      </c>
      <c r="AK198" s="14">
        <f>'A) Base RI'!AE198</f>
        <v>0</v>
      </c>
      <c r="AL198" s="14">
        <f>'A) Base RI'!AF198</f>
        <v>0</v>
      </c>
      <c r="AM198" s="14">
        <f>'A) Base RI'!AG198</f>
        <v>2840</v>
      </c>
      <c r="AN198" s="14">
        <f>'A) Base RI'!AH198</f>
        <v>29647.4</v>
      </c>
      <c r="AO198" s="14">
        <f>'A) Base RI'!AI198</f>
        <v>0</v>
      </c>
      <c r="AP198" s="14">
        <f>'A) Base RI'!AJ198</f>
        <v>0</v>
      </c>
      <c r="AQ198" s="14">
        <f>'A) Base RI'!AK198</f>
        <v>0</v>
      </c>
      <c r="AR198" s="14">
        <f>'A) Base RI'!AN198</f>
        <v>1141</v>
      </c>
    </row>
    <row r="199" spans="1:44" x14ac:dyDescent="0.25">
      <c r="A199" s="12">
        <f>'A) Base RI'!A199</f>
        <v>5715</v>
      </c>
      <c r="B199" s="42" t="str">
        <f>'A) Base RI'!B199</f>
        <v>Duillier</v>
      </c>
      <c r="C199" s="14">
        <f>'A) Base RI'!C199+'A) Base RI'!D199</f>
        <v>3624411.08</v>
      </c>
      <c r="D199" s="14">
        <f>'A) Base RI'!AO199</f>
        <v>-33853.08</v>
      </c>
      <c r="E199" s="41">
        <f>'A) Base RI'!AP199</f>
        <v>0</v>
      </c>
      <c r="F199" s="41">
        <f>'A) Base RI'!AQ199</f>
        <v>-344.94</v>
      </c>
      <c r="G199" s="4">
        <f t="shared" si="12"/>
        <v>3590213.06</v>
      </c>
      <c r="H199" s="14">
        <f>'A) Base RI'!E199</f>
        <v>0</v>
      </c>
      <c r="I199" s="14">
        <f>'A) Base RI'!F199</f>
        <v>0</v>
      </c>
      <c r="J199" s="14">
        <f>'A) Base RI'!G199+'A) Base RI'!H199</f>
        <v>30705.850000000002</v>
      </c>
      <c r="K199" s="14">
        <f>'A) Base RI'!I199</f>
        <v>-45333.1</v>
      </c>
      <c r="L199" s="14">
        <f>'A) Base RI'!J199</f>
        <v>33636.03</v>
      </c>
      <c r="M199" s="14">
        <f>'A) Base RI'!K199</f>
        <v>3121</v>
      </c>
      <c r="N199" s="14">
        <f>'A) Base RI'!Q199</f>
        <v>6239.79</v>
      </c>
      <c r="O199" s="14">
        <f t="shared" si="13"/>
        <v>230093.3</v>
      </c>
      <c r="P199" s="14">
        <f>'A) Base RI'!L199</f>
        <v>230093.3</v>
      </c>
      <c r="Q199" s="44">
        <f>'A) Base RI'!AR199</f>
        <v>1</v>
      </c>
      <c r="R199" s="4">
        <f t="shared" si="14"/>
        <v>3848675.9299999997</v>
      </c>
      <c r="S199" s="43">
        <f>'A) Base RI'!AM199</f>
        <v>66</v>
      </c>
      <c r="T199" s="4">
        <f t="shared" si="15"/>
        <v>3615461.63</v>
      </c>
      <c r="U199" s="4">
        <f t="shared" si="16"/>
        <v>58313.27166666666</v>
      </c>
      <c r="V199" s="14">
        <f>'A) Base RI'!O199</f>
        <v>181233.9</v>
      </c>
      <c r="W199" s="14">
        <f>'A) Base RI'!P199</f>
        <v>252087</v>
      </c>
      <c r="X199" s="14">
        <f>'A) Base RI'!R199</f>
        <v>149350.39999999999</v>
      </c>
      <c r="Y199" s="4">
        <f t="shared" si="17"/>
        <v>582671.30000000005</v>
      </c>
      <c r="Z199" s="14">
        <f>'A) Base RI'!N199</f>
        <v>53425.599999999999</v>
      </c>
      <c r="AA199" s="14">
        <f>'A) Base RI'!S199+'A) Base RI'!T199</f>
        <v>0</v>
      </c>
      <c r="AB199" s="14">
        <f>'A) Base RI'!U199</f>
        <v>5750</v>
      </c>
      <c r="AC199" s="14">
        <f>'A) Base RI'!V199</f>
        <v>0</v>
      </c>
      <c r="AD199" s="14">
        <f>'A) Base RI'!W199</f>
        <v>0</v>
      </c>
      <c r="AE199" s="14">
        <f>'A) Base RI'!Y199</f>
        <v>77908.2</v>
      </c>
      <c r="AF199" s="14">
        <f>'A) Base RI'!Z199</f>
        <v>0</v>
      </c>
      <c r="AG199" s="14">
        <f>'A) Base RI'!AA199</f>
        <v>5643.15</v>
      </c>
      <c r="AH199" s="14">
        <f>'A) Base RI'!AB199</f>
        <v>0</v>
      </c>
      <c r="AI199" s="14">
        <f>'A) Base RI'!AC199</f>
        <v>100602.25</v>
      </c>
      <c r="AJ199" s="14">
        <f>'A) Base RI'!AD199</f>
        <v>72111.199999999997</v>
      </c>
      <c r="AK199" s="14">
        <f>'A) Base RI'!AE199</f>
        <v>0</v>
      </c>
      <c r="AL199" s="14">
        <f>'A) Base RI'!AF199</f>
        <v>0</v>
      </c>
      <c r="AM199" s="14">
        <f>'A) Base RI'!AG199</f>
        <v>5899</v>
      </c>
      <c r="AN199" s="14">
        <f>'A) Base RI'!AH199</f>
        <v>62813.23</v>
      </c>
      <c r="AO199" s="14">
        <f>'A) Base RI'!AI199</f>
        <v>0</v>
      </c>
      <c r="AP199" s="14">
        <f>'A) Base RI'!AJ199</f>
        <v>0</v>
      </c>
      <c r="AQ199" s="14">
        <f>'A) Base RI'!AK199</f>
        <v>0</v>
      </c>
      <c r="AR199" s="14">
        <f>'A) Base RI'!AN199</f>
        <v>998</v>
      </c>
    </row>
    <row r="200" spans="1:44" x14ac:dyDescent="0.25">
      <c r="A200" s="12">
        <f>'A) Base RI'!A200</f>
        <v>5716</v>
      </c>
      <c r="B200" s="42" t="str">
        <f>'A) Base RI'!B200</f>
        <v>Eysins</v>
      </c>
      <c r="C200" s="14">
        <f>'A) Base RI'!C200+'A) Base RI'!D200</f>
        <v>3693841.5</v>
      </c>
      <c r="D200" s="14">
        <f>'A) Base RI'!AO200</f>
        <v>-69897.03</v>
      </c>
      <c r="E200" s="41">
        <f>'A) Base RI'!AP200</f>
        <v>0</v>
      </c>
      <c r="F200" s="41">
        <f>'A) Base RI'!AQ200</f>
        <v>-1024.96</v>
      </c>
      <c r="G200" s="4">
        <f t="shared" ref="G200:G263" si="18">SUM(C200:F200)</f>
        <v>3622919.5100000002</v>
      </c>
      <c r="H200" s="14">
        <f>'A) Base RI'!E200</f>
        <v>0</v>
      </c>
      <c r="I200" s="14">
        <f>'A) Base RI'!F200</f>
        <v>0</v>
      </c>
      <c r="J200" s="14">
        <f>'A) Base RI'!G200+'A) Base RI'!H200</f>
        <v>3387076.1</v>
      </c>
      <c r="K200" s="14">
        <f>'A) Base RI'!I200</f>
        <v>23212.9</v>
      </c>
      <c r="L200" s="14">
        <f>'A) Base RI'!J200</f>
        <v>-103772.8</v>
      </c>
      <c r="M200" s="14">
        <f>'A) Base RI'!K200</f>
        <v>118994.5</v>
      </c>
      <c r="N200" s="14">
        <f>'A) Base RI'!Q200</f>
        <v>2914.55</v>
      </c>
      <c r="O200" s="14">
        <f t="shared" ref="O200:O263" si="19">(P200/Q200)*1</f>
        <v>534646.75</v>
      </c>
      <c r="P200" s="14">
        <f>'A) Base RI'!L200</f>
        <v>534646.75</v>
      </c>
      <c r="Q200" s="44">
        <f>'A) Base RI'!AR200</f>
        <v>1</v>
      </c>
      <c r="R200" s="4">
        <f t="shared" ref="R200:R263" si="20">SUM(G200:O200)</f>
        <v>7585991.5100000007</v>
      </c>
      <c r="S200" s="43">
        <f>'A) Base RI'!AM200</f>
        <v>61</v>
      </c>
      <c r="T200" s="4">
        <f t="shared" ref="T200:T263" si="21">(G200+H200+J200+K200+L200+N200)</f>
        <v>6932350.2600000007</v>
      </c>
      <c r="U200" s="4">
        <f t="shared" ref="U200:U263" si="22">R200/S200</f>
        <v>124360.51655737706</v>
      </c>
      <c r="V200" s="14">
        <f>'A) Base RI'!O200</f>
        <v>120673.8</v>
      </c>
      <c r="W200" s="14">
        <f>'A) Base RI'!P200</f>
        <v>192841.60000000001</v>
      </c>
      <c r="X200" s="14">
        <f>'A) Base RI'!R200</f>
        <v>68183.899999999994</v>
      </c>
      <c r="Y200" s="4">
        <f t="shared" ref="Y200:Y263" si="23">SUM(V200:X200)</f>
        <v>381699.30000000005</v>
      </c>
      <c r="Z200" s="14">
        <f>'A) Base RI'!N200</f>
        <v>624361.69999999995</v>
      </c>
      <c r="AA200" s="14">
        <f>'A) Base RI'!S200+'A) Base RI'!T200</f>
        <v>93.75</v>
      </c>
      <c r="AB200" s="14">
        <f>'A) Base RI'!U200</f>
        <v>7250</v>
      </c>
      <c r="AC200" s="14">
        <f>'A) Base RI'!V200</f>
        <v>0</v>
      </c>
      <c r="AD200" s="14">
        <f>'A) Base RI'!W200</f>
        <v>0</v>
      </c>
      <c r="AE200" s="14">
        <f>'A) Base RI'!Y200</f>
        <v>97789.07</v>
      </c>
      <c r="AF200" s="14">
        <f>'A) Base RI'!Z200</f>
        <v>0</v>
      </c>
      <c r="AG200" s="14">
        <f>'A) Base RI'!AA200</f>
        <v>240647.73</v>
      </c>
      <c r="AH200" s="14">
        <f>'A) Base RI'!AB200</f>
        <v>0</v>
      </c>
      <c r="AI200" s="14">
        <f>'A) Base RI'!AC200</f>
        <v>104946.57</v>
      </c>
      <c r="AJ200" s="14">
        <f>'A) Base RI'!AD200</f>
        <v>0</v>
      </c>
      <c r="AK200" s="14">
        <f>'A) Base RI'!AE200</f>
        <v>0</v>
      </c>
      <c r="AL200" s="14">
        <f>'A) Base RI'!AF200</f>
        <v>0</v>
      </c>
      <c r="AM200" s="14">
        <f>'A) Base RI'!AG200</f>
        <v>0</v>
      </c>
      <c r="AN200" s="14">
        <f>'A) Base RI'!AH200</f>
        <v>57307.5</v>
      </c>
      <c r="AO200" s="14">
        <f>'A) Base RI'!AI200</f>
        <v>0</v>
      </c>
      <c r="AP200" s="14">
        <f>'A) Base RI'!AJ200</f>
        <v>0</v>
      </c>
      <c r="AQ200" s="14">
        <f>'A) Base RI'!AK200</f>
        <v>0</v>
      </c>
      <c r="AR200" s="14">
        <f>'A) Base RI'!AN200</f>
        <v>1469</v>
      </c>
    </row>
    <row r="201" spans="1:44" x14ac:dyDescent="0.25">
      <c r="A201" s="12">
        <f>'A) Base RI'!A201</f>
        <v>5717</v>
      </c>
      <c r="B201" s="42" t="str">
        <f>'A) Base RI'!B201</f>
        <v>Founex</v>
      </c>
      <c r="C201" s="14">
        <f>'A) Base RI'!C201+'A) Base RI'!D201</f>
        <v>17739767.689999998</v>
      </c>
      <c r="D201" s="14">
        <f>'A) Base RI'!AO201</f>
        <v>-48782.879999999997</v>
      </c>
      <c r="E201" s="41">
        <f>'A) Base RI'!AP201</f>
        <v>0</v>
      </c>
      <c r="F201" s="41">
        <f>'A) Base RI'!AQ201</f>
        <v>-46412.639999999999</v>
      </c>
      <c r="G201" s="4">
        <f t="shared" si="18"/>
        <v>17644572.169999998</v>
      </c>
      <c r="H201" s="14">
        <f>'A) Base RI'!E201</f>
        <v>0</v>
      </c>
      <c r="I201" s="14">
        <f>'A) Base RI'!F201</f>
        <v>0</v>
      </c>
      <c r="J201" s="14">
        <f>'A) Base RI'!G201+'A) Base RI'!H201</f>
        <v>312096.34999999998</v>
      </c>
      <c r="K201" s="14">
        <f>'A) Base RI'!I201</f>
        <v>861800.79</v>
      </c>
      <c r="L201" s="14">
        <f>'A) Base RI'!J201</f>
        <v>-316842.55</v>
      </c>
      <c r="M201" s="14">
        <f>'A) Base RI'!K201</f>
        <v>41621</v>
      </c>
      <c r="N201" s="14">
        <f>'A) Base RI'!Q201</f>
        <v>18383.62</v>
      </c>
      <c r="O201" s="14">
        <f t="shared" si="19"/>
        <v>1137322.8</v>
      </c>
      <c r="P201" s="14">
        <f>'A) Base RI'!L201</f>
        <v>1137322.8</v>
      </c>
      <c r="Q201" s="44">
        <f>'A) Base RI'!AR201</f>
        <v>1</v>
      </c>
      <c r="R201" s="4">
        <f t="shared" si="20"/>
        <v>19698954.18</v>
      </c>
      <c r="S201" s="43">
        <f>'A) Base RI'!AM201</f>
        <v>57</v>
      </c>
      <c r="T201" s="4">
        <f t="shared" si="21"/>
        <v>18520010.379999999</v>
      </c>
      <c r="U201" s="4">
        <f t="shared" si="22"/>
        <v>345595.68736842106</v>
      </c>
      <c r="V201" s="14">
        <f>'A) Base RI'!O201</f>
        <v>88501.6</v>
      </c>
      <c r="W201" s="14">
        <f>'A) Base RI'!P201</f>
        <v>1029960.8</v>
      </c>
      <c r="X201" s="14">
        <f>'A) Base RI'!R201</f>
        <v>1149461.8999999999</v>
      </c>
      <c r="Y201" s="4">
        <f t="shared" si="23"/>
        <v>2267924.2999999998</v>
      </c>
      <c r="Z201" s="14">
        <f>'A) Base RI'!N201</f>
        <v>194155.35</v>
      </c>
      <c r="AA201" s="14">
        <f>'A) Base RI'!S201+'A) Base RI'!T201</f>
        <v>1262.5</v>
      </c>
      <c r="AB201" s="14">
        <f>'A) Base RI'!U201</f>
        <v>17080</v>
      </c>
      <c r="AC201" s="14">
        <f>'A) Base RI'!V201</f>
        <v>0</v>
      </c>
      <c r="AD201" s="14">
        <f>'A) Base RI'!W201</f>
        <v>0</v>
      </c>
      <c r="AE201" s="14">
        <f>'A) Base RI'!Y201</f>
        <v>65121.75</v>
      </c>
      <c r="AF201" s="14">
        <f>'A) Base RI'!Z201</f>
        <v>0</v>
      </c>
      <c r="AG201" s="14">
        <f>'A) Base RI'!AA201</f>
        <v>209007.35</v>
      </c>
      <c r="AH201" s="14">
        <f>'A) Base RI'!AB201</f>
        <v>0</v>
      </c>
      <c r="AI201" s="14">
        <f>'A) Base RI'!AC201</f>
        <v>478426.81</v>
      </c>
      <c r="AJ201" s="14">
        <f>'A) Base RI'!AD201</f>
        <v>0</v>
      </c>
      <c r="AK201" s="14">
        <f>'A) Base RI'!AE201</f>
        <v>0</v>
      </c>
      <c r="AL201" s="14">
        <f>'A) Base RI'!AF201</f>
        <v>0</v>
      </c>
      <c r="AM201" s="14">
        <f>'A) Base RI'!AG201</f>
        <v>3546</v>
      </c>
      <c r="AN201" s="14">
        <f>'A) Base RI'!AH201</f>
        <v>0</v>
      </c>
      <c r="AO201" s="14">
        <f>'A) Base RI'!AI201</f>
        <v>0</v>
      </c>
      <c r="AP201" s="14">
        <f>'A) Base RI'!AJ201</f>
        <v>0</v>
      </c>
      <c r="AQ201" s="14">
        <f>'A) Base RI'!AK201</f>
        <v>0</v>
      </c>
      <c r="AR201" s="14">
        <f>'A) Base RI'!AN201</f>
        <v>3372</v>
      </c>
    </row>
    <row r="202" spans="1:44" x14ac:dyDescent="0.25">
      <c r="A202" s="12">
        <f>'A) Base RI'!A202</f>
        <v>5718</v>
      </c>
      <c r="B202" s="42" t="str">
        <f>'A) Base RI'!B202</f>
        <v>Genolier</v>
      </c>
      <c r="C202" s="14">
        <f>'A) Base RI'!C202+'A) Base RI'!D202</f>
        <v>7050986.5800000001</v>
      </c>
      <c r="D202" s="14">
        <f>'A) Base RI'!AO202</f>
        <v>-105494.37</v>
      </c>
      <c r="E202" s="41">
        <f>'A) Base RI'!AP202</f>
        <v>0</v>
      </c>
      <c r="F202" s="41">
        <f>'A) Base RI'!AQ202</f>
        <v>-3650.46</v>
      </c>
      <c r="G202" s="4">
        <f t="shared" si="18"/>
        <v>6941841.75</v>
      </c>
      <c r="H202" s="14">
        <f>'A) Base RI'!E202</f>
        <v>0</v>
      </c>
      <c r="I202" s="14">
        <f>'A) Base RI'!F202</f>
        <v>0</v>
      </c>
      <c r="J202" s="14">
        <f>'A) Base RI'!G202+'A) Base RI'!H202</f>
        <v>298735.05</v>
      </c>
      <c r="K202" s="14">
        <f>'A) Base RI'!I202</f>
        <v>217379.85</v>
      </c>
      <c r="L202" s="14">
        <f>'A) Base RI'!J202</f>
        <v>73227.37</v>
      </c>
      <c r="M202" s="14">
        <f>'A) Base RI'!K202</f>
        <v>29391</v>
      </c>
      <c r="N202" s="14">
        <f>'A) Base RI'!Q202</f>
        <v>-7365.14</v>
      </c>
      <c r="O202" s="14">
        <f t="shared" si="19"/>
        <v>562800.80000000005</v>
      </c>
      <c r="P202" s="14">
        <f>'A) Base RI'!L202</f>
        <v>562800.80000000005</v>
      </c>
      <c r="Q202" s="44">
        <f>'A) Base RI'!AR202</f>
        <v>1</v>
      </c>
      <c r="R202" s="4">
        <f t="shared" si="20"/>
        <v>8116010.6799999997</v>
      </c>
      <c r="S202" s="43">
        <f>'A) Base RI'!AM202</f>
        <v>55</v>
      </c>
      <c r="T202" s="4">
        <f t="shared" si="21"/>
        <v>7523818.8799999999</v>
      </c>
      <c r="U202" s="4">
        <f t="shared" si="22"/>
        <v>147563.83054545455</v>
      </c>
      <c r="V202" s="14">
        <f>'A) Base RI'!O202</f>
        <v>189833.8</v>
      </c>
      <c r="W202" s="14">
        <f>'A) Base RI'!P202</f>
        <v>338151</v>
      </c>
      <c r="X202" s="14">
        <f>'A) Base RI'!R202</f>
        <v>320858.59999999998</v>
      </c>
      <c r="Y202" s="4">
        <f t="shared" si="23"/>
        <v>848843.4</v>
      </c>
      <c r="Z202" s="14">
        <f>'A) Base RI'!N202</f>
        <v>484928.65</v>
      </c>
      <c r="AA202" s="14">
        <f>'A) Base RI'!S202+'A) Base RI'!T202</f>
        <v>31.3</v>
      </c>
      <c r="AB202" s="14">
        <f>'A) Base RI'!U202</f>
        <v>6500</v>
      </c>
      <c r="AC202" s="14">
        <f>'A) Base RI'!V202</f>
        <v>0</v>
      </c>
      <c r="AD202" s="14">
        <f>'A) Base RI'!W202</f>
        <v>0</v>
      </c>
      <c r="AE202" s="14">
        <f>'A) Base RI'!Y202</f>
        <v>26119.8</v>
      </c>
      <c r="AF202" s="14">
        <f>'A) Base RI'!Z202</f>
        <v>0</v>
      </c>
      <c r="AG202" s="14">
        <f>'A) Base RI'!AA202</f>
        <v>194998.45</v>
      </c>
      <c r="AH202" s="14">
        <f>'A) Base RI'!AB202</f>
        <v>0</v>
      </c>
      <c r="AI202" s="14">
        <f>'A) Base RI'!AC202</f>
        <v>144847.4</v>
      </c>
      <c r="AJ202" s="14">
        <f>'A) Base RI'!AD202</f>
        <v>58044</v>
      </c>
      <c r="AK202" s="14">
        <f>'A) Base RI'!AE202</f>
        <v>0</v>
      </c>
      <c r="AL202" s="14">
        <f>'A) Base RI'!AF202</f>
        <v>0</v>
      </c>
      <c r="AM202" s="14">
        <f>'A) Base RI'!AG202</f>
        <v>19493.099999999999</v>
      </c>
      <c r="AN202" s="14">
        <f>'A) Base RI'!AH202</f>
        <v>0</v>
      </c>
      <c r="AO202" s="14">
        <f>'A) Base RI'!AI202</f>
        <v>0</v>
      </c>
      <c r="AP202" s="14">
        <f>'A) Base RI'!AJ202</f>
        <v>0</v>
      </c>
      <c r="AQ202" s="14">
        <f>'A) Base RI'!AK202</f>
        <v>0</v>
      </c>
      <c r="AR202" s="14">
        <f>'A) Base RI'!AN202</f>
        <v>1890</v>
      </c>
    </row>
    <row r="203" spans="1:44" x14ac:dyDescent="0.25">
      <c r="A203" s="12">
        <f>'A) Base RI'!A203</f>
        <v>5719</v>
      </c>
      <c r="B203" s="42" t="str">
        <f>'A) Base RI'!B203</f>
        <v>Gingins</v>
      </c>
      <c r="C203" s="14">
        <f>'A) Base RI'!C203+'A) Base RI'!D203</f>
        <v>4853861.82</v>
      </c>
      <c r="D203" s="14">
        <f>'A) Base RI'!AO203</f>
        <v>-34525.86</v>
      </c>
      <c r="E203" s="41">
        <f>'A) Base RI'!AP203</f>
        <v>0</v>
      </c>
      <c r="F203" s="41">
        <f>'A) Base RI'!AQ203</f>
        <v>-546.22</v>
      </c>
      <c r="G203" s="4">
        <f t="shared" si="18"/>
        <v>4818789.74</v>
      </c>
      <c r="H203" s="14">
        <f>'A) Base RI'!E203</f>
        <v>0</v>
      </c>
      <c r="I203" s="14">
        <f>'A) Base RI'!F203</f>
        <v>0</v>
      </c>
      <c r="J203" s="14">
        <f>'A) Base RI'!G203+'A) Base RI'!H203</f>
        <v>81424.3</v>
      </c>
      <c r="K203" s="14">
        <f>'A) Base RI'!I203</f>
        <v>282209.09999999998</v>
      </c>
      <c r="L203" s="14">
        <f>'A) Base RI'!J203</f>
        <v>-55044.3</v>
      </c>
      <c r="M203" s="14">
        <f>'A) Base RI'!K203</f>
        <v>8158</v>
      </c>
      <c r="N203" s="14">
        <f>'A) Base RI'!Q203</f>
        <v>18796.55</v>
      </c>
      <c r="O203" s="14">
        <f t="shared" si="19"/>
        <v>347006</v>
      </c>
      <c r="P203" s="14">
        <f>'A) Base RI'!L203</f>
        <v>208203.6</v>
      </c>
      <c r="Q203" s="44">
        <f>'A) Base RI'!AR203</f>
        <v>0.6</v>
      </c>
      <c r="R203" s="4">
        <f t="shared" si="20"/>
        <v>5501339.3899999997</v>
      </c>
      <c r="S203" s="43">
        <f>'A) Base RI'!AM203</f>
        <v>57</v>
      </c>
      <c r="T203" s="4">
        <f t="shared" si="21"/>
        <v>5146175.3899999997</v>
      </c>
      <c r="U203" s="4">
        <f t="shared" si="22"/>
        <v>96514.726140350875</v>
      </c>
      <c r="V203" s="14">
        <f>'A) Base RI'!O203</f>
        <v>13528</v>
      </c>
      <c r="W203" s="14">
        <f>'A) Base RI'!P203</f>
        <v>417146.8</v>
      </c>
      <c r="X203" s="14">
        <f>'A) Base RI'!R203</f>
        <v>205645.85</v>
      </c>
      <c r="Y203" s="4">
        <f t="shared" si="23"/>
        <v>636320.65</v>
      </c>
      <c r="Z203" s="14">
        <f>'A) Base RI'!N203</f>
        <v>74054.5</v>
      </c>
      <c r="AA203" s="14">
        <f>'A) Base RI'!S203+'A) Base RI'!T203</f>
        <v>31.3</v>
      </c>
      <c r="AB203" s="14">
        <f>'A) Base RI'!U203</f>
        <v>12300</v>
      </c>
      <c r="AC203" s="14">
        <f>'A) Base RI'!V203</f>
        <v>0</v>
      </c>
      <c r="AD203" s="14">
        <f>'A) Base RI'!W203</f>
        <v>0</v>
      </c>
      <c r="AE203" s="14">
        <f>'A) Base RI'!Y203</f>
        <v>0</v>
      </c>
      <c r="AF203" s="14">
        <f>'A) Base RI'!Z203</f>
        <v>0</v>
      </c>
      <c r="AG203" s="14">
        <f>'A) Base RI'!AA203</f>
        <v>0</v>
      </c>
      <c r="AH203" s="14">
        <f>'A) Base RI'!AB203</f>
        <v>0</v>
      </c>
      <c r="AI203" s="14">
        <f>'A) Base RI'!AC203</f>
        <v>0</v>
      </c>
      <c r="AJ203" s="14">
        <f>'A) Base RI'!AD203</f>
        <v>0</v>
      </c>
      <c r="AK203" s="14">
        <f>'A) Base RI'!AE203</f>
        <v>0</v>
      </c>
      <c r="AL203" s="14">
        <f>'A) Base RI'!AF203</f>
        <v>0</v>
      </c>
      <c r="AM203" s="14">
        <f>'A) Base RI'!AG203</f>
        <v>0</v>
      </c>
      <c r="AN203" s="14">
        <f>'A) Base RI'!AH203</f>
        <v>0</v>
      </c>
      <c r="AO203" s="14">
        <f>'A) Base RI'!AI203</f>
        <v>0</v>
      </c>
      <c r="AP203" s="14">
        <f>'A) Base RI'!AJ203</f>
        <v>0</v>
      </c>
      <c r="AQ203" s="14">
        <f>'A) Base RI'!AK203</f>
        <v>0</v>
      </c>
      <c r="AR203" s="14">
        <f>'A) Base RI'!AN203</f>
        <v>1204</v>
      </c>
    </row>
    <row r="204" spans="1:44" x14ac:dyDescent="0.25">
      <c r="A204" s="12">
        <f>'A) Base RI'!A204</f>
        <v>5720</v>
      </c>
      <c r="B204" s="42" t="str">
        <f>'A) Base RI'!B204</f>
        <v>Givrins</v>
      </c>
      <c r="C204" s="14">
        <f>'A) Base RI'!C204+'A) Base RI'!D204</f>
        <v>4308255.59</v>
      </c>
      <c r="D204" s="14">
        <f>'A) Base RI'!AO204</f>
        <v>-14092.54</v>
      </c>
      <c r="E204" s="41">
        <f>'A) Base RI'!AP204</f>
        <v>0</v>
      </c>
      <c r="F204" s="41">
        <f>'A) Base RI'!AQ204</f>
        <v>-2380.9299999999998</v>
      </c>
      <c r="G204" s="4">
        <f t="shared" si="18"/>
        <v>4291782.12</v>
      </c>
      <c r="H204" s="14">
        <f>'A) Base RI'!E204</f>
        <v>0</v>
      </c>
      <c r="I204" s="14">
        <f>'A) Base RI'!F204</f>
        <v>0</v>
      </c>
      <c r="J204" s="14">
        <f>'A) Base RI'!G204+'A) Base RI'!H204</f>
        <v>110630.39999999999</v>
      </c>
      <c r="K204" s="14">
        <f>'A) Base RI'!I204</f>
        <v>336253.9</v>
      </c>
      <c r="L204" s="14">
        <f>'A) Base RI'!J204</f>
        <v>-95717.23</v>
      </c>
      <c r="M204" s="14">
        <f>'A) Base RI'!K204</f>
        <v>0</v>
      </c>
      <c r="N204" s="14">
        <f>'A) Base RI'!Q204</f>
        <v>23837.49</v>
      </c>
      <c r="O204" s="14">
        <f t="shared" si="19"/>
        <v>276523.11111111107</v>
      </c>
      <c r="P204" s="14">
        <f>'A) Base RI'!L204</f>
        <v>248870.8</v>
      </c>
      <c r="Q204" s="44">
        <f>'A) Base RI'!AR204</f>
        <v>0.9</v>
      </c>
      <c r="R204" s="4">
        <f t="shared" si="20"/>
        <v>4943309.7911111116</v>
      </c>
      <c r="S204" s="43">
        <f>'A) Base RI'!AM204</f>
        <v>61</v>
      </c>
      <c r="T204" s="4">
        <f t="shared" si="21"/>
        <v>4666786.6800000006</v>
      </c>
      <c r="U204" s="4">
        <f t="shared" si="22"/>
        <v>81037.865428051009</v>
      </c>
      <c r="V204" s="14">
        <f>'A) Base RI'!O204</f>
        <v>2525.9</v>
      </c>
      <c r="W204" s="14">
        <f>'A) Base RI'!P204</f>
        <v>295092.84999999998</v>
      </c>
      <c r="X204" s="14">
        <f>'A) Base RI'!R204</f>
        <v>501424.75</v>
      </c>
      <c r="Y204" s="4">
        <f t="shared" si="23"/>
        <v>799043.5</v>
      </c>
      <c r="Z204" s="14">
        <f>'A) Base RI'!N204</f>
        <v>28321.7</v>
      </c>
      <c r="AA204" s="14">
        <f>'A) Base RI'!S204+'A) Base RI'!T204</f>
        <v>0</v>
      </c>
      <c r="AB204" s="14">
        <f>'A) Base RI'!U204</f>
        <v>4760</v>
      </c>
      <c r="AC204" s="14">
        <f>'A) Base RI'!V204</f>
        <v>0</v>
      </c>
      <c r="AD204" s="14">
        <f>'A) Base RI'!W204</f>
        <v>0</v>
      </c>
      <c r="AE204" s="14">
        <f>'A) Base RI'!Y204</f>
        <v>11070.6</v>
      </c>
      <c r="AF204" s="14">
        <f>'A) Base RI'!Z204</f>
        <v>0</v>
      </c>
      <c r="AG204" s="14">
        <f>'A) Base RI'!AA204</f>
        <v>114701.7</v>
      </c>
      <c r="AH204" s="14">
        <f>'A) Base RI'!AB204</f>
        <v>0</v>
      </c>
      <c r="AI204" s="14">
        <f>'A) Base RI'!AC204</f>
        <v>49484.05</v>
      </c>
      <c r="AJ204" s="14">
        <f>'A) Base RI'!AD204</f>
        <v>8661.7999999999993</v>
      </c>
      <c r="AK204" s="14">
        <f>'A) Base RI'!AE204</f>
        <v>0</v>
      </c>
      <c r="AL204" s="14">
        <f>'A) Base RI'!AF204</f>
        <v>0</v>
      </c>
      <c r="AM204" s="14">
        <f>'A) Base RI'!AG204</f>
        <v>2715.35</v>
      </c>
      <c r="AN204" s="14">
        <f>'A) Base RI'!AH204</f>
        <v>0</v>
      </c>
      <c r="AO204" s="14">
        <f>'A) Base RI'!AI204</f>
        <v>0</v>
      </c>
      <c r="AP204" s="14">
        <f>'A) Base RI'!AJ204</f>
        <v>0</v>
      </c>
      <c r="AQ204" s="14">
        <f>'A) Base RI'!AK204</f>
        <v>0</v>
      </c>
      <c r="AR204" s="14">
        <f>'A) Base RI'!AN204</f>
        <v>971</v>
      </c>
    </row>
    <row r="205" spans="1:44" x14ac:dyDescent="0.25">
      <c r="A205" s="12">
        <f>'A) Base RI'!A205</f>
        <v>5721</v>
      </c>
      <c r="B205" s="42" t="str">
        <f>'A) Base RI'!B205</f>
        <v>Gland</v>
      </c>
      <c r="C205" s="14">
        <f>'A) Base RI'!C205+'A) Base RI'!D205</f>
        <v>27865668.099999998</v>
      </c>
      <c r="D205" s="14">
        <f>'A) Base RI'!AO205</f>
        <v>-772943.48</v>
      </c>
      <c r="E205" s="41">
        <f>'A) Base RI'!AP205</f>
        <v>0</v>
      </c>
      <c r="F205" s="41">
        <f>'A) Base RI'!AQ205</f>
        <v>-124666.96</v>
      </c>
      <c r="G205" s="4">
        <f t="shared" si="18"/>
        <v>26968057.659999996</v>
      </c>
      <c r="H205" s="14">
        <f>'A) Base RI'!E205</f>
        <v>0</v>
      </c>
      <c r="I205" s="14">
        <f>'A) Base RI'!F205</f>
        <v>0</v>
      </c>
      <c r="J205" s="14">
        <f>'A) Base RI'!G205+'A) Base RI'!H205</f>
        <v>3153334.85</v>
      </c>
      <c r="K205" s="14">
        <f>'A) Base RI'!I205</f>
        <v>906004.3</v>
      </c>
      <c r="L205" s="14">
        <f>'A) Base RI'!J205</f>
        <v>1115128.24</v>
      </c>
      <c r="M205" s="14">
        <f>'A) Base RI'!K205</f>
        <v>182424</v>
      </c>
      <c r="N205" s="14">
        <f>'A) Base RI'!Q205</f>
        <v>226335.33</v>
      </c>
      <c r="O205" s="14">
        <f t="shared" si="19"/>
        <v>2234643.9545454546</v>
      </c>
      <c r="P205" s="14">
        <f>'A) Base RI'!L205</f>
        <v>2458108.35</v>
      </c>
      <c r="Q205" s="44">
        <f>'A) Base RI'!AR205</f>
        <v>1.1000000000000001</v>
      </c>
      <c r="R205" s="4">
        <f t="shared" si="20"/>
        <v>34785928.334545448</v>
      </c>
      <c r="S205" s="43">
        <f>'A) Base RI'!AM205</f>
        <v>62.5</v>
      </c>
      <c r="T205" s="4">
        <f t="shared" si="21"/>
        <v>32368860.379999995</v>
      </c>
      <c r="U205" s="4">
        <f t="shared" si="22"/>
        <v>556574.85335272714</v>
      </c>
      <c r="V205" s="14">
        <f>'A) Base RI'!O205</f>
        <v>830229.2</v>
      </c>
      <c r="W205" s="14">
        <f>'A) Base RI'!P205</f>
        <v>1602449.7</v>
      </c>
      <c r="X205" s="14">
        <f>'A) Base RI'!R205</f>
        <v>4971625</v>
      </c>
      <c r="Y205" s="4">
        <f t="shared" si="23"/>
        <v>7404303.9000000004</v>
      </c>
      <c r="Z205" s="14">
        <f>'A) Base RI'!N205</f>
        <v>2016933</v>
      </c>
      <c r="AA205" s="14">
        <f>'A) Base RI'!S205+'A) Base RI'!T205</f>
        <v>912.5</v>
      </c>
      <c r="AB205" s="14">
        <f>'A) Base RI'!U205</f>
        <v>55300</v>
      </c>
      <c r="AC205" s="14">
        <f>'A) Base RI'!V205</f>
        <v>0</v>
      </c>
      <c r="AD205" s="14">
        <f>'A) Base RI'!W205</f>
        <v>0</v>
      </c>
      <c r="AE205" s="14">
        <f>'A) Base RI'!Y205</f>
        <v>889803.15</v>
      </c>
      <c r="AF205" s="14">
        <f>'A) Base RI'!Z205</f>
        <v>0</v>
      </c>
      <c r="AG205" s="14">
        <f>'A) Base RI'!AA205</f>
        <v>928560</v>
      </c>
      <c r="AH205" s="14">
        <f>'A) Base RI'!AB205</f>
        <v>0</v>
      </c>
      <c r="AI205" s="14">
        <f>'A) Base RI'!AC205</f>
        <v>1405303.7</v>
      </c>
      <c r="AJ205" s="14">
        <f>'A) Base RI'!AD205</f>
        <v>356749.7</v>
      </c>
      <c r="AK205" s="14">
        <f>'A) Base RI'!AE205</f>
        <v>0</v>
      </c>
      <c r="AL205" s="14">
        <f>'A) Base RI'!AF205</f>
        <v>0</v>
      </c>
      <c r="AM205" s="14">
        <f>'A) Base RI'!AG205</f>
        <v>47184</v>
      </c>
      <c r="AN205" s="14">
        <f>'A) Base RI'!AH205</f>
        <v>381885.47</v>
      </c>
      <c r="AO205" s="14">
        <f>'A) Base RI'!AI205</f>
        <v>218324.57</v>
      </c>
      <c r="AP205" s="14">
        <f>'A) Base RI'!AJ205</f>
        <v>381849.06</v>
      </c>
      <c r="AQ205" s="14">
        <f>'A) Base RI'!AK205</f>
        <v>272846.86</v>
      </c>
      <c r="AR205" s="14">
        <f>'A) Base RI'!AN205</f>
        <v>12663</v>
      </c>
    </row>
    <row r="206" spans="1:44" x14ac:dyDescent="0.25">
      <c r="A206" s="12">
        <f>'A) Base RI'!A206</f>
        <v>5722</v>
      </c>
      <c r="B206" s="42" t="str">
        <f>'A) Base RI'!B206</f>
        <v>Grens</v>
      </c>
      <c r="C206" s="14">
        <f>'A) Base RI'!C206+'A) Base RI'!D206</f>
        <v>1044403.48</v>
      </c>
      <c r="D206" s="14">
        <f>'A) Base RI'!AO206</f>
        <v>-774.28</v>
      </c>
      <c r="E206" s="41">
        <f>'A) Base RI'!AP206</f>
        <v>0</v>
      </c>
      <c r="F206" s="41">
        <f>'A) Base RI'!AQ206</f>
        <v>-584.04</v>
      </c>
      <c r="G206" s="4">
        <f t="shared" si="18"/>
        <v>1043045.1599999999</v>
      </c>
      <c r="H206" s="14">
        <f>'A) Base RI'!E206</f>
        <v>0</v>
      </c>
      <c r="I206" s="14">
        <f>'A) Base RI'!F206</f>
        <v>0</v>
      </c>
      <c r="J206" s="14">
        <f>'A) Base RI'!G206+'A) Base RI'!H206</f>
        <v>256895</v>
      </c>
      <c r="K206" s="14">
        <f>'A) Base RI'!I206</f>
        <v>0</v>
      </c>
      <c r="L206" s="14">
        <f>'A) Base RI'!J206</f>
        <v>40719.78</v>
      </c>
      <c r="M206" s="14">
        <f>'A) Base RI'!K206</f>
        <v>5655</v>
      </c>
      <c r="N206" s="14">
        <f>'A) Base RI'!Q206</f>
        <v>0</v>
      </c>
      <c r="O206" s="14">
        <f t="shared" si="19"/>
        <v>79290.399999999994</v>
      </c>
      <c r="P206" s="14">
        <f>'A) Base RI'!L206</f>
        <v>79290.399999999994</v>
      </c>
      <c r="Q206" s="44">
        <f>'A) Base RI'!AR206</f>
        <v>1</v>
      </c>
      <c r="R206" s="4">
        <f t="shared" si="20"/>
        <v>1425605.3399999999</v>
      </c>
      <c r="S206" s="43">
        <f>'A) Base RI'!AM206</f>
        <v>57</v>
      </c>
      <c r="T206" s="4">
        <f t="shared" si="21"/>
        <v>1340659.94</v>
      </c>
      <c r="U206" s="4">
        <f t="shared" si="22"/>
        <v>25010.62</v>
      </c>
      <c r="V206" s="14">
        <f>'A) Base RI'!O206</f>
        <v>0</v>
      </c>
      <c r="W206" s="14">
        <f>'A) Base RI'!P206</f>
        <v>15705.1</v>
      </c>
      <c r="X206" s="14">
        <f>'A) Base RI'!R206</f>
        <v>16567.599999999999</v>
      </c>
      <c r="Y206" s="4">
        <f t="shared" si="23"/>
        <v>32272.699999999997</v>
      </c>
      <c r="Z206" s="14">
        <f>'A) Base RI'!N206</f>
        <v>15153.55</v>
      </c>
      <c r="AA206" s="14">
        <f>'A) Base RI'!S206+'A) Base RI'!T206</f>
        <v>65.650000000000006</v>
      </c>
      <c r="AB206" s="14">
        <f>'A) Base RI'!U206</f>
        <v>1475</v>
      </c>
      <c r="AC206" s="14">
        <f>'A) Base RI'!V206</f>
        <v>0</v>
      </c>
      <c r="AD206" s="14">
        <f>'A) Base RI'!W206</f>
        <v>0</v>
      </c>
      <c r="AE206" s="14">
        <f>'A) Base RI'!Y206</f>
        <v>27000</v>
      </c>
      <c r="AF206" s="14">
        <f>'A) Base RI'!Z206</f>
        <v>0</v>
      </c>
      <c r="AG206" s="14">
        <f>'A) Base RI'!AA206</f>
        <v>57051.4</v>
      </c>
      <c r="AH206" s="14">
        <f>'A) Base RI'!AB206</f>
        <v>0</v>
      </c>
      <c r="AI206" s="14">
        <f>'A) Base RI'!AC206</f>
        <v>24775.25</v>
      </c>
      <c r="AJ206" s="14">
        <f>'A) Base RI'!AD206</f>
        <v>0</v>
      </c>
      <c r="AK206" s="14">
        <f>'A) Base RI'!AE206</f>
        <v>0</v>
      </c>
      <c r="AL206" s="14">
        <f>'A) Base RI'!AF206</f>
        <v>0</v>
      </c>
      <c r="AM206" s="14">
        <f>'A) Base RI'!AG206</f>
        <v>1049.4000000000001</v>
      </c>
      <c r="AN206" s="14">
        <f>'A) Base RI'!AH206</f>
        <v>10742.25</v>
      </c>
      <c r="AO206" s="14">
        <f>'A) Base RI'!AI206</f>
        <v>0</v>
      </c>
      <c r="AP206" s="14">
        <f>'A) Base RI'!AJ206</f>
        <v>0</v>
      </c>
      <c r="AQ206" s="14">
        <f>'A) Base RI'!AK206</f>
        <v>0</v>
      </c>
      <c r="AR206" s="14">
        <f>'A) Base RI'!AN206</f>
        <v>380</v>
      </c>
    </row>
    <row r="207" spans="1:44" x14ac:dyDescent="0.25">
      <c r="A207" s="12">
        <f>'A) Base RI'!A207</f>
        <v>5723</v>
      </c>
      <c r="B207" s="42" t="str">
        <f>'A) Base RI'!B207</f>
        <v>Mies</v>
      </c>
      <c r="C207" s="14">
        <f>'A) Base RI'!C207+'A) Base RI'!D207</f>
        <v>11139955.799999999</v>
      </c>
      <c r="D207" s="14">
        <f>'A) Base RI'!AO207</f>
        <v>-48592.93</v>
      </c>
      <c r="E207" s="41">
        <f>'A) Base RI'!AP207</f>
        <v>0</v>
      </c>
      <c r="F207" s="41">
        <f>'A) Base RI'!AQ207</f>
        <v>-3597.25</v>
      </c>
      <c r="G207" s="4">
        <f t="shared" si="18"/>
        <v>11087765.619999999</v>
      </c>
      <c r="H207" s="14">
        <f>'A) Base RI'!E207</f>
        <v>0</v>
      </c>
      <c r="I207" s="14">
        <f>'A) Base RI'!F207</f>
        <v>0</v>
      </c>
      <c r="J207" s="14">
        <f>'A) Base RI'!G207+'A) Base RI'!H207</f>
        <v>160642.95000000001</v>
      </c>
      <c r="K207" s="14">
        <f>'A) Base RI'!I207</f>
        <v>989958.33</v>
      </c>
      <c r="L207" s="14">
        <f>'A) Base RI'!J207</f>
        <v>34568.68</v>
      </c>
      <c r="M207" s="14">
        <f>'A) Base RI'!K207</f>
        <v>31225</v>
      </c>
      <c r="N207" s="14">
        <f>'A) Base RI'!Q207</f>
        <v>17873.32</v>
      </c>
      <c r="O207" s="14">
        <f t="shared" si="19"/>
        <v>704062.65</v>
      </c>
      <c r="P207" s="14">
        <f>'A) Base RI'!L207</f>
        <v>704062.65</v>
      </c>
      <c r="Q207" s="44">
        <f>'A) Base RI'!AR207</f>
        <v>1</v>
      </c>
      <c r="R207" s="4">
        <f t="shared" si="20"/>
        <v>13026096.549999999</v>
      </c>
      <c r="S207" s="43">
        <f>'A) Base RI'!AM207</f>
        <v>49</v>
      </c>
      <c r="T207" s="4">
        <f t="shared" si="21"/>
        <v>12290808.899999999</v>
      </c>
      <c r="U207" s="4">
        <f t="shared" si="22"/>
        <v>265838.70510204078</v>
      </c>
      <c r="V207" s="14">
        <f>'A) Base RI'!O207</f>
        <v>71455.600000000006</v>
      </c>
      <c r="W207" s="14">
        <f>'A) Base RI'!P207</f>
        <v>423476.45</v>
      </c>
      <c r="X207" s="14">
        <f>'A) Base RI'!R207</f>
        <v>459637.05</v>
      </c>
      <c r="Y207" s="4">
        <f t="shared" si="23"/>
        <v>954569.10000000009</v>
      </c>
      <c r="Z207" s="14">
        <f>'A) Base RI'!N207</f>
        <v>218003.45</v>
      </c>
      <c r="AA207" s="14">
        <f>'A) Base RI'!S207+'A) Base RI'!T207</f>
        <v>0</v>
      </c>
      <c r="AB207" s="14">
        <f>'A) Base RI'!U207</f>
        <v>6575</v>
      </c>
      <c r="AC207" s="14">
        <f>'A) Base RI'!V207</f>
        <v>0</v>
      </c>
      <c r="AD207" s="14">
        <f>'A) Base RI'!W207</f>
        <v>0</v>
      </c>
      <c r="AE207" s="14">
        <f>'A) Base RI'!Y207</f>
        <v>151333</v>
      </c>
      <c r="AF207" s="14">
        <f>'A) Base RI'!Z207</f>
        <v>0</v>
      </c>
      <c r="AG207" s="14">
        <f>'A) Base RI'!AA207</f>
        <v>77085.600000000006</v>
      </c>
      <c r="AH207" s="14">
        <f>'A) Base RI'!AB207</f>
        <v>0</v>
      </c>
      <c r="AI207" s="14">
        <f>'A) Base RI'!AC207</f>
        <v>201851.15</v>
      </c>
      <c r="AJ207" s="14">
        <f>'A) Base RI'!AD207</f>
        <v>0</v>
      </c>
      <c r="AK207" s="14">
        <f>'A) Base RI'!AE207</f>
        <v>0</v>
      </c>
      <c r="AL207" s="14">
        <f>'A) Base RI'!AF207</f>
        <v>0</v>
      </c>
      <c r="AM207" s="14">
        <f>'A) Base RI'!AG207</f>
        <v>10957.8</v>
      </c>
      <c r="AN207" s="14">
        <f>'A) Base RI'!AH207</f>
        <v>75869.850000000006</v>
      </c>
      <c r="AO207" s="14">
        <f>'A) Base RI'!AI207</f>
        <v>0</v>
      </c>
      <c r="AP207" s="14">
        <f>'A) Base RI'!AJ207</f>
        <v>0</v>
      </c>
      <c r="AQ207" s="14">
        <f>'A) Base RI'!AK207</f>
        <v>0</v>
      </c>
      <c r="AR207" s="14">
        <f>'A) Base RI'!AN207</f>
        <v>1778</v>
      </c>
    </row>
    <row r="208" spans="1:44" x14ac:dyDescent="0.25">
      <c r="A208" s="12">
        <f>'A) Base RI'!A208</f>
        <v>5724</v>
      </c>
      <c r="B208" s="42" t="str">
        <f>'A) Base RI'!B208</f>
        <v>Nyon</v>
      </c>
      <c r="C208" s="14">
        <f>'A) Base RI'!C208+'A) Base RI'!D208</f>
        <v>57177319.030000001</v>
      </c>
      <c r="D208" s="14">
        <f>'A) Base RI'!AO208</f>
        <v>-521541.97</v>
      </c>
      <c r="E208" s="41">
        <f>'A) Base RI'!AP208</f>
        <v>0</v>
      </c>
      <c r="F208" s="41">
        <f>'A) Base RI'!AQ208</f>
        <v>-199767.08</v>
      </c>
      <c r="G208" s="4">
        <f t="shared" si="18"/>
        <v>56456009.980000004</v>
      </c>
      <c r="H208" s="14">
        <f>'A) Base RI'!E208</f>
        <v>0</v>
      </c>
      <c r="I208" s="14">
        <f>'A) Base RI'!F208</f>
        <v>0</v>
      </c>
      <c r="J208" s="14">
        <f>'A) Base RI'!G208+'A) Base RI'!H208</f>
        <v>16951490.849999998</v>
      </c>
      <c r="K208" s="14">
        <f>'A) Base RI'!I208</f>
        <v>1637468.06</v>
      </c>
      <c r="L208" s="14">
        <f>'A) Base RI'!J208</f>
        <v>3382277.22</v>
      </c>
      <c r="M208" s="14">
        <f>'A) Base RI'!K208</f>
        <v>656286.5</v>
      </c>
      <c r="N208" s="14">
        <f>'A) Base RI'!Q208</f>
        <v>320250.38</v>
      </c>
      <c r="O208" s="14">
        <f t="shared" si="19"/>
        <v>4376505.0769230761</v>
      </c>
      <c r="P208" s="14">
        <f>'A) Base RI'!L208</f>
        <v>5689456.5999999996</v>
      </c>
      <c r="Q208" s="44">
        <f>'A) Base RI'!AR208</f>
        <v>1.3</v>
      </c>
      <c r="R208" s="4">
        <f t="shared" si="20"/>
        <v>83780288.066923067</v>
      </c>
      <c r="S208" s="43">
        <f>'A) Base RI'!AM208</f>
        <v>61</v>
      </c>
      <c r="T208" s="4">
        <f t="shared" si="21"/>
        <v>78747496.489999995</v>
      </c>
      <c r="U208" s="4">
        <f t="shared" si="22"/>
        <v>1373447.3453593946</v>
      </c>
      <c r="V208" s="14">
        <f>'A) Base RI'!O208</f>
        <v>1582542.9</v>
      </c>
      <c r="W208" s="14">
        <f>'A) Base RI'!P208</f>
        <v>2755875.4</v>
      </c>
      <c r="X208" s="14">
        <f>'A) Base RI'!R208</f>
        <v>1132300.6000000001</v>
      </c>
      <c r="Y208" s="4">
        <f t="shared" si="23"/>
        <v>5470718.9000000004</v>
      </c>
      <c r="Z208" s="14">
        <f>'A) Base RI'!N208</f>
        <v>4891000</v>
      </c>
      <c r="AA208" s="14">
        <f>'A) Base RI'!S208+'A) Base RI'!T208</f>
        <v>2006.25</v>
      </c>
      <c r="AB208" s="14">
        <f>'A) Base RI'!U208</f>
        <v>36012.25</v>
      </c>
      <c r="AC208" s="14">
        <f>'A) Base RI'!V208</f>
        <v>0</v>
      </c>
      <c r="AD208" s="14">
        <f>'A) Base RI'!W208</f>
        <v>0</v>
      </c>
      <c r="AE208" s="14">
        <f>'A) Base RI'!Y208</f>
        <v>419288.75</v>
      </c>
      <c r="AF208" s="14">
        <f>'A) Base RI'!Z208</f>
        <v>0</v>
      </c>
      <c r="AG208" s="14">
        <f>'A) Base RI'!AA208</f>
        <v>3564969.53</v>
      </c>
      <c r="AH208" s="14">
        <f>'A) Base RI'!AB208</f>
        <v>0</v>
      </c>
      <c r="AI208" s="14">
        <f>'A) Base RI'!AC208</f>
        <v>1891600.83</v>
      </c>
      <c r="AJ208" s="14">
        <f>'A) Base RI'!AD208</f>
        <v>764523.65</v>
      </c>
      <c r="AK208" s="14">
        <f>'A) Base RI'!AE208</f>
        <v>0</v>
      </c>
      <c r="AL208" s="14">
        <f>'A) Base RI'!AF208</f>
        <v>0</v>
      </c>
      <c r="AM208" s="14">
        <f>'A) Base RI'!AG208</f>
        <v>133728</v>
      </c>
      <c r="AN208" s="14">
        <f>'A) Base RI'!AH208</f>
        <v>692585.7</v>
      </c>
      <c r="AO208" s="14">
        <f>'A) Base RI'!AI208</f>
        <v>791502.71</v>
      </c>
      <c r="AP208" s="14">
        <f>'A) Base RI'!AJ208</f>
        <v>470923.33</v>
      </c>
      <c r="AQ208" s="14">
        <f>'A) Base RI'!AK208</f>
        <v>98955.67</v>
      </c>
      <c r="AR208" s="14">
        <f>'A) Base RI'!AN208</f>
        <v>19861</v>
      </c>
    </row>
    <row r="209" spans="1:44" x14ac:dyDescent="0.25">
      <c r="A209" s="12">
        <f>'A) Base RI'!A209</f>
        <v>5725</v>
      </c>
      <c r="B209" s="42" t="str">
        <f>'A) Base RI'!B209</f>
        <v>Prangins</v>
      </c>
      <c r="C209" s="14">
        <f>'A) Base RI'!C209+'A) Base RI'!D209</f>
        <v>12893660.67</v>
      </c>
      <c r="D209" s="14">
        <f>'A) Base RI'!AO209</f>
        <v>-55262.8</v>
      </c>
      <c r="E209" s="41">
        <f>'A) Base RI'!AP209</f>
        <v>0</v>
      </c>
      <c r="F209" s="41">
        <f>'A) Base RI'!AQ209</f>
        <v>-28530.21</v>
      </c>
      <c r="G209" s="4">
        <f t="shared" si="18"/>
        <v>12809867.659999998</v>
      </c>
      <c r="H209" s="14">
        <f>'A) Base RI'!E209</f>
        <v>0</v>
      </c>
      <c r="I209" s="14">
        <f>'A) Base RI'!F209</f>
        <v>0</v>
      </c>
      <c r="J209" s="14">
        <f>'A) Base RI'!G209+'A) Base RI'!H209</f>
        <v>1123605.3499999999</v>
      </c>
      <c r="K209" s="14">
        <f>'A) Base RI'!I209</f>
        <v>522533.25</v>
      </c>
      <c r="L209" s="14">
        <f>'A) Base RI'!J209</f>
        <v>38579.480000000003</v>
      </c>
      <c r="M209" s="14">
        <f>'A) Base RI'!K209</f>
        <v>59405</v>
      </c>
      <c r="N209" s="14">
        <f>'A) Base RI'!Q209</f>
        <v>6125.99</v>
      </c>
      <c r="O209" s="14">
        <f t="shared" si="19"/>
        <v>1067870.9285714286</v>
      </c>
      <c r="P209" s="14">
        <f>'A) Base RI'!L209</f>
        <v>1495019.3</v>
      </c>
      <c r="Q209" s="44">
        <f>'A) Base RI'!AR209</f>
        <v>1.4</v>
      </c>
      <c r="R209" s="4">
        <f t="shared" si="20"/>
        <v>15627987.658571428</v>
      </c>
      <c r="S209" s="43">
        <f>'A) Base RI'!AM209</f>
        <v>56</v>
      </c>
      <c r="T209" s="4">
        <f t="shared" si="21"/>
        <v>14500711.729999999</v>
      </c>
      <c r="U209" s="4">
        <f t="shared" si="22"/>
        <v>279071.20818877552</v>
      </c>
      <c r="V209" s="14">
        <f>'A) Base RI'!O209</f>
        <v>26361.599999999999</v>
      </c>
      <c r="W209" s="14">
        <f>'A) Base RI'!P209</f>
        <v>543925.94999999995</v>
      </c>
      <c r="X209" s="14">
        <f>'A) Base RI'!R209</f>
        <v>1205014.8</v>
      </c>
      <c r="Y209" s="4">
        <f t="shared" si="23"/>
        <v>1775302.35</v>
      </c>
      <c r="Z209" s="14">
        <f>'A) Base RI'!N209</f>
        <v>996592</v>
      </c>
      <c r="AA209" s="14">
        <f>'A) Base RI'!S209+'A) Base RI'!T209</f>
        <v>218.75</v>
      </c>
      <c r="AB209" s="14">
        <f>'A) Base RI'!U209</f>
        <v>16135</v>
      </c>
      <c r="AC209" s="14">
        <f>'A) Base RI'!V209</f>
        <v>0</v>
      </c>
      <c r="AD209" s="14">
        <f>'A) Base RI'!W209</f>
        <v>0</v>
      </c>
      <c r="AE209" s="14">
        <f>'A) Base RI'!Y209</f>
        <v>54235.64</v>
      </c>
      <c r="AF209" s="14">
        <f>'A) Base RI'!Z209</f>
        <v>0</v>
      </c>
      <c r="AG209" s="14">
        <f>'A) Base RI'!AA209</f>
        <v>332848.56</v>
      </c>
      <c r="AH209" s="14">
        <f>'A) Base RI'!AB209</f>
        <v>0</v>
      </c>
      <c r="AI209" s="14">
        <f>'A) Base RI'!AC209</f>
        <v>228119.21</v>
      </c>
      <c r="AJ209" s="14">
        <f>'A) Base RI'!AD209</f>
        <v>0</v>
      </c>
      <c r="AK209" s="14">
        <f>'A) Base RI'!AE209</f>
        <v>0</v>
      </c>
      <c r="AL209" s="14">
        <f>'A) Base RI'!AF209</f>
        <v>0</v>
      </c>
      <c r="AM209" s="14">
        <f>'A) Base RI'!AG209</f>
        <v>48584.6</v>
      </c>
      <c r="AN209" s="14">
        <f>'A) Base RI'!AH209</f>
        <v>0</v>
      </c>
      <c r="AO209" s="14">
        <f>'A) Base RI'!AI209</f>
        <v>0</v>
      </c>
      <c r="AP209" s="14">
        <f>'A) Base RI'!AJ209</f>
        <v>0</v>
      </c>
      <c r="AQ209" s="14">
        <f>'A) Base RI'!AK209</f>
        <v>0</v>
      </c>
      <c r="AR209" s="14">
        <f>'A) Base RI'!AN209</f>
        <v>3976</v>
      </c>
    </row>
    <row r="210" spans="1:44" x14ac:dyDescent="0.25">
      <c r="A210" s="12">
        <f>'A) Base RI'!A210</f>
        <v>5726</v>
      </c>
      <c r="B210" s="42" t="str">
        <f>'A) Base RI'!B210</f>
        <v>La Rippe</v>
      </c>
      <c r="C210" s="14">
        <f>'A) Base RI'!C210+'A) Base RI'!D210</f>
        <v>3671981.6100000003</v>
      </c>
      <c r="D210" s="14">
        <f>'A) Base RI'!AO210</f>
        <v>-24530.09</v>
      </c>
      <c r="E210" s="41">
        <f>'A) Base RI'!AP210</f>
        <v>0</v>
      </c>
      <c r="F210" s="41">
        <f>'A) Base RI'!AQ210</f>
        <v>-1525.53</v>
      </c>
      <c r="G210" s="4">
        <f t="shared" si="18"/>
        <v>3645925.9900000007</v>
      </c>
      <c r="H210" s="14">
        <f>'A) Base RI'!E210</f>
        <v>0</v>
      </c>
      <c r="I210" s="14">
        <f>'A) Base RI'!F210</f>
        <v>0</v>
      </c>
      <c r="J210" s="14">
        <f>'A) Base RI'!G210+'A) Base RI'!H210</f>
        <v>28376.550000000003</v>
      </c>
      <c r="K210" s="14">
        <f>'A) Base RI'!I210</f>
        <v>-6858.65</v>
      </c>
      <c r="L210" s="14">
        <f>'A) Base RI'!J210</f>
        <v>31945.15</v>
      </c>
      <c r="M210" s="14">
        <f>'A) Base RI'!K210</f>
        <v>4096.5</v>
      </c>
      <c r="N210" s="14">
        <f>'A) Base RI'!Q210</f>
        <v>2844.02</v>
      </c>
      <c r="O210" s="14">
        <f t="shared" si="19"/>
        <v>221625.3</v>
      </c>
      <c r="P210" s="14">
        <f>'A) Base RI'!L210</f>
        <v>221625.3</v>
      </c>
      <c r="Q210" s="44">
        <f>'A) Base RI'!AR210</f>
        <v>1</v>
      </c>
      <c r="R210" s="4">
        <f t="shared" si="20"/>
        <v>3927954.8600000003</v>
      </c>
      <c r="S210" s="43">
        <f>'A) Base RI'!AM210</f>
        <v>65</v>
      </c>
      <c r="T210" s="4">
        <f t="shared" si="21"/>
        <v>3702233.0600000005</v>
      </c>
      <c r="U210" s="4">
        <f t="shared" si="22"/>
        <v>60430.074769230778</v>
      </c>
      <c r="V210" s="14">
        <f>'A) Base RI'!O210</f>
        <v>14619</v>
      </c>
      <c r="W210" s="14">
        <f>'A) Base RI'!P210</f>
        <v>204285.55</v>
      </c>
      <c r="X210" s="14">
        <f>'A) Base RI'!R210</f>
        <v>166791.29999999999</v>
      </c>
      <c r="Y210" s="4">
        <f t="shared" si="23"/>
        <v>385695.85</v>
      </c>
      <c r="Z210" s="14">
        <f>'A) Base RI'!N210</f>
        <v>22371.45</v>
      </c>
      <c r="AA210" s="14">
        <f>'A) Base RI'!S210+'A) Base RI'!T210</f>
        <v>0</v>
      </c>
      <c r="AB210" s="14">
        <f>'A) Base RI'!U210</f>
        <v>8700</v>
      </c>
      <c r="AC210" s="14">
        <f>'A) Base RI'!V210</f>
        <v>0</v>
      </c>
      <c r="AD210" s="14">
        <f>'A) Base RI'!W210</f>
        <v>0</v>
      </c>
      <c r="AE210" s="14">
        <f>'A) Base RI'!Y210</f>
        <v>89640</v>
      </c>
      <c r="AF210" s="14">
        <f>'A) Base RI'!Z210</f>
        <v>-10936</v>
      </c>
      <c r="AG210" s="14">
        <f>'A) Base RI'!AA210</f>
        <v>139020.9</v>
      </c>
      <c r="AH210" s="14">
        <f>'A) Base RI'!AB210</f>
        <v>0</v>
      </c>
      <c r="AI210" s="14">
        <f>'A) Base RI'!AC210</f>
        <v>81787.649999999994</v>
      </c>
      <c r="AJ210" s="14">
        <f>'A) Base RI'!AD210</f>
        <v>77911.8</v>
      </c>
      <c r="AK210" s="14">
        <f>'A) Base RI'!AE210</f>
        <v>-6565</v>
      </c>
      <c r="AL210" s="14">
        <f>'A) Base RI'!AF210</f>
        <v>0</v>
      </c>
      <c r="AM210" s="14">
        <f>'A) Base RI'!AG210</f>
        <v>8329.75</v>
      </c>
      <c r="AN210" s="14">
        <f>'A) Base RI'!AH210</f>
        <v>0</v>
      </c>
      <c r="AO210" s="14">
        <f>'A) Base RI'!AI210</f>
        <v>0</v>
      </c>
      <c r="AP210" s="14">
        <f>'A) Base RI'!AJ210</f>
        <v>0</v>
      </c>
      <c r="AQ210" s="14">
        <f>'A) Base RI'!AK210</f>
        <v>0</v>
      </c>
      <c r="AR210" s="14">
        <f>'A) Base RI'!AN210</f>
        <v>1104</v>
      </c>
    </row>
    <row r="211" spans="1:44" x14ac:dyDescent="0.25">
      <c r="A211" s="12">
        <f>'A) Base RI'!A211</f>
        <v>5727</v>
      </c>
      <c r="B211" s="42" t="str">
        <f>'A) Base RI'!B211</f>
        <v>Saint-Cergue</v>
      </c>
      <c r="C211" s="14">
        <f>'A) Base RI'!C211+'A) Base RI'!D211</f>
        <v>5319181.34</v>
      </c>
      <c r="D211" s="14">
        <f>'A) Base RI'!AO211</f>
        <v>-147990.35999999999</v>
      </c>
      <c r="E211" s="41">
        <f>'A) Base RI'!AP211</f>
        <v>0</v>
      </c>
      <c r="F211" s="41">
        <f>'A) Base RI'!AQ211</f>
        <v>-218.69</v>
      </c>
      <c r="G211" s="4">
        <f t="shared" si="18"/>
        <v>5170972.2899999991</v>
      </c>
      <c r="H211" s="14">
        <f>'A) Base RI'!E211</f>
        <v>0</v>
      </c>
      <c r="I211" s="14">
        <f>'A) Base RI'!F211</f>
        <v>0</v>
      </c>
      <c r="J211" s="14">
        <f>'A) Base RI'!G211+'A) Base RI'!H211</f>
        <v>111249.3</v>
      </c>
      <c r="K211" s="14">
        <f>'A) Base RI'!I211</f>
        <v>126541</v>
      </c>
      <c r="L211" s="14">
        <f>'A) Base RI'!J211</f>
        <v>202857</v>
      </c>
      <c r="M211" s="14">
        <f>'A) Base RI'!K211</f>
        <v>7141</v>
      </c>
      <c r="N211" s="14">
        <f>'A) Base RI'!Q211</f>
        <v>32175.200000000001</v>
      </c>
      <c r="O211" s="14">
        <f t="shared" si="19"/>
        <v>446445.93333333335</v>
      </c>
      <c r="P211" s="14">
        <f>'A) Base RI'!L211</f>
        <v>669668.9</v>
      </c>
      <c r="Q211" s="44">
        <f>'A) Base RI'!AR211</f>
        <v>1.5</v>
      </c>
      <c r="R211" s="4">
        <f t="shared" si="20"/>
        <v>6097381.7233333327</v>
      </c>
      <c r="S211" s="43">
        <f>'A) Base RI'!AM211</f>
        <v>66</v>
      </c>
      <c r="T211" s="4">
        <f t="shared" si="21"/>
        <v>5643794.7899999991</v>
      </c>
      <c r="U211" s="4">
        <f t="shared" si="22"/>
        <v>92384.571565656559</v>
      </c>
      <c r="V211" s="14">
        <f>'A) Base RI'!O211</f>
        <v>74954.2</v>
      </c>
      <c r="W211" s="14">
        <f>'A) Base RI'!P211</f>
        <v>318398.55</v>
      </c>
      <c r="X211" s="14">
        <f>'A) Base RI'!R211</f>
        <v>218126.2</v>
      </c>
      <c r="Y211" s="4">
        <f t="shared" si="23"/>
        <v>611478.94999999995</v>
      </c>
      <c r="Z211" s="14">
        <f>'A) Base RI'!N211</f>
        <v>157271.15</v>
      </c>
      <c r="AA211" s="14">
        <f>'A) Base RI'!S211+'A) Base RI'!T211</f>
        <v>231.25</v>
      </c>
      <c r="AB211" s="14">
        <f>'A) Base RI'!U211</f>
        <v>10825</v>
      </c>
      <c r="AC211" s="14">
        <f>'A) Base RI'!V211</f>
        <v>0</v>
      </c>
      <c r="AD211" s="14">
        <f>'A) Base RI'!W211</f>
        <v>0</v>
      </c>
      <c r="AE211" s="14">
        <f>'A) Base RI'!Y211</f>
        <v>0</v>
      </c>
      <c r="AF211" s="14">
        <f>'A) Base RI'!Z211</f>
        <v>11476</v>
      </c>
      <c r="AG211" s="14">
        <f>'A) Base RI'!AA211</f>
        <v>309790.02</v>
      </c>
      <c r="AH211" s="14">
        <f>'A) Base RI'!AB211</f>
        <v>0</v>
      </c>
      <c r="AI211" s="14">
        <f>'A) Base RI'!AC211</f>
        <v>249613.05</v>
      </c>
      <c r="AJ211" s="14">
        <f>'A) Base RI'!AD211</f>
        <v>11476</v>
      </c>
      <c r="AK211" s="14">
        <f>'A) Base RI'!AE211</f>
        <v>0</v>
      </c>
      <c r="AL211" s="14">
        <f>'A) Base RI'!AF211</f>
        <v>0</v>
      </c>
      <c r="AM211" s="14">
        <f>'A) Base RI'!AG211</f>
        <v>48300.35</v>
      </c>
      <c r="AN211" s="14">
        <f>'A) Base RI'!AH211</f>
        <v>0</v>
      </c>
      <c r="AO211" s="14">
        <f>'A) Base RI'!AI211</f>
        <v>0</v>
      </c>
      <c r="AP211" s="14">
        <f>'A) Base RI'!AJ211</f>
        <v>0</v>
      </c>
      <c r="AQ211" s="14">
        <f>'A) Base RI'!AK211</f>
        <v>0</v>
      </c>
      <c r="AR211" s="14">
        <f>'A) Base RI'!AN211</f>
        <v>2406</v>
      </c>
    </row>
    <row r="212" spans="1:44" x14ac:dyDescent="0.25">
      <c r="A212" s="12">
        <f>'A) Base RI'!A212</f>
        <v>5728</v>
      </c>
      <c r="B212" s="42" t="str">
        <f>'A) Base RI'!B212</f>
        <v>Signy-Avenex</v>
      </c>
      <c r="C212" s="14">
        <f>'A) Base RI'!C212+'A) Base RI'!D212</f>
        <v>1110252.1300000001</v>
      </c>
      <c r="D212" s="14">
        <f>'A) Base RI'!AO212</f>
        <v>-8924.86</v>
      </c>
      <c r="E212" s="41">
        <f>'A) Base RI'!AP212</f>
        <v>0</v>
      </c>
      <c r="F212" s="41">
        <f>'A) Base RI'!AQ212</f>
        <v>-259.32</v>
      </c>
      <c r="G212" s="4">
        <f t="shared" si="18"/>
        <v>1101067.95</v>
      </c>
      <c r="H212" s="14">
        <f>'A) Base RI'!E212</f>
        <v>0</v>
      </c>
      <c r="I212" s="14">
        <f>'A) Base RI'!F212</f>
        <v>0</v>
      </c>
      <c r="J212" s="14">
        <f>'A) Base RI'!G212+'A) Base RI'!H212</f>
        <v>288703.90000000002</v>
      </c>
      <c r="K212" s="14">
        <f>'A) Base RI'!I212</f>
        <v>34060.9</v>
      </c>
      <c r="L212" s="14">
        <f>'A) Base RI'!J212</f>
        <v>78418.33</v>
      </c>
      <c r="M212" s="14">
        <f>'A) Base RI'!K212</f>
        <v>50366.5</v>
      </c>
      <c r="N212" s="14">
        <f>'A) Base RI'!Q212</f>
        <v>0</v>
      </c>
      <c r="O212" s="14">
        <f t="shared" si="19"/>
        <v>193759.9</v>
      </c>
      <c r="P212" s="14">
        <f>'A) Base RI'!L212</f>
        <v>193759.9</v>
      </c>
      <c r="Q212" s="44">
        <f>'A) Base RI'!AR212</f>
        <v>1</v>
      </c>
      <c r="R212" s="4">
        <f t="shared" si="20"/>
        <v>1746377.48</v>
      </c>
      <c r="S212" s="43">
        <f>'A) Base RI'!AM212</f>
        <v>56</v>
      </c>
      <c r="T212" s="4">
        <f t="shared" si="21"/>
        <v>1502251.08</v>
      </c>
      <c r="U212" s="4">
        <f t="shared" si="22"/>
        <v>31185.312142857143</v>
      </c>
      <c r="V212" s="14">
        <f>'A) Base RI'!O212</f>
        <v>0</v>
      </c>
      <c r="W212" s="14">
        <f>'A) Base RI'!P212</f>
        <v>61105</v>
      </c>
      <c r="X212" s="14">
        <f>'A) Base RI'!R212</f>
        <v>136666.20000000001</v>
      </c>
      <c r="Y212" s="4">
        <f t="shared" si="23"/>
        <v>197771.2</v>
      </c>
      <c r="Z212" s="14">
        <f>'A) Base RI'!N212</f>
        <v>181412</v>
      </c>
      <c r="AA212" s="14">
        <f>'A) Base RI'!S212+'A) Base RI'!T212</f>
        <v>1006.25</v>
      </c>
      <c r="AB212" s="14">
        <f>'A) Base RI'!U212</f>
        <v>1475</v>
      </c>
      <c r="AC212" s="14">
        <f>'A) Base RI'!V212</f>
        <v>0</v>
      </c>
      <c r="AD212" s="14">
        <f>'A) Base RI'!W212</f>
        <v>0</v>
      </c>
      <c r="AE212" s="14">
        <f>'A) Base RI'!Y212</f>
        <v>104678.2</v>
      </c>
      <c r="AF212" s="14">
        <f>'A) Base RI'!Z212</f>
        <v>0</v>
      </c>
      <c r="AG212" s="14">
        <f>'A) Base RI'!AA212</f>
        <v>87720.71</v>
      </c>
      <c r="AH212" s="14">
        <f>'A) Base RI'!AB212</f>
        <v>0</v>
      </c>
      <c r="AI212" s="14">
        <f>'A) Base RI'!AC212</f>
        <v>28233.3</v>
      </c>
      <c r="AJ212" s="14">
        <f>'A) Base RI'!AD212</f>
        <v>0</v>
      </c>
      <c r="AK212" s="14">
        <f>'A) Base RI'!AE212</f>
        <v>0</v>
      </c>
      <c r="AL212" s="14">
        <f>'A) Base RI'!AF212</f>
        <v>0</v>
      </c>
      <c r="AM212" s="14">
        <f>'A) Base RI'!AG212</f>
        <v>0</v>
      </c>
      <c r="AN212" s="14">
        <f>'A) Base RI'!AH212</f>
        <v>55700.75</v>
      </c>
      <c r="AO212" s="14">
        <f>'A) Base RI'!AI212</f>
        <v>0</v>
      </c>
      <c r="AP212" s="14">
        <f>'A) Base RI'!AJ212</f>
        <v>0</v>
      </c>
      <c r="AQ212" s="14">
        <f>'A) Base RI'!AK212</f>
        <v>0</v>
      </c>
      <c r="AR212" s="14">
        <f>'A) Base RI'!AN212</f>
        <v>481</v>
      </c>
    </row>
    <row r="213" spans="1:44" x14ac:dyDescent="0.25">
      <c r="A213" s="12">
        <f>'A) Base RI'!A213</f>
        <v>5729</v>
      </c>
      <c r="B213" s="42" t="str">
        <f>'A) Base RI'!B213</f>
        <v>Tannay</v>
      </c>
      <c r="C213" s="14">
        <f>'A) Base RI'!C213+'A) Base RI'!D213</f>
        <v>7263146.6100000003</v>
      </c>
      <c r="D213" s="14">
        <f>'A) Base RI'!AO213</f>
        <v>-21485</v>
      </c>
      <c r="E213" s="41">
        <f>'A) Base RI'!AP213</f>
        <v>0</v>
      </c>
      <c r="F213" s="41">
        <f>'A) Base RI'!AQ213</f>
        <v>-6317.41</v>
      </c>
      <c r="G213" s="4">
        <f t="shared" si="18"/>
        <v>7235344.2000000002</v>
      </c>
      <c r="H213" s="14">
        <f>'A) Base RI'!E213</f>
        <v>0</v>
      </c>
      <c r="I213" s="14">
        <f>'A) Base RI'!F213</f>
        <v>0</v>
      </c>
      <c r="J213" s="14">
        <f>'A) Base RI'!G213+'A) Base RI'!H213</f>
        <v>411353.59999999998</v>
      </c>
      <c r="K213" s="14">
        <f>'A) Base RI'!I213</f>
        <v>127592.9</v>
      </c>
      <c r="L213" s="14">
        <f>'A) Base RI'!J213</f>
        <v>133762.49</v>
      </c>
      <c r="M213" s="14">
        <f>'A) Base RI'!K213</f>
        <v>2973</v>
      </c>
      <c r="N213" s="14">
        <f>'A) Base RI'!Q213</f>
        <v>9473.92</v>
      </c>
      <c r="O213" s="14">
        <f t="shared" si="19"/>
        <v>524222.26666666666</v>
      </c>
      <c r="P213" s="14">
        <f>'A) Base RI'!L213</f>
        <v>786333.4</v>
      </c>
      <c r="Q213" s="44">
        <f>'A) Base RI'!AR213</f>
        <v>1.5</v>
      </c>
      <c r="R213" s="4">
        <f t="shared" si="20"/>
        <v>8444722.3766666669</v>
      </c>
      <c r="S213" s="43">
        <f>'A) Base RI'!AM213</f>
        <v>61</v>
      </c>
      <c r="T213" s="4">
        <f t="shared" si="21"/>
        <v>7917527.1100000003</v>
      </c>
      <c r="U213" s="4">
        <f t="shared" si="22"/>
        <v>138438.0717486339</v>
      </c>
      <c r="V213" s="14">
        <f>'A) Base RI'!O213</f>
        <v>0</v>
      </c>
      <c r="W213" s="14">
        <f>'A) Base RI'!P213</f>
        <v>216006.7</v>
      </c>
      <c r="X213" s="14">
        <f>'A) Base RI'!R213</f>
        <v>333615.59999999998</v>
      </c>
      <c r="Y213" s="4">
        <f t="shared" si="23"/>
        <v>549622.30000000005</v>
      </c>
      <c r="Z213" s="14">
        <f>'A) Base RI'!N213</f>
        <v>25348.799999999999</v>
      </c>
      <c r="AA213" s="14">
        <f>'A) Base RI'!S213+'A) Base RI'!T213</f>
        <v>0</v>
      </c>
      <c r="AB213" s="14">
        <f>'A) Base RI'!U213</f>
        <v>7240</v>
      </c>
      <c r="AC213" s="14">
        <f>'A) Base RI'!V213</f>
        <v>0</v>
      </c>
      <c r="AD213" s="14">
        <f>'A) Base RI'!W213</f>
        <v>0</v>
      </c>
      <c r="AE213" s="14">
        <f>'A) Base RI'!Y213</f>
        <v>26054.65</v>
      </c>
      <c r="AF213" s="14">
        <f>'A) Base RI'!Z213</f>
        <v>0</v>
      </c>
      <c r="AG213" s="14">
        <f>'A) Base RI'!AA213</f>
        <v>0</v>
      </c>
      <c r="AH213" s="14">
        <f>'A) Base RI'!AB213</f>
        <v>87609.56</v>
      </c>
      <c r="AI213" s="14">
        <f>'A) Base RI'!AC213</f>
        <v>152295.15</v>
      </c>
      <c r="AJ213" s="14">
        <f>'A) Base RI'!AD213</f>
        <v>0</v>
      </c>
      <c r="AK213" s="14">
        <f>'A) Base RI'!AE213</f>
        <v>0</v>
      </c>
      <c r="AL213" s="14">
        <f>'A) Base RI'!AF213</f>
        <v>0</v>
      </c>
      <c r="AM213" s="14">
        <f>'A) Base RI'!AG213</f>
        <v>971</v>
      </c>
      <c r="AN213" s="14">
        <f>'A) Base RI'!AH213</f>
        <v>0</v>
      </c>
      <c r="AO213" s="14">
        <f>'A) Base RI'!AI213</f>
        <v>0</v>
      </c>
      <c r="AP213" s="14">
        <f>'A) Base RI'!AJ213</f>
        <v>0</v>
      </c>
      <c r="AQ213" s="14">
        <f>'A) Base RI'!AK213</f>
        <v>0</v>
      </c>
      <c r="AR213" s="14">
        <f>'A) Base RI'!AN213</f>
        <v>1448</v>
      </c>
    </row>
    <row r="214" spans="1:44" x14ac:dyDescent="0.25">
      <c r="A214" s="12">
        <f>'A) Base RI'!A214</f>
        <v>5730</v>
      </c>
      <c r="B214" s="42" t="str">
        <f>'A) Base RI'!B214</f>
        <v>Trélex</v>
      </c>
      <c r="C214" s="14">
        <f>'A) Base RI'!C214+'A) Base RI'!D214</f>
        <v>7431348.4800000004</v>
      </c>
      <c r="D214" s="14">
        <f>'A) Base RI'!AO214</f>
        <v>-11324.45</v>
      </c>
      <c r="E214" s="41">
        <f>'A) Base RI'!AP214</f>
        <v>0</v>
      </c>
      <c r="F214" s="41">
        <f>'A) Base RI'!AQ214</f>
        <v>-4222.2299999999996</v>
      </c>
      <c r="G214" s="4">
        <f t="shared" si="18"/>
        <v>7415801.7999999998</v>
      </c>
      <c r="H214" s="14">
        <f>'A) Base RI'!E214</f>
        <v>0</v>
      </c>
      <c r="I214" s="14">
        <f>'A) Base RI'!F214</f>
        <v>0</v>
      </c>
      <c r="J214" s="14">
        <f>'A) Base RI'!G214+'A) Base RI'!H214</f>
        <v>2888.05</v>
      </c>
      <c r="K214" s="14">
        <f>'A) Base RI'!I214</f>
        <v>-20448</v>
      </c>
      <c r="L214" s="14">
        <f>'A) Base RI'!J214</f>
        <v>115992.21</v>
      </c>
      <c r="M214" s="14">
        <f>'A) Base RI'!K214</f>
        <v>4566</v>
      </c>
      <c r="N214" s="14">
        <f>'A) Base RI'!Q214</f>
        <v>4918.3900000000003</v>
      </c>
      <c r="O214" s="14">
        <f t="shared" si="19"/>
        <v>374457</v>
      </c>
      <c r="P214" s="14">
        <f>'A) Base RI'!L214</f>
        <v>337011.3</v>
      </c>
      <c r="Q214" s="44">
        <f>'A) Base RI'!AR214</f>
        <v>0.9</v>
      </c>
      <c r="R214" s="4">
        <f t="shared" si="20"/>
        <v>7898175.4499999993</v>
      </c>
      <c r="S214" s="43">
        <f>'A) Base RI'!AM214</f>
        <v>53</v>
      </c>
      <c r="T214" s="4">
        <f t="shared" si="21"/>
        <v>7519152.4499999993</v>
      </c>
      <c r="U214" s="4">
        <f t="shared" si="22"/>
        <v>149022.17830188677</v>
      </c>
      <c r="V214" s="14">
        <f>'A) Base RI'!O214</f>
        <v>0</v>
      </c>
      <c r="W214" s="14">
        <f>'A) Base RI'!P214</f>
        <v>142081.70000000001</v>
      </c>
      <c r="X214" s="14">
        <f>'A) Base RI'!R214</f>
        <v>190549.25</v>
      </c>
      <c r="Y214" s="4">
        <f t="shared" si="23"/>
        <v>332630.95</v>
      </c>
      <c r="Z214" s="14">
        <f>'A) Base RI'!N214</f>
        <v>10359.65</v>
      </c>
      <c r="AA214" s="14">
        <f>'A) Base RI'!S214+'A) Base RI'!T214</f>
        <v>56.3</v>
      </c>
      <c r="AB214" s="14">
        <f>'A) Base RI'!U214</f>
        <v>4600</v>
      </c>
      <c r="AC214" s="14">
        <f>'A) Base RI'!V214</f>
        <v>0</v>
      </c>
      <c r="AD214" s="14">
        <f>'A) Base RI'!W214</f>
        <v>0</v>
      </c>
      <c r="AE214" s="14">
        <f>'A) Base RI'!Y214</f>
        <v>21859.25</v>
      </c>
      <c r="AF214" s="14">
        <f>'A) Base RI'!Z214</f>
        <v>0</v>
      </c>
      <c r="AG214" s="14">
        <f>'A) Base RI'!AA214</f>
        <v>160717</v>
      </c>
      <c r="AH214" s="14">
        <f>'A) Base RI'!AB214</f>
        <v>0</v>
      </c>
      <c r="AI214" s="14">
        <f>'A) Base RI'!AC214</f>
        <v>125050.2</v>
      </c>
      <c r="AJ214" s="14">
        <f>'A) Base RI'!AD214</f>
        <v>35700.199999999997</v>
      </c>
      <c r="AK214" s="14">
        <f>'A) Base RI'!AE214</f>
        <v>0</v>
      </c>
      <c r="AL214" s="14">
        <f>'A) Base RI'!AF214</f>
        <v>0</v>
      </c>
      <c r="AM214" s="14">
        <f>'A) Base RI'!AG214</f>
        <v>0</v>
      </c>
      <c r="AN214" s="14">
        <f>'A) Base RI'!AH214</f>
        <v>0</v>
      </c>
      <c r="AO214" s="14">
        <f>'A) Base RI'!AI214</f>
        <v>0</v>
      </c>
      <c r="AP214" s="14">
        <f>'A) Base RI'!AJ214</f>
        <v>0</v>
      </c>
      <c r="AQ214" s="14">
        <f>'A) Base RI'!AK214</f>
        <v>0</v>
      </c>
      <c r="AR214" s="14">
        <f>'A) Base RI'!AN214</f>
        <v>1394</v>
      </c>
    </row>
    <row r="215" spans="1:44" x14ac:dyDescent="0.25">
      <c r="A215" s="12">
        <f>'A) Base RI'!A215</f>
        <v>5731</v>
      </c>
      <c r="B215" s="42" t="str">
        <f>'A) Base RI'!B215</f>
        <v>Le Vaud</v>
      </c>
      <c r="C215" s="14">
        <f>'A) Base RI'!C215+'A) Base RI'!D215</f>
        <v>3235682.77</v>
      </c>
      <c r="D215" s="14">
        <f>'A) Base RI'!AO215</f>
        <v>-17636.79</v>
      </c>
      <c r="E215" s="41">
        <f>'A) Base RI'!AP215</f>
        <v>0</v>
      </c>
      <c r="F215" s="41">
        <f>'A) Base RI'!AQ215</f>
        <v>-29.96</v>
      </c>
      <c r="G215" s="4">
        <f t="shared" si="18"/>
        <v>3218016.02</v>
      </c>
      <c r="H215" s="14">
        <f>'A) Base RI'!E215</f>
        <v>0</v>
      </c>
      <c r="I215" s="14">
        <f>'A) Base RI'!F215</f>
        <v>0</v>
      </c>
      <c r="J215" s="14">
        <f>'A) Base RI'!G215+'A) Base RI'!H215</f>
        <v>10006</v>
      </c>
      <c r="K215" s="14">
        <f>'A) Base RI'!I215</f>
        <v>36309.35</v>
      </c>
      <c r="L215" s="14">
        <f>'A) Base RI'!J215</f>
        <v>-25474.99</v>
      </c>
      <c r="M215" s="14">
        <f>'A) Base RI'!K215</f>
        <v>4402</v>
      </c>
      <c r="N215" s="14">
        <f>'A) Base RI'!Q215</f>
        <v>14279.83</v>
      </c>
      <c r="O215" s="14">
        <f t="shared" si="19"/>
        <v>226203</v>
      </c>
      <c r="P215" s="14">
        <f>'A) Base RI'!L215</f>
        <v>339304.5</v>
      </c>
      <c r="Q215" s="44">
        <f>'A) Base RI'!AR215</f>
        <v>1.5</v>
      </c>
      <c r="R215" s="4">
        <f t="shared" si="20"/>
        <v>3483741.21</v>
      </c>
      <c r="S215" s="43">
        <f>'A) Base RI'!AM215</f>
        <v>75</v>
      </c>
      <c r="T215" s="4">
        <f t="shared" si="21"/>
        <v>3253136.21</v>
      </c>
      <c r="U215" s="4">
        <f t="shared" si="22"/>
        <v>46449.882799999999</v>
      </c>
      <c r="V215" s="14">
        <f>'A) Base RI'!O215</f>
        <v>0</v>
      </c>
      <c r="W215" s="14">
        <f>'A) Base RI'!P215</f>
        <v>124208.85</v>
      </c>
      <c r="X215" s="14">
        <f>'A) Base RI'!R215</f>
        <v>165145.15</v>
      </c>
      <c r="Y215" s="4">
        <f t="shared" si="23"/>
        <v>289354</v>
      </c>
      <c r="Z215" s="14">
        <f>'A) Base RI'!N215</f>
        <v>21792.5</v>
      </c>
      <c r="AA215" s="14">
        <f>'A) Base RI'!S215+'A) Base RI'!T215</f>
        <v>1239.25</v>
      </c>
      <c r="AB215" s="14">
        <f>'A) Base RI'!U215</f>
        <v>10950</v>
      </c>
      <c r="AC215" s="14">
        <f>'A) Base RI'!V215</f>
        <v>0</v>
      </c>
      <c r="AD215" s="14">
        <f>'A) Base RI'!W215</f>
        <v>0</v>
      </c>
      <c r="AE215" s="14">
        <f>'A) Base RI'!Y215</f>
        <v>55057</v>
      </c>
      <c r="AF215" s="14">
        <f>'A) Base RI'!Z215</f>
        <v>0</v>
      </c>
      <c r="AG215" s="14">
        <f>'A) Base RI'!AA215</f>
        <v>161682</v>
      </c>
      <c r="AH215" s="14">
        <f>'A) Base RI'!AB215</f>
        <v>0</v>
      </c>
      <c r="AI215" s="14">
        <f>'A) Base RI'!AC215</f>
        <v>108960</v>
      </c>
      <c r="AJ215" s="14">
        <f>'A) Base RI'!AD215</f>
        <v>51761</v>
      </c>
      <c r="AK215" s="14">
        <f>'A) Base RI'!AE215</f>
        <v>0</v>
      </c>
      <c r="AL215" s="14">
        <f>'A) Base RI'!AF215</f>
        <v>0</v>
      </c>
      <c r="AM215" s="14">
        <f>'A) Base RI'!AG215</f>
        <v>10195</v>
      </c>
      <c r="AN215" s="14">
        <f>'A) Base RI'!AH215</f>
        <v>0</v>
      </c>
      <c r="AO215" s="14">
        <f>'A) Base RI'!AI215</f>
        <v>0</v>
      </c>
      <c r="AP215" s="14">
        <f>'A) Base RI'!AJ215</f>
        <v>0</v>
      </c>
      <c r="AQ215" s="14">
        <f>'A) Base RI'!AK215</f>
        <v>0</v>
      </c>
      <c r="AR215" s="14">
        <f>'A) Base RI'!AN215</f>
        <v>1243</v>
      </c>
    </row>
    <row r="216" spans="1:44" x14ac:dyDescent="0.25">
      <c r="A216" s="12">
        <f>'A) Base RI'!A216</f>
        <v>5732</v>
      </c>
      <c r="B216" s="42" t="str">
        <f>'A) Base RI'!B216</f>
        <v>Vich</v>
      </c>
      <c r="C216" s="14">
        <f>'A) Base RI'!C216+'A) Base RI'!D216</f>
        <v>3278284.0300000003</v>
      </c>
      <c r="D216" s="14">
        <f>'A) Base RI'!AO216</f>
        <v>-105271.01</v>
      </c>
      <c r="E216" s="41">
        <f>'A) Base RI'!AP216</f>
        <v>0</v>
      </c>
      <c r="F216" s="41">
        <f>'A) Base RI'!AQ216</f>
        <v>-1806.86</v>
      </c>
      <c r="G216" s="4">
        <f t="shared" si="18"/>
        <v>3171206.1600000006</v>
      </c>
      <c r="H216" s="14">
        <f>'A) Base RI'!E216</f>
        <v>0</v>
      </c>
      <c r="I216" s="14">
        <f>'A) Base RI'!F216</f>
        <v>0</v>
      </c>
      <c r="J216" s="14">
        <f>'A) Base RI'!G216+'A) Base RI'!H216</f>
        <v>314932.60000000003</v>
      </c>
      <c r="K216" s="14">
        <f>'A) Base RI'!I216</f>
        <v>81152.3</v>
      </c>
      <c r="L216" s="14">
        <f>'A) Base RI'!J216</f>
        <v>52626.23</v>
      </c>
      <c r="M216" s="14">
        <f>'A) Base RI'!K216</f>
        <v>21571</v>
      </c>
      <c r="N216" s="14">
        <f>'A) Base RI'!Q216</f>
        <v>6421.66</v>
      </c>
      <c r="O216" s="14">
        <f t="shared" si="19"/>
        <v>248006.9</v>
      </c>
      <c r="P216" s="14">
        <f>'A) Base RI'!L216</f>
        <v>248006.9</v>
      </c>
      <c r="Q216" s="44">
        <f>'A) Base RI'!AR216</f>
        <v>1</v>
      </c>
      <c r="R216" s="4">
        <f t="shared" si="20"/>
        <v>3895916.8500000006</v>
      </c>
      <c r="S216" s="43">
        <f>'A) Base RI'!AM216</f>
        <v>68</v>
      </c>
      <c r="T216" s="4">
        <f t="shared" si="21"/>
        <v>3626338.9500000007</v>
      </c>
      <c r="U216" s="4">
        <f t="shared" si="22"/>
        <v>57292.894852941186</v>
      </c>
      <c r="V216" s="14">
        <f>'A) Base RI'!O216</f>
        <v>67444.2</v>
      </c>
      <c r="W216" s="14">
        <f>'A) Base RI'!P216</f>
        <v>447252.1</v>
      </c>
      <c r="X216" s="14">
        <f>'A) Base RI'!R216</f>
        <v>138320.15</v>
      </c>
      <c r="Y216" s="4">
        <f t="shared" si="23"/>
        <v>653016.44999999995</v>
      </c>
      <c r="Z216" s="14">
        <f>'A) Base RI'!N216</f>
        <v>130426.75</v>
      </c>
      <c r="AA216" s="14">
        <f>'A) Base RI'!S216+'A) Base RI'!T216</f>
        <v>87.5</v>
      </c>
      <c r="AB216" s="14">
        <f>'A) Base RI'!U216</f>
        <v>8050</v>
      </c>
      <c r="AC216" s="14">
        <f>'A) Base RI'!V216</f>
        <v>0</v>
      </c>
      <c r="AD216" s="14">
        <f>'A) Base RI'!W216</f>
        <v>0</v>
      </c>
      <c r="AE216" s="14">
        <f>'A) Base RI'!Y216</f>
        <v>131606</v>
      </c>
      <c r="AF216" s="14">
        <f>'A) Base RI'!Z216</f>
        <v>-6477.75</v>
      </c>
      <c r="AG216" s="14">
        <f>'A) Base RI'!AA216</f>
        <v>60081.5</v>
      </c>
      <c r="AH216" s="14">
        <f>'A) Base RI'!AB216</f>
        <v>0</v>
      </c>
      <c r="AI216" s="14">
        <f>'A) Base RI'!AC216</f>
        <v>61571.75</v>
      </c>
      <c r="AJ216" s="14">
        <f>'A) Base RI'!AD216</f>
        <v>204167.5</v>
      </c>
      <c r="AK216" s="14">
        <f>'A) Base RI'!AE216</f>
        <v>-1586.9</v>
      </c>
      <c r="AL216" s="14">
        <f>'A) Base RI'!AF216</f>
        <v>0</v>
      </c>
      <c r="AM216" s="14">
        <f>'A) Base RI'!AG216</f>
        <v>3948.1</v>
      </c>
      <c r="AN216" s="14">
        <f>'A) Base RI'!AH216</f>
        <v>52224.57</v>
      </c>
      <c r="AO216" s="14">
        <f>'A) Base RI'!AI216</f>
        <v>0</v>
      </c>
      <c r="AP216" s="14">
        <f>'A) Base RI'!AJ216</f>
        <v>0</v>
      </c>
      <c r="AQ216" s="14">
        <f>'A) Base RI'!AK216</f>
        <v>0</v>
      </c>
      <c r="AR216" s="14">
        <f>'A) Base RI'!AN216</f>
        <v>882</v>
      </c>
    </row>
    <row r="217" spans="1:44" x14ac:dyDescent="0.25">
      <c r="A217" s="12">
        <f>'A) Base RI'!A217</f>
        <v>5741</v>
      </c>
      <c r="B217" s="42" t="str">
        <f>'A) Base RI'!B217</f>
        <v>L'Abergement</v>
      </c>
      <c r="C217" s="14">
        <f>'A) Base RI'!C217+'A) Base RI'!D217</f>
        <v>535388.78</v>
      </c>
      <c r="D217" s="14">
        <f>'A) Base RI'!AO217</f>
        <v>-35672.480000000003</v>
      </c>
      <c r="E217" s="41">
        <f>'A) Base RI'!AP217</f>
        <v>0</v>
      </c>
      <c r="F217" s="41">
        <f>'A) Base RI'!AQ217</f>
        <v>-16.97</v>
      </c>
      <c r="G217" s="4">
        <f t="shared" si="18"/>
        <v>499699.33000000007</v>
      </c>
      <c r="H217" s="14">
        <f>'A) Base RI'!E217</f>
        <v>0</v>
      </c>
      <c r="I217" s="14">
        <f>'A) Base RI'!F217</f>
        <v>1340</v>
      </c>
      <c r="J217" s="14">
        <f>'A) Base RI'!G217+'A) Base RI'!H217</f>
        <v>12016.900000000001</v>
      </c>
      <c r="K217" s="14">
        <f>'A) Base RI'!I217</f>
        <v>0</v>
      </c>
      <c r="L217" s="14">
        <f>'A) Base RI'!J217</f>
        <v>-2250.27</v>
      </c>
      <c r="M217" s="14">
        <f>'A) Base RI'!K217</f>
        <v>0</v>
      </c>
      <c r="N217" s="14">
        <f>'A) Base RI'!Q217</f>
        <v>21867.59</v>
      </c>
      <c r="O217" s="14">
        <f t="shared" si="19"/>
        <v>33912.458333333336</v>
      </c>
      <c r="P217" s="14">
        <f>'A) Base RI'!L217</f>
        <v>40694.949999999997</v>
      </c>
      <c r="Q217" s="44">
        <f>'A) Base RI'!AR217</f>
        <v>1.2</v>
      </c>
      <c r="R217" s="4">
        <f t="shared" si="20"/>
        <v>566586.00833333342</v>
      </c>
      <c r="S217" s="43">
        <f>'A) Base RI'!AM217</f>
        <v>81</v>
      </c>
      <c r="T217" s="4">
        <f t="shared" si="21"/>
        <v>531333.55000000005</v>
      </c>
      <c r="U217" s="4">
        <f t="shared" si="22"/>
        <v>6994.8889917695487</v>
      </c>
      <c r="V217" s="14">
        <f>'A) Base RI'!O217</f>
        <v>11390.5</v>
      </c>
      <c r="W217" s="14">
        <f>'A) Base RI'!P217</f>
        <v>4015</v>
      </c>
      <c r="X217" s="14">
        <f>'A) Base RI'!R217</f>
        <v>8458.35</v>
      </c>
      <c r="Y217" s="4">
        <f t="shared" si="23"/>
        <v>23863.85</v>
      </c>
      <c r="Z217" s="14">
        <f>'A) Base RI'!N217</f>
        <v>14134.65</v>
      </c>
      <c r="AA217" s="14">
        <f>'A) Base RI'!S217+'A) Base RI'!T217</f>
        <v>0</v>
      </c>
      <c r="AB217" s="14">
        <f>'A) Base RI'!U217</f>
        <v>1260</v>
      </c>
      <c r="AC217" s="14">
        <f>'A) Base RI'!V217</f>
        <v>0</v>
      </c>
      <c r="AD217" s="14">
        <f>'A) Base RI'!W217</f>
        <v>0</v>
      </c>
      <c r="AE217" s="14">
        <f>'A) Base RI'!Y217</f>
        <v>23094</v>
      </c>
      <c r="AF217" s="14">
        <f>'A) Base RI'!Z217</f>
        <v>14353.15</v>
      </c>
      <c r="AG217" s="14">
        <f>'A) Base RI'!AA217</f>
        <v>34373.15</v>
      </c>
      <c r="AH217" s="14">
        <f>'A) Base RI'!AB217</f>
        <v>0</v>
      </c>
      <c r="AI217" s="14">
        <f>'A) Base RI'!AC217</f>
        <v>30742.2</v>
      </c>
      <c r="AJ217" s="14">
        <f>'A) Base RI'!AD217</f>
        <v>7720.65</v>
      </c>
      <c r="AK217" s="14">
        <f>'A) Base RI'!AE217</f>
        <v>14625.7</v>
      </c>
      <c r="AL217" s="14">
        <f>'A) Base RI'!AF217</f>
        <v>0</v>
      </c>
      <c r="AM217" s="14">
        <f>'A) Base RI'!AG217</f>
        <v>0</v>
      </c>
      <c r="AN217" s="14">
        <f>'A) Base RI'!AH217</f>
        <v>0</v>
      </c>
      <c r="AO217" s="14">
        <f>'A) Base RI'!AI217</f>
        <v>0</v>
      </c>
      <c r="AP217" s="14">
        <f>'A) Base RI'!AJ217</f>
        <v>0</v>
      </c>
      <c r="AQ217" s="14">
        <f>'A) Base RI'!AK217</f>
        <v>0</v>
      </c>
      <c r="AR217" s="14">
        <f>'A) Base RI'!AN217</f>
        <v>250</v>
      </c>
    </row>
    <row r="218" spans="1:44" x14ac:dyDescent="0.25">
      <c r="A218" s="12">
        <f>'A) Base RI'!A218</f>
        <v>5742</v>
      </c>
      <c r="B218" s="42" t="str">
        <f>'A) Base RI'!B218</f>
        <v>Agiez</v>
      </c>
      <c r="C218" s="14">
        <f>'A) Base RI'!C218+'A) Base RI'!D218</f>
        <v>639999.12</v>
      </c>
      <c r="D218" s="14">
        <f>'A) Base RI'!AO218</f>
        <v>-9475.34</v>
      </c>
      <c r="E218" s="41">
        <f>'A) Base RI'!AP218</f>
        <v>0</v>
      </c>
      <c r="F218" s="41">
        <f>'A) Base RI'!AQ218</f>
        <v>0</v>
      </c>
      <c r="G218" s="4">
        <f t="shared" si="18"/>
        <v>630523.78</v>
      </c>
      <c r="H218" s="14">
        <f>'A) Base RI'!E218</f>
        <v>0</v>
      </c>
      <c r="I218" s="14">
        <f>'A) Base RI'!F218</f>
        <v>0</v>
      </c>
      <c r="J218" s="14">
        <f>'A) Base RI'!G218+'A) Base RI'!H218</f>
        <v>6372.5999999999995</v>
      </c>
      <c r="K218" s="14">
        <f>'A) Base RI'!I218</f>
        <v>0</v>
      </c>
      <c r="L218" s="14">
        <f>'A) Base RI'!J218</f>
        <v>20782.490000000002</v>
      </c>
      <c r="M218" s="14">
        <f>'A) Base RI'!K218</f>
        <v>798</v>
      </c>
      <c r="N218" s="14">
        <f>'A) Base RI'!Q218</f>
        <v>0</v>
      </c>
      <c r="O218" s="14">
        <f t="shared" si="19"/>
        <v>46350.400000000001</v>
      </c>
      <c r="P218" s="14">
        <f>'A) Base RI'!L218</f>
        <v>23175.200000000001</v>
      </c>
      <c r="Q218" s="44">
        <f>'A) Base RI'!AR218</f>
        <v>0.5</v>
      </c>
      <c r="R218" s="4">
        <f t="shared" si="20"/>
        <v>704827.27</v>
      </c>
      <c r="S218" s="43">
        <f>'A) Base RI'!AM218</f>
        <v>76</v>
      </c>
      <c r="T218" s="4">
        <f t="shared" si="21"/>
        <v>657678.87</v>
      </c>
      <c r="U218" s="4">
        <f t="shared" si="22"/>
        <v>9274.0430263157905</v>
      </c>
      <c r="V218" s="14">
        <f>'A) Base RI'!O218</f>
        <v>4877.8999999999996</v>
      </c>
      <c r="W218" s="14">
        <f>'A) Base RI'!P218</f>
        <v>4180</v>
      </c>
      <c r="X218" s="14">
        <f>'A) Base RI'!R218</f>
        <v>-1271</v>
      </c>
      <c r="Y218" s="4">
        <f t="shared" si="23"/>
        <v>7786.9</v>
      </c>
      <c r="Z218" s="14">
        <f>'A) Base RI'!N218</f>
        <v>0</v>
      </c>
      <c r="AA218" s="14">
        <f>'A) Base RI'!S218+'A) Base RI'!T218</f>
        <v>0</v>
      </c>
      <c r="AB218" s="14">
        <f>'A) Base RI'!U218</f>
        <v>1880</v>
      </c>
      <c r="AC218" s="14">
        <f>'A) Base RI'!V218</f>
        <v>0</v>
      </c>
      <c r="AD218" s="14">
        <f>'A) Base RI'!W218</f>
        <v>0</v>
      </c>
      <c r="AE218" s="14">
        <f>'A) Base RI'!Y218</f>
        <v>0</v>
      </c>
      <c r="AF218" s="14">
        <f>'A) Base RI'!Z218</f>
        <v>0</v>
      </c>
      <c r="AG218" s="14">
        <f>'A) Base RI'!AA218</f>
        <v>26271.35</v>
      </c>
      <c r="AH218" s="14">
        <f>'A) Base RI'!AB218</f>
        <v>0</v>
      </c>
      <c r="AI218" s="14">
        <f>'A) Base RI'!AC218</f>
        <v>26950</v>
      </c>
      <c r="AJ218" s="14">
        <f>'A) Base RI'!AD218</f>
        <v>4058</v>
      </c>
      <c r="AK218" s="14">
        <f>'A) Base RI'!AE218</f>
        <v>0</v>
      </c>
      <c r="AL218" s="14">
        <f>'A) Base RI'!AF218</f>
        <v>0</v>
      </c>
      <c r="AM218" s="14">
        <f>'A) Base RI'!AG218</f>
        <v>0</v>
      </c>
      <c r="AN218" s="14">
        <f>'A) Base RI'!AH218</f>
        <v>0</v>
      </c>
      <c r="AO218" s="14">
        <f>'A) Base RI'!AI218</f>
        <v>0</v>
      </c>
      <c r="AP218" s="14">
        <f>'A) Base RI'!AJ218</f>
        <v>0</v>
      </c>
      <c r="AQ218" s="14">
        <f>'A) Base RI'!AK218</f>
        <v>0</v>
      </c>
      <c r="AR218" s="14">
        <f>'A) Base RI'!AN218</f>
        <v>308</v>
      </c>
    </row>
    <row r="219" spans="1:44" x14ac:dyDescent="0.25">
      <c r="A219" s="12">
        <f>'A) Base RI'!A219</f>
        <v>5743</v>
      </c>
      <c r="B219" s="42" t="str">
        <f>'A) Base RI'!B219</f>
        <v>Arnex-sur-Orbe</v>
      </c>
      <c r="C219" s="14">
        <f>'A) Base RI'!C219+'A) Base RI'!D219</f>
        <v>1133158.98</v>
      </c>
      <c r="D219" s="14">
        <f>'A) Base RI'!AO219</f>
        <v>-6027.69</v>
      </c>
      <c r="E219" s="41">
        <f>'A) Base RI'!AP219</f>
        <v>0</v>
      </c>
      <c r="F219" s="41">
        <f>'A) Base RI'!AQ219</f>
        <v>-268.83999999999997</v>
      </c>
      <c r="G219" s="4">
        <f t="shared" si="18"/>
        <v>1126862.45</v>
      </c>
      <c r="H219" s="14">
        <f>'A) Base RI'!E219</f>
        <v>0</v>
      </c>
      <c r="I219" s="14">
        <f>'A) Base RI'!F219</f>
        <v>3360</v>
      </c>
      <c r="J219" s="14">
        <f>'A) Base RI'!G219+'A) Base RI'!H219</f>
        <v>7123.5999999999995</v>
      </c>
      <c r="K219" s="14">
        <f>'A) Base RI'!I219</f>
        <v>0</v>
      </c>
      <c r="L219" s="14">
        <f>'A) Base RI'!J219</f>
        <v>55699.87</v>
      </c>
      <c r="M219" s="14">
        <f>'A) Base RI'!K219</f>
        <v>0</v>
      </c>
      <c r="N219" s="14">
        <f>'A) Base RI'!Q219</f>
        <v>3236.3</v>
      </c>
      <c r="O219" s="14">
        <f t="shared" si="19"/>
        <v>70182.6875</v>
      </c>
      <c r="P219" s="14">
        <f>'A) Base RI'!L219</f>
        <v>56146.15</v>
      </c>
      <c r="Q219" s="44">
        <f>'A) Base RI'!AR219</f>
        <v>0.8</v>
      </c>
      <c r="R219" s="4">
        <f t="shared" si="20"/>
        <v>1266464.9075000002</v>
      </c>
      <c r="S219" s="43">
        <f>'A) Base RI'!AM219</f>
        <v>73</v>
      </c>
      <c r="T219" s="4">
        <f t="shared" si="21"/>
        <v>1192922.2200000002</v>
      </c>
      <c r="U219" s="4">
        <f t="shared" si="22"/>
        <v>17348.834349315071</v>
      </c>
      <c r="V219" s="14">
        <f>'A) Base RI'!O219</f>
        <v>1424.8</v>
      </c>
      <c r="W219" s="14">
        <f>'A) Base RI'!P219</f>
        <v>25938.6</v>
      </c>
      <c r="X219" s="14">
        <f>'A) Base RI'!R219</f>
        <v>37833.599999999999</v>
      </c>
      <c r="Y219" s="4">
        <f t="shared" si="23"/>
        <v>65197</v>
      </c>
      <c r="Z219" s="14">
        <f>'A) Base RI'!N219</f>
        <v>31541.45</v>
      </c>
      <c r="AA219" s="14">
        <f>'A) Base RI'!S219+'A) Base RI'!T219</f>
        <v>62.5</v>
      </c>
      <c r="AB219" s="14">
        <f>'A) Base RI'!U219</f>
        <v>1900</v>
      </c>
      <c r="AC219" s="14">
        <f>'A) Base RI'!V219</f>
        <v>0</v>
      </c>
      <c r="AD219" s="14">
        <f>'A) Base RI'!W219</f>
        <v>0</v>
      </c>
      <c r="AE219" s="14">
        <f>'A) Base RI'!Y219</f>
        <v>39957.550000000003</v>
      </c>
      <c r="AF219" s="14">
        <f>'A) Base RI'!Z219</f>
        <v>0</v>
      </c>
      <c r="AG219" s="14">
        <f>'A) Base RI'!AA219</f>
        <v>71440.600000000006</v>
      </c>
      <c r="AH219" s="14">
        <f>'A) Base RI'!AB219</f>
        <v>0</v>
      </c>
      <c r="AI219" s="14">
        <f>'A) Base RI'!AC219</f>
        <v>42816.9</v>
      </c>
      <c r="AJ219" s="14">
        <f>'A) Base RI'!AD219</f>
        <v>9192.5499999999993</v>
      </c>
      <c r="AK219" s="14">
        <f>'A) Base RI'!AE219</f>
        <v>0</v>
      </c>
      <c r="AL219" s="14">
        <f>'A) Base RI'!AF219</f>
        <v>0</v>
      </c>
      <c r="AM219" s="14">
        <f>'A) Base RI'!AG219</f>
        <v>0</v>
      </c>
      <c r="AN219" s="14">
        <f>'A) Base RI'!AH219</f>
        <v>0</v>
      </c>
      <c r="AO219" s="14">
        <f>'A) Base RI'!AI219</f>
        <v>0</v>
      </c>
      <c r="AP219" s="14">
        <f>'A) Base RI'!AJ219</f>
        <v>0</v>
      </c>
      <c r="AQ219" s="14">
        <f>'A) Base RI'!AK219</f>
        <v>0</v>
      </c>
      <c r="AR219" s="14">
        <f>'A) Base RI'!AN219</f>
        <v>625</v>
      </c>
    </row>
    <row r="220" spans="1:44" x14ac:dyDescent="0.25">
      <c r="A220" s="12">
        <f>'A) Base RI'!A220</f>
        <v>5744</v>
      </c>
      <c r="B220" s="42" t="str">
        <f>'A) Base RI'!B220</f>
        <v>Ballaigues</v>
      </c>
      <c r="C220" s="14">
        <f>'A) Base RI'!C220+'A) Base RI'!D220</f>
        <v>1579488.9100000001</v>
      </c>
      <c r="D220" s="14">
        <f>'A) Base RI'!AO220</f>
        <v>-39072.6</v>
      </c>
      <c r="E220" s="41">
        <f>'A) Base RI'!AP220</f>
        <v>0</v>
      </c>
      <c r="F220" s="41">
        <f>'A) Base RI'!AQ220</f>
        <v>-1016.31</v>
      </c>
      <c r="G220" s="4">
        <f t="shared" si="18"/>
        <v>1539400</v>
      </c>
      <c r="H220" s="14">
        <f>'A) Base RI'!E220</f>
        <v>0</v>
      </c>
      <c r="I220" s="14">
        <f>'A) Base RI'!F220</f>
        <v>5890</v>
      </c>
      <c r="J220" s="14">
        <f>'A) Base RI'!G220+'A) Base RI'!H220</f>
        <v>1727010.85</v>
      </c>
      <c r="K220" s="14">
        <f>'A) Base RI'!I220</f>
        <v>0</v>
      </c>
      <c r="L220" s="14">
        <f>'A) Base RI'!J220</f>
        <v>81520.27</v>
      </c>
      <c r="M220" s="14">
        <f>'A) Base RI'!K220</f>
        <v>0</v>
      </c>
      <c r="N220" s="14">
        <f>'A) Base RI'!Q220</f>
        <v>19462.13</v>
      </c>
      <c r="O220" s="14">
        <f t="shared" si="19"/>
        <v>138739</v>
      </c>
      <c r="P220" s="14">
        <f>'A) Base RI'!L220</f>
        <v>138739</v>
      </c>
      <c r="Q220" s="44">
        <f>'A) Base RI'!AR220</f>
        <v>1</v>
      </c>
      <c r="R220" s="4">
        <f t="shared" si="20"/>
        <v>3512022.25</v>
      </c>
      <c r="S220" s="43">
        <f>'A) Base RI'!AM220</f>
        <v>66</v>
      </c>
      <c r="T220" s="4">
        <f t="shared" si="21"/>
        <v>3367393.25</v>
      </c>
      <c r="U220" s="4">
        <f t="shared" si="22"/>
        <v>53212.458333333336</v>
      </c>
      <c r="V220" s="14">
        <f>'A) Base RI'!O220</f>
        <v>36587.800000000003</v>
      </c>
      <c r="W220" s="14">
        <f>'A) Base RI'!P220</f>
        <v>31726.95</v>
      </c>
      <c r="X220" s="14">
        <f>'A) Base RI'!R220</f>
        <v>23891.75</v>
      </c>
      <c r="Y220" s="4">
        <f t="shared" si="23"/>
        <v>92206.5</v>
      </c>
      <c r="Z220" s="14">
        <f>'A) Base RI'!N220</f>
        <v>755922.85</v>
      </c>
      <c r="AA220" s="14">
        <f>'A) Base RI'!S220+'A) Base RI'!T220</f>
        <v>43.8</v>
      </c>
      <c r="AB220" s="14">
        <f>'A) Base RI'!U220</f>
        <v>4910</v>
      </c>
      <c r="AC220" s="14">
        <f>'A) Base RI'!V220</f>
        <v>330</v>
      </c>
      <c r="AD220" s="14">
        <f>'A) Base RI'!W220</f>
        <v>0</v>
      </c>
      <c r="AE220" s="14">
        <f>'A) Base RI'!Y220</f>
        <v>84630</v>
      </c>
      <c r="AF220" s="14">
        <f>'A) Base RI'!Z220</f>
        <v>0</v>
      </c>
      <c r="AG220" s="14">
        <f>'A) Base RI'!AA220</f>
        <v>66154.25</v>
      </c>
      <c r="AH220" s="14">
        <f>'A) Base RI'!AB220</f>
        <v>0</v>
      </c>
      <c r="AI220" s="14">
        <f>'A) Base RI'!AC220</f>
        <v>98361.42</v>
      </c>
      <c r="AJ220" s="14">
        <f>'A) Base RI'!AD220</f>
        <v>84630</v>
      </c>
      <c r="AK220" s="14">
        <f>'A) Base RI'!AE220</f>
        <v>0</v>
      </c>
      <c r="AL220" s="14">
        <f>'A) Base RI'!AF220</f>
        <v>0</v>
      </c>
      <c r="AM220" s="14">
        <f>'A) Base RI'!AG220</f>
        <v>0</v>
      </c>
      <c r="AN220" s="14">
        <f>'A) Base RI'!AH220</f>
        <v>103119.7</v>
      </c>
      <c r="AO220" s="14">
        <f>'A) Base RI'!AI220</f>
        <v>0</v>
      </c>
      <c r="AP220" s="14">
        <f>'A) Base RI'!AJ220</f>
        <v>0</v>
      </c>
      <c r="AQ220" s="14">
        <f>'A) Base RI'!AK220</f>
        <v>0</v>
      </c>
      <c r="AR220" s="14">
        <f>'A) Base RI'!AN220</f>
        <v>1069</v>
      </c>
    </row>
    <row r="221" spans="1:44" x14ac:dyDescent="0.25">
      <c r="A221" s="12">
        <f>'A) Base RI'!A221</f>
        <v>5745</v>
      </c>
      <c r="B221" s="42" t="str">
        <f>'A) Base RI'!B221</f>
        <v>Baulmes</v>
      </c>
      <c r="C221" s="14">
        <f>'A) Base RI'!C221+'A) Base RI'!D221</f>
        <v>1931216.74</v>
      </c>
      <c r="D221" s="14">
        <f>'A) Base RI'!AO221</f>
        <v>-12643.41</v>
      </c>
      <c r="E221" s="41">
        <f>'A) Base RI'!AP221</f>
        <v>0</v>
      </c>
      <c r="F221" s="41">
        <f>'A) Base RI'!AQ221</f>
        <v>-678.68</v>
      </c>
      <c r="G221" s="4">
        <f t="shared" si="18"/>
        <v>1917894.6500000001</v>
      </c>
      <c r="H221" s="14">
        <f>'A) Base RI'!E221</f>
        <v>0</v>
      </c>
      <c r="I221" s="14">
        <f>'A) Base RI'!F221</f>
        <v>0</v>
      </c>
      <c r="J221" s="14">
        <f>'A) Base RI'!G221+'A) Base RI'!H221</f>
        <v>71688.799999999988</v>
      </c>
      <c r="K221" s="14">
        <f>'A) Base RI'!I221</f>
        <v>0</v>
      </c>
      <c r="L221" s="14">
        <f>'A) Base RI'!J221</f>
        <v>17791.63</v>
      </c>
      <c r="M221" s="14">
        <f>'A) Base RI'!K221</f>
        <v>0</v>
      </c>
      <c r="N221" s="14">
        <f>'A) Base RI'!Q221</f>
        <v>19584.55</v>
      </c>
      <c r="O221" s="14">
        <f t="shared" si="19"/>
        <v>119768.2</v>
      </c>
      <c r="P221" s="14">
        <f>'A) Base RI'!L221</f>
        <v>119768.2</v>
      </c>
      <c r="Q221" s="44">
        <f>'A) Base RI'!AR221</f>
        <v>1</v>
      </c>
      <c r="R221" s="4">
        <f t="shared" si="20"/>
        <v>2146727.83</v>
      </c>
      <c r="S221" s="43">
        <f>'A) Base RI'!AM221</f>
        <v>78</v>
      </c>
      <c r="T221" s="4">
        <f t="shared" si="21"/>
        <v>2026959.6300000001</v>
      </c>
      <c r="U221" s="4">
        <f t="shared" si="22"/>
        <v>27522.151666666668</v>
      </c>
      <c r="V221" s="14">
        <f>'A) Base RI'!O221</f>
        <v>924</v>
      </c>
      <c r="W221" s="14">
        <f>'A) Base RI'!P221</f>
        <v>34564.75</v>
      </c>
      <c r="X221" s="14">
        <f>'A) Base RI'!R221</f>
        <v>39527</v>
      </c>
      <c r="Y221" s="4">
        <f t="shared" si="23"/>
        <v>75015.75</v>
      </c>
      <c r="Z221" s="14">
        <f>'A) Base RI'!N221</f>
        <v>184046.05</v>
      </c>
      <c r="AA221" s="14">
        <f>'A) Base RI'!S221+'A) Base RI'!T221</f>
        <v>93.75</v>
      </c>
      <c r="AB221" s="14">
        <f>'A) Base RI'!U221</f>
        <v>3500</v>
      </c>
      <c r="AC221" s="14">
        <f>'A) Base RI'!V221</f>
        <v>0</v>
      </c>
      <c r="AD221" s="14">
        <f>'A) Base RI'!W221</f>
        <v>0</v>
      </c>
      <c r="AE221" s="14">
        <f>'A) Base RI'!Y221</f>
        <v>395</v>
      </c>
      <c r="AF221" s="14">
        <f>'A) Base RI'!Z221</f>
        <v>0</v>
      </c>
      <c r="AG221" s="14">
        <f>'A) Base RI'!AA221</f>
        <v>131481.15</v>
      </c>
      <c r="AH221" s="14">
        <f>'A) Base RI'!AB221</f>
        <v>0</v>
      </c>
      <c r="AI221" s="14">
        <f>'A) Base RI'!AC221</f>
        <v>74141.55</v>
      </c>
      <c r="AJ221" s="14">
        <f>'A) Base RI'!AD221</f>
        <v>10769.95</v>
      </c>
      <c r="AK221" s="14">
        <f>'A) Base RI'!AE221</f>
        <v>0</v>
      </c>
      <c r="AL221" s="14">
        <f>'A) Base RI'!AF221</f>
        <v>0</v>
      </c>
      <c r="AM221" s="14">
        <f>'A) Base RI'!AG221</f>
        <v>0</v>
      </c>
      <c r="AN221" s="14">
        <f>'A) Base RI'!AH221</f>
        <v>0</v>
      </c>
      <c r="AO221" s="14">
        <f>'A) Base RI'!AI221</f>
        <v>0</v>
      </c>
      <c r="AP221" s="14">
        <f>'A) Base RI'!AJ221</f>
        <v>0</v>
      </c>
      <c r="AQ221" s="14">
        <f>'A) Base RI'!AK221</f>
        <v>0</v>
      </c>
      <c r="AR221" s="14">
        <f>'A) Base RI'!AN221</f>
        <v>1034</v>
      </c>
    </row>
    <row r="222" spans="1:44" x14ac:dyDescent="0.25">
      <c r="A222" s="12">
        <f>'A) Base RI'!A222</f>
        <v>5746</v>
      </c>
      <c r="B222" s="42" t="str">
        <f>'A) Base RI'!B222</f>
        <v>Bavois</v>
      </c>
      <c r="C222" s="14">
        <f>'A) Base RI'!C222+'A) Base RI'!D222</f>
        <v>1572910.27</v>
      </c>
      <c r="D222" s="14">
        <f>'A) Base RI'!AO222</f>
        <v>-37296.99</v>
      </c>
      <c r="E222" s="41">
        <f>'A) Base RI'!AP222</f>
        <v>0</v>
      </c>
      <c r="F222" s="41">
        <f>'A) Base RI'!AQ222</f>
        <v>-34.86</v>
      </c>
      <c r="G222" s="4">
        <f t="shared" si="18"/>
        <v>1535578.42</v>
      </c>
      <c r="H222" s="14">
        <f>'A) Base RI'!E222</f>
        <v>0</v>
      </c>
      <c r="I222" s="14">
        <f>'A) Base RI'!F222</f>
        <v>0</v>
      </c>
      <c r="J222" s="14">
        <f>'A) Base RI'!G222+'A) Base RI'!H222</f>
        <v>25762.9</v>
      </c>
      <c r="K222" s="14">
        <f>'A) Base RI'!I222</f>
        <v>0</v>
      </c>
      <c r="L222" s="14">
        <f>'A) Base RI'!J222</f>
        <v>26760.67</v>
      </c>
      <c r="M222" s="14">
        <f>'A) Base RI'!K222</f>
        <v>0</v>
      </c>
      <c r="N222" s="14">
        <f>'A) Base RI'!Q222</f>
        <v>2336.0700000000002</v>
      </c>
      <c r="O222" s="14">
        <f t="shared" si="19"/>
        <v>156458.04166666666</v>
      </c>
      <c r="P222" s="14">
        <f>'A) Base RI'!L222</f>
        <v>187749.65</v>
      </c>
      <c r="Q222" s="44">
        <f>'A) Base RI'!AR222</f>
        <v>1.2</v>
      </c>
      <c r="R222" s="4">
        <f t="shared" si="20"/>
        <v>1746896.1016666666</v>
      </c>
      <c r="S222" s="43">
        <f>'A) Base RI'!AM222</f>
        <v>73</v>
      </c>
      <c r="T222" s="4">
        <f t="shared" si="21"/>
        <v>1590438.0599999998</v>
      </c>
      <c r="U222" s="4">
        <f t="shared" si="22"/>
        <v>23930.083584474884</v>
      </c>
      <c r="V222" s="14">
        <f>'A) Base RI'!O222</f>
        <v>12157.4</v>
      </c>
      <c r="W222" s="14">
        <f>'A) Base RI'!P222</f>
        <v>39366.800000000003</v>
      </c>
      <c r="X222" s="14">
        <f>'A) Base RI'!R222</f>
        <v>72369.3</v>
      </c>
      <c r="Y222" s="4">
        <f t="shared" si="23"/>
        <v>123893.5</v>
      </c>
      <c r="Z222" s="14">
        <f>'A) Base RI'!N222</f>
        <v>19841.95</v>
      </c>
      <c r="AA222" s="14">
        <f>'A) Base RI'!S222+'A) Base RI'!T222</f>
        <v>762.5</v>
      </c>
      <c r="AB222" s="14">
        <f>'A) Base RI'!U222</f>
        <v>5085</v>
      </c>
      <c r="AC222" s="14">
        <f>'A) Base RI'!V222</f>
        <v>595</v>
      </c>
      <c r="AD222" s="14">
        <f>'A) Base RI'!W222</f>
        <v>0</v>
      </c>
      <c r="AE222" s="14">
        <f>'A) Base RI'!Y222</f>
        <v>69738.3</v>
      </c>
      <c r="AF222" s="14">
        <f>'A) Base RI'!Z222</f>
        <v>0</v>
      </c>
      <c r="AG222" s="14">
        <f>'A) Base RI'!AA222</f>
        <v>83160.149999999994</v>
      </c>
      <c r="AH222" s="14">
        <f>'A) Base RI'!AB222</f>
        <v>0</v>
      </c>
      <c r="AI222" s="14">
        <f>'A) Base RI'!AC222</f>
        <v>59821.599999999999</v>
      </c>
      <c r="AJ222" s="14">
        <f>'A) Base RI'!AD222</f>
        <v>3964.75</v>
      </c>
      <c r="AK222" s="14">
        <f>'A) Base RI'!AE222</f>
        <v>0</v>
      </c>
      <c r="AL222" s="14">
        <f>'A) Base RI'!AF222</f>
        <v>0</v>
      </c>
      <c r="AM222" s="14">
        <f>'A) Base RI'!AG222</f>
        <v>0</v>
      </c>
      <c r="AN222" s="14">
        <f>'A) Base RI'!AH222</f>
        <v>26522.2</v>
      </c>
      <c r="AO222" s="14">
        <f>'A) Base RI'!AI222</f>
        <v>0</v>
      </c>
      <c r="AP222" s="14">
        <f>'A) Base RI'!AJ222</f>
        <v>0</v>
      </c>
      <c r="AQ222" s="14">
        <f>'A) Base RI'!AK222</f>
        <v>0</v>
      </c>
      <c r="AR222" s="14">
        <f>'A) Base RI'!AN222</f>
        <v>939</v>
      </c>
    </row>
    <row r="223" spans="1:44" x14ac:dyDescent="0.25">
      <c r="A223" s="12">
        <f>'A) Base RI'!A223</f>
        <v>5747</v>
      </c>
      <c r="B223" s="42" t="str">
        <f>'A) Base RI'!B223</f>
        <v>Bofflens</v>
      </c>
      <c r="C223" s="14">
        <f>'A) Base RI'!C223+'A) Base RI'!D223</f>
        <v>319979.07</v>
      </c>
      <c r="D223" s="14">
        <f>'A) Base RI'!AO223</f>
        <v>-3513.01</v>
      </c>
      <c r="E223" s="41">
        <f>'A) Base RI'!AP223</f>
        <v>0</v>
      </c>
      <c r="F223" s="41">
        <f>'A) Base RI'!AQ223</f>
        <v>-3.14</v>
      </c>
      <c r="G223" s="4">
        <f t="shared" si="18"/>
        <v>316462.92</v>
      </c>
      <c r="H223" s="14">
        <f>'A) Base RI'!E223</f>
        <v>0</v>
      </c>
      <c r="I223" s="14">
        <f>'A) Base RI'!F223</f>
        <v>0</v>
      </c>
      <c r="J223" s="14">
        <f>'A) Base RI'!G223+'A) Base RI'!H223</f>
        <v>3348.2000000000003</v>
      </c>
      <c r="K223" s="14">
        <f>'A) Base RI'!I223</f>
        <v>0</v>
      </c>
      <c r="L223" s="14">
        <f>'A) Base RI'!J223</f>
        <v>11926.52</v>
      </c>
      <c r="M223" s="14">
        <f>'A) Base RI'!K223</f>
        <v>0</v>
      </c>
      <c r="N223" s="14">
        <f>'A) Base RI'!Q223</f>
        <v>0</v>
      </c>
      <c r="O223" s="14">
        <f t="shared" si="19"/>
        <v>25919.85</v>
      </c>
      <c r="P223" s="14">
        <f>'A) Base RI'!L223</f>
        <v>25919.85</v>
      </c>
      <c r="Q223" s="44">
        <f>'A) Base RI'!AR223</f>
        <v>1</v>
      </c>
      <c r="R223" s="4">
        <f t="shared" si="20"/>
        <v>357657.49</v>
      </c>
      <c r="S223" s="43">
        <f>'A) Base RI'!AM223</f>
        <v>69</v>
      </c>
      <c r="T223" s="4">
        <f t="shared" si="21"/>
        <v>331737.64</v>
      </c>
      <c r="U223" s="4">
        <f t="shared" si="22"/>
        <v>5183.441884057971</v>
      </c>
      <c r="V223" s="14">
        <f>'A) Base RI'!O223</f>
        <v>0</v>
      </c>
      <c r="W223" s="14">
        <f>'A) Base RI'!P223</f>
        <v>10338.9</v>
      </c>
      <c r="X223" s="14">
        <f>'A) Base RI'!R223</f>
        <v>3390.2</v>
      </c>
      <c r="Y223" s="4">
        <f t="shared" si="23"/>
        <v>13729.099999999999</v>
      </c>
      <c r="Z223" s="14">
        <f>'A) Base RI'!N223</f>
        <v>0</v>
      </c>
      <c r="AA223" s="14">
        <f>'A) Base RI'!S223+'A) Base RI'!T223</f>
        <v>0</v>
      </c>
      <c r="AB223" s="14">
        <f>'A) Base RI'!U223</f>
        <v>680</v>
      </c>
      <c r="AC223" s="14">
        <f>'A) Base RI'!V223</f>
        <v>0</v>
      </c>
      <c r="AD223" s="14">
        <f>'A) Base RI'!W223</f>
        <v>0</v>
      </c>
      <c r="AE223" s="14">
        <f>'A) Base RI'!Y223</f>
        <v>0</v>
      </c>
      <c r="AF223" s="14">
        <f>'A) Base RI'!Z223</f>
        <v>16840</v>
      </c>
      <c r="AG223" s="14">
        <f>'A) Base RI'!AA223</f>
        <v>9275</v>
      </c>
      <c r="AH223" s="14">
        <f>'A) Base RI'!AB223</f>
        <v>0</v>
      </c>
      <c r="AI223" s="14">
        <f>'A) Base RI'!AC223</f>
        <v>15635.05</v>
      </c>
      <c r="AJ223" s="14">
        <f>'A) Base RI'!AD223</f>
        <v>8400</v>
      </c>
      <c r="AK223" s="14">
        <f>'A) Base RI'!AE223</f>
        <v>0</v>
      </c>
      <c r="AL223" s="14">
        <f>'A) Base RI'!AF223</f>
        <v>0</v>
      </c>
      <c r="AM223" s="14">
        <f>'A) Base RI'!AG223</f>
        <v>0</v>
      </c>
      <c r="AN223" s="14">
        <f>'A) Base RI'!AH223</f>
        <v>0</v>
      </c>
      <c r="AO223" s="14">
        <f>'A) Base RI'!AI223</f>
        <v>0</v>
      </c>
      <c r="AP223" s="14">
        <f>'A) Base RI'!AJ223</f>
        <v>0</v>
      </c>
      <c r="AQ223" s="14">
        <f>'A) Base RI'!AK223</f>
        <v>0</v>
      </c>
      <c r="AR223" s="14">
        <f>'A) Base RI'!AN223</f>
        <v>187</v>
      </c>
    </row>
    <row r="224" spans="1:44" x14ac:dyDescent="0.25">
      <c r="A224" s="12">
        <f>'A) Base RI'!A224</f>
        <v>5748</v>
      </c>
      <c r="B224" s="42" t="str">
        <f>'A) Base RI'!B224</f>
        <v>Bretonnières</v>
      </c>
      <c r="C224" s="14">
        <f>'A) Base RI'!C224+'A) Base RI'!D224</f>
        <v>402910.19</v>
      </c>
      <c r="D224" s="14">
        <f>'A) Base RI'!AO224</f>
        <v>-9324.69</v>
      </c>
      <c r="E224" s="41">
        <f>'A) Base RI'!AP224</f>
        <v>0</v>
      </c>
      <c r="F224" s="41">
        <f>'A) Base RI'!AQ224</f>
        <v>0</v>
      </c>
      <c r="G224" s="4">
        <f t="shared" si="18"/>
        <v>393585.5</v>
      </c>
      <c r="H224" s="14">
        <f>'A) Base RI'!E224</f>
        <v>0</v>
      </c>
      <c r="I224" s="14">
        <f>'A) Base RI'!F224</f>
        <v>2160</v>
      </c>
      <c r="J224" s="14">
        <f>'A) Base RI'!G224+'A) Base RI'!H224</f>
        <v>7195.95</v>
      </c>
      <c r="K224" s="14">
        <f>'A) Base RI'!I224</f>
        <v>0</v>
      </c>
      <c r="L224" s="14">
        <f>'A) Base RI'!J224</f>
        <v>6735.96</v>
      </c>
      <c r="M224" s="14">
        <f>'A) Base RI'!K224</f>
        <v>0</v>
      </c>
      <c r="N224" s="14">
        <f>'A) Base RI'!Q224</f>
        <v>2673.08</v>
      </c>
      <c r="O224" s="14">
        <f t="shared" si="19"/>
        <v>29791</v>
      </c>
      <c r="P224" s="14">
        <f>'A) Base RI'!L224</f>
        <v>17874.599999999999</v>
      </c>
      <c r="Q224" s="44">
        <f>'A) Base RI'!AR224</f>
        <v>0.6</v>
      </c>
      <c r="R224" s="4">
        <f t="shared" si="20"/>
        <v>442141.49000000005</v>
      </c>
      <c r="S224" s="43">
        <f>'A) Base RI'!AM224</f>
        <v>72</v>
      </c>
      <c r="T224" s="4">
        <f t="shared" si="21"/>
        <v>410190.49000000005</v>
      </c>
      <c r="U224" s="4">
        <f t="shared" si="22"/>
        <v>6140.8540277777784</v>
      </c>
      <c r="V224" s="14">
        <f>'A) Base RI'!O224</f>
        <v>2867</v>
      </c>
      <c r="W224" s="14">
        <f>'A) Base RI'!P224</f>
        <v>13612.5</v>
      </c>
      <c r="X224" s="14">
        <f>'A) Base RI'!R224</f>
        <v>32743.200000000001</v>
      </c>
      <c r="Y224" s="4">
        <f t="shared" si="23"/>
        <v>49222.7</v>
      </c>
      <c r="Z224" s="14">
        <f>'A) Base RI'!N224</f>
        <v>4800.1499999999996</v>
      </c>
      <c r="AA224" s="14">
        <f>'A) Base RI'!S224+'A) Base RI'!T224</f>
        <v>0</v>
      </c>
      <c r="AB224" s="14">
        <f>'A) Base RI'!U224</f>
        <v>1300</v>
      </c>
      <c r="AC224" s="14">
        <f>'A) Base RI'!V224</f>
        <v>0</v>
      </c>
      <c r="AD224" s="14">
        <f>'A) Base RI'!W224</f>
        <v>0</v>
      </c>
      <c r="AE224" s="14">
        <f>'A) Base RI'!Y224</f>
        <v>7894.1</v>
      </c>
      <c r="AF224" s="14">
        <f>'A) Base RI'!Z224</f>
        <v>0</v>
      </c>
      <c r="AG224" s="14">
        <f>'A) Base RI'!AA224</f>
        <v>28936</v>
      </c>
      <c r="AH224" s="14">
        <f>'A) Base RI'!AB224</f>
        <v>0</v>
      </c>
      <c r="AI224" s="14">
        <f>'A) Base RI'!AC224</f>
        <v>22529.55</v>
      </c>
      <c r="AJ224" s="14">
        <f>'A) Base RI'!AD224</f>
        <v>4893.8999999999996</v>
      </c>
      <c r="AK224" s="14">
        <f>'A) Base RI'!AE224</f>
        <v>0</v>
      </c>
      <c r="AL224" s="14">
        <f>'A) Base RI'!AF224</f>
        <v>0</v>
      </c>
      <c r="AM224" s="14">
        <f>'A) Base RI'!AG224</f>
        <v>0</v>
      </c>
      <c r="AN224" s="14">
        <f>'A) Base RI'!AH224</f>
        <v>0</v>
      </c>
      <c r="AO224" s="14">
        <f>'A) Base RI'!AI224</f>
        <v>0</v>
      </c>
      <c r="AP224" s="14">
        <f>'A) Base RI'!AJ224</f>
        <v>0</v>
      </c>
      <c r="AQ224" s="14">
        <f>'A) Base RI'!AK224</f>
        <v>0</v>
      </c>
      <c r="AR224" s="14">
        <f>'A) Base RI'!AN224</f>
        <v>252</v>
      </c>
    </row>
    <row r="225" spans="1:44" x14ac:dyDescent="0.25">
      <c r="A225" s="12">
        <f>'A) Base RI'!A225</f>
        <v>5749</v>
      </c>
      <c r="B225" s="42" t="str">
        <f>'A) Base RI'!B225</f>
        <v>Chavornay</v>
      </c>
      <c r="C225" s="14">
        <f>'A) Base RI'!C225+'A) Base RI'!D225</f>
        <v>6830867.21</v>
      </c>
      <c r="D225" s="14">
        <f>'A) Base RI'!AO225</f>
        <v>-196807.06</v>
      </c>
      <c r="E225" s="41">
        <f>'A) Base RI'!AP225</f>
        <v>0</v>
      </c>
      <c r="F225" s="41">
        <f>'A) Base RI'!AQ225</f>
        <v>-514.46</v>
      </c>
      <c r="G225" s="4">
        <f t="shared" si="18"/>
        <v>6633545.6900000004</v>
      </c>
      <c r="H225" s="14">
        <f>'A) Base RI'!E225</f>
        <v>68753</v>
      </c>
      <c r="I225" s="14">
        <f>'A) Base RI'!F225</f>
        <v>0</v>
      </c>
      <c r="J225" s="14">
        <f>'A) Base RI'!G225+'A) Base RI'!H225</f>
        <v>303176.34999999998</v>
      </c>
      <c r="K225" s="14">
        <f>'A) Base RI'!I225</f>
        <v>0</v>
      </c>
      <c r="L225" s="14">
        <f>'A) Base RI'!J225</f>
        <v>288894.08000000002</v>
      </c>
      <c r="M225" s="14">
        <f>'A) Base RI'!K225</f>
        <v>45283</v>
      </c>
      <c r="N225" s="14">
        <f>'A) Base RI'!Q225</f>
        <v>20191.48</v>
      </c>
      <c r="O225" s="14">
        <f t="shared" si="19"/>
        <v>587621.69999999995</v>
      </c>
      <c r="P225" s="14">
        <f>'A) Base RI'!L225</f>
        <v>587621.69999999995</v>
      </c>
      <c r="Q225" s="44">
        <f>'A) Base RI'!AR225</f>
        <v>1</v>
      </c>
      <c r="R225" s="4">
        <f t="shared" si="20"/>
        <v>7947465.3000000007</v>
      </c>
      <c r="S225" s="43">
        <f>'A) Base RI'!AM225</f>
        <v>72</v>
      </c>
      <c r="T225" s="4">
        <f t="shared" si="21"/>
        <v>7314560.6000000006</v>
      </c>
      <c r="U225" s="4">
        <f t="shared" si="22"/>
        <v>110381.46250000001</v>
      </c>
      <c r="V225" s="14">
        <f>'A) Base RI'!O225</f>
        <v>11761.1</v>
      </c>
      <c r="W225" s="14">
        <f>'A) Base RI'!P225</f>
        <v>144678.95000000001</v>
      </c>
      <c r="X225" s="14">
        <f>'A) Base RI'!R225</f>
        <v>108549.05</v>
      </c>
      <c r="Y225" s="4">
        <f t="shared" si="23"/>
        <v>264989.10000000003</v>
      </c>
      <c r="Z225" s="14">
        <f>'A) Base RI'!N225</f>
        <v>516705.7</v>
      </c>
      <c r="AA225" s="14">
        <f>'A) Base RI'!S225+'A) Base RI'!T225</f>
        <v>10019</v>
      </c>
      <c r="AB225" s="14">
        <f>'A) Base RI'!U225</f>
        <v>19480</v>
      </c>
      <c r="AC225" s="14">
        <f>'A) Base RI'!V225</f>
        <v>0</v>
      </c>
      <c r="AD225" s="14">
        <f>'A) Base RI'!W225</f>
        <v>0</v>
      </c>
      <c r="AE225" s="14">
        <f>'A) Base RI'!Y225</f>
        <v>73147.45</v>
      </c>
      <c r="AF225" s="14">
        <f>'A) Base RI'!Z225</f>
        <v>0</v>
      </c>
      <c r="AG225" s="14">
        <f>'A) Base RI'!AA225</f>
        <v>472777.4</v>
      </c>
      <c r="AH225" s="14">
        <f>'A) Base RI'!AB225</f>
        <v>0</v>
      </c>
      <c r="AI225" s="14">
        <f>'A) Base RI'!AC225</f>
        <v>461371.65</v>
      </c>
      <c r="AJ225" s="14">
        <f>'A) Base RI'!AD225</f>
        <v>73147.45</v>
      </c>
      <c r="AK225" s="14">
        <f>'A) Base RI'!AE225</f>
        <v>0</v>
      </c>
      <c r="AL225" s="14">
        <f>'A) Base RI'!AF225</f>
        <v>0</v>
      </c>
      <c r="AM225" s="14">
        <f>'A) Base RI'!AG225</f>
        <v>0</v>
      </c>
      <c r="AN225" s="14">
        <f>'A) Base RI'!AH225</f>
        <v>144415.65</v>
      </c>
      <c r="AO225" s="14">
        <f>'A) Base RI'!AI225</f>
        <v>0</v>
      </c>
      <c r="AP225" s="14">
        <f>'A) Base RI'!AJ225</f>
        <v>0</v>
      </c>
      <c r="AQ225" s="14">
        <f>'A) Base RI'!AK225</f>
        <v>0</v>
      </c>
      <c r="AR225" s="14">
        <f>'A) Base RI'!AN225</f>
        <v>4156</v>
      </c>
    </row>
    <row r="226" spans="1:44" x14ac:dyDescent="0.25">
      <c r="A226" s="12">
        <f>'A) Base RI'!A226</f>
        <v>5750</v>
      </c>
      <c r="B226" s="42" t="str">
        <f>'A) Base RI'!B226</f>
        <v>Les Clées</v>
      </c>
      <c r="C226" s="14">
        <f>'A) Base RI'!C226+'A) Base RI'!D226</f>
        <v>337591.07</v>
      </c>
      <c r="D226" s="14">
        <f>'A) Base RI'!AO226</f>
        <v>-7531.54</v>
      </c>
      <c r="E226" s="41">
        <f>'A) Base RI'!AP226</f>
        <v>0</v>
      </c>
      <c r="F226" s="41">
        <f>'A) Base RI'!AQ226</f>
        <v>-265.85000000000002</v>
      </c>
      <c r="G226" s="4">
        <f t="shared" si="18"/>
        <v>329793.68000000005</v>
      </c>
      <c r="H226" s="14">
        <f>'A) Base RI'!E226</f>
        <v>0</v>
      </c>
      <c r="I226" s="14">
        <f>'A) Base RI'!F226</f>
        <v>990</v>
      </c>
      <c r="J226" s="14">
        <f>'A) Base RI'!G226+'A) Base RI'!H226</f>
        <v>1538.0500000000002</v>
      </c>
      <c r="K226" s="14">
        <f>'A) Base RI'!I226</f>
        <v>0</v>
      </c>
      <c r="L226" s="14">
        <f>'A) Base RI'!J226</f>
        <v>-6528.49</v>
      </c>
      <c r="M226" s="14">
        <f>'A) Base RI'!K226</f>
        <v>462</v>
      </c>
      <c r="N226" s="14">
        <f>'A) Base RI'!Q226</f>
        <v>3668.85</v>
      </c>
      <c r="O226" s="14">
        <f t="shared" si="19"/>
        <v>19365.083333333332</v>
      </c>
      <c r="P226" s="14">
        <f>'A) Base RI'!L226</f>
        <v>11619.05</v>
      </c>
      <c r="Q226" s="44">
        <f>'A) Base RI'!AR226</f>
        <v>0.6</v>
      </c>
      <c r="R226" s="4">
        <f t="shared" si="20"/>
        <v>349289.17333333334</v>
      </c>
      <c r="S226" s="43">
        <f>'A) Base RI'!AM226</f>
        <v>80</v>
      </c>
      <c r="T226" s="4">
        <f t="shared" si="21"/>
        <v>328472.09000000003</v>
      </c>
      <c r="U226" s="4">
        <f t="shared" si="22"/>
        <v>4366.1146666666664</v>
      </c>
      <c r="V226" s="14">
        <f>'A) Base RI'!O226</f>
        <v>123.2</v>
      </c>
      <c r="W226" s="14">
        <f>'A) Base RI'!P226</f>
        <v>2475</v>
      </c>
      <c r="X226" s="14">
        <f>'A) Base RI'!R226</f>
        <v>3412.5</v>
      </c>
      <c r="Y226" s="4">
        <f t="shared" si="23"/>
        <v>6010.7</v>
      </c>
      <c r="Z226" s="14">
        <f>'A) Base RI'!N226</f>
        <v>9325.7999999999993</v>
      </c>
      <c r="AA226" s="14">
        <f>'A) Base RI'!S226+'A) Base RI'!T226</f>
        <v>0</v>
      </c>
      <c r="AB226" s="14">
        <f>'A) Base RI'!U226</f>
        <v>700</v>
      </c>
      <c r="AC226" s="14">
        <f>'A) Base RI'!V226</f>
        <v>0</v>
      </c>
      <c r="AD226" s="14">
        <f>'A) Base RI'!W226</f>
        <v>0</v>
      </c>
      <c r="AE226" s="14">
        <f>'A) Base RI'!Y226</f>
        <v>6386.55</v>
      </c>
      <c r="AF226" s="14">
        <f>'A) Base RI'!Z226</f>
        <v>0</v>
      </c>
      <c r="AG226" s="14">
        <f>'A) Base RI'!AA226</f>
        <v>26541</v>
      </c>
      <c r="AH226" s="14">
        <f>'A) Base RI'!AB226</f>
        <v>0</v>
      </c>
      <c r="AI226" s="14">
        <f>'A) Base RI'!AC226</f>
        <v>10147.200000000001</v>
      </c>
      <c r="AJ226" s="14">
        <f>'A) Base RI'!AD226</f>
        <v>218</v>
      </c>
      <c r="AK226" s="14">
        <f>'A) Base RI'!AE226</f>
        <v>0</v>
      </c>
      <c r="AL226" s="14">
        <f>'A) Base RI'!AF226</f>
        <v>0</v>
      </c>
      <c r="AM226" s="14">
        <f>'A) Base RI'!AG226</f>
        <v>320</v>
      </c>
      <c r="AN226" s="14">
        <f>'A) Base RI'!AH226</f>
        <v>4061.25</v>
      </c>
      <c r="AO226" s="14">
        <f>'A) Base RI'!AI226</f>
        <v>0</v>
      </c>
      <c r="AP226" s="14">
        <f>'A) Base RI'!AJ226</f>
        <v>0</v>
      </c>
      <c r="AQ226" s="14">
        <f>'A) Base RI'!AK226</f>
        <v>0</v>
      </c>
      <c r="AR226" s="14">
        <f>'A) Base RI'!AN226</f>
        <v>186</v>
      </c>
    </row>
    <row r="227" spans="1:44" x14ac:dyDescent="0.25">
      <c r="A227" s="12">
        <f>'A) Base RI'!A227</f>
        <v>5751</v>
      </c>
      <c r="B227" s="42" t="str">
        <f>'A) Base RI'!B227</f>
        <v>Corcelles-sur-Chavornay</v>
      </c>
      <c r="C227" s="14">
        <f>'A) Base RI'!C227+'A) Base RI'!D227</f>
        <v>628579.24</v>
      </c>
      <c r="D227" s="14">
        <f>'A) Base RI'!AO227</f>
        <v>-13206.76</v>
      </c>
      <c r="E227" s="41">
        <f>'A) Base RI'!AP227</f>
        <v>0</v>
      </c>
      <c r="F227" s="41">
        <f>'A) Base RI'!AQ227</f>
        <v>-72.77</v>
      </c>
      <c r="G227" s="4">
        <f t="shared" si="18"/>
        <v>615299.71</v>
      </c>
      <c r="H227" s="14">
        <f>'A) Base RI'!E227</f>
        <v>0</v>
      </c>
      <c r="I227" s="14">
        <f>'A) Base RI'!F227</f>
        <v>0</v>
      </c>
      <c r="J227" s="14">
        <f>'A) Base RI'!G227+'A) Base RI'!H227</f>
        <v>2338</v>
      </c>
      <c r="K227" s="14">
        <f>'A) Base RI'!I227</f>
        <v>0</v>
      </c>
      <c r="L227" s="14">
        <f>'A) Base RI'!J227</f>
        <v>7162.75</v>
      </c>
      <c r="M227" s="14">
        <f>'A) Base RI'!K227</f>
        <v>1900.5</v>
      </c>
      <c r="N227" s="14">
        <f>'A) Base RI'!Q227</f>
        <v>96.1</v>
      </c>
      <c r="O227" s="14">
        <f t="shared" si="19"/>
        <v>42314.240000000005</v>
      </c>
      <c r="P227" s="14">
        <f>'A) Base RI'!L227</f>
        <v>52892.800000000003</v>
      </c>
      <c r="Q227" s="44">
        <f>'A) Base RI'!AR227</f>
        <v>1.25</v>
      </c>
      <c r="R227" s="4">
        <f t="shared" si="20"/>
        <v>669111.29999999993</v>
      </c>
      <c r="S227" s="43">
        <f>'A) Base RI'!AM227</f>
        <v>76</v>
      </c>
      <c r="T227" s="4">
        <f t="shared" si="21"/>
        <v>624896.55999999994</v>
      </c>
      <c r="U227" s="4">
        <f t="shared" si="22"/>
        <v>8804.0960526315775</v>
      </c>
      <c r="V227" s="14">
        <f>'A) Base RI'!O227</f>
        <v>0</v>
      </c>
      <c r="W227" s="14">
        <f>'A) Base RI'!P227</f>
        <v>26651.9</v>
      </c>
      <c r="X227" s="14">
        <f>'A) Base RI'!R227</f>
        <v>34978.35</v>
      </c>
      <c r="Y227" s="4">
        <f t="shared" si="23"/>
        <v>61630.25</v>
      </c>
      <c r="Z227" s="14">
        <f>'A) Base RI'!N227</f>
        <v>22301</v>
      </c>
      <c r="AA227" s="14">
        <f>'A) Base RI'!S227+'A) Base RI'!T227</f>
        <v>343.75</v>
      </c>
      <c r="AB227" s="14">
        <f>'A) Base RI'!U227</f>
        <v>960</v>
      </c>
      <c r="AC227" s="14">
        <f>'A) Base RI'!V227</f>
        <v>0</v>
      </c>
      <c r="AD227" s="14">
        <f>'A) Base RI'!W227</f>
        <v>0</v>
      </c>
      <c r="AE227" s="14">
        <f>'A) Base RI'!Y227</f>
        <v>17640</v>
      </c>
      <c r="AF227" s="14">
        <f>'A) Base RI'!Z227</f>
        <v>0</v>
      </c>
      <c r="AG227" s="14">
        <f>'A) Base RI'!AA227</f>
        <v>36883</v>
      </c>
      <c r="AH227" s="14">
        <f>'A) Base RI'!AB227</f>
        <v>0</v>
      </c>
      <c r="AI227" s="14">
        <f>'A) Base RI'!AC227</f>
        <v>20296.3</v>
      </c>
      <c r="AJ227" s="14">
        <f>'A) Base RI'!AD227</f>
        <v>7543.25</v>
      </c>
      <c r="AK227" s="14">
        <f>'A) Base RI'!AE227</f>
        <v>0</v>
      </c>
      <c r="AL227" s="14">
        <f>'A) Base RI'!AF227</f>
        <v>0</v>
      </c>
      <c r="AM227" s="14">
        <f>'A) Base RI'!AG227</f>
        <v>0</v>
      </c>
      <c r="AN227" s="14">
        <f>'A) Base RI'!AH227</f>
        <v>11661.7</v>
      </c>
      <c r="AO227" s="14">
        <f>'A) Base RI'!AI227</f>
        <v>0</v>
      </c>
      <c r="AP227" s="14">
        <f>'A) Base RI'!AJ227</f>
        <v>0</v>
      </c>
      <c r="AQ227" s="14">
        <f>'A) Base RI'!AK227</f>
        <v>0</v>
      </c>
      <c r="AR227" s="14">
        <f>'A) Base RI'!AN227</f>
        <v>352</v>
      </c>
    </row>
    <row r="228" spans="1:44" x14ac:dyDescent="0.25">
      <c r="A228" s="12">
        <f>'A) Base RI'!A228</f>
        <v>5752</v>
      </c>
      <c r="B228" s="42" t="str">
        <f>'A) Base RI'!B228</f>
        <v>Croy</v>
      </c>
      <c r="C228" s="14">
        <f>'A) Base RI'!C228+'A) Base RI'!D228</f>
        <v>1005518.39</v>
      </c>
      <c r="D228" s="14">
        <f>'A) Base RI'!AO228</f>
        <v>-2742.14</v>
      </c>
      <c r="E228" s="41">
        <f>'A) Base RI'!AP228</f>
        <v>0</v>
      </c>
      <c r="F228" s="41">
        <f>'A) Base RI'!AQ228</f>
        <v>0</v>
      </c>
      <c r="G228" s="4">
        <f t="shared" si="18"/>
        <v>1002776.25</v>
      </c>
      <c r="H228" s="14">
        <f>'A) Base RI'!E228</f>
        <v>0</v>
      </c>
      <c r="I228" s="14">
        <f>'A) Base RI'!F228</f>
        <v>0</v>
      </c>
      <c r="J228" s="14">
        <f>'A) Base RI'!G228+'A) Base RI'!H228</f>
        <v>7543.2</v>
      </c>
      <c r="K228" s="14">
        <f>'A) Base RI'!I228</f>
        <v>0</v>
      </c>
      <c r="L228" s="14">
        <f>'A) Base RI'!J228</f>
        <v>4661.34</v>
      </c>
      <c r="M228" s="14">
        <f>'A) Base RI'!K228</f>
        <v>724.5</v>
      </c>
      <c r="N228" s="14">
        <f>'A) Base RI'!Q228</f>
        <v>0</v>
      </c>
      <c r="O228" s="14">
        <f t="shared" si="19"/>
        <v>42788.357142857145</v>
      </c>
      <c r="P228" s="14">
        <f>'A) Base RI'!L228</f>
        <v>29951.85</v>
      </c>
      <c r="Q228" s="44">
        <f>'A) Base RI'!AR228</f>
        <v>0.7</v>
      </c>
      <c r="R228" s="4">
        <f t="shared" si="20"/>
        <v>1058493.6471428571</v>
      </c>
      <c r="S228" s="43">
        <f>'A) Base RI'!AM228</f>
        <v>74</v>
      </c>
      <c r="T228" s="4">
        <f t="shared" si="21"/>
        <v>1014980.7899999999</v>
      </c>
      <c r="U228" s="4">
        <f t="shared" si="22"/>
        <v>14303.968204633204</v>
      </c>
      <c r="V228" s="14">
        <f>'A) Base RI'!O228</f>
        <v>1994.1</v>
      </c>
      <c r="W228" s="14">
        <f>'A) Base RI'!P228</f>
        <v>25123.85</v>
      </c>
      <c r="X228" s="14">
        <f>'A) Base RI'!R228</f>
        <v>44325.8</v>
      </c>
      <c r="Y228" s="4">
        <f t="shared" si="23"/>
        <v>71443.75</v>
      </c>
      <c r="Z228" s="14">
        <f>'A) Base RI'!N228</f>
        <v>24819.55</v>
      </c>
      <c r="AA228" s="14">
        <f>'A) Base RI'!S228+'A) Base RI'!T228</f>
        <v>31.25</v>
      </c>
      <c r="AB228" s="14">
        <f>'A) Base RI'!U228</f>
        <v>2300</v>
      </c>
      <c r="AC228" s="14">
        <f>'A) Base RI'!V228</f>
        <v>0</v>
      </c>
      <c r="AD228" s="14">
        <f>'A) Base RI'!W228</f>
        <v>0</v>
      </c>
      <c r="AE228" s="14">
        <f>'A) Base RI'!Y228</f>
        <v>39456</v>
      </c>
      <c r="AF228" s="14">
        <f>'A) Base RI'!Z228</f>
        <v>0</v>
      </c>
      <c r="AG228" s="14">
        <f>'A) Base RI'!AA228</f>
        <v>49805</v>
      </c>
      <c r="AH228" s="14">
        <f>'A) Base RI'!AB228</f>
        <v>0</v>
      </c>
      <c r="AI228" s="14">
        <f>'A) Base RI'!AC228</f>
        <v>17168.05</v>
      </c>
      <c r="AJ228" s="14">
        <f>'A) Base RI'!AD228</f>
        <v>39456</v>
      </c>
      <c r="AK228" s="14">
        <f>'A) Base RI'!AE228</f>
        <v>0</v>
      </c>
      <c r="AL228" s="14">
        <f>'A) Base RI'!AF228</f>
        <v>0</v>
      </c>
      <c r="AM228" s="14">
        <f>'A) Base RI'!AG228</f>
        <v>0</v>
      </c>
      <c r="AN228" s="14">
        <f>'A) Base RI'!AH228</f>
        <v>0</v>
      </c>
      <c r="AO228" s="14">
        <f>'A) Base RI'!AI228</f>
        <v>0</v>
      </c>
      <c r="AP228" s="14">
        <f>'A) Base RI'!AJ228</f>
        <v>0</v>
      </c>
      <c r="AQ228" s="14">
        <f>'A) Base RI'!AK228</f>
        <v>0</v>
      </c>
      <c r="AR228" s="14">
        <f>'A) Base RI'!AN228</f>
        <v>335</v>
      </c>
    </row>
    <row r="229" spans="1:44" x14ac:dyDescent="0.25">
      <c r="A229" s="12">
        <f>'A) Base RI'!A229</f>
        <v>5754</v>
      </c>
      <c r="B229" s="42" t="str">
        <f>'A) Base RI'!B229</f>
        <v>Juriens</v>
      </c>
      <c r="C229" s="14">
        <f>'A) Base RI'!C229+'A) Base RI'!D229</f>
        <v>460641.26999999996</v>
      </c>
      <c r="D229" s="14">
        <f>'A) Base RI'!AO229</f>
        <v>-582.99</v>
      </c>
      <c r="E229" s="41">
        <f>'A) Base RI'!AP229</f>
        <v>0</v>
      </c>
      <c r="F229" s="41">
        <f>'A) Base RI'!AQ229</f>
        <v>-35.909999999999997</v>
      </c>
      <c r="G229" s="4">
        <f t="shared" si="18"/>
        <v>460022.37</v>
      </c>
      <c r="H229" s="14">
        <f>'A) Base RI'!E229</f>
        <v>0</v>
      </c>
      <c r="I229" s="14">
        <f>'A) Base RI'!F229</f>
        <v>0</v>
      </c>
      <c r="J229" s="14">
        <f>'A) Base RI'!G229+'A) Base RI'!H229</f>
        <v>3946.75</v>
      </c>
      <c r="K229" s="14">
        <f>'A) Base RI'!I229</f>
        <v>0</v>
      </c>
      <c r="L229" s="14">
        <f>'A) Base RI'!J229</f>
        <v>10391.49</v>
      </c>
      <c r="M229" s="14">
        <f>'A) Base RI'!K229</f>
        <v>931</v>
      </c>
      <c r="N229" s="14">
        <f>'A) Base RI'!Q229</f>
        <v>0</v>
      </c>
      <c r="O229" s="14">
        <f t="shared" si="19"/>
        <v>36297.5</v>
      </c>
      <c r="P229" s="14">
        <f>'A) Base RI'!L229</f>
        <v>36297.5</v>
      </c>
      <c r="Q229" s="44">
        <f>'A) Base RI'!AR229</f>
        <v>1</v>
      </c>
      <c r="R229" s="4">
        <f t="shared" si="20"/>
        <v>511589.11</v>
      </c>
      <c r="S229" s="43">
        <f>'A) Base RI'!AM229</f>
        <v>79</v>
      </c>
      <c r="T229" s="4">
        <f t="shared" si="21"/>
        <v>474360.61</v>
      </c>
      <c r="U229" s="4">
        <f t="shared" si="22"/>
        <v>6475.8115189873415</v>
      </c>
      <c r="V229" s="14">
        <f>'A) Base RI'!O229</f>
        <v>28085.8</v>
      </c>
      <c r="W229" s="14">
        <f>'A) Base RI'!P229</f>
        <v>1829.9</v>
      </c>
      <c r="X229" s="14">
        <f>'A) Base RI'!R229</f>
        <v>3497.15</v>
      </c>
      <c r="Y229" s="4">
        <f t="shared" si="23"/>
        <v>33412.85</v>
      </c>
      <c r="Z229" s="14">
        <f>'A) Base RI'!N229</f>
        <v>7180.45</v>
      </c>
      <c r="AA229" s="14">
        <f>'A) Base RI'!S229+'A) Base RI'!T229</f>
        <v>0</v>
      </c>
      <c r="AB229" s="14">
        <f>'A) Base RI'!U229</f>
        <v>1360</v>
      </c>
      <c r="AC229" s="14">
        <f>'A) Base RI'!V229</f>
        <v>0</v>
      </c>
      <c r="AD229" s="14">
        <f>'A) Base RI'!W229</f>
        <v>0</v>
      </c>
      <c r="AE229" s="14">
        <f>'A) Base RI'!Y229</f>
        <v>3480</v>
      </c>
      <c r="AF229" s="14">
        <f>'A) Base RI'!Z229</f>
        <v>0</v>
      </c>
      <c r="AG229" s="14">
        <f>'A) Base RI'!AA229</f>
        <v>39565</v>
      </c>
      <c r="AH229" s="14">
        <f>'A) Base RI'!AB229</f>
        <v>0</v>
      </c>
      <c r="AI229" s="14">
        <f>'A) Base RI'!AC229</f>
        <v>36705</v>
      </c>
      <c r="AJ229" s="14">
        <f>'A) Base RI'!AD229</f>
        <v>1740</v>
      </c>
      <c r="AK229" s="14">
        <f>'A) Base RI'!AE229</f>
        <v>0</v>
      </c>
      <c r="AL229" s="14">
        <f>'A) Base RI'!AF229</f>
        <v>0</v>
      </c>
      <c r="AM229" s="14">
        <f>'A) Base RI'!AG229</f>
        <v>0</v>
      </c>
      <c r="AN229" s="14">
        <f>'A) Base RI'!AH229</f>
        <v>0</v>
      </c>
      <c r="AO229" s="14">
        <f>'A) Base RI'!AI229</f>
        <v>0</v>
      </c>
      <c r="AP229" s="14">
        <f>'A) Base RI'!AJ229</f>
        <v>0</v>
      </c>
      <c r="AQ229" s="14">
        <f>'A) Base RI'!AK229</f>
        <v>0</v>
      </c>
      <c r="AR229" s="14">
        <f>'A) Base RI'!AN229</f>
        <v>302</v>
      </c>
    </row>
    <row r="230" spans="1:44" x14ac:dyDescent="0.25">
      <c r="A230" s="12">
        <f>'A) Base RI'!A230</f>
        <v>5755</v>
      </c>
      <c r="B230" s="42" t="str">
        <f>'A) Base RI'!B230</f>
        <v>Lignerolle</v>
      </c>
      <c r="C230" s="14">
        <f>'A) Base RI'!C230+'A) Base RI'!D230</f>
        <v>655009.56999999995</v>
      </c>
      <c r="D230" s="14">
        <f>'A) Base RI'!AO230</f>
        <v>-30585.41</v>
      </c>
      <c r="E230" s="41">
        <f>'A) Base RI'!AP230</f>
        <v>0</v>
      </c>
      <c r="F230" s="41">
        <f>'A) Base RI'!AQ230</f>
        <v>-12.01</v>
      </c>
      <c r="G230" s="4">
        <f t="shared" si="18"/>
        <v>624412.14999999991</v>
      </c>
      <c r="H230" s="14">
        <f>'A) Base RI'!E230</f>
        <v>0</v>
      </c>
      <c r="I230" s="14">
        <f>'A) Base RI'!F230</f>
        <v>0</v>
      </c>
      <c r="J230" s="14">
        <f>'A) Base RI'!G230+'A) Base RI'!H230</f>
        <v>16837.850000000002</v>
      </c>
      <c r="K230" s="14">
        <f>'A) Base RI'!I230</f>
        <v>0</v>
      </c>
      <c r="L230" s="14">
        <f>'A) Base RI'!J230</f>
        <v>4420.13</v>
      </c>
      <c r="M230" s="14">
        <f>'A) Base RI'!K230</f>
        <v>1039</v>
      </c>
      <c r="N230" s="14">
        <f>'A) Base RI'!Q230</f>
        <v>24128.97</v>
      </c>
      <c r="O230" s="14">
        <f t="shared" si="19"/>
        <v>47752.642857142855</v>
      </c>
      <c r="P230" s="14">
        <f>'A) Base RI'!L230</f>
        <v>33426.85</v>
      </c>
      <c r="Q230" s="44">
        <f>'A) Base RI'!AR230</f>
        <v>0.7</v>
      </c>
      <c r="R230" s="4">
        <f t="shared" si="20"/>
        <v>718590.7428571427</v>
      </c>
      <c r="S230" s="43">
        <f>'A) Base RI'!AM230</f>
        <v>81</v>
      </c>
      <c r="T230" s="4">
        <f t="shared" si="21"/>
        <v>669799.09999999986</v>
      </c>
      <c r="U230" s="4">
        <f t="shared" si="22"/>
        <v>8871.4906525573169</v>
      </c>
      <c r="V230" s="14">
        <f>'A) Base RI'!O230</f>
        <v>30632.799999999999</v>
      </c>
      <c r="W230" s="14">
        <f>'A) Base RI'!P230</f>
        <v>15363.1</v>
      </c>
      <c r="X230" s="14">
        <f>'A) Base RI'!R230</f>
        <v>26503.75</v>
      </c>
      <c r="Y230" s="4">
        <f t="shared" si="23"/>
        <v>72499.649999999994</v>
      </c>
      <c r="Z230" s="14">
        <f>'A) Base RI'!N230</f>
        <v>18380.650000000001</v>
      </c>
      <c r="AA230" s="14">
        <f>'A) Base RI'!S230+'A) Base RI'!T230</f>
        <v>15.65</v>
      </c>
      <c r="AB230" s="14">
        <f>'A) Base RI'!U230</f>
        <v>2400</v>
      </c>
      <c r="AC230" s="14">
        <f>'A) Base RI'!V230</f>
        <v>0</v>
      </c>
      <c r="AD230" s="14">
        <f>'A) Base RI'!W230</f>
        <v>0</v>
      </c>
      <c r="AE230" s="14">
        <f>'A) Base RI'!Y230</f>
        <v>8190</v>
      </c>
      <c r="AF230" s="14">
        <f>'A) Base RI'!Z230</f>
        <v>0</v>
      </c>
      <c r="AG230" s="14">
        <f>'A) Base RI'!AA230</f>
        <v>58752</v>
      </c>
      <c r="AH230" s="14">
        <f>'A) Base RI'!AB230</f>
        <v>0</v>
      </c>
      <c r="AI230" s="14">
        <f>'A) Base RI'!AC230</f>
        <v>43950</v>
      </c>
      <c r="AJ230" s="14">
        <f>'A) Base RI'!AD230</f>
        <v>8240</v>
      </c>
      <c r="AK230" s="14">
        <f>'A) Base RI'!AE230</f>
        <v>0</v>
      </c>
      <c r="AL230" s="14">
        <f>'A) Base RI'!AF230</f>
        <v>0</v>
      </c>
      <c r="AM230" s="14">
        <f>'A) Base RI'!AG230</f>
        <v>0</v>
      </c>
      <c r="AN230" s="14">
        <f>'A) Base RI'!AH230</f>
        <v>0</v>
      </c>
      <c r="AO230" s="14">
        <f>'A) Base RI'!AI230</f>
        <v>0</v>
      </c>
      <c r="AP230" s="14">
        <f>'A) Base RI'!AJ230</f>
        <v>0</v>
      </c>
      <c r="AQ230" s="14">
        <f>'A) Base RI'!AK230</f>
        <v>0</v>
      </c>
      <c r="AR230" s="14">
        <f>'A) Base RI'!AN230</f>
        <v>394</v>
      </c>
    </row>
    <row r="231" spans="1:44" x14ac:dyDescent="0.25">
      <c r="A231" s="12">
        <f>'A) Base RI'!A231</f>
        <v>5756</v>
      </c>
      <c r="B231" s="42" t="str">
        <f>'A) Base RI'!B231</f>
        <v>Montcherand</v>
      </c>
      <c r="C231" s="14">
        <f>'A) Base RI'!C231+'A) Base RI'!D231</f>
        <v>904374.23</v>
      </c>
      <c r="D231" s="14">
        <f>'A) Base RI'!AO231</f>
        <v>-2097.64</v>
      </c>
      <c r="E231" s="41">
        <f>'A) Base RI'!AP231</f>
        <v>0</v>
      </c>
      <c r="F231" s="41">
        <f>'A) Base RI'!AQ231</f>
        <v>-141.38999999999999</v>
      </c>
      <c r="G231" s="4">
        <f t="shared" si="18"/>
        <v>902135.2</v>
      </c>
      <c r="H231" s="14">
        <f>'A) Base RI'!E231</f>
        <v>0</v>
      </c>
      <c r="I231" s="14">
        <f>'A) Base RI'!F231</f>
        <v>0</v>
      </c>
      <c r="J231" s="14">
        <f>'A) Base RI'!G231+'A) Base RI'!H231</f>
        <v>33105.5</v>
      </c>
      <c r="K231" s="14">
        <f>'A) Base RI'!I231</f>
        <v>0</v>
      </c>
      <c r="L231" s="14">
        <f>'A) Base RI'!J231</f>
        <v>7091.3</v>
      </c>
      <c r="M231" s="14">
        <f>'A) Base RI'!K231</f>
        <v>368.5</v>
      </c>
      <c r="N231" s="14">
        <f>'A) Base RI'!Q231</f>
        <v>0</v>
      </c>
      <c r="O231" s="14">
        <f t="shared" si="19"/>
        <v>79068.416666666672</v>
      </c>
      <c r="P231" s="14">
        <f>'A) Base RI'!L231</f>
        <v>47441.05</v>
      </c>
      <c r="Q231" s="44">
        <f>'A) Base RI'!AR231</f>
        <v>0.6</v>
      </c>
      <c r="R231" s="4">
        <f t="shared" si="20"/>
        <v>1021768.9166666666</v>
      </c>
      <c r="S231" s="43">
        <f>'A) Base RI'!AM231</f>
        <v>69</v>
      </c>
      <c r="T231" s="4">
        <f t="shared" si="21"/>
        <v>942332</v>
      </c>
      <c r="U231" s="4">
        <f t="shared" si="22"/>
        <v>14808.245169082125</v>
      </c>
      <c r="V231" s="14">
        <f>'A) Base RI'!O231</f>
        <v>0</v>
      </c>
      <c r="W231" s="14">
        <f>'A) Base RI'!P231</f>
        <v>34199</v>
      </c>
      <c r="X231" s="14">
        <f>'A) Base RI'!R231</f>
        <v>20743.45</v>
      </c>
      <c r="Y231" s="4">
        <f t="shared" si="23"/>
        <v>54942.45</v>
      </c>
      <c r="Z231" s="14">
        <f>'A) Base RI'!N231</f>
        <v>20611.55</v>
      </c>
      <c r="AA231" s="14">
        <f>'A) Base RI'!S231+'A) Base RI'!T231</f>
        <v>981.25</v>
      </c>
      <c r="AB231" s="14">
        <f>'A) Base RI'!U231</f>
        <v>1545</v>
      </c>
      <c r="AC231" s="14">
        <f>'A) Base RI'!V231</f>
        <v>0</v>
      </c>
      <c r="AD231" s="14">
        <f>'A) Base RI'!W231</f>
        <v>0</v>
      </c>
      <c r="AE231" s="14">
        <f>'A) Base RI'!Y231</f>
        <v>5880</v>
      </c>
      <c r="AF231" s="14">
        <f>'A) Base RI'!Z231</f>
        <v>0</v>
      </c>
      <c r="AG231" s="14">
        <f>'A) Base RI'!AA231</f>
        <v>53556.800000000003</v>
      </c>
      <c r="AH231" s="14">
        <f>'A) Base RI'!AB231</f>
        <v>0</v>
      </c>
      <c r="AI231" s="14">
        <f>'A) Base RI'!AC231</f>
        <v>23124</v>
      </c>
      <c r="AJ231" s="14">
        <f>'A) Base RI'!AD231</f>
        <v>3591.45</v>
      </c>
      <c r="AK231" s="14">
        <f>'A) Base RI'!AE231</f>
        <v>0</v>
      </c>
      <c r="AL231" s="14">
        <f>'A) Base RI'!AF231</f>
        <v>0</v>
      </c>
      <c r="AM231" s="14">
        <f>'A) Base RI'!AG231</f>
        <v>0</v>
      </c>
      <c r="AN231" s="14">
        <f>'A) Base RI'!AH231</f>
        <v>10898.13</v>
      </c>
      <c r="AO231" s="14">
        <f>'A) Base RI'!AI231</f>
        <v>0</v>
      </c>
      <c r="AP231" s="14">
        <f>'A) Base RI'!AJ231</f>
        <v>0</v>
      </c>
      <c r="AQ231" s="14">
        <f>'A) Base RI'!AK231</f>
        <v>0</v>
      </c>
      <c r="AR231" s="14">
        <f>'A) Base RI'!AN231</f>
        <v>474</v>
      </c>
    </row>
    <row r="232" spans="1:44" x14ac:dyDescent="0.25">
      <c r="A232" s="12">
        <f>'A) Base RI'!A232</f>
        <v>5757</v>
      </c>
      <c r="B232" s="42" t="str">
        <f>'A) Base RI'!B232</f>
        <v>Orbe</v>
      </c>
      <c r="C232" s="14">
        <f>'A) Base RI'!C232+'A) Base RI'!D232</f>
        <v>11122804.690000001</v>
      </c>
      <c r="D232" s="14">
        <f>'A) Base RI'!AO232</f>
        <v>-260069.62</v>
      </c>
      <c r="E232" s="41">
        <f>'A) Base RI'!AP232</f>
        <v>0</v>
      </c>
      <c r="F232" s="41">
        <f>'A) Base RI'!AQ232</f>
        <v>-3464.81</v>
      </c>
      <c r="G232" s="4">
        <f t="shared" si="18"/>
        <v>10859270.260000002</v>
      </c>
      <c r="H232" s="14">
        <f>'A) Base RI'!E232</f>
        <v>0</v>
      </c>
      <c r="I232" s="14">
        <f>'A) Base RI'!F232</f>
        <v>0</v>
      </c>
      <c r="J232" s="14">
        <f>'A) Base RI'!G232+'A) Base RI'!H232</f>
        <v>2545887.7999999998</v>
      </c>
      <c r="K232" s="14">
        <f>'A) Base RI'!I232</f>
        <v>0</v>
      </c>
      <c r="L232" s="14">
        <f>'A) Base RI'!J232</f>
        <v>532263.12</v>
      </c>
      <c r="M232" s="14">
        <f>'A) Base RI'!K232</f>
        <v>59331.5</v>
      </c>
      <c r="N232" s="14">
        <f>'A) Base RI'!Q232</f>
        <v>104524.4</v>
      </c>
      <c r="O232" s="14">
        <f t="shared" si="19"/>
        <v>1049710.3999999999</v>
      </c>
      <c r="P232" s="14">
        <f>'A) Base RI'!L232</f>
        <v>1049710.3999999999</v>
      </c>
      <c r="Q232" s="44">
        <f>'A) Base RI'!AR232</f>
        <v>1</v>
      </c>
      <c r="R232" s="4">
        <f t="shared" si="20"/>
        <v>15150987.480000002</v>
      </c>
      <c r="S232" s="43">
        <f>'A) Base RI'!AM232</f>
        <v>72</v>
      </c>
      <c r="T232" s="4">
        <f t="shared" si="21"/>
        <v>14041945.580000002</v>
      </c>
      <c r="U232" s="4">
        <f t="shared" si="22"/>
        <v>210430.38166666671</v>
      </c>
      <c r="V232" s="14">
        <f>'A) Base RI'!O232</f>
        <v>14567.3</v>
      </c>
      <c r="W232" s="14">
        <f>'A) Base RI'!P232</f>
        <v>342180.7</v>
      </c>
      <c r="X232" s="14">
        <f>'A) Base RI'!R232</f>
        <v>415568.85</v>
      </c>
      <c r="Y232" s="4">
        <f t="shared" si="23"/>
        <v>772316.85</v>
      </c>
      <c r="Z232" s="14">
        <f>'A) Base RI'!N232</f>
        <v>2824411.25</v>
      </c>
      <c r="AA232" s="14">
        <f>'A) Base RI'!S232+'A) Base RI'!T232</f>
        <v>35306.800000000003</v>
      </c>
      <c r="AB232" s="14">
        <f>'A) Base RI'!U232</f>
        <v>40680</v>
      </c>
      <c r="AC232" s="14">
        <f>'A) Base RI'!V232</f>
        <v>180</v>
      </c>
      <c r="AD232" s="14">
        <f>'A) Base RI'!W232</f>
        <v>0</v>
      </c>
      <c r="AE232" s="14">
        <f>'A) Base RI'!Y232</f>
        <v>40110</v>
      </c>
      <c r="AF232" s="14">
        <f>'A) Base RI'!Z232</f>
        <v>0</v>
      </c>
      <c r="AG232" s="14">
        <f>'A) Base RI'!AA232</f>
        <v>1199562.8999999999</v>
      </c>
      <c r="AH232" s="14">
        <f>'A) Base RI'!AB232</f>
        <v>0</v>
      </c>
      <c r="AI232" s="14">
        <f>'A) Base RI'!AC232</f>
        <v>656474.35</v>
      </c>
      <c r="AJ232" s="14">
        <f>'A) Base RI'!AD232</f>
        <v>0</v>
      </c>
      <c r="AK232" s="14">
        <f>'A) Base RI'!AE232</f>
        <v>32279.25</v>
      </c>
      <c r="AL232" s="14">
        <f>'A) Base RI'!AF232</f>
        <v>0</v>
      </c>
      <c r="AM232" s="14">
        <f>'A) Base RI'!AG232</f>
        <v>18499</v>
      </c>
      <c r="AN232" s="14">
        <f>'A) Base RI'!AH232</f>
        <v>0</v>
      </c>
      <c r="AO232" s="14">
        <f>'A) Base RI'!AI232</f>
        <v>129837.7</v>
      </c>
      <c r="AP232" s="14">
        <f>'A) Base RI'!AJ232</f>
        <v>129837.7</v>
      </c>
      <c r="AQ232" s="14">
        <f>'A) Base RI'!AK232</f>
        <v>0</v>
      </c>
      <c r="AR232" s="14">
        <f>'A) Base RI'!AN232</f>
        <v>6767</v>
      </c>
    </row>
    <row r="233" spans="1:44" x14ac:dyDescent="0.25">
      <c r="A233" s="12">
        <f>'A) Base RI'!A233</f>
        <v>5758</v>
      </c>
      <c r="B233" s="42" t="str">
        <f>'A) Base RI'!B233</f>
        <v>La Praz</v>
      </c>
      <c r="C233" s="14">
        <f>'A) Base RI'!C233+'A) Base RI'!D233</f>
        <v>310046.87</v>
      </c>
      <c r="D233" s="14">
        <f>'A) Base RI'!AO233</f>
        <v>-12869.7</v>
      </c>
      <c r="E233" s="41">
        <f>'A) Base RI'!AP233</f>
        <v>0</v>
      </c>
      <c r="F233" s="41">
        <f>'A) Base RI'!AQ233</f>
        <v>0</v>
      </c>
      <c r="G233" s="4">
        <f t="shared" si="18"/>
        <v>297177.17</v>
      </c>
      <c r="H233" s="14">
        <f>'A) Base RI'!E233</f>
        <v>0</v>
      </c>
      <c r="I233" s="14">
        <f>'A) Base RI'!F233</f>
        <v>880</v>
      </c>
      <c r="J233" s="14">
        <f>'A) Base RI'!G233+'A) Base RI'!H233</f>
        <v>1293.1999999999998</v>
      </c>
      <c r="K233" s="14">
        <f>'A) Base RI'!I233</f>
        <v>0</v>
      </c>
      <c r="L233" s="14">
        <f>'A) Base RI'!J233</f>
        <v>358.98</v>
      </c>
      <c r="M233" s="14">
        <f>'A) Base RI'!K233</f>
        <v>0</v>
      </c>
      <c r="N233" s="14">
        <f>'A) Base RI'!Q233</f>
        <v>0</v>
      </c>
      <c r="O233" s="14">
        <f t="shared" si="19"/>
        <v>21019.944444444445</v>
      </c>
      <c r="P233" s="14">
        <f>'A) Base RI'!L233</f>
        <v>18917.95</v>
      </c>
      <c r="Q233" s="44">
        <f>'A) Base RI'!AR233</f>
        <v>0.9</v>
      </c>
      <c r="R233" s="4">
        <f t="shared" si="20"/>
        <v>320729.29444444441</v>
      </c>
      <c r="S233" s="43">
        <f>'A) Base RI'!AM233</f>
        <v>83</v>
      </c>
      <c r="T233" s="4">
        <f t="shared" si="21"/>
        <v>298829.34999999998</v>
      </c>
      <c r="U233" s="4">
        <f t="shared" si="22"/>
        <v>3864.2083668005353</v>
      </c>
      <c r="V233" s="14">
        <f>'A) Base RI'!O233</f>
        <v>6147.8</v>
      </c>
      <c r="W233" s="14">
        <f>'A) Base RI'!P233</f>
        <v>6503.55</v>
      </c>
      <c r="X233" s="14">
        <f>'A) Base RI'!R233</f>
        <v>0</v>
      </c>
      <c r="Y233" s="4">
        <f t="shared" si="23"/>
        <v>12651.35</v>
      </c>
      <c r="Z233" s="14">
        <f>'A) Base RI'!N233</f>
        <v>0</v>
      </c>
      <c r="AA233" s="14">
        <f>'A) Base RI'!S233+'A) Base RI'!T233</f>
        <v>0</v>
      </c>
      <c r="AB233" s="14">
        <f>'A) Base RI'!U233</f>
        <v>880</v>
      </c>
      <c r="AC233" s="14">
        <f>'A) Base RI'!V233</f>
        <v>0</v>
      </c>
      <c r="AD233" s="14">
        <f>'A) Base RI'!W233</f>
        <v>0</v>
      </c>
      <c r="AE233" s="14">
        <f>'A) Base RI'!Y233</f>
        <v>14504.3</v>
      </c>
      <c r="AF233" s="14">
        <f>'A) Base RI'!Z233</f>
        <v>0</v>
      </c>
      <c r="AG233" s="14">
        <f>'A) Base RI'!AA233</f>
        <v>26556.6</v>
      </c>
      <c r="AH233" s="14">
        <f>'A) Base RI'!AB233</f>
        <v>0</v>
      </c>
      <c r="AI233" s="14">
        <f>'A) Base RI'!AC233</f>
        <v>12623.3</v>
      </c>
      <c r="AJ233" s="14">
        <f>'A) Base RI'!AD233</f>
        <v>30218.6</v>
      </c>
      <c r="AK233" s="14">
        <f>'A) Base RI'!AE233</f>
        <v>0</v>
      </c>
      <c r="AL233" s="14">
        <f>'A) Base RI'!AF233</f>
        <v>0</v>
      </c>
      <c r="AM233" s="14">
        <f>'A) Base RI'!AG233</f>
        <v>0</v>
      </c>
      <c r="AN233" s="14">
        <f>'A) Base RI'!AH233</f>
        <v>0</v>
      </c>
      <c r="AO233" s="14">
        <f>'A) Base RI'!AI233</f>
        <v>0</v>
      </c>
      <c r="AP233" s="14">
        <f>'A) Base RI'!AJ233</f>
        <v>0</v>
      </c>
      <c r="AQ233" s="14">
        <f>'A) Base RI'!AK233</f>
        <v>0</v>
      </c>
      <c r="AR233" s="14">
        <f>'A) Base RI'!AN233</f>
        <v>160</v>
      </c>
    </row>
    <row r="234" spans="1:44" x14ac:dyDescent="0.25">
      <c r="A234" s="12">
        <f>'A) Base RI'!A234</f>
        <v>5759</v>
      </c>
      <c r="B234" s="42" t="str">
        <f>'A) Base RI'!B234</f>
        <v>Premier</v>
      </c>
      <c r="C234" s="14">
        <f>'A) Base RI'!C234+'A) Base RI'!D234</f>
        <v>335589.64999999997</v>
      </c>
      <c r="D234" s="14">
        <f>'A) Base RI'!AO234</f>
        <v>-212.33</v>
      </c>
      <c r="E234" s="41">
        <f>'A) Base RI'!AP234</f>
        <v>0</v>
      </c>
      <c r="F234" s="41">
        <f>'A) Base RI'!AQ234</f>
        <v>-133.77000000000001</v>
      </c>
      <c r="G234" s="4">
        <f t="shared" si="18"/>
        <v>335243.54999999993</v>
      </c>
      <c r="H234" s="14">
        <f>'A) Base RI'!E234</f>
        <v>0</v>
      </c>
      <c r="I234" s="14">
        <f>'A) Base RI'!F234</f>
        <v>0</v>
      </c>
      <c r="J234" s="14">
        <f>'A) Base RI'!G234+'A) Base RI'!H234</f>
        <v>5728.9</v>
      </c>
      <c r="K234" s="14">
        <f>'A) Base RI'!I234</f>
        <v>0</v>
      </c>
      <c r="L234" s="14">
        <f>'A) Base RI'!J234</f>
        <v>2764.98</v>
      </c>
      <c r="M234" s="14">
        <f>'A) Base RI'!K234</f>
        <v>242</v>
      </c>
      <c r="N234" s="14">
        <f>'A) Base RI'!Q234</f>
        <v>0</v>
      </c>
      <c r="O234" s="14">
        <f t="shared" si="19"/>
        <v>25277.3</v>
      </c>
      <c r="P234" s="14">
        <f>'A) Base RI'!L234</f>
        <v>25277.3</v>
      </c>
      <c r="Q234" s="44">
        <f>'A) Base RI'!AR234</f>
        <v>1</v>
      </c>
      <c r="R234" s="4">
        <f t="shared" si="20"/>
        <v>369256.72999999992</v>
      </c>
      <c r="S234" s="43">
        <f>'A) Base RI'!AM234</f>
        <v>81</v>
      </c>
      <c r="T234" s="4">
        <f t="shared" si="21"/>
        <v>343737.42999999993</v>
      </c>
      <c r="U234" s="4">
        <f t="shared" si="22"/>
        <v>4558.7250617283944</v>
      </c>
      <c r="V234" s="14">
        <f>'A) Base RI'!O234</f>
        <v>0</v>
      </c>
      <c r="W234" s="14">
        <f>'A) Base RI'!P234</f>
        <v>7985.8</v>
      </c>
      <c r="X234" s="14">
        <f>'A) Base RI'!R234</f>
        <v>11243.85</v>
      </c>
      <c r="Y234" s="4">
        <f t="shared" si="23"/>
        <v>19229.650000000001</v>
      </c>
      <c r="Z234" s="14">
        <f>'A) Base RI'!N234</f>
        <v>2753.1</v>
      </c>
      <c r="AA234" s="14">
        <f>'A) Base RI'!S234+'A) Base RI'!T234</f>
        <v>0</v>
      </c>
      <c r="AB234" s="14">
        <f>'A) Base RI'!U234</f>
        <v>1100</v>
      </c>
      <c r="AC234" s="14">
        <f>'A) Base RI'!V234</f>
        <v>0</v>
      </c>
      <c r="AD234" s="14">
        <f>'A) Base RI'!W234</f>
        <v>0</v>
      </c>
      <c r="AE234" s="14">
        <f>'A) Base RI'!Y234</f>
        <v>0</v>
      </c>
      <c r="AF234" s="14">
        <f>'A) Base RI'!Z234</f>
        <v>0</v>
      </c>
      <c r="AG234" s="14">
        <f>'A) Base RI'!AA234</f>
        <v>24937.5</v>
      </c>
      <c r="AH234" s="14">
        <f>'A) Base RI'!AB234</f>
        <v>0</v>
      </c>
      <c r="AI234" s="14">
        <f>'A) Base RI'!AC234</f>
        <v>17372.05</v>
      </c>
      <c r="AJ234" s="14">
        <f>'A) Base RI'!AD234</f>
        <v>0</v>
      </c>
      <c r="AK234" s="14">
        <f>'A) Base RI'!AE234</f>
        <v>0</v>
      </c>
      <c r="AL234" s="14">
        <f>'A) Base RI'!AF234</f>
        <v>0</v>
      </c>
      <c r="AM234" s="14">
        <f>'A) Base RI'!AG234</f>
        <v>0</v>
      </c>
      <c r="AN234" s="14">
        <f>'A) Base RI'!AH234</f>
        <v>0</v>
      </c>
      <c r="AO234" s="14">
        <f>'A) Base RI'!AI234</f>
        <v>0</v>
      </c>
      <c r="AP234" s="14">
        <f>'A) Base RI'!AJ234</f>
        <v>0</v>
      </c>
      <c r="AQ234" s="14">
        <f>'A) Base RI'!AK234</f>
        <v>0</v>
      </c>
      <c r="AR234" s="14">
        <f>'A) Base RI'!AN234</f>
        <v>185</v>
      </c>
    </row>
    <row r="235" spans="1:44" x14ac:dyDescent="0.25">
      <c r="A235" s="12">
        <f>'A) Base RI'!A235</f>
        <v>5760</v>
      </c>
      <c r="B235" s="42" t="str">
        <f>'A) Base RI'!B235</f>
        <v>Rances</v>
      </c>
      <c r="C235" s="14">
        <f>'A) Base RI'!C235+'A) Base RI'!D235</f>
        <v>837459.30999999994</v>
      </c>
      <c r="D235" s="14">
        <f>'A) Base RI'!AO235</f>
        <v>-12249.95</v>
      </c>
      <c r="E235" s="41">
        <f>'A) Base RI'!AP235</f>
        <v>0</v>
      </c>
      <c r="F235" s="41">
        <f>'A) Base RI'!AQ235</f>
        <v>-570.33000000000004</v>
      </c>
      <c r="G235" s="4">
        <f t="shared" si="18"/>
        <v>824639.03</v>
      </c>
      <c r="H235" s="14">
        <f>'A) Base RI'!E235</f>
        <v>0</v>
      </c>
      <c r="I235" s="14">
        <f>'A) Base RI'!F235</f>
        <v>0</v>
      </c>
      <c r="J235" s="14">
        <f>'A) Base RI'!G235+'A) Base RI'!H235</f>
        <v>1020.700000000001</v>
      </c>
      <c r="K235" s="14">
        <f>'A) Base RI'!I235</f>
        <v>0</v>
      </c>
      <c r="L235" s="14">
        <f>'A) Base RI'!J235</f>
        <v>9017.81</v>
      </c>
      <c r="M235" s="14">
        <f>'A) Base RI'!K235</f>
        <v>0</v>
      </c>
      <c r="N235" s="14">
        <f>'A) Base RI'!Q235</f>
        <v>475.8</v>
      </c>
      <c r="O235" s="14">
        <f t="shared" si="19"/>
        <v>59528.1</v>
      </c>
      <c r="P235" s="14">
        <f>'A) Base RI'!L235</f>
        <v>89292.15</v>
      </c>
      <c r="Q235" s="44">
        <f>'A) Base RI'!AR235</f>
        <v>1.5</v>
      </c>
      <c r="R235" s="4">
        <f t="shared" si="20"/>
        <v>894681.44000000006</v>
      </c>
      <c r="S235" s="43">
        <f>'A) Base RI'!AM235</f>
        <v>78</v>
      </c>
      <c r="T235" s="4">
        <f t="shared" si="21"/>
        <v>835153.34000000008</v>
      </c>
      <c r="U235" s="4">
        <f t="shared" si="22"/>
        <v>11470.274871794873</v>
      </c>
      <c r="V235" s="14">
        <f>'A) Base RI'!O235</f>
        <v>0</v>
      </c>
      <c r="W235" s="14">
        <f>'A) Base RI'!P235</f>
        <v>29868.25</v>
      </c>
      <c r="X235" s="14">
        <f>'A) Base RI'!R235</f>
        <v>15800.8</v>
      </c>
      <c r="Y235" s="4">
        <f t="shared" si="23"/>
        <v>45669.05</v>
      </c>
      <c r="Z235" s="14">
        <f>'A) Base RI'!N235</f>
        <v>7957.9</v>
      </c>
      <c r="AA235" s="14">
        <f>'A) Base RI'!S235+'A) Base RI'!T235</f>
        <v>15.65</v>
      </c>
      <c r="AB235" s="14">
        <f>'A) Base RI'!U235</f>
        <v>2330</v>
      </c>
      <c r="AC235" s="14">
        <f>'A) Base RI'!V235</f>
        <v>0</v>
      </c>
      <c r="AD235" s="14">
        <f>'A) Base RI'!W235</f>
        <v>0</v>
      </c>
      <c r="AE235" s="14">
        <f>'A) Base RI'!Y235</f>
        <v>0</v>
      </c>
      <c r="AF235" s="14">
        <f>'A) Base RI'!Z235</f>
        <v>0</v>
      </c>
      <c r="AG235" s="14">
        <f>'A) Base RI'!AA235</f>
        <v>0</v>
      </c>
      <c r="AH235" s="14">
        <f>'A) Base RI'!AB235</f>
        <v>43451.85</v>
      </c>
      <c r="AI235" s="14">
        <f>'A) Base RI'!AC235</f>
        <v>62195.8</v>
      </c>
      <c r="AJ235" s="14">
        <f>'A) Base RI'!AD235</f>
        <v>26791.95</v>
      </c>
      <c r="AK235" s="14">
        <f>'A) Base RI'!AE235</f>
        <v>0</v>
      </c>
      <c r="AL235" s="14">
        <f>'A) Base RI'!AF235</f>
        <v>0</v>
      </c>
      <c r="AM235" s="14">
        <f>'A) Base RI'!AG235</f>
        <v>0</v>
      </c>
      <c r="AN235" s="14">
        <f>'A) Base RI'!AH235</f>
        <v>0</v>
      </c>
      <c r="AO235" s="14">
        <f>'A) Base RI'!AI235</f>
        <v>0</v>
      </c>
      <c r="AP235" s="14">
        <f>'A) Base RI'!AJ235</f>
        <v>0</v>
      </c>
      <c r="AQ235" s="14">
        <f>'A) Base RI'!AK235</f>
        <v>0</v>
      </c>
      <c r="AR235" s="14">
        <f>'A) Base RI'!AN235</f>
        <v>460</v>
      </c>
    </row>
    <row r="236" spans="1:44" x14ac:dyDescent="0.25">
      <c r="A236" s="12">
        <f>'A) Base RI'!A236</f>
        <v>5761</v>
      </c>
      <c r="B236" s="42" t="str">
        <f>'A) Base RI'!B236</f>
        <v>Romainmôtier-Envy</v>
      </c>
      <c r="C236" s="14">
        <f>'A) Base RI'!C236+'A) Base RI'!D236</f>
        <v>785315.95</v>
      </c>
      <c r="D236" s="14">
        <f>'A) Base RI'!AO236</f>
        <v>-7961.9</v>
      </c>
      <c r="E236" s="41">
        <f>'A) Base RI'!AP236</f>
        <v>0</v>
      </c>
      <c r="F236" s="41">
        <f>'A) Base RI'!AQ236</f>
        <v>0</v>
      </c>
      <c r="G236" s="4">
        <f t="shared" si="18"/>
        <v>777354.04999999993</v>
      </c>
      <c r="H236" s="14">
        <f>'A) Base RI'!E236</f>
        <v>0</v>
      </c>
      <c r="I236" s="14">
        <f>'A) Base RI'!F236</f>
        <v>0</v>
      </c>
      <c r="J236" s="14">
        <f>'A) Base RI'!G236+'A) Base RI'!H236</f>
        <v>1915.25</v>
      </c>
      <c r="K236" s="14">
        <f>'A) Base RI'!I236</f>
        <v>0</v>
      </c>
      <c r="L236" s="14">
        <f>'A) Base RI'!J236</f>
        <v>8338.2199999999993</v>
      </c>
      <c r="M236" s="14">
        <f>'A) Base RI'!K236</f>
        <v>3614.5</v>
      </c>
      <c r="N236" s="14">
        <f>'A) Base RI'!Q236</f>
        <v>258.89</v>
      </c>
      <c r="O236" s="14">
        <f t="shared" si="19"/>
        <v>70918.125</v>
      </c>
      <c r="P236" s="14">
        <f>'A) Base RI'!L236</f>
        <v>56734.5</v>
      </c>
      <c r="Q236" s="44">
        <f>'A) Base RI'!AR236</f>
        <v>0.8</v>
      </c>
      <c r="R236" s="4">
        <f t="shared" si="20"/>
        <v>862399.03499999992</v>
      </c>
      <c r="S236" s="43">
        <f>'A) Base RI'!AM236</f>
        <v>76</v>
      </c>
      <c r="T236" s="4">
        <f t="shared" si="21"/>
        <v>787866.40999999992</v>
      </c>
      <c r="U236" s="4">
        <f t="shared" si="22"/>
        <v>11347.35572368421</v>
      </c>
      <c r="V236" s="14">
        <f>'A) Base RI'!O236</f>
        <v>6689.8</v>
      </c>
      <c r="W236" s="14">
        <f>'A) Base RI'!P236</f>
        <v>10042.450000000001</v>
      </c>
      <c r="X236" s="14">
        <f>'A) Base RI'!R236</f>
        <v>39696.949999999997</v>
      </c>
      <c r="Y236" s="4">
        <f t="shared" si="23"/>
        <v>56429.2</v>
      </c>
      <c r="Z236" s="14">
        <f>'A) Base RI'!N236</f>
        <v>48393.15</v>
      </c>
      <c r="AA236" s="14">
        <f>'A) Base RI'!S236+'A) Base RI'!T236</f>
        <v>242.5</v>
      </c>
      <c r="AB236" s="14">
        <f>'A) Base RI'!U236</f>
        <v>2916</v>
      </c>
      <c r="AC236" s="14">
        <f>'A) Base RI'!V236</f>
        <v>3935.3</v>
      </c>
      <c r="AD236" s="14">
        <f>'A) Base RI'!W236</f>
        <v>0</v>
      </c>
      <c r="AE236" s="14">
        <f>'A) Base RI'!Y236</f>
        <v>23157.85</v>
      </c>
      <c r="AF236" s="14">
        <f>'A) Base RI'!Z236</f>
        <v>0</v>
      </c>
      <c r="AG236" s="14">
        <f>'A) Base RI'!AA236</f>
        <v>91544.9</v>
      </c>
      <c r="AH236" s="14">
        <f>'A) Base RI'!AB236</f>
        <v>0</v>
      </c>
      <c r="AI236" s="14">
        <f>'A) Base RI'!AC236</f>
        <v>48451.3</v>
      </c>
      <c r="AJ236" s="14">
        <f>'A) Base RI'!AD236</f>
        <v>8421.0499999999993</v>
      </c>
      <c r="AK236" s="14">
        <f>'A) Base RI'!AE236</f>
        <v>0</v>
      </c>
      <c r="AL236" s="14">
        <f>'A) Base RI'!AF236</f>
        <v>0</v>
      </c>
      <c r="AM236" s="14">
        <f>'A) Base RI'!AG236</f>
        <v>0</v>
      </c>
      <c r="AN236" s="14">
        <f>'A) Base RI'!AH236</f>
        <v>15704.55</v>
      </c>
      <c r="AO236" s="14">
        <f>'A) Base RI'!AI236</f>
        <v>0</v>
      </c>
      <c r="AP236" s="14">
        <f>'A) Base RI'!AJ236</f>
        <v>0</v>
      </c>
      <c r="AQ236" s="14">
        <f>'A) Base RI'!AK236</f>
        <v>0</v>
      </c>
      <c r="AR236" s="14">
        <f>'A) Base RI'!AN236</f>
        <v>525</v>
      </c>
    </row>
    <row r="237" spans="1:44" x14ac:dyDescent="0.25">
      <c r="A237" s="12">
        <f>'A) Base RI'!A237</f>
        <v>5762</v>
      </c>
      <c r="B237" s="42" t="str">
        <f>'A) Base RI'!B237</f>
        <v>Sergey</v>
      </c>
      <c r="C237" s="14">
        <f>'A) Base RI'!C237+'A) Base RI'!D237</f>
        <v>241633.63999999998</v>
      </c>
      <c r="D237" s="14">
        <f>'A) Base RI'!AO237</f>
        <v>-6884.98</v>
      </c>
      <c r="E237" s="41">
        <f>'A) Base RI'!AP237</f>
        <v>0</v>
      </c>
      <c r="F237" s="41">
        <f>'A) Base RI'!AQ237</f>
        <v>0</v>
      </c>
      <c r="G237" s="4">
        <f t="shared" si="18"/>
        <v>234748.65999999997</v>
      </c>
      <c r="H237" s="14">
        <f>'A) Base RI'!E237</f>
        <v>0</v>
      </c>
      <c r="I237" s="14">
        <f>'A) Base RI'!F237</f>
        <v>0</v>
      </c>
      <c r="J237" s="14">
        <f>'A) Base RI'!G237+'A) Base RI'!H237</f>
        <v>-2598.4</v>
      </c>
      <c r="K237" s="14">
        <f>'A) Base RI'!I237</f>
        <v>0</v>
      </c>
      <c r="L237" s="14">
        <f>'A) Base RI'!J237</f>
        <v>1205.19</v>
      </c>
      <c r="M237" s="14">
        <f>'A) Base RI'!K237</f>
        <v>0</v>
      </c>
      <c r="N237" s="14">
        <f>'A) Base RI'!Q237</f>
        <v>0</v>
      </c>
      <c r="O237" s="14">
        <f t="shared" si="19"/>
        <v>18134.099999999999</v>
      </c>
      <c r="P237" s="14">
        <f>'A) Base RI'!L237</f>
        <v>18134.099999999999</v>
      </c>
      <c r="Q237" s="44">
        <f>'A) Base RI'!AR237</f>
        <v>1</v>
      </c>
      <c r="R237" s="4">
        <f t="shared" si="20"/>
        <v>251489.55</v>
      </c>
      <c r="S237" s="43">
        <f>'A) Base RI'!AM237</f>
        <v>81</v>
      </c>
      <c r="T237" s="4">
        <f t="shared" si="21"/>
        <v>233355.44999999998</v>
      </c>
      <c r="U237" s="4">
        <f t="shared" si="22"/>
        <v>3104.8092592592593</v>
      </c>
      <c r="V237" s="14">
        <f>'A) Base RI'!O237</f>
        <v>0</v>
      </c>
      <c r="W237" s="14">
        <f>'A) Base RI'!P237</f>
        <v>0</v>
      </c>
      <c r="X237" s="14">
        <f>'A) Base RI'!R237</f>
        <v>0</v>
      </c>
      <c r="Y237" s="4">
        <f t="shared" si="23"/>
        <v>0</v>
      </c>
      <c r="Z237" s="14">
        <f>'A) Base RI'!N237</f>
        <v>4150.2</v>
      </c>
      <c r="AA237" s="14">
        <f>'A) Base RI'!S237+'A) Base RI'!T237</f>
        <v>0</v>
      </c>
      <c r="AB237" s="14">
        <f>'A) Base RI'!U237</f>
        <v>1100</v>
      </c>
      <c r="AC237" s="14">
        <f>'A) Base RI'!V237</f>
        <v>0</v>
      </c>
      <c r="AD237" s="14">
        <f>'A) Base RI'!W237</f>
        <v>0</v>
      </c>
      <c r="AE237" s="14">
        <f>'A) Base RI'!Y237</f>
        <v>0</v>
      </c>
      <c r="AF237" s="14">
        <f>'A) Base RI'!Z237</f>
        <v>1317</v>
      </c>
      <c r="AG237" s="14">
        <f>'A) Base RI'!AA237</f>
        <v>5940</v>
      </c>
      <c r="AH237" s="14">
        <f>'A) Base RI'!AB237</f>
        <v>0</v>
      </c>
      <c r="AI237" s="14">
        <f>'A) Base RI'!AC237</f>
        <v>12970</v>
      </c>
      <c r="AJ237" s="14">
        <f>'A) Base RI'!AD237</f>
        <v>0</v>
      </c>
      <c r="AK237" s="14">
        <f>'A) Base RI'!AE237</f>
        <v>1881</v>
      </c>
      <c r="AL237" s="14">
        <f>'A) Base RI'!AF237</f>
        <v>0</v>
      </c>
      <c r="AM237" s="14">
        <f>'A) Base RI'!AG237</f>
        <v>0</v>
      </c>
      <c r="AN237" s="14">
        <f>'A) Base RI'!AH237</f>
        <v>0</v>
      </c>
      <c r="AO237" s="14">
        <f>'A) Base RI'!AI237</f>
        <v>0</v>
      </c>
      <c r="AP237" s="14">
        <f>'A) Base RI'!AJ237</f>
        <v>0</v>
      </c>
      <c r="AQ237" s="14">
        <f>'A) Base RI'!AK237</f>
        <v>0</v>
      </c>
      <c r="AR237" s="14">
        <f>'A) Base RI'!AN237</f>
        <v>144</v>
      </c>
    </row>
    <row r="238" spans="1:44" x14ac:dyDescent="0.25">
      <c r="A238" s="12">
        <f>'A) Base RI'!A238</f>
        <v>5763</v>
      </c>
      <c r="B238" s="42" t="str">
        <f>'A) Base RI'!B238</f>
        <v>Valeyres-sous-Rances</v>
      </c>
      <c r="C238" s="14">
        <f>'A) Base RI'!C238+'A) Base RI'!D238</f>
        <v>972613.66</v>
      </c>
      <c r="D238" s="14">
        <f>'A) Base RI'!AO238</f>
        <v>-2029.55</v>
      </c>
      <c r="E238" s="41">
        <f>'A) Base RI'!AP238</f>
        <v>0</v>
      </c>
      <c r="F238" s="41">
        <f>'A) Base RI'!AQ238</f>
        <v>-129.46</v>
      </c>
      <c r="G238" s="4">
        <f t="shared" si="18"/>
        <v>970454.65</v>
      </c>
      <c r="H238" s="14">
        <f>'A) Base RI'!E238</f>
        <v>0</v>
      </c>
      <c r="I238" s="14">
        <f>'A) Base RI'!F238</f>
        <v>3310</v>
      </c>
      <c r="J238" s="14">
        <f>'A) Base RI'!G238+'A) Base RI'!H238</f>
        <v>10018.65</v>
      </c>
      <c r="K238" s="14">
        <f>'A) Base RI'!I238</f>
        <v>0</v>
      </c>
      <c r="L238" s="14">
        <f>'A) Base RI'!J238</f>
        <v>35094.410000000003</v>
      </c>
      <c r="M238" s="14">
        <f>'A) Base RI'!K238</f>
        <v>3428.5</v>
      </c>
      <c r="N238" s="14">
        <f>'A) Base RI'!Q238</f>
        <v>477.46</v>
      </c>
      <c r="O238" s="14">
        <f t="shared" si="19"/>
        <v>73998.649999999994</v>
      </c>
      <c r="P238" s="14">
        <f>'A) Base RI'!L238</f>
        <v>73998.649999999994</v>
      </c>
      <c r="Q238" s="44">
        <f>'A) Base RI'!AR238</f>
        <v>1</v>
      </c>
      <c r="R238" s="4">
        <f t="shared" si="20"/>
        <v>1096782.32</v>
      </c>
      <c r="S238" s="43">
        <f>'A) Base RI'!AM238</f>
        <v>68</v>
      </c>
      <c r="T238" s="4">
        <f t="shared" si="21"/>
        <v>1016045.17</v>
      </c>
      <c r="U238" s="4">
        <f t="shared" si="22"/>
        <v>16129.151764705883</v>
      </c>
      <c r="V238" s="14">
        <f>'A) Base RI'!O238</f>
        <v>0</v>
      </c>
      <c r="W238" s="14">
        <f>'A) Base RI'!P238</f>
        <v>36605.050000000003</v>
      </c>
      <c r="X238" s="14">
        <f>'A) Base RI'!R238</f>
        <v>29960.1</v>
      </c>
      <c r="Y238" s="4">
        <f t="shared" si="23"/>
        <v>66565.149999999994</v>
      </c>
      <c r="Z238" s="14">
        <f>'A) Base RI'!N238</f>
        <v>80286.55</v>
      </c>
      <c r="AA238" s="14">
        <f>'A) Base RI'!S238+'A) Base RI'!T238</f>
        <v>1400</v>
      </c>
      <c r="AB238" s="14">
        <f>'A) Base RI'!U238</f>
        <v>3650</v>
      </c>
      <c r="AC238" s="14">
        <f>'A) Base RI'!V238</f>
        <v>0</v>
      </c>
      <c r="AD238" s="14">
        <f>'A) Base RI'!W238</f>
        <v>0</v>
      </c>
      <c r="AE238" s="14">
        <f>'A) Base RI'!Y238</f>
        <v>15624.8</v>
      </c>
      <c r="AF238" s="14">
        <f>'A) Base RI'!Z238</f>
        <v>0</v>
      </c>
      <c r="AG238" s="14">
        <f>'A) Base RI'!AA238</f>
        <v>89083.85</v>
      </c>
      <c r="AH238" s="14">
        <f>'A) Base RI'!AB238</f>
        <v>0</v>
      </c>
      <c r="AI238" s="14">
        <f>'A) Base RI'!AC238</f>
        <v>56379.85</v>
      </c>
      <c r="AJ238" s="14">
        <f>'A) Base RI'!AD238</f>
        <v>9794.9</v>
      </c>
      <c r="AK238" s="14">
        <f>'A) Base RI'!AE238</f>
        <v>0</v>
      </c>
      <c r="AL238" s="14">
        <f>'A) Base RI'!AF238</f>
        <v>0</v>
      </c>
      <c r="AM238" s="14">
        <f>'A) Base RI'!AG238</f>
        <v>0</v>
      </c>
      <c r="AN238" s="14">
        <f>'A) Base RI'!AH238</f>
        <v>0</v>
      </c>
      <c r="AO238" s="14">
        <f>'A) Base RI'!AI238</f>
        <v>0</v>
      </c>
      <c r="AP238" s="14">
        <f>'A) Base RI'!AJ238</f>
        <v>0</v>
      </c>
      <c r="AQ238" s="14">
        <f>'A) Base RI'!AK238</f>
        <v>0</v>
      </c>
      <c r="AR238" s="14">
        <f>'A) Base RI'!AN238</f>
        <v>600</v>
      </c>
    </row>
    <row r="239" spans="1:44" x14ac:dyDescent="0.25">
      <c r="A239" s="12">
        <f>'A) Base RI'!A239</f>
        <v>5764</v>
      </c>
      <c r="B239" s="42" t="str">
        <f>'A) Base RI'!B239</f>
        <v>Vallorbe</v>
      </c>
      <c r="C239" s="14">
        <f>'A) Base RI'!C239+'A) Base RI'!D239</f>
        <v>4932446.3699999992</v>
      </c>
      <c r="D239" s="14">
        <f>'A) Base RI'!AO239</f>
        <v>-148221.28</v>
      </c>
      <c r="E239" s="41">
        <f>'A) Base RI'!AP239</f>
        <v>0</v>
      </c>
      <c r="F239" s="41">
        <f>'A) Base RI'!AQ239</f>
        <v>-777.05</v>
      </c>
      <c r="G239" s="4">
        <f t="shared" si="18"/>
        <v>4783448.0399999991</v>
      </c>
      <c r="H239" s="14">
        <f>'A) Base RI'!E239</f>
        <v>0</v>
      </c>
      <c r="I239" s="14">
        <f>'A) Base RI'!F239</f>
        <v>0</v>
      </c>
      <c r="J239" s="14">
        <f>'A) Base RI'!G239+'A) Base RI'!H239</f>
        <v>753683.2</v>
      </c>
      <c r="K239" s="14">
        <f>'A) Base RI'!I239</f>
        <v>0</v>
      </c>
      <c r="L239" s="14">
        <f>'A) Base RI'!J239</f>
        <v>275244.33</v>
      </c>
      <c r="M239" s="14">
        <f>'A) Base RI'!K239</f>
        <v>19187</v>
      </c>
      <c r="N239" s="14">
        <f>'A) Base RI'!Q239</f>
        <v>34058.699999999997</v>
      </c>
      <c r="O239" s="14">
        <f t="shared" si="19"/>
        <v>379534.25</v>
      </c>
      <c r="P239" s="14">
        <f>'A) Base RI'!L239</f>
        <v>379534.25</v>
      </c>
      <c r="Q239" s="44">
        <f>'A) Base RI'!AR239</f>
        <v>1</v>
      </c>
      <c r="R239" s="4">
        <f t="shared" si="20"/>
        <v>6245155.5199999996</v>
      </c>
      <c r="S239" s="43">
        <f>'A) Base RI'!AM239</f>
        <v>74</v>
      </c>
      <c r="T239" s="4">
        <f t="shared" si="21"/>
        <v>5846434.2699999996</v>
      </c>
      <c r="U239" s="4">
        <f t="shared" si="22"/>
        <v>84393.993513513502</v>
      </c>
      <c r="V239" s="14">
        <f>'A) Base RI'!O239</f>
        <v>15995.2</v>
      </c>
      <c r="W239" s="14">
        <f>'A) Base RI'!P239</f>
        <v>168100.95</v>
      </c>
      <c r="X239" s="14">
        <f>'A) Base RI'!R239</f>
        <v>139517.35</v>
      </c>
      <c r="Y239" s="4">
        <f t="shared" si="23"/>
        <v>323613.5</v>
      </c>
      <c r="Z239" s="14">
        <f>'A) Base RI'!N239</f>
        <v>2510152.4500000002</v>
      </c>
      <c r="AA239" s="14">
        <f>'A) Base RI'!S239+'A) Base RI'!T239</f>
        <v>8274.4</v>
      </c>
      <c r="AB239" s="14">
        <f>'A) Base RI'!U239</f>
        <v>17692.5</v>
      </c>
      <c r="AC239" s="14">
        <f>'A) Base RI'!V239</f>
        <v>51345.599999999999</v>
      </c>
      <c r="AD239" s="14">
        <f>'A) Base RI'!W239</f>
        <v>6163.3</v>
      </c>
      <c r="AE239" s="14">
        <f>'A) Base RI'!Y239</f>
        <v>92024</v>
      </c>
      <c r="AF239" s="14">
        <f>'A) Base RI'!Z239</f>
        <v>17570</v>
      </c>
      <c r="AG239" s="14">
        <f>'A) Base RI'!AA239</f>
        <v>535193.49</v>
      </c>
      <c r="AH239" s="14">
        <f>'A) Base RI'!AB239</f>
        <v>0</v>
      </c>
      <c r="AI239" s="14">
        <f>'A) Base RI'!AC239</f>
        <v>529139.43999999994</v>
      </c>
      <c r="AJ239" s="14">
        <f>'A) Base RI'!AD239</f>
        <v>49712.2</v>
      </c>
      <c r="AK239" s="14">
        <f>'A) Base RI'!AE239</f>
        <v>7001.95</v>
      </c>
      <c r="AL239" s="14">
        <f>'A) Base RI'!AF239</f>
        <v>0</v>
      </c>
      <c r="AM239" s="14">
        <f>'A) Base RI'!AG239</f>
        <v>7429.45</v>
      </c>
      <c r="AN239" s="14">
        <f>'A) Base RI'!AH239</f>
        <v>186581.65</v>
      </c>
      <c r="AO239" s="14">
        <f>'A) Base RI'!AI239</f>
        <v>0</v>
      </c>
      <c r="AP239" s="14">
        <f>'A) Base RI'!AJ239</f>
        <v>0</v>
      </c>
      <c r="AQ239" s="14">
        <f>'A) Base RI'!AK239</f>
        <v>0</v>
      </c>
      <c r="AR239" s="14">
        <f>'A) Base RI'!AN239</f>
        <v>3650</v>
      </c>
    </row>
    <row r="240" spans="1:44" x14ac:dyDescent="0.25">
      <c r="A240" s="12">
        <f>'A) Base RI'!A240</f>
        <v>5765</v>
      </c>
      <c r="B240" s="42" t="str">
        <f>'A) Base RI'!B240</f>
        <v>Vaulion</v>
      </c>
      <c r="C240" s="14">
        <f>'A) Base RI'!C240+'A) Base RI'!D240</f>
        <v>684209.73</v>
      </c>
      <c r="D240" s="14">
        <f>'A) Base RI'!AO240</f>
        <v>-18777.439999999999</v>
      </c>
      <c r="E240" s="41">
        <f>'A) Base RI'!AP240</f>
        <v>0</v>
      </c>
      <c r="F240" s="41">
        <f>'A) Base RI'!AQ240</f>
        <v>-2.06</v>
      </c>
      <c r="G240" s="4">
        <f t="shared" si="18"/>
        <v>665430.23</v>
      </c>
      <c r="H240" s="14">
        <f>'A) Base RI'!E240</f>
        <v>0</v>
      </c>
      <c r="I240" s="14">
        <f>'A) Base RI'!F240</f>
        <v>0</v>
      </c>
      <c r="J240" s="14">
        <f>'A) Base RI'!G240+'A) Base RI'!H240</f>
        <v>11021.599999999999</v>
      </c>
      <c r="K240" s="14">
        <f>'A) Base RI'!I240</f>
        <v>0</v>
      </c>
      <c r="L240" s="14">
        <f>'A) Base RI'!J240</f>
        <v>19926.54</v>
      </c>
      <c r="M240" s="14">
        <f>'A) Base RI'!K240</f>
        <v>0</v>
      </c>
      <c r="N240" s="14">
        <f>'A) Base RI'!Q240</f>
        <v>910.72</v>
      </c>
      <c r="O240" s="14">
        <f t="shared" si="19"/>
        <v>56461.3</v>
      </c>
      <c r="P240" s="14">
        <f>'A) Base RI'!L240</f>
        <v>28230.65</v>
      </c>
      <c r="Q240" s="44">
        <f>'A) Base RI'!AR240</f>
        <v>0.5</v>
      </c>
      <c r="R240" s="4">
        <f t="shared" si="20"/>
        <v>753750.39</v>
      </c>
      <c r="S240" s="43">
        <f>'A) Base RI'!AM240</f>
        <v>81</v>
      </c>
      <c r="T240" s="4">
        <f t="shared" si="21"/>
        <v>697289.09</v>
      </c>
      <c r="U240" s="4">
        <f t="shared" si="22"/>
        <v>9305.5603703703709</v>
      </c>
      <c r="V240" s="14">
        <f>'A) Base RI'!O240</f>
        <v>1661.6</v>
      </c>
      <c r="W240" s="14">
        <f>'A) Base RI'!P240</f>
        <v>36810.35</v>
      </c>
      <c r="X240" s="14">
        <f>'A) Base RI'!R240</f>
        <v>47579.6</v>
      </c>
      <c r="Y240" s="4">
        <f t="shared" si="23"/>
        <v>86051.549999999988</v>
      </c>
      <c r="Z240" s="14">
        <f>'A) Base RI'!N240</f>
        <v>48456.65</v>
      </c>
      <c r="AA240" s="14">
        <f>'A) Base RI'!S240+'A) Base RI'!T240</f>
        <v>500</v>
      </c>
      <c r="AB240" s="14">
        <f>'A) Base RI'!U240</f>
        <v>4260</v>
      </c>
      <c r="AC240" s="14">
        <f>'A) Base RI'!V240</f>
        <v>805.5</v>
      </c>
      <c r="AD240" s="14">
        <f>'A) Base RI'!W240</f>
        <v>0</v>
      </c>
      <c r="AE240" s="14">
        <f>'A) Base RI'!Y240</f>
        <v>0</v>
      </c>
      <c r="AF240" s="14">
        <f>'A) Base RI'!Z240</f>
        <v>7330.6</v>
      </c>
      <c r="AG240" s="14">
        <f>'A) Base RI'!AA240</f>
        <v>126733.5</v>
      </c>
      <c r="AH240" s="14">
        <f>'A) Base RI'!AB240</f>
        <v>0</v>
      </c>
      <c r="AI240" s="14">
        <f>'A) Base RI'!AC240</f>
        <v>65124.800000000003</v>
      </c>
      <c r="AJ240" s="14">
        <f>'A) Base RI'!AD240</f>
        <v>0</v>
      </c>
      <c r="AK240" s="14">
        <f>'A) Base RI'!AE240</f>
        <v>4036.15</v>
      </c>
      <c r="AL240" s="14">
        <f>'A) Base RI'!AF240</f>
        <v>0</v>
      </c>
      <c r="AM240" s="14">
        <f>'A) Base RI'!AG240</f>
        <v>0</v>
      </c>
      <c r="AN240" s="14">
        <f>'A) Base RI'!AH240</f>
        <v>0</v>
      </c>
      <c r="AO240" s="14">
        <f>'A) Base RI'!AI240</f>
        <v>0</v>
      </c>
      <c r="AP240" s="14">
        <f>'A) Base RI'!AJ240</f>
        <v>0</v>
      </c>
      <c r="AQ240" s="14">
        <f>'A) Base RI'!AK240</f>
        <v>0</v>
      </c>
      <c r="AR240" s="14">
        <f>'A) Base RI'!AN240</f>
        <v>491</v>
      </c>
    </row>
    <row r="241" spans="1:44" x14ac:dyDescent="0.25">
      <c r="A241" s="12">
        <f>'A) Base RI'!A241</f>
        <v>5766</v>
      </c>
      <c r="B241" s="42" t="str">
        <f>'A) Base RI'!B241</f>
        <v>Vuiteboeuf</v>
      </c>
      <c r="C241" s="14">
        <f>'A) Base RI'!C241+'A) Base RI'!D241</f>
        <v>803871.06</v>
      </c>
      <c r="D241" s="14">
        <f>'A) Base RI'!AO241</f>
        <v>-11189.5</v>
      </c>
      <c r="E241" s="41">
        <f>'A) Base RI'!AP241</f>
        <v>0</v>
      </c>
      <c r="F241" s="41">
        <f>'A) Base RI'!AQ241</f>
        <v>-0.75</v>
      </c>
      <c r="G241" s="4">
        <f t="shared" si="18"/>
        <v>792680.81</v>
      </c>
      <c r="H241" s="14">
        <f>'A) Base RI'!E241</f>
        <v>0</v>
      </c>
      <c r="I241" s="14">
        <f>'A) Base RI'!F241</f>
        <v>0</v>
      </c>
      <c r="J241" s="14">
        <f>'A) Base RI'!G241+'A) Base RI'!H241</f>
        <v>-3255.9</v>
      </c>
      <c r="K241" s="14">
        <f>'A) Base RI'!I241</f>
        <v>0</v>
      </c>
      <c r="L241" s="14">
        <f>'A) Base RI'!J241</f>
        <v>28022.61</v>
      </c>
      <c r="M241" s="14">
        <f>'A) Base RI'!K241</f>
        <v>3500.5</v>
      </c>
      <c r="N241" s="14">
        <f>'A) Base RI'!Q241</f>
        <v>5349.14</v>
      </c>
      <c r="O241" s="14">
        <f t="shared" si="19"/>
        <v>68055.21428571429</v>
      </c>
      <c r="P241" s="14">
        <f>'A) Base RI'!L241</f>
        <v>47638.65</v>
      </c>
      <c r="Q241" s="44">
        <f>'A) Base RI'!AR241</f>
        <v>0.7</v>
      </c>
      <c r="R241" s="4">
        <f t="shared" si="20"/>
        <v>894352.37428571435</v>
      </c>
      <c r="S241" s="43">
        <f>'A) Base RI'!AM241</f>
        <v>77</v>
      </c>
      <c r="T241" s="4">
        <f t="shared" si="21"/>
        <v>822796.66</v>
      </c>
      <c r="U241" s="4">
        <f t="shared" si="22"/>
        <v>11614.965899814471</v>
      </c>
      <c r="V241" s="14">
        <f>'A) Base RI'!O241</f>
        <v>0</v>
      </c>
      <c r="W241" s="14">
        <f>'A) Base RI'!P241</f>
        <v>50012.4</v>
      </c>
      <c r="X241" s="14">
        <f>'A) Base RI'!R241</f>
        <v>14994.75</v>
      </c>
      <c r="Y241" s="4">
        <f t="shared" si="23"/>
        <v>65007.15</v>
      </c>
      <c r="Z241" s="14">
        <f>'A) Base RI'!N241</f>
        <v>24719.4</v>
      </c>
      <c r="AA241" s="14">
        <f>'A) Base RI'!S241+'A) Base RI'!T241</f>
        <v>62.5</v>
      </c>
      <c r="AB241" s="14">
        <f>'A) Base RI'!U241</f>
        <v>1860</v>
      </c>
      <c r="AC241" s="14">
        <f>'A) Base RI'!V241</f>
        <v>0</v>
      </c>
      <c r="AD241" s="14">
        <f>'A) Base RI'!W241</f>
        <v>0</v>
      </c>
      <c r="AE241" s="14">
        <f>'A) Base RI'!Y241</f>
        <v>0</v>
      </c>
      <c r="AF241" s="14">
        <f>'A) Base RI'!Z241</f>
        <v>0</v>
      </c>
      <c r="AG241" s="14">
        <f>'A) Base RI'!AA241</f>
        <v>38130.6</v>
      </c>
      <c r="AH241" s="14">
        <f>'A) Base RI'!AB241</f>
        <v>0</v>
      </c>
      <c r="AI241" s="14">
        <f>'A) Base RI'!AC241</f>
        <v>21026.7</v>
      </c>
      <c r="AJ241" s="14">
        <f>'A) Base RI'!AD241</f>
        <v>0</v>
      </c>
      <c r="AK241" s="14">
        <f>'A) Base RI'!AE241</f>
        <v>0</v>
      </c>
      <c r="AL241" s="14">
        <f>'A) Base RI'!AF241</f>
        <v>0</v>
      </c>
      <c r="AM241" s="14">
        <f>'A) Base RI'!AG241</f>
        <v>0</v>
      </c>
      <c r="AN241" s="14">
        <f>'A) Base RI'!AH241</f>
        <v>0</v>
      </c>
      <c r="AO241" s="14">
        <f>'A) Base RI'!AI241</f>
        <v>0</v>
      </c>
      <c r="AP241" s="14">
        <f>'A) Base RI'!AJ241</f>
        <v>0</v>
      </c>
      <c r="AQ241" s="14">
        <f>'A) Base RI'!AK241</f>
        <v>0</v>
      </c>
      <c r="AR241" s="14">
        <f>'A) Base RI'!AN241</f>
        <v>538</v>
      </c>
    </row>
    <row r="242" spans="1:44" x14ac:dyDescent="0.25">
      <c r="A242" s="12">
        <f>'A) Base RI'!A242</f>
        <v>5782</v>
      </c>
      <c r="B242" s="42" t="str">
        <f>'A) Base RI'!B242</f>
        <v>Carrouge</v>
      </c>
      <c r="C242" s="14">
        <f>'A) Base RI'!C242+'A) Base RI'!D242</f>
        <v>2005999.51</v>
      </c>
      <c r="D242" s="14">
        <f>'A) Base RI'!AO242</f>
        <v>-33899.300000000003</v>
      </c>
      <c r="E242" s="41">
        <f>'A) Base RI'!AP242</f>
        <v>0</v>
      </c>
      <c r="F242" s="41">
        <f>'A) Base RI'!AQ242</f>
        <v>-189.45</v>
      </c>
      <c r="G242" s="4">
        <f t="shared" si="18"/>
        <v>1971910.76</v>
      </c>
      <c r="H242" s="14">
        <f>'A) Base RI'!E242</f>
        <v>0</v>
      </c>
      <c r="I242" s="14">
        <f>'A) Base RI'!F242</f>
        <v>0</v>
      </c>
      <c r="J242" s="14">
        <f>'A) Base RI'!G242+'A) Base RI'!H242</f>
        <v>66782</v>
      </c>
      <c r="K242" s="14">
        <f>'A) Base RI'!I242</f>
        <v>0</v>
      </c>
      <c r="L242" s="14">
        <f>'A) Base RI'!J242</f>
        <v>57362.42</v>
      </c>
      <c r="M242" s="14">
        <f>'A) Base RI'!K242</f>
        <v>7529.5</v>
      </c>
      <c r="N242" s="14">
        <f>'A) Base RI'!Q242</f>
        <v>5354.04</v>
      </c>
      <c r="O242" s="14">
        <f t="shared" si="19"/>
        <v>176353.8</v>
      </c>
      <c r="P242" s="14">
        <f>'A) Base RI'!L242</f>
        <v>176353.8</v>
      </c>
      <c r="Q242" s="44">
        <f>'A) Base RI'!AR242</f>
        <v>1</v>
      </c>
      <c r="R242" s="4">
        <f t="shared" si="20"/>
        <v>2285292.5199999996</v>
      </c>
      <c r="S242" s="43">
        <f>'A) Base RI'!AM242</f>
        <v>76</v>
      </c>
      <c r="T242" s="4">
        <f t="shared" si="21"/>
        <v>2101409.2199999997</v>
      </c>
      <c r="U242" s="4">
        <f t="shared" si="22"/>
        <v>30069.638421052627</v>
      </c>
      <c r="V242" s="14">
        <f>'A) Base RI'!O242</f>
        <v>3240.8</v>
      </c>
      <c r="W242" s="14">
        <f>'A) Base RI'!P242</f>
        <v>126093.8</v>
      </c>
      <c r="X242" s="14">
        <f>'A) Base RI'!R242</f>
        <v>97115.9</v>
      </c>
      <c r="Y242" s="4">
        <f t="shared" si="23"/>
        <v>226450.5</v>
      </c>
      <c r="Z242" s="14">
        <f>'A) Base RI'!N242</f>
        <v>7124.4</v>
      </c>
      <c r="AA242" s="14">
        <f>'A) Base RI'!S242+'A) Base RI'!T242</f>
        <v>118.75</v>
      </c>
      <c r="AB242" s="14">
        <f>'A) Base RI'!U242</f>
        <v>5070</v>
      </c>
      <c r="AC242" s="14">
        <f>'A) Base RI'!V242</f>
        <v>0</v>
      </c>
      <c r="AD242" s="14">
        <f>'A) Base RI'!W242</f>
        <v>0</v>
      </c>
      <c r="AE242" s="14">
        <f>'A) Base RI'!Y242</f>
        <v>42530.400000000001</v>
      </c>
      <c r="AF242" s="14">
        <f>'A) Base RI'!Z242</f>
        <v>0</v>
      </c>
      <c r="AG242" s="14">
        <f>'A) Base RI'!AA242</f>
        <v>182508.55</v>
      </c>
      <c r="AH242" s="14">
        <f>'A) Base RI'!AB242</f>
        <v>0</v>
      </c>
      <c r="AI242" s="14">
        <f>'A) Base RI'!AC242</f>
        <v>69657.8</v>
      </c>
      <c r="AJ242" s="14">
        <f>'A) Base RI'!AD242</f>
        <v>19997.5</v>
      </c>
      <c r="AK242" s="14">
        <f>'A) Base RI'!AE242</f>
        <v>0</v>
      </c>
      <c r="AL242" s="14">
        <f>'A) Base RI'!AF242</f>
        <v>0</v>
      </c>
      <c r="AM242" s="14">
        <f>'A) Base RI'!AG242</f>
        <v>2082</v>
      </c>
      <c r="AN242" s="14">
        <f>'A) Base RI'!AH242</f>
        <v>0</v>
      </c>
      <c r="AO242" s="14">
        <f>'A) Base RI'!AI242</f>
        <v>0</v>
      </c>
      <c r="AP242" s="14">
        <f>'A) Base RI'!AJ242</f>
        <v>0</v>
      </c>
      <c r="AQ242" s="14">
        <f>'A) Base RI'!AK242</f>
        <v>0</v>
      </c>
      <c r="AR242" s="14">
        <f>'A) Base RI'!AN242</f>
        <v>1204</v>
      </c>
    </row>
    <row r="243" spans="1:44" x14ac:dyDescent="0.25">
      <c r="A243" s="12">
        <f>'A) Base RI'!A243</f>
        <v>5785</v>
      </c>
      <c r="B243" s="42" t="str">
        <f>'A) Base RI'!B243</f>
        <v>Corcelles-le-Jorat</v>
      </c>
      <c r="C243" s="14">
        <f>'A) Base RI'!C243+'A) Base RI'!D243</f>
        <v>850909.85</v>
      </c>
      <c r="D243" s="14">
        <f>'A) Base RI'!AO243</f>
        <v>-4128.7700000000004</v>
      </c>
      <c r="E243" s="41">
        <f>'A) Base RI'!AP243</f>
        <v>0</v>
      </c>
      <c r="F243" s="41">
        <f>'A) Base RI'!AQ243</f>
        <v>-12.16</v>
      </c>
      <c r="G243" s="4">
        <f t="shared" si="18"/>
        <v>846768.91999999993</v>
      </c>
      <c r="H243" s="14">
        <f>'A) Base RI'!E243</f>
        <v>0</v>
      </c>
      <c r="I243" s="14">
        <f>'A) Base RI'!F243</f>
        <v>0</v>
      </c>
      <c r="J243" s="14">
        <f>'A) Base RI'!G243+'A) Base RI'!H243</f>
        <v>40117.600000000006</v>
      </c>
      <c r="K243" s="14">
        <f>'A) Base RI'!I243</f>
        <v>0</v>
      </c>
      <c r="L243" s="14">
        <f>'A) Base RI'!J243</f>
        <v>15849.26</v>
      </c>
      <c r="M243" s="14">
        <f>'A) Base RI'!K243</f>
        <v>1403.5</v>
      </c>
      <c r="N243" s="14">
        <f>'A) Base RI'!Q243</f>
        <v>3506.43</v>
      </c>
      <c r="O243" s="14">
        <f t="shared" si="19"/>
        <v>63505.9</v>
      </c>
      <c r="P243" s="14">
        <f>'A) Base RI'!L243</f>
        <v>63505.9</v>
      </c>
      <c r="Q243" s="44">
        <f>'A) Base RI'!AR243</f>
        <v>1</v>
      </c>
      <c r="R243" s="4">
        <f t="shared" si="20"/>
        <v>971151.61</v>
      </c>
      <c r="S243" s="43">
        <f>'A) Base RI'!AM243</f>
        <v>79</v>
      </c>
      <c r="T243" s="4">
        <f t="shared" si="21"/>
        <v>906242.21</v>
      </c>
      <c r="U243" s="4">
        <f t="shared" si="22"/>
        <v>12293.058354430379</v>
      </c>
      <c r="V243" s="14">
        <f>'A) Base RI'!O243</f>
        <v>0</v>
      </c>
      <c r="W243" s="14">
        <f>'A) Base RI'!P243</f>
        <v>24171.95</v>
      </c>
      <c r="X243" s="14">
        <f>'A) Base RI'!R243</f>
        <v>14777.4</v>
      </c>
      <c r="Y243" s="4">
        <f t="shared" si="23"/>
        <v>38949.35</v>
      </c>
      <c r="Z243" s="14">
        <f>'A) Base RI'!N243</f>
        <v>2882.75</v>
      </c>
      <c r="AA243" s="14">
        <f>'A) Base RI'!S243+'A) Base RI'!T243</f>
        <v>37.5</v>
      </c>
      <c r="AB243" s="14">
        <f>'A) Base RI'!U243</f>
        <v>2920</v>
      </c>
      <c r="AC243" s="14">
        <f>'A) Base RI'!V243</f>
        <v>0</v>
      </c>
      <c r="AD243" s="14">
        <f>'A) Base RI'!W243</f>
        <v>0</v>
      </c>
      <c r="AE243" s="14">
        <f>'A) Base RI'!Y243</f>
        <v>12000</v>
      </c>
      <c r="AF243" s="14">
        <f>'A) Base RI'!Z243</f>
        <v>0</v>
      </c>
      <c r="AG243" s="14">
        <f>'A) Base RI'!AA243</f>
        <v>67169.649999999994</v>
      </c>
      <c r="AH243" s="14">
        <f>'A) Base RI'!AB243</f>
        <v>0</v>
      </c>
      <c r="AI243" s="14">
        <f>'A) Base RI'!AC243</f>
        <v>39228.699999999997</v>
      </c>
      <c r="AJ243" s="14">
        <f>'A) Base RI'!AD243</f>
        <v>23200</v>
      </c>
      <c r="AK243" s="14">
        <f>'A) Base RI'!AE243</f>
        <v>0</v>
      </c>
      <c r="AL243" s="14">
        <f>'A) Base RI'!AF243</f>
        <v>0</v>
      </c>
      <c r="AM243" s="14">
        <f>'A) Base RI'!AG243</f>
        <v>0</v>
      </c>
      <c r="AN243" s="14">
        <f>'A) Base RI'!AH243</f>
        <v>0</v>
      </c>
      <c r="AO243" s="14">
        <f>'A) Base RI'!AI243</f>
        <v>0</v>
      </c>
      <c r="AP243" s="14">
        <f>'A) Base RI'!AJ243</f>
        <v>0</v>
      </c>
      <c r="AQ243" s="14">
        <f>'A) Base RI'!AK243</f>
        <v>0</v>
      </c>
      <c r="AR243" s="14">
        <f>'A) Base RI'!AN243</f>
        <v>421</v>
      </c>
    </row>
    <row r="244" spans="1:44" x14ac:dyDescent="0.25">
      <c r="A244" s="12">
        <f>'A) Base RI'!A244</f>
        <v>5788</v>
      </c>
      <c r="B244" s="42" t="str">
        <f>'A) Base RI'!B244</f>
        <v>Essertes</v>
      </c>
      <c r="C244" s="14">
        <f>'A) Base RI'!C244+'A) Base RI'!D244</f>
        <v>645277.37</v>
      </c>
      <c r="D244" s="14">
        <f>'A) Base RI'!AO244</f>
        <v>-5662.5</v>
      </c>
      <c r="E244" s="41">
        <f>'A) Base RI'!AP244</f>
        <v>0</v>
      </c>
      <c r="F244" s="41">
        <f>'A) Base RI'!AQ244</f>
        <v>0</v>
      </c>
      <c r="G244" s="4">
        <f t="shared" si="18"/>
        <v>639614.87</v>
      </c>
      <c r="H244" s="14">
        <f>'A) Base RI'!E244</f>
        <v>0</v>
      </c>
      <c r="I244" s="14">
        <f>'A) Base RI'!F244</f>
        <v>0</v>
      </c>
      <c r="J244" s="14">
        <f>'A) Base RI'!G244+'A) Base RI'!H244</f>
        <v>19123.349999999999</v>
      </c>
      <c r="K244" s="14">
        <f>'A) Base RI'!I244</f>
        <v>0</v>
      </c>
      <c r="L244" s="14">
        <f>'A) Base RI'!J244</f>
        <v>13513.84</v>
      </c>
      <c r="M244" s="14">
        <f>'A) Base RI'!K244</f>
        <v>585</v>
      </c>
      <c r="N244" s="14">
        <f>'A) Base RI'!Q244</f>
        <v>1691.93</v>
      </c>
      <c r="O244" s="14">
        <f t="shared" si="19"/>
        <v>54333.4</v>
      </c>
      <c r="P244" s="14">
        <f>'A) Base RI'!L244</f>
        <v>67916.75</v>
      </c>
      <c r="Q244" s="44">
        <f>'A) Base RI'!AR244</f>
        <v>1.25</v>
      </c>
      <c r="R244" s="4">
        <f t="shared" si="20"/>
        <v>728862.39</v>
      </c>
      <c r="S244" s="43">
        <f>'A) Base RI'!AM244</f>
        <v>70</v>
      </c>
      <c r="T244" s="4">
        <f t="shared" si="21"/>
        <v>673943.99</v>
      </c>
      <c r="U244" s="4">
        <f t="shared" si="22"/>
        <v>10412.319857142857</v>
      </c>
      <c r="V244" s="14">
        <f>'A) Base RI'!O244</f>
        <v>0</v>
      </c>
      <c r="W244" s="14">
        <f>'A) Base RI'!P244</f>
        <v>28754.45</v>
      </c>
      <c r="X244" s="14">
        <f>'A) Base RI'!R244</f>
        <v>14682.5</v>
      </c>
      <c r="Y244" s="4">
        <f t="shared" si="23"/>
        <v>43436.95</v>
      </c>
      <c r="Z244" s="14">
        <f>'A) Base RI'!N244</f>
        <v>0</v>
      </c>
      <c r="AA244" s="14">
        <f>'A) Base RI'!S244+'A) Base RI'!T244</f>
        <v>50</v>
      </c>
      <c r="AB244" s="14">
        <f>'A) Base RI'!U244</f>
        <v>1260</v>
      </c>
      <c r="AC244" s="14">
        <f>'A) Base RI'!V244</f>
        <v>0</v>
      </c>
      <c r="AD244" s="14">
        <f>'A) Base RI'!W244</f>
        <v>0</v>
      </c>
      <c r="AE244" s="14">
        <f>'A) Base RI'!Y244</f>
        <v>14500</v>
      </c>
      <c r="AF244" s="14">
        <f>'A) Base RI'!Z244</f>
        <v>0</v>
      </c>
      <c r="AG244" s="14">
        <f>'A) Base RI'!AA244</f>
        <v>41936</v>
      </c>
      <c r="AH244" s="14">
        <f>'A) Base RI'!AB244</f>
        <v>0</v>
      </c>
      <c r="AI244" s="14">
        <f>'A) Base RI'!AC244</f>
        <v>17622.8</v>
      </c>
      <c r="AJ244" s="14">
        <f>'A) Base RI'!AD244</f>
        <v>0</v>
      </c>
      <c r="AK244" s="14">
        <f>'A) Base RI'!AE244</f>
        <v>0</v>
      </c>
      <c r="AL244" s="14">
        <f>'A) Base RI'!AF244</f>
        <v>0</v>
      </c>
      <c r="AM244" s="14">
        <f>'A) Base RI'!AG244</f>
        <v>0</v>
      </c>
      <c r="AN244" s="14">
        <f>'A) Base RI'!AH244</f>
        <v>0</v>
      </c>
      <c r="AO244" s="14">
        <f>'A) Base RI'!AI244</f>
        <v>0</v>
      </c>
      <c r="AP244" s="14">
        <f>'A) Base RI'!AJ244</f>
        <v>0</v>
      </c>
      <c r="AQ244" s="14">
        <f>'A) Base RI'!AK244</f>
        <v>0</v>
      </c>
      <c r="AR244" s="14">
        <f>'A) Base RI'!AN244</f>
        <v>330</v>
      </c>
    </row>
    <row r="245" spans="1:44" x14ac:dyDescent="0.25">
      <c r="A245" s="12">
        <f>'A) Base RI'!A245</f>
        <v>5789</v>
      </c>
      <c r="B245" s="42" t="str">
        <f>'A) Base RI'!B245</f>
        <v>Ferlens</v>
      </c>
      <c r="C245" s="14">
        <f>'A) Base RI'!C245+'A) Base RI'!D245</f>
        <v>722165.03</v>
      </c>
      <c r="D245" s="14">
        <f>'A) Base RI'!AO245</f>
        <v>-5883.02</v>
      </c>
      <c r="E245" s="41">
        <f>'A) Base RI'!AP245</f>
        <v>0</v>
      </c>
      <c r="F245" s="41">
        <f>'A) Base RI'!AQ245</f>
        <v>0</v>
      </c>
      <c r="G245" s="4">
        <f t="shared" si="18"/>
        <v>716282.01</v>
      </c>
      <c r="H245" s="14">
        <f>'A) Base RI'!E245</f>
        <v>0</v>
      </c>
      <c r="I245" s="14">
        <f>'A) Base RI'!F245</f>
        <v>0</v>
      </c>
      <c r="J245" s="14">
        <f>'A) Base RI'!G245+'A) Base RI'!H245</f>
        <v>2552.0500000000002</v>
      </c>
      <c r="K245" s="14">
        <f>'A) Base RI'!I245</f>
        <v>0</v>
      </c>
      <c r="L245" s="14">
        <f>'A) Base RI'!J245</f>
        <v>8057.28</v>
      </c>
      <c r="M245" s="14">
        <f>'A) Base RI'!K245</f>
        <v>29</v>
      </c>
      <c r="N245" s="14">
        <f>'A) Base RI'!Q245</f>
        <v>0</v>
      </c>
      <c r="O245" s="14">
        <f t="shared" si="19"/>
        <v>48736.45</v>
      </c>
      <c r="P245" s="14">
        <f>'A) Base RI'!L245</f>
        <v>48736.45</v>
      </c>
      <c r="Q245" s="44">
        <f>'A) Base RI'!AR245</f>
        <v>1</v>
      </c>
      <c r="R245" s="4">
        <f t="shared" si="20"/>
        <v>775656.79</v>
      </c>
      <c r="S245" s="43">
        <f>'A) Base RI'!AM245</f>
        <v>77</v>
      </c>
      <c r="T245" s="4">
        <f t="shared" si="21"/>
        <v>726891.34000000008</v>
      </c>
      <c r="U245" s="4">
        <f t="shared" si="22"/>
        <v>10073.464805194806</v>
      </c>
      <c r="V245" s="14">
        <f>'A) Base RI'!O245</f>
        <v>2178.9</v>
      </c>
      <c r="W245" s="14">
        <f>'A) Base RI'!P245</f>
        <v>17002.650000000001</v>
      </c>
      <c r="X245" s="14">
        <f>'A) Base RI'!R245</f>
        <v>44456.85</v>
      </c>
      <c r="Y245" s="4">
        <f t="shared" si="23"/>
        <v>63638.400000000001</v>
      </c>
      <c r="Z245" s="14">
        <f>'A) Base RI'!N245</f>
        <v>0</v>
      </c>
      <c r="AA245" s="14">
        <f>'A) Base RI'!S245+'A) Base RI'!T245</f>
        <v>0</v>
      </c>
      <c r="AB245" s="14">
        <f>'A) Base RI'!U245</f>
        <v>2100</v>
      </c>
      <c r="AC245" s="14">
        <f>'A) Base RI'!V245</f>
        <v>0</v>
      </c>
      <c r="AD245" s="14">
        <f>'A) Base RI'!W245</f>
        <v>0</v>
      </c>
      <c r="AE245" s="14">
        <f>'A) Base RI'!Y245</f>
        <v>1008.2</v>
      </c>
      <c r="AF245" s="14">
        <f>'A) Base RI'!Z245</f>
        <v>0</v>
      </c>
      <c r="AG245" s="14">
        <f>'A) Base RI'!AA245</f>
        <v>37124.25</v>
      </c>
      <c r="AH245" s="14">
        <f>'A) Base RI'!AB245</f>
        <v>0</v>
      </c>
      <c r="AI245" s="14">
        <f>'A) Base RI'!AC245</f>
        <v>19877.099999999999</v>
      </c>
      <c r="AJ245" s="14">
        <f>'A) Base RI'!AD245</f>
        <v>0</v>
      </c>
      <c r="AK245" s="14">
        <f>'A) Base RI'!AE245</f>
        <v>0</v>
      </c>
      <c r="AL245" s="14">
        <f>'A) Base RI'!AF245</f>
        <v>0</v>
      </c>
      <c r="AM245" s="14">
        <f>'A) Base RI'!AG245</f>
        <v>0</v>
      </c>
      <c r="AN245" s="14">
        <f>'A) Base RI'!AH245</f>
        <v>0</v>
      </c>
      <c r="AO245" s="14">
        <f>'A) Base RI'!AI245</f>
        <v>0</v>
      </c>
      <c r="AP245" s="14">
        <f>'A) Base RI'!AJ245</f>
        <v>0</v>
      </c>
      <c r="AQ245" s="14">
        <f>'A) Base RI'!AK245</f>
        <v>0</v>
      </c>
      <c r="AR245" s="14">
        <f>'A) Base RI'!AN245</f>
        <v>336</v>
      </c>
    </row>
    <row r="246" spans="1:44" x14ac:dyDescent="0.25">
      <c r="A246" s="12">
        <f>'A) Base RI'!A246</f>
        <v>5790</v>
      </c>
      <c r="B246" s="42" t="str">
        <f>'A) Base RI'!B246</f>
        <v>Maracon</v>
      </c>
      <c r="C246" s="14">
        <f>'A) Base RI'!C246+'A) Base RI'!D246</f>
        <v>845070.41999999993</v>
      </c>
      <c r="D246" s="14">
        <f>'A) Base RI'!AO246</f>
        <v>-11711.9</v>
      </c>
      <c r="E246" s="41">
        <f>'A) Base RI'!AP246</f>
        <v>0</v>
      </c>
      <c r="F246" s="41">
        <f>'A) Base RI'!AQ246</f>
        <v>-18.18</v>
      </c>
      <c r="G246" s="4">
        <f t="shared" si="18"/>
        <v>833340.33999999985</v>
      </c>
      <c r="H246" s="14">
        <f>'A) Base RI'!E246</f>
        <v>0</v>
      </c>
      <c r="I246" s="14">
        <f>'A) Base RI'!F246</f>
        <v>0</v>
      </c>
      <c r="J246" s="14">
        <f>'A) Base RI'!G246+'A) Base RI'!H246</f>
        <v>4700.25</v>
      </c>
      <c r="K246" s="14">
        <f>'A) Base RI'!I246</f>
        <v>0</v>
      </c>
      <c r="L246" s="14">
        <f>'A) Base RI'!J246</f>
        <v>12721.95</v>
      </c>
      <c r="M246" s="14">
        <f>'A) Base RI'!K246</f>
        <v>277.5</v>
      </c>
      <c r="N246" s="14">
        <f>'A) Base RI'!Q246</f>
        <v>0</v>
      </c>
      <c r="O246" s="14">
        <f t="shared" si="19"/>
        <v>69145.850000000006</v>
      </c>
      <c r="P246" s="14">
        <f>'A) Base RI'!L246</f>
        <v>69145.850000000006</v>
      </c>
      <c r="Q246" s="44">
        <f>'A) Base RI'!AR246</f>
        <v>1</v>
      </c>
      <c r="R246" s="4">
        <f t="shared" si="20"/>
        <v>920185.88999999978</v>
      </c>
      <c r="S246" s="43">
        <f>'A) Base RI'!AM246</f>
        <v>76</v>
      </c>
      <c r="T246" s="4">
        <f t="shared" si="21"/>
        <v>850762.5399999998</v>
      </c>
      <c r="U246" s="4">
        <f t="shared" si="22"/>
        <v>12107.709078947366</v>
      </c>
      <c r="V246" s="14">
        <f>'A) Base RI'!O246</f>
        <v>83250</v>
      </c>
      <c r="W246" s="14">
        <f>'A) Base RI'!P246</f>
        <v>98365.7</v>
      </c>
      <c r="X246" s="14">
        <f>'A) Base RI'!R246</f>
        <v>33697.050000000003</v>
      </c>
      <c r="Y246" s="4">
        <f t="shared" si="23"/>
        <v>215312.75</v>
      </c>
      <c r="Z246" s="14">
        <f>'A) Base RI'!N246</f>
        <v>0</v>
      </c>
      <c r="AA246" s="14">
        <f>'A) Base RI'!S246+'A) Base RI'!T246</f>
        <v>52</v>
      </c>
      <c r="AB246" s="14">
        <f>'A) Base RI'!U246</f>
        <v>4850</v>
      </c>
      <c r="AC246" s="14">
        <f>'A) Base RI'!V246</f>
        <v>0</v>
      </c>
      <c r="AD246" s="14">
        <f>'A) Base RI'!W246</f>
        <v>0</v>
      </c>
      <c r="AE246" s="14">
        <f>'A) Base RI'!Y246</f>
        <v>28117</v>
      </c>
      <c r="AF246" s="14">
        <f>'A) Base RI'!Z246</f>
        <v>0</v>
      </c>
      <c r="AG246" s="14">
        <f>'A) Base RI'!AA246</f>
        <v>57470.8</v>
      </c>
      <c r="AH246" s="14">
        <f>'A) Base RI'!AB246</f>
        <v>0</v>
      </c>
      <c r="AI246" s="14">
        <f>'A) Base RI'!AC246</f>
        <v>23687.35</v>
      </c>
      <c r="AJ246" s="14">
        <f>'A) Base RI'!AD246</f>
        <v>3267</v>
      </c>
      <c r="AK246" s="14">
        <f>'A) Base RI'!AE246</f>
        <v>0</v>
      </c>
      <c r="AL246" s="14">
        <f>'A) Base RI'!AF246</f>
        <v>0</v>
      </c>
      <c r="AM246" s="14">
        <f>'A) Base RI'!AG246</f>
        <v>0</v>
      </c>
      <c r="AN246" s="14">
        <f>'A) Base RI'!AH246</f>
        <v>0</v>
      </c>
      <c r="AO246" s="14">
        <f>'A) Base RI'!AI246</f>
        <v>0</v>
      </c>
      <c r="AP246" s="14">
        <f>'A) Base RI'!AJ246</f>
        <v>0</v>
      </c>
      <c r="AQ246" s="14">
        <f>'A) Base RI'!AK246</f>
        <v>0</v>
      </c>
      <c r="AR246" s="14">
        <f>'A) Base RI'!AN246</f>
        <v>444</v>
      </c>
    </row>
    <row r="247" spans="1:44" x14ac:dyDescent="0.25">
      <c r="A247" s="12">
        <f>'A) Base RI'!A247</f>
        <v>5791</v>
      </c>
      <c r="B247" s="42" t="str">
        <f>'A) Base RI'!B247</f>
        <v>Mézières</v>
      </c>
      <c r="C247" s="14">
        <f>'A) Base RI'!C247+'A) Base RI'!D247</f>
        <v>2863796.15</v>
      </c>
      <c r="D247" s="14">
        <f>'A) Base RI'!AO247</f>
        <v>-75145.73</v>
      </c>
      <c r="E247" s="41">
        <f>'A) Base RI'!AP247</f>
        <v>0</v>
      </c>
      <c r="F247" s="41">
        <f>'A) Base RI'!AQ247</f>
        <v>-103.42</v>
      </c>
      <c r="G247" s="4">
        <f t="shared" si="18"/>
        <v>2788547</v>
      </c>
      <c r="H247" s="14">
        <f>'A) Base RI'!E247</f>
        <v>0</v>
      </c>
      <c r="I247" s="14">
        <f>'A) Base RI'!F247</f>
        <v>0</v>
      </c>
      <c r="J247" s="14">
        <f>'A) Base RI'!G247+'A) Base RI'!H247</f>
        <v>138175.20000000001</v>
      </c>
      <c r="K247" s="14">
        <f>'A) Base RI'!I247</f>
        <v>54947.5</v>
      </c>
      <c r="L247" s="14">
        <f>'A) Base RI'!J247</f>
        <v>56450.44</v>
      </c>
      <c r="M247" s="14">
        <f>'A) Base RI'!K247</f>
        <v>6978.5</v>
      </c>
      <c r="N247" s="14">
        <f>'A) Base RI'!Q247</f>
        <v>14282.64</v>
      </c>
      <c r="O247" s="14">
        <f t="shared" si="19"/>
        <v>202147.93333333335</v>
      </c>
      <c r="P247" s="14">
        <f>'A) Base RI'!L247</f>
        <v>303221.90000000002</v>
      </c>
      <c r="Q247" s="44">
        <f>'A) Base RI'!AR247</f>
        <v>1.5</v>
      </c>
      <c r="R247" s="4">
        <f t="shared" si="20"/>
        <v>3261529.2133333338</v>
      </c>
      <c r="S247" s="43">
        <f>'A) Base RI'!AM247</f>
        <v>76</v>
      </c>
      <c r="T247" s="4">
        <f t="shared" si="21"/>
        <v>3052402.7800000003</v>
      </c>
      <c r="U247" s="4">
        <f t="shared" si="22"/>
        <v>42914.858070175447</v>
      </c>
      <c r="V247" s="14">
        <f>'A) Base RI'!O247</f>
        <v>66139.5</v>
      </c>
      <c r="W247" s="14">
        <f>'A) Base RI'!P247</f>
        <v>32736.6</v>
      </c>
      <c r="X247" s="14">
        <f>'A) Base RI'!R247</f>
        <v>39460.85</v>
      </c>
      <c r="Y247" s="4">
        <f t="shared" si="23"/>
        <v>138336.95000000001</v>
      </c>
      <c r="Z247" s="14">
        <f>'A) Base RI'!N247</f>
        <v>9575.35</v>
      </c>
      <c r="AA247" s="14">
        <f>'A) Base RI'!S247+'A) Base RI'!T247</f>
        <v>2612.5</v>
      </c>
      <c r="AB247" s="14">
        <f>'A) Base RI'!U247</f>
        <v>3850</v>
      </c>
      <c r="AC247" s="14">
        <f>'A) Base RI'!V247</f>
        <v>20000</v>
      </c>
      <c r="AD247" s="14">
        <f>'A) Base RI'!W247</f>
        <v>0</v>
      </c>
      <c r="AE247" s="14">
        <f>'A) Base RI'!Y247</f>
        <v>48200</v>
      </c>
      <c r="AF247" s="14">
        <f>'A) Base RI'!Z247</f>
        <v>0</v>
      </c>
      <c r="AG247" s="14">
        <f>'A) Base RI'!AA247</f>
        <v>133987.54999999999</v>
      </c>
      <c r="AH247" s="14">
        <f>'A) Base RI'!AB247</f>
        <v>0</v>
      </c>
      <c r="AI247" s="14">
        <f>'A) Base RI'!AC247</f>
        <v>59305.7</v>
      </c>
      <c r="AJ247" s="14">
        <f>'A) Base RI'!AD247</f>
        <v>48200</v>
      </c>
      <c r="AK247" s="14">
        <f>'A) Base RI'!AE247</f>
        <v>0</v>
      </c>
      <c r="AL247" s="14">
        <f>'A) Base RI'!AF247</f>
        <v>0</v>
      </c>
      <c r="AM247" s="14">
        <f>'A) Base RI'!AG247</f>
        <v>0</v>
      </c>
      <c r="AN247" s="14">
        <f>'A) Base RI'!AH247</f>
        <v>0</v>
      </c>
      <c r="AO247" s="14">
        <f>'A) Base RI'!AI247</f>
        <v>0</v>
      </c>
      <c r="AP247" s="14">
        <f>'A) Base RI'!AJ247</f>
        <v>0</v>
      </c>
      <c r="AQ247" s="14">
        <f>'A) Base RI'!AK247</f>
        <v>0</v>
      </c>
      <c r="AR247" s="14">
        <f>'A) Base RI'!AN247</f>
        <v>1215</v>
      </c>
    </row>
    <row r="248" spans="1:44" x14ac:dyDescent="0.25">
      <c r="A248" s="12">
        <f>'A) Base RI'!A248</f>
        <v>5792</v>
      </c>
      <c r="B248" s="42" t="str">
        <f>'A) Base RI'!B248</f>
        <v>Montpreveyres</v>
      </c>
      <c r="C248" s="14">
        <f>'A) Base RI'!C248+'A) Base RI'!D248</f>
        <v>1291634.5</v>
      </c>
      <c r="D248" s="14">
        <f>'A) Base RI'!AO248</f>
        <v>-7993.22</v>
      </c>
      <c r="E248" s="41">
        <f>'A) Base RI'!AP248</f>
        <v>0</v>
      </c>
      <c r="F248" s="41">
        <f>'A) Base RI'!AQ248</f>
        <v>-11.4</v>
      </c>
      <c r="G248" s="4">
        <f t="shared" si="18"/>
        <v>1283629.8800000001</v>
      </c>
      <c r="H248" s="14">
        <f>'A) Base RI'!E248</f>
        <v>0</v>
      </c>
      <c r="I248" s="14">
        <f>'A) Base RI'!F248</f>
        <v>0</v>
      </c>
      <c r="J248" s="14">
        <f>'A) Base RI'!G248+'A) Base RI'!H248</f>
        <v>60951.55</v>
      </c>
      <c r="K248" s="14">
        <f>'A) Base RI'!I248</f>
        <v>0</v>
      </c>
      <c r="L248" s="14">
        <f>'A) Base RI'!J248</f>
        <v>24804.82</v>
      </c>
      <c r="M248" s="14">
        <f>'A) Base RI'!K248</f>
        <v>1418</v>
      </c>
      <c r="N248" s="14">
        <f>'A) Base RI'!Q248</f>
        <v>56.1</v>
      </c>
      <c r="O248" s="14">
        <f t="shared" si="19"/>
        <v>98953.7</v>
      </c>
      <c r="P248" s="14">
        <f>'A) Base RI'!L248</f>
        <v>98953.7</v>
      </c>
      <c r="Q248" s="44">
        <f>'A) Base RI'!AR248</f>
        <v>1</v>
      </c>
      <c r="R248" s="4">
        <f t="shared" si="20"/>
        <v>1469814.0500000003</v>
      </c>
      <c r="S248" s="43">
        <f>'A) Base RI'!AM248</f>
        <v>77</v>
      </c>
      <c r="T248" s="4">
        <f t="shared" si="21"/>
        <v>1369442.3500000003</v>
      </c>
      <c r="U248" s="4">
        <f t="shared" si="22"/>
        <v>19088.494155844161</v>
      </c>
      <c r="V248" s="14">
        <f>'A) Base RI'!O248</f>
        <v>0</v>
      </c>
      <c r="W248" s="14">
        <f>'A) Base RI'!P248</f>
        <v>14575</v>
      </c>
      <c r="X248" s="14">
        <f>'A) Base RI'!R248</f>
        <v>42126.85</v>
      </c>
      <c r="Y248" s="4">
        <f t="shared" si="23"/>
        <v>56701.85</v>
      </c>
      <c r="Z248" s="14">
        <f>'A) Base RI'!N248</f>
        <v>2352.5500000000002</v>
      </c>
      <c r="AA248" s="14">
        <f>'A) Base RI'!S248+'A) Base RI'!T248</f>
        <v>62.5</v>
      </c>
      <c r="AB248" s="14">
        <f>'A) Base RI'!U248</f>
        <v>2550</v>
      </c>
      <c r="AC248" s="14">
        <f>'A) Base RI'!V248</f>
        <v>0</v>
      </c>
      <c r="AD248" s="14">
        <f>'A) Base RI'!W248</f>
        <v>0</v>
      </c>
      <c r="AE248" s="14">
        <f>'A) Base RI'!Y248</f>
        <v>33169.599999999999</v>
      </c>
      <c r="AF248" s="14">
        <f>'A) Base RI'!Z248</f>
        <v>0</v>
      </c>
      <c r="AG248" s="14">
        <f>'A) Base RI'!AA248</f>
        <v>64342.45</v>
      </c>
      <c r="AH248" s="14">
        <f>'A) Base RI'!AB248</f>
        <v>0</v>
      </c>
      <c r="AI248" s="14">
        <f>'A) Base RI'!AC248</f>
        <v>40200</v>
      </c>
      <c r="AJ248" s="14">
        <f>'A) Base RI'!AD248</f>
        <v>0</v>
      </c>
      <c r="AK248" s="14">
        <f>'A) Base RI'!AE248</f>
        <v>0</v>
      </c>
      <c r="AL248" s="14">
        <f>'A) Base RI'!AF248</f>
        <v>0</v>
      </c>
      <c r="AM248" s="14">
        <f>'A) Base RI'!AG248</f>
        <v>0</v>
      </c>
      <c r="AN248" s="14">
        <f>'A) Base RI'!AH248</f>
        <v>12531.95</v>
      </c>
      <c r="AO248" s="14">
        <f>'A) Base RI'!AI248</f>
        <v>0</v>
      </c>
      <c r="AP248" s="14">
        <f>'A) Base RI'!AJ248</f>
        <v>0</v>
      </c>
      <c r="AQ248" s="14">
        <f>'A) Base RI'!AK248</f>
        <v>0</v>
      </c>
      <c r="AR248" s="14">
        <f>'A) Base RI'!AN248</f>
        <v>628</v>
      </c>
    </row>
    <row r="249" spans="1:44" x14ac:dyDescent="0.25">
      <c r="A249" s="12">
        <f>'A) Base RI'!A249</f>
        <v>5798</v>
      </c>
      <c r="B249" s="42" t="str">
        <f>'A) Base RI'!B249</f>
        <v>Ropraz</v>
      </c>
      <c r="C249" s="14">
        <f>'A) Base RI'!C249+'A) Base RI'!D249</f>
        <v>689855.59</v>
      </c>
      <c r="D249" s="14">
        <f>'A) Base RI'!AO249</f>
        <v>-17870</v>
      </c>
      <c r="E249" s="41">
        <f>'A) Base RI'!AP249</f>
        <v>0</v>
      </c>
      <c r="F249" s="41">
        <f>'A) Base RI'!AQ249</f>
        <v>-215.09</v>
      </c>
      <c r="G249" s="4">
        <f t="shared" si="18"/>
        <v>671770.5</v>
      </c>
      <c r="H249" s="14">
        <f>'A) Base RI'!E249</f>
        <v>0</v>
      </c>
      <c r="I249" s="14">
        <f>'A) Base RI'!F249</f>
        <v>0</v>
      </c>
      <c r="J249" s="14">
        <f>'A) Base RI'!G249+'A) Base RI'!H249</f>
        <v>3144.6999999999898</v>
      </c>
      <c r="K249" s="14">
        <f>'A) Base RI'!I249</f>
        <v>0</v>
      </c>
      <c r="L249" s="14">
        <f>'A) Base RI'!J249</f>
        <v>19144.34</v>
      </c>
      <c r="M249" s="14">
        <f>'A) Base RI'!K249</f>
        <v>3908</v>
      </c>
      <c r="N249" s="14">
        <f>'A) Base RI'!Q249</f>
        <v>6526.93</v>
      </c>
      <c r="O249" s="14">
        <f t="shared" si="19"/>
        <v>36274.300000000003</v>
      </c>
      <c r="P249" s="14">
        <f>'A) Base RI'!L249</f>
        <v>36274.300000000003</v>
      </c>
      <c r="Q249" s="44">
        <f>'A) Base RI'!AR249</f>
        <v>1</v>
      </c>
      <c r="R249" s="4">
        <f t="shared" si="20"/>
        <v>740768.77</v>
      </c>
      <c r="S249" s="43">
        <f>'A) Base RI'!AM249</f>
        <v>77.5</v>
      </c>
      <c r="T249" s="4">
        <f t="shared" si="21"/>
        <v>700586.47</v>
      </c>
      <c r="U249" s="4">
        <f t="shared" si="22"/>
        <v>9558.3067096774193</v>
      </c>
      <c r="V249" s="14">
        <f>'A) Base RI'!O249</f>
        <v>1357.7</v>
      </c>
      <c r="W249" s="14">
        <f>'A) Base RI'!P249</f>
        <v>75699.55</v>
      </c>
      <c r="X249" s="14">
        <f>'A) Base RI'!R249</f>
        <v>9677.2999999999993</v>
      </c>
      <c r="Y249" s="4">
        <f t="shared" si="23"/>
        <v>86734.55</v>
      </c>
      <c r="Z249" s="14">
        <f>'A) Base RI'!N249</f>
        <v>0</v>
      </c>
      <c r="AA249" s="14">
        <f>'A) Base RI'!S249+'A) Base RI'!T249</f>
        <v>87.5</v>
      </c>
      <c r="AB249" s="14">
        <f>'A) Base RI'!U249</f>
        <v>2340</v>
      </c>
      <c r="AC249" s="14">
        <f>'A) Base RI'!V249</f>
        <v>0</v>
      </c>
      <c r="AD249" s="14">
        <f>'A) Base RI'!W249</f>
        <v>0</v>
      </c>
      <c r="AE249" s="14">
        <f>'A) Base RI'!Y249</f>
        <v>67960</v>
      </c>
      <c r="AF249" s="14">
        <f>'A) Base RI'!Z249</f>
        <v>0</v>
      </c>
      <c r="AG249" s="14">
        <f>'A) Base RI'!AA249</f>
        <v>51225</v>
      </c>
      <c r="AH249" s="14">
        <f>'A) Base RI'!AB249</f>
        <v>0</v>
      </c>
      <c r="AI249" s="14">
        <f>'A) Base RI'!AC249</f>
        <v>27450.2</v>
      </c>
      <c r="AJ249" s="14">
        <f>'A) Base RI'!AD249</f>
        <v>38652.5</v>
      </c>
      <c r="AK249" s="14">
        <f>'A) Base RI'!AE249</f>
        <v>0</v>
      </c>
      <c r="AL249" s="14">
        <f>'A) Base RI'!AF249</f>
        <v>0</v>
      </c>
      <c r="AM249" s="14">
        <f>'A) Base RI'!AG249</f>
        <v>0</v>
      </c>
      <c r="AN249" s="14">
        <f>'A) Base RI'!AH249</f>
        <v>0</v>
      </c>
      <c r="AO249" s="14">
        <f>'A) Base RI'!AI249</f>
        <v>0</v>
      </c>
      <c r="AP249" s="14">
        <f>'A) Base RI'!AJ249</f>
        <v>0</v>
      </c>
      <c r="AQ249" s="14">
        <f>'A) Base RI'!AK249</f>
        <v>0</v>
      </c>
      <c r="AR249" s="14">
        <f>'A) Base RI'!AN249</f>
        <v>405</v>
      </c>
    </row>
    <row r="250" spans="1:44" x14ac:dyDescent="0.25">
      <c r="A250" s="12">
        <f>'A) Base RI'!A250</f>
        <v>5799</v>
      </c>
      <c r="B250" s="42" t="str">
        <f>'A) Base RI'!B250</f>
        <v>Servion</v>
      </c>
      <c r="C250" s="14">
        <f>'A) Base RI'!C250+'A) Base RI'!D250</f>
        <v>3553998.18</v>
      </c>
      <c r="D250" s="14">
        <f>'A) Base RI'!AO250</f>
        <v>-121078.9</v>
      </c>
      <c r="E250" s="41">
        <f>'A) Base RI'!AP250</f>
        <v>0</v>
      </c>
      <c r="F250" s="41">
        <f>'A) Base RI'!AQ250</f>
        <v>-190.3</v>
      </c>
      <c r="G250" s="4">
        <f t="shared" si="18"/>
        <v>3432728.9800000004</v>
      </c>
      <c r="H250" s="14">
        <f>'A) Base RI'!E250</f>
        <v>0</v>
      </c>
      <c r="I250" s="14">
        <f>'A) Base RI'!F250</f>
        <v>0</v>
      </c>
      <c r="J250" s="14">
        <f>'A) Base RI'!G250+'A) Base RI'!H250</f>
        <v>-201983.55000000002</v>
      </c>
      <c r="K250" s="14">
        <f>'A) Base RI'!I250</f>
        <v>-31893.4</v>
      </c>
      <c r="L250" s="14">
        <f>'A) Base RI'!J250</f>
        <v>-1619.8999999999901</v>
      </c>
      <c r="M250" s="14">
        <f>'A) Base RI'!K250</f>
        <v>12399.5</v>
      </c>
      <c r="N250" s="14">
        <f>'A) Base RI'!Q250</f>
        <v>2132.88</v>
      </c>
      <c r="O250" s="14">
        <f t="shared" si="19"/>
        <v>332522.45</v>
      </c>
      <c r="P250" s="14">
        <f>'A) Base RI'!L250</f>
        <v>332522.45</v>
      </c>
      <c r="Q250" s="44">
        <f>'A) Base RI'!AR250</f>
        <v>1</v>
      </c>
      <c r="R250" s="4">
        <f t="shared" si="20"/>
        <v>3544286.9600000009</v>
      </c>
      <c r="S250" s="43">
        <f>'A) Base RI'!AM250</f>
        <v>69</v>
      </c>
      <c r="T250" s="4">
        <f t="shared" si="21"/>
        <v>3199365.0100000007</v>
      </c>
      <c r="U250" s="4">
        <f t="shared" si="22"/>
        <v>51366.477681159435</v>
      </c>
      <c r="V250" s="14">
        <f>'A) Base RI'!O250</f>
        <v>166291.29999999999</v>
      </c>
      <c r="W250" s="14">
        <f>'A) Base RI'!P250</f>
        <v>141393.15</v>
      </c>
      <c r="X250" s="14">
        <f>'A) Base RI'!R250</f>
        <v>172923.1</v>
      </c>
      <c r="Y250" s="4">
        <f t="shared" si="23"/>
        <v>480607.54999999993</v>
      </c>
      <c r="Z250" s="14">
        <f>'A) Base RI'!N250</f>
        <v>12106.1</v>
      </c>
      <c r="AA250" s="14">
        <f>'A) Base RI'!S250+'A) Base RI'!T250</f>
        <v>3425</v>
      </c>
      <c r="AB250" s="14">
        <f>'A) Base RI'!U250</f>
        <v>9275</v>
      </c>
      <c r="AC250" s="14">
        <f>'A) Base RI'!V250</f>
        <v>64228</v>
      </c>
      <c r="AD250" s="14">
        <f>'A) Base RI'!W250</f>
        <v>0</v>
      </c>
      <c r="AE250" s="14">
        <f>'A) Base RI'!Y250</f>
        <v>12686.4</v>
      </c>
      <c r="AF250" s="14">
        <f>'A) Base RI'!Z250</f>
        <v>0</v>
      </c>
      <c r="AG250" s="14">
        <f>'A) Base RI'!AA250</f>
        <v>225052.85</v>
      </c>
      <c r="AH250" s="14">
        <f>'A) Base RI'!AB250</f>
        <v>0</v>
      </c>
      <c r="AI250" s="14">
        <f>'A) Base RI'!AC250</f>
        <v>113106.3</v>
      </c>
      <c r="AJ250" s="14">
        <f>'A) Base RI'!AD250</f>
        <v>0</v>
      </c>
      <c r="AK250" s="14">
        <f>'A) Base RI'!AE250</f>
        <v>0</v>
      </c>
      <c r="AL250" s="14">
        <f>'A) Base RI'!AF250</f>
        <v>0</v>
      </c>
      <c r="AM250" s="14">
        <f>'A) Base RI'!AG250</f>
        <v>0</v>
      </c>
      <c r="AN250" s="14">
        <f>'A) Base RI'!AH250</f>
        <v>53718.9</v>
      </c>
      <c r="AO250" s="14">
        <f>'A) Base RI'!AI250</f>
        <v>0</v>
      </c>
      <c r="AP250" s="14">
        <f>'A) Base RI'!AJ250</f>
        <v>0</v>
      </c>
      <c r="AQ250" s="14">
        <f>'A) Base RI'!AK250</f>
        <v>0</v>
      </c>
      <c r="AR250" s="14">
        <f>'A) Base RI'!AN250</f>
        <v>1908</v>
      </c>
    </row>
    <row r="251" spans="1:44" x14ac:dyDescent="0.25">
      <c r="A251" s="12">
        <f>'A) Base RI'!A251</f>
        <v>5803</v>
      </c>
      <c r="B251" s="42" t="str">
        <f>'A) Base RI'!B251</f>
        <v>Vulliens</v>
      </c>
      <c r="C251" s="14">
        <f>'A) Base RI'!C251+'A) Base RI'!D251</f>
        <v>939574.6</v>
      </c>
      <c r="D251" s="14">
        <f>'A) Base RI'!AO251</f>
        <v>-4227.03</v>
      </c>
      <c r="E251" s="41">
        <f>'A) Base RI'!AP251</f>
        <v>0</v>
      </c>
      <c r="F251" s="41">
        <f>'A) Base RI'!AQ251</f>
        <v>-215.58</v>
      </c>
      <c r="G251" s="4">
        <f t="shared" si="18"/>
        <v>935131.99</v>
      </c>
      <c r="H251" s="14">
        <f>'A) Base RI'!E251</f>
        <v>0</v>
      </c>
      <c r="I251" s="14">
        <f>'A) Base RI'!F251</f>
        <v>0</v>
      </c>
      <c r="J251" s="14">
        <f>'A) Base RI'!G251+'A) Base RI'!H251</f>
        <v>-6987.05</v>
      </c>
      <c r="K251" s="14">
        <f>'A) Base RI'!I251</f>
        <v>0</v>
      </c>
      <c r="L251" s="14">
        <f>'A) Base RI'!J251</f>
        <v>23729.41</v>
      </c>
      <c r="M251" s="14">
        <f>'A) Base RI'!K251</f>
        <v>0</v>
      </c>
      <c r="N251" s="14">
        <f>'A) Base RI'!Q251</f>
        <v>0</v>
      </c>
      <c r="O251" s="14">
        <f t="shared" si="19"/>
        <v>67846.75</v>
      </c>
      <c r="P251" s="14">
        <f>'A) Base RI'!L251</f>
        <v>67846.75</v>
      </c>
      <c r="Q251" s="44">
        <f>'A) Base RI'!AR251</f>
        <v>1</v>
      </c>
      <c r="R251" s="4">
        <f t="shared" si="20"/>
        <v>1019721.1</v>
      </c>
      <c r="S251" s="43">
        <f>'A) Base RI'!AM251</f>
        <v>81</v>
      </c>
      <c r="T251" s="4">
        <f t="shared" si="21"/>
        <v>951874.35</v>
      </c>
      <c r="U251" s="4">
        <f t="shared" si="22"/>
        <v>12589.149382716048</v>
      </c>
      <c r="V251" s="14">
        <f>'A) Base RI'!O251</f>
        <v>9342.2999999999993</v>
      </c>
      <c r="W251" s="14">
        <f>'A) Base RI'!P251</f>
        <v>58169.8</v>
      </c>
      <c r="X251" s="14">
        <f>'A) Base RI'!R251</f>
        <v>105581.4</v>
      </c>
      <c r="Y251" s="4">
        <f t="shared" si="23"/>
        <v>173093.5</v>
      </c>
      <c r="Z251" s="14">
        <f>'A) Base RI'!N251</f>
        <v>0</v>
      </c>
      <c r="AA251" s="14">
        <f>'A) Base RI'!S251+'A) Base RI'!T251</f>
        <v>750</v>
      </c>
      <c r="AB251" s="14">
        <f>'A) Base RI'!U251</f>
        <v>5450</v>
      </c>
      <c r="AC251" s="14">
        <f>'A) Base RI'!V251</f>
        <v>300</v>
      </c>
      <c r="AD251" s="14">
        <f>'A) Base RI'!W251</f>
        <v>0</v>
      </c>
      <c r="AE251" s="14">
        <f>'A) Base RI'!Y251</f>
        <v>24725</v>
      </c>
      <c r="AF251" s="14">
        <f>'A) Base RI'!Z251</f>
        <v>0</v>
      </c>
      <c r="AG251" s="14">
        <f>'A) Base RI'!AA251</f>
        <v>36712</v>
      </c>
      <c r="AH251" s="14">
        <f>'A) Base RI'!AB251</f>
        <v>0</v>
      </c>
      <c r="AI251" s="14">
        <f>'A) Base RI'!AC251</f>
        <v>25035.8</v>
      </c>
      <c r="AJ251" s="14">
        <f>'A) Base RI'!AD251</f>
        <v>43510</v>
      </c>
      <c r="AK251" s="14">
        <f>'A) Base RI'!AE251</f>
        <v>10200</v>
      </c>
      <c r="AL251" s="14">
        <f>'A) Base RI'!AF251</f>
        <v>0</v>
      </c>
      <c r="AM251" s="14">
        <f>'A) Base RI'!AG251</f>
        <v>0</v>
      </c>
      <c r="AN251" s="14">
        <f>'A) Base RI'!AH251</f>
        <v>0</v>
      </c>
      <c r="AO251" s="14">
        <f>'A) Base RI'!AI251</f>
        <v>0</v>
      </c>
      <c r="AP251" s="14">
        <f>'A) Base RI'!AJ251</f>
        <v>0</v>
      </c>
      <c r="AQ251" s="14">
        <f>'A) Base RI'!AK251</f>
        <v>0</v>
      </c>
      <c r="AR251" s="14">
        <f>'A) Base RI'!AN251</f>
        <v>462</v>
      </c>
    </row>
    <row r="252" spans="1:44" x14ac:dyDescent="0.25">
      <c r="A252" s="12">
        <f>'A) Base RI'!A252</f>
        <v>5804</v>
      </c>
      <c r="B252" s="42" t="str">
        <f>'A) Base RI'!B252</f>
        <v>Jorat-Menthue</v>
      </c>
      <c r="C252" s="14">
        <f>'A) Base RI'!C252+'A) Base RI'!D252</f>
        <v>2680549.77</v>
      </c>
      <c r="D252" s="14">
        <f>'A) Base RI'!AO252</f>
        <v>-23139.38</v>
      </c>
      <c r="E252" s="41">
        <f>'A) Base RI'!AP252</f>
        <v>0</v>
      </c>
      <c r="F252" s="41">
        <f>'A) Base RI'!AQ252</f>
        <v>-130.82</v>
      </c>
      <c r="G252" s="4">
        <f t="shared" si="18"/>
        <v>2657279.5700000003</v>
      </c>
      <c r="H252" s="14">
        <f>'A) Base RI'!E252</f>
        <v>0</v>
      </c>
      <c r="I252" s="14">
        <f>'A) Base RI'!F252</f>
        <v>0</v>
      </c>
      <c r="J252" s="14">
        <f>'A) Base RI'!G252+'A) Base RI'!H252</f>
        <v>26029.5</v>
      </c>
      <c r="K252" s="14">
        <f>'A) Base RI'!I252</f>
        <v>0</v>
      </c>
      <c r="L252" s="14">
        <f>'A) Base RI'!J252</f>
        <v>48482.51</v>
      </c>
      <c r="M252" s="14">
        <f>'A) Base RI'!K252</f>
        <v>3083</v>
      </c>
      <c r="N252" s="14">
        <f>'A) Base RI'!Q252</f>
        <v>2905.39</v>
      </c>
      <c r="O252" s="14">
        <f t="shared" si="19"/>
        <v>226004.05</v>
      </c>
      <c r="P252" s="14">
        <f>'A) Base RI'!L252</f>
        <v>226004.05</v>
      </c>
      <c r="Q252" s="44">
        <f>'A) Base RI'!AR252</f>
        <v>1</v>
      </c>
      <c r="R252" s="4">
        <f t="shared" si="20"/>
        <v>2963784.02</v>
      </c>
      <c r="S252" s="43">
        <f>'A) Base RI'!AM252</f>
        <v>72</v>
      </c>
      <c r="T252" s="4">
        <f t="shared" si="21"/>
        <v>2734696.97</v>
      </c>
      <c r="U252" s="4">
        <f t="shared" si="22"/>
        <v>41163.666944444441</v>
      </c>
      <c r="V252" s="14">
        <f>'A) Base RI'!O252</f>
        <v>80554.899999999994</v>
      </c>
      <c r="W252" s="14">
        <f>'A) Base RI'!P252</f>
        <v>39469.449999999997</v>
      </c>
      <c r="X252" s="14">
        <f>'A) Base RI'!R252</f>
        <v>106455.55</v>
      </c>
      <c r="Y252" s="4">
        <f t="shared" si="23"/>
        <v>226479.9</v>
      </c>
      <c r="Z252" s="14">
        <f>'A) Base RI'!N252</f>
        <v>11176.1</v>
      </c>
      <c r="AA252" s="14">
        <f>'A) Base RI'!S252+'A) Base RI'!T252</f>
        <v>1647.5</v>
      </c>
      <c r="AB252" s="14">
        <f>'A) Base RI'!U252</f>
        <v>12600</v>
      </c>
      <c r="AC252" s="14">
        <f>'A) Base RI'!V252</f>
        <v>0</v>
      </c>
      <c r="AD252" s="14">
        <f>'A) Base RI'!W252</f>
        <v>0</v>
      </c>
      <c r="AE252" s="14">
        <f>'A) Base RI'!Y252</f>
        <v>17904.25</v>
      </c>
      <c r="AF252" s="14">
        <f>'A) Base RI'!Z252</f>
        <v>0</v>
      </c>
      <c r="AG252" s="14">
        <f>'A) Base RI'!AA252</f>
        <v>262686.95</v>
      </c>
      <c r="AH252" s="14">
        <f>'A) Base RI'!AB252</f>
        <v>0</v>
      </c>
      <c r="AI252" s="14">
        <f>'A) Base RI'!AC252</f>
        <v>138392.07</v>
      </c>
      <c r="AJ252" s="14">
        <f>'A) Base RI'!AD252</f>
        <v>23145.55</v>
      </c>
      <c r="AK252" s="14">
        <f>'A) Base RI'!AE252</f>
        <v>0</v>
      </c>
      <c r="AL252" s="14">
        <f>'A) Base RI'!AF252</f>
        <v>0</v>
      </c>
      <c r="AM252" s="14">
        <f>'A) Base RI'!AG252</f>
        <v>0</v>
      </c>
      <c r="AN252" s="14">
        <f>'A) Base RI'!AH252</f>
        <v>38858.800000000003</v>
      </c>
      <c r="AO252" s="14">
        <f>'A) Base RI'!AI252</f>
        <v>0</v>
      </c>
      <c r="AP252" s="14">
        <f>'A) Base RI'!AJ252</f>
        <v>0</v>
      </c>
      <c r="AQ252" s="14">
        <f>'A) Base RI'!AK252</f>
        <v>0</v>
      </c>
      <c r="AR252" s="14">
        <f>'A) Base RI'!AN252</f>
        <v>1518</v>
      </c>
    </row>
    <row r="253" spans="1:44" x14ac:dyDescent="0.25">
      <c r="A253" s="12">
        <f>'A) Base RI'!A253</f>
        <v>5805</v>
      </c>
      <c r="B253" s="42" t="str">
        <f>'A) Base RI'!B253</f>
        <v>Oron</v>
      </c>
      <c r="C253" s="14">
        <f>'A) Base RI'!C253+'A) Base RI'!D253</f>
        <v>8009659.3099999996</v>
      </c>
      <c r="D253" s="14">
        <f>'A) Base RI'!AO253</f>
        <v>-185423.1</v>
      </c>
      <c r="E253" s="41">
        <f>'A) Base RI'!AP253</f>
        <v>0</v>
      </c>
      <c r="F253" s="41">
        <f>'A) Base RI'!AQ253</f>
        <v>-2243.63</v>
      </c>
      <c r="G253" s="4">
        <f t="shared" si="18"/>
        <v>7821992.5800000001</v>
      </c>
      <c r="H253" s="14">
        <f>'A) Base RI'!E253</f>
        <v>0</v>
      </c>
      <c r="I253" s="14">
        <f>'A) Base RI'!F253</f>
        <v>0</v>
      </c>
      <c r="J253" s="14">
        <f>'A) Base RI'!G253+'A) Base RI'!H253</f>
        <v>1060895.1499999999</v>
      </c>
      <c r="K253" s="14">
        <f>'A) Base RI'!I253</f>
        <v>0</v>
      </c>
      <c r="L253" s="14">
        <f>'A) Base RI'!J253</f>
        <v>292998.82</v>
      </c>
      <c r="M253" s="14">
        <f>'A) Base RI'!K253</f>
        <v>54190.5</v>
      </c>
      <c r="N253" s="14">
        <f>'A) Base RI'!Q253</f>
        <v>91617.54</v>
      </c>
      <c r="O253" s="14">
        <f t="shared" si="19"/>
        <v>787116.59090909082</v>
      </c>
      <c r="P253" s="14">
        <f>'A) Base RI'!L253</f>
        <v>865828.25</v>
      </c>
      <c r="Q253" s="44">
        <f>'A) Base RI'!AR253</f>
        <v>1.1000000000000001</v>
      </c>
      <c r="R253" s="4">
        <f t="shared" si="20"/>
        <v>10108811.18090909</v>
      </c>
      <c r="S253" s="43">
        <f>'A) Base RI'!AM253</f>
        <v>69</v>
      </c>
      <c r="T253" s="4">
        <f t="shared" si="21"/>
        <v>9267504.0899999999</v>
      </c>
      <c r="U253" s="4">
        <f t="shared" si="22"/>
        <v>146504.50986824767</v>
      </c>
      <c r="V253" s="14">
        <f>'A) Base RI'!O253</f>
        <v>202501</v>
      </c>
      <c r="W253" s="14">
        <f>'A) Base RI'!P253</f>
        <v>446393.35</v>
      </c>
      <c r="X253" s="14">
        <f>'A) Base RI'!R253</f>
        <v>235229.15</v>
      </c>
      <c r="Y253" s="4">
        <f t="shared" si="23"/>
        <v>884123.5</v>
      </c>
      <c r="Z253" s="14">
        <f>'A) Base RI'!N253</f>
        <v>64015.55</v>
      </c>
      <c r="AA253" s="14">
        <f>'A) Base RI'!S253+'A) Base RI'!T253</f>
        <v>4667.5</v>
      </c>
      <c r="AB253" s="14">
        <f>'A) Base RI'!U253</f>
        <v>37400</v>
      </c>
      <c r="AC253" s="14">
        <f>'A) Base RI'!V253</f>
        <v>2550</v>
      </c>
      <c r="AD253" s="14">
        <f>'A) Base RI'!W253</f>
        <v>1959.5</v>
      </c>
      <c r="AE253" s="14">
        <f>'A) Base RI'!Y253</f>
        <v>197320.5</v>
      </c>
      <c r="AF253" s="14">
        <f>'A) Base RI'!Z253</f>
        <v>0</v>
      </c>
      <c r="AG253" s="14">
        <f>'A) Base RI'!AA253</f>
        <v>766725.8</v>
      </c>
      <c r="AH253" s="14">
        <f>'A) Base RI'!AB253</f>
        <v>0</v>
      </c>
      <c r="AI253" s="14">
        <f>'A) Base RI'!AC253</f>
        <v>528385.75</v>
      </c>
      <c r="AJ253" s="14">
        <f>'A) Base RI'!AD253</f>
        <v>96902.399999999994</v>
      </c>
      <c r="AK253" s="14">
        <f>'A) Base RI'!AE253</f>
        <v>0</v>
      </c>
      <c r="AL253" s="14">
        <f>'A) Base RI'!AF253</f>
        <v>0</v>
      </c>
      <c r="AM253" s="14">
        <f>'A) Base RI'!AG253</f>
        <v>0</v>
      </c>
      <c r="AN253" s="14">
        <f>'A) Base RI'!AH253</f>
        <v>0</v>
      </c>
      <c r="AO253" s="14">
        <f>'A) Base RI'!AI253</f>
        <v>0</v>
      </c>
      <c r="AP253" s="14">
        <f>'A) Base RI'!AJ253</f>
        <v>0</v>
      </c>
      <c r="AQ253" s="14">
        <f>'A) Base RI'!AK253</f>
        <v>0</v>
      </c>
      <c r="AR253" s="14">
        <f>'A) Base RI'!AN253</f>
        <v>5297</v>
      </c>
    </row>
    <row r="254" spans="1:44" x14ac:dyDescent="0.25">
      <c r="A254" s="12">
        <f>'A) Base RI'!A254</f>
        <v>5812</v>
      </c>
      <c r="B254" s="42" t="str">
        <f>'A) Base RI'!B254</f>
        <v>Champtauroz</v>
      </c>
      <c r="C254" s="14">
        <f>'A) Base RI'!C254+'A) Base RI'!D254</f>
        <v>174200.48</v>
      </c>
      <c r="D254" s="14">
        <f>'A) Base RI'!AO254</f>
        <v>-3462.07</v>
      </c>
      <c r="E254" s="41">
        <f>'A) Base RI'!AP254</f>
        <v>0</v>
      </c>
      <c r="F254" s="41">
        <f>'A) Base RI'!AQ254</f>
        <v>0</v>
      </c>
      <c r="G254" s="4">
        <f t="shared" si="18"/>
        <v>170738.41</v>
      </c>
      <c r="H254" s="14">
        <f>'A) Base RI'!E254</f>
        <v>0</v>
      </c>
      <c r="I254" s="14">
        <f>'A) Base RI'!F254</f>
        <v>0</v>
      </c>
      <c r="J254" s="14">
        <f>'A) Base RI'!G254+'A) Base RI'!H254</f>
        <v>1317.35</v>
      </c>
      <c r="K254" s="14">
        <f>'A) Base RI'!I254</f>
        <v>0</v>
      </c>
      <c r="L254" s="14">
        <f>'A) Base RI'!J254</f>
        <v>-308.89</v>
      </c>
      <c r="M254" s="14">
        <f>'A) Base RI'!K254</f>
        <v>10</v>
      </c>
      <c r="N254" s="14">
        <f>'A) Base RI'!Q254</f>
        <v>70.48</v>
      </c>
      <c r="O254" s="14">
        <f t="shared" si="19"/>
        <v>14527.125</v>
      </c>
      <c r="P254" s="14">
        <f>'A) Base RI'!L254</f>
        <v>11621.7</v>
      </c>
      <c r="Q254" s="44">
        <f>'A) Base RI'!AR254</f>
        <v>0.8</v>
      </c>
      <c r="R254" s="4">
        <f t="shared" si="20"/>
        <v>186354.47500000001</v>
      </c>
      <c r="S254" s="43">
        <f>'A) Base RI'!AM254</f>
        <v>77</v>
      </c>
      <c r="T254" s="4">
        <f t="shared" si="21"/>
        <v>171817.35</v>
      </c>
      <c r="U254" s="4">
        <f t="shared" si="22"/>
        <v>2420.1879870129869</v>
      </c>
      <c r="V254" s="14">
        <f>'A) Base RI'!O254</f>
        <v>0</v>
      </c>
      <c r="W254" s="14">
        <f>'A) Base RI'!P254</f>
        <v>15914.85</v>
      </c>
      <c r="X254" s="14">
        <f>'A) Base RI'!R254</f>
        <v>19161.75</v>
      </c>
      <c r="Y254" s="4">
        <f t="shared" si="23"/>
        <v>35076.6</v>
      </c>
      <c r="Z254" s="14">
        <f>'A) Base RI'!N254</f>
        <v>0</v>
      </c>
      <c r="AA254" s="14">
        <f>'A) Base RI'!S254+'A) Base RI'!T254</f>
        <v>0</v>
      </c>
      <c r="AB254" s="14">
        <f>'A) Base RI'!U254</f>
        <v>560</v>
      </c>
      <c r="AC254" s="14">
        <f>'A) Base RI'!V254</f>
        <v>0</v>
      </c>
      <c r="AD254" s="14">
        <f>'A) Base RI'!W254</f>
        <v>0</v>
      </c>
      <c r="AE254" s="14">
        <f>'A) Base RI'!Y254</f>
        <v>0</v>
      </c>
      <c r="AF254" s="14">
        <f>'A) Base RI'!Z254</f>
        <v>0</v>
      </c>
      <c r="AG254" s="14">
        <f>'A) Base RI'!AA254</f>
        <v>11158</v>
      </c>
      <c r="AH254" s="14">
        <f>'A) Base RI'!AB254</f>
        <v>0</v>
      </c>
      <c r="AI254" s="14">
        <f>'A) Base RI'!AC254</f>
        <v>6973</v>
      </c>
      <c r="AJ254" s="14">
        <f>'A) Base RI'!AD254</f>
        <v>0</v>
      </c>
      <c r="AK254" s="14">
        <f>'A) Base RI'!AE254</f>
        <v>0</v>
      </c>
      <c r="AL254" s="14">
        <f>'A) Base RI'!AF254</f>
        <v>120</v>
      </c>
      <c r="AM254" s="14">
        <f>'A) Base RI'!AG254</f>
        <v>0</v>
      </c>
      <c r="AN254" s="14">
        <f>'A) Base RI'!AH254</f>
        <v>2834</v>
      </c>
      <c r="AO254" s="14">
        <f>'A) Base RI'!AI254</f>
        <v>0</v>
      </c>
      <c r="AP254" s="14">
        <f>'A) Base RI'!AJ254</f>
        <v>0</v>
      </c>
      <c r="AQ254" s="14">
        <f>'A) Base RI'!AK254</f>
        <v>0</v>
      </c>
      <c r="AR254" s="14">
        <f>'A) Base RI'!AN254</f>
        <v>133</v>
      </c>
    </row>
    <row r="255" spans="1:44" x14ac:dyDescent="0.25">
      <c r="A255" s="12">
        <f>'A) Base RI'!A255</f>
        <v>5813</v>
      </c>
      <c r="B255" s="42" t="str">
        <f>'A) Base RI'!B255</f>
        <v>Chevroux</v>
      </c>
      <c r="C255" s="14">
        <f>'A) Base RI'!C255+'A) Base RI'!D255</f>
        <v>709246.78</v>
      </c>
      <c r="D255" s="14">
        <f>'A) Base RI'!AO255</f>
        <v>-7224.84</v>
      </c>
      <c r="E255" s="41">
        <f>'A) Base RI'!AP255</f>
        <v>0</v>
      </c>
      <c r="F255" s="41">
        <f>'A) Base RI'!AQ255</f>
        <v>-122.5</v>
      </c>
      <c r="G255" s="4">
        <f t="shared" si="18"/>
        <v>701899.44000000006</v>
      </c>
      <c r="H255" s="14">
        <f>'A) Base RI'!E255</f>
        <v>0</v>
      </c>
      <c r="I255" s="14">
        <f>'A) Base RI'!F255</f>
        <v>2730</v>
      </c>
      <c r="J255" s="14">
        <f>'A) Base RI'!G255+'A) Base RI'!H255</f>
        <v>21448.95</v>
      </c>
      <c r="K255" s="14">
        <f>'A) Base RI'!I255</f>
        <v>0</v>
      </c>
      <c r="L255" s="14">
        <f>'A) Base RI'!J255</f>
        <v>18253.95</v>
      </c>
      <c r="M255" s="14">
        <f>'A) Base RI'!K255</f>
        <v>0</v>
      </c>
      <c r="N255" s="14">
        <f>'A) Base RI'!Q255</f>
        <v>104.31</v>
      </c>
      <c r="O255" s="14">
        <f t="shared" si="19"/>
        <v>66884.250000000015</v>
      </c>
      <c r="P255" s="14">
        <f>'A) Base RI'!L255</f>
        <v>80261.100000000006</v>
      </c>
      <c r="Q255" s="44">
        <f>'A) Base RI'!AR255</f>
        <v>1.2</v>
      </c>
      <c r="R255" s="4">
        <f t="shared" si="20"/>
        <v>811320.9</v>
      </c>
      <c r="S255" s="43">
        <f>'A) Base RI'!AM255</f>
        <v>70</v>
      </c>
      <c r="T255" s="4">
        <f t="shared" si="21"/>
        <v>741706.65</v>
      </c>
      <c r="U255" s="4">
        <f t="shared" si="22"/>
        <v>11590.298571428571</v>
      </c>
      <c r="V255" s="14">
        <f>'A) Base RI'!O255</f>
        <v>10436.1</v>
      </c>
      <c r="W255" s="14">
        <f>'A) Base RI'!P255</f>
        <v>35255</v>
      </c>
      <c r="X255" s="14">
        <f>'A) Base RI'!R255</f>
        <v>20744.099999999999</v>
      </c>
      <c r="Y255" s="4">
        <f t="shared" si="23"/>
        <v>66435.199999999997</v>
      </c>
      <c r="Z255" s="14">
        <f>'A) Base RI'!N255</f>
        <v>0</v>
      </c>
      <c r="AA255" s="14">
        <f>'A) Base RI'!S255+'A) Base RI'!T255</f>
        <v>960</v>
      </c>
      <c r="AB255" s="14">
        <f>'A) Base RI'!U255</f>
        <v>3750</v>
      </c>
      <c r="AC255" s="14">
        <f>'A) Base RI'!V255</f>
        <v>0</v>
      </c>
      <c r="AD255" s="14">
        <f>'A) Base RI'!W255</f>
        <v>0</v>
      </c>
      <c r="AE255" s="14">
        <f>'A) Base RI'!Y255</f>
        <v>8122</v>
      </c>
      <c r="AF255" s="14">
        <f>'A) Base RI'!Z255</f>
        <v>0</v>
      </c>
      <c r="AG255" s="14">
        <f>'A) Base RI'!AA255</f>
        <v>49160</v>
      </c>
      <c r="AH255" s="14">
        <f>'A) Base RI'!AB255</f>
        <v>0</v>
      </c>
      <c r="AI255" s="14">
        <f>'A) Base RI'!AC255</f>
        <v>43372.1</v>
      </c>
      <c r="AJ255" s="14">
        <f>'A) Base RI'!AD255</f>
        <v>4061</v>
      </c>
      <c r="AK255" s="14">
        <f>'A) Base RI'!AE255</f>
        <v>0</v>
      </c>
      <c r="AL255" s="14">
        <f>'A) Base RI'!AF255</f>
        <v>0</v>
      </c>
      <c r="AM255" s="14">
        <f>'A) Base RI'!AG255</f>
        <v>84071.5</v>
      </c>
      <c r="AN255" s="14">
        <f>'A) Base RI'!AH255</f>
        <v>0</v>
      </c>
      <c r="AO255" s="14">
        <f>'A) Base RI'!AI255</f>
        <v>16423.099999999999</v>
      </c>
      <c r="AP255" s="14">
        <f>'A) Base RI'!AJ255</f>
        <v>0</v>
      </c>
      <c r="AQ255" s="14">
        <f>'A) Base RI'!AK255</f>
        <v>0</v>
      </c>
      <c r="AR255" s="14">
        <f>'A) Base RI'!AN255</f>
        <v>430</v>
      </c>
    </row>
    <row r="256" spans="1:44" x14ac:dyDescent="0.25">
      <c r="A256" s="12">
        <f>'A) Base RI'!A256</f>
        <v>5816</v>
      </c>
      <c r="B256" s="42" t="str">
        <f>'A) Base RI'!B256</f>
        <v>Corcelles-près-Payerne</v>
      </c>
      <c r="C256" s="14">
        <f>'A) Base RI'!C256+'A) Base RI'!D256</f>
        <v>3003278.4499999997</v>
      </c>
      <c r="D256" s="14">
        <f>'A) Base RI'!AO256</f>
        <v>-199731.88</v>
      </c>
      <c r="E256" s="41">
        <f>'A) Base RI'!AP256</f>
        <v>0</v>
      </c>
      <c r="F256" s="41">
        <f>'A) Base RI'!AQ256</f>
        <v>-10.87</v>
      </c>
      <c r="G256" s="4">
        <f t="shared" si="18"/>
        <v>2803535.6999999997</v>
      </c>
      <c r="H256" s="14">
        <f>'A) Base RI'!E256</f>
        <v>0</v>
      </c>
      <c r="I256" s="14">
        <f>'A) Base RI'!F256</f>
        <v>0</v>
      </c>
      <c r="J256" s="14">
        <f>'A) Base RI'!G256+'A) Base RI'!H256</f>
        <v>426686.2</v>
      </c>
      <c r="K256" s="14">
        <f>'A) Base RI'!I256</f>
        <v>0</v>
      </c>
      <c r="L256" s="14">
        <f>'A) Base RI'!J256</f>
        <v>156592.57</v>
      </c>
      <c r="M256" s="14">
        <f>'A) Base RI'!K256</f>
        <v>2977</v>
      </c>
      <c r="N256" s="14">
        <f>'A) Base RI'!Q256</f>
        <v>145949.46</v>
      </c>
      <c r="O256" s="14">
        <f t="shared" si="19"/>
        <v>276918.85714285716</v>
      </c>
      <c r="P256" s="14">
        <f>'A) Base RI'!L256</f>
        <v>193843.20000000001</v>
      </c>
      <c r="Q256" s="44">
        <f>'A) Base RI'!AR256</f>
        <v>0.7</v>
      </c>
      <c r="R256" s="4">
        <f t="shared" si="20"/>
        <v>3812659.787142857</v>
      </c>
      <c r="S256" s="43">
        <f>'A) Base RI'!AM256</f>
        <v>72</v>
      </c>
      <c r="T256" s="4">
        <f t="shared" si="21"/>
        <v>3532763.9299999997</v>
      </c>
      <c r="U256" s="4">
        <f t="shared" si="22"/>
        <v>52953.608154761903</v>
      </c>
      <c r="V256" s="14">
        <f>'A) Base RI'!O256</f>
        <v>72343.8</v>
      </c>
      <c r="W256" s="14">
        <f>'A) Base RI'!P256</f>
        <v>259257.65</v>
      </c>
      <c r="X256" s="14">
        <f>'A) Base RI'!R256</f>
        <v>144862.65</v>
      </c>
      <c r="Y256" s="4">
        <f t="shared" si="23"/>
        <v>476464.1</v>
      </c>
      <c r="Z256" s="14">
        <f>'A) Base RI'!N256</f>
        <v>7755.25</v>
      </c>
      <c r="AA256" s="14">
        <f>'A) Base RI'!S256+'A) Base RI'!T256</f>
        <v>6725</v>
      </c>
      <c r="AB256" s="14">
        <f>'A) Base RI'!U256</f>
        <v>7950</v>
      </c>
      <c r="AC256" s="14">
        <f>'A) Base RI'!V256</f>
        <v>0</v>
      </c>
      <c r="AD256" s="14">
        <f>'A) Base RI'!W256</f>
        <v>0</v>
      </c>
      <c r="AE256" s="14">
        <f>'A) Base RI'!Y256</f>
        <v>103253.3</v>
      </c>
      <c r="AF256" s="14">
        <f>'A) Base RI'!Z256</f>
        <v>0</v>
      </c>
      <c r="AG256" s="14">
        <f>'A) Base RI'!AA256</f>
        <v>438797.85</v>
      </c>
      <c r="AH256" s="14">
        <f>'A) Base RI'!AB256</f>
        <v>0</v>
      </c>
      <c r="AI256" s="14">
        <f>'A) Base RI'!AC256</f>
        <v>144344.25</v>
      </c>
      <c r="AJ256" s="14">
        <f>'A) Base RI'!AD256</f>
        <v>54069.2</v>
      </c>
      <c r="AK256" s="14">
        <f>'A) Base RI'!AE256</f>
        <v>0</v>
      </c>
      <c r="AL256" s="14">
        <f>'A) Base RI'!AF256</f>
        <v>0</v>
      </c>
      <c r="AM256" s="14">
        <f>'A) Base RI'!AG256</f>
        <v>0</v>
      </c>
      <c r="AN256" s="14">
        <f>'A) Base RI'!AH256</f>
        <v>0</v>
      </c>
      <c r="AO256" s="14">
        <f>'A) Base RI'!AI256</f>
        <v>0</v>
      </c>
      <c r="AP256" s="14">
        <f>'A) Base RI'!AJ256</f>
        <v>0</v>
      </c>
      <c r="AQ256" s="14">
        <f>'A) Base RI'!AK256</f>
        <v>0</v>
      </c>
      <c r="AR256" s="14">
        <f>'A) Base RI'!AN256</f>
        <v>2229</v>
      </c>
    </row>
    <row r="257" spans="1:44" x14ac:dyDescent="0.25">
      <c r="A257" s="12">
        <f>'A) Base RI'!A257</f>
        <v>5817</v>
      </c>
      <c r="B257" s="42" t="str">
        <f>'A) Base RI'!B257</f>
        <v>Grandcour</v>
      </c>
      <c r="C257" s="14">
        <f>'A) Base RI'!C257+'A) Base RI'!D257</f>
        <v>1491175.6400000001</v>
      </c>
      <c r="D257" s="14">
        <f>'A) Base RI'!AO257</f>
        <v>-9354.32</v>
      </c>
      <c r="E257" s="41">
        <f>'A) Base RI'!AP257</f>
        <v>0</v>
      </c>
      <c r="F257" s="41">
        <f>'A) Base RI'!AQ257</f>
        <v>-27.62</v>
      </c>
      <c r="G257" s="4">
        <f t="shared" si="18"/>
        <v>1481793.7</v>
      </c>
      <c r="H257" s="14">
        <f>'A) Base RI'!E257</f>
        <v>0</v>
      </c>
      <c r="I257" s="14">
        <f>'A) Base RI'!F257</f>
        <v>4740</v>
      </c>
      <c r="J257" s="14">
        <f>'A) Base RI'!G257+'A) Base RI'!H257</f>
        <v>44897.25</v>
      </c>
      <c r="K257" s="14">
        <f>'A) Base RI'!I257</f>
        <v>0</v>
      </c>
      <c r="L257" s="14">
        <f>'A) Base RI'!J257</f>
        <v>23848.21</v>
      </c>
      <c r="M257" s="14">
        <f>'A) Base RI'!K257</f>
        <v>3299.5</v>
      </c>
      <c r="N257" s="14">
        <f>'A) Base RI'!Q257</f>
        <v>4131.72</v>
      </c>
      <c r="O257" s="14">
        <f t="shared" si="19"/>
        <v>98504.9</v>
      </c>
      <c r="P257" s="14">
        <f>'A) Base RI'!L257</f>
        <v>98504.9</v>
      </c>
      <c r="Q257" s="44">
        <f>'A) Base RI'!AR257</f>
        <v>1</v>
      </c>
      <c r="R257" s="4">
        <f t="shared" si="20"/>
        <v>1661215.2799999998</v>
      </c>
      <c r="S257" s="43">
        <f>'A) Base RI'!AM257</f>
        <v>79.5</v>
      </c>
      <c r="T257" s="4">
        <f t="shared" si="21"/>
        <v>1554670.88</v>
      </c>
      <c r="U257" s="4">
        <f t="shared" si="22"/>
        <v>20895.78968553459</v>
      </c>
      <c r="V257" s="14">
        <f>'A) Base RI'!O257</f>
        <v>2584</v>
      </c>
      <c r="W257" s="14">
        <f>'A) Base RI'!P257</f>
        <v>49422.85</v>
      </c>
      <c r="X257" s="14">
        <f>'A) Base RI'!R257</f>
        <v>28132.2</v>
      </c>
      <c r="Y257" s="4">
        <f t="shared" si="23"/>
        <v>80139.05</v>
      </c>
      <c r="Z257" s="14">
        <f>'A) Base RI'!N257</f>
        <v>0</v>
      </c>
      <c r="AA257" s="14">
        <f>'A) Base RI'!S257+'A) Base RI'!T257</f>
        <v>125</v>
      </c>
      <c r="AB257" s="14">
        <f>'A) Base RI'!U257</f>
        <v>5475</v>
      </c>
      <c r="AC257" s="14">
        <f>'A) Base RI'!V257</f>
        <v>0</v>
      </c>
      <c r="AD257" s="14">
        <f>'A) Base RI'!W257</f>
        <v>0</v>
      </c>
      <c r="AE257" s="14">
        <f>'A) Base RI'!Y257</f>
        <v>53378.7</v>
      </c>
      <c r="AF257" s="14">
        <f>'A) Base RI'!Z257</f>
        <v>0</v>
      </c>
      <c r="AG257" s="14">
        <f>'A) Base RI'!AA257</f>
        <v>234584.4</v>
      </c>
      <c r="AH257" s="14">
        <f>'A) Base RI'!AB257</f>
        <v>0</v>
      </c>
      <c r="AI257" s="14">
        <f>'A) Base RI'!AC257</f>
        <v>70144.600000000006</v>
      </c>
      <c r="AJ257" s="14">
        <f>'A) Base RI'!AD257</f>
        <v>20178.5</v>
      </c>
      <c r="AK257" s="14">
        <f>'A) Base RI'!AE257</f>
        <v>0</v>
      </c>
      <c r="AL257" s="14">
        <f>'A) Base RI'!AF257</f>
        <v>0</v>
      </c>
      <c r="AM257" s="14">
        <f>'A) Base RI'!AG257</f>
        <v>0</v>
      </c>
      <c r="AN257" s="14">
        <f>'A) Base RI'!AH257</f>
        <v>13136</v>
      </c>
      <c r="AO257" s="14">
        <f>'A) Base RI'!AI257</f>
        <v>0</v>
      </c>
      <c r="AP257" s="14">
        <f>'A) Base RI'!AJ257</f>
        <v>0</v>
      </c>
      <c r="AQ257" s="14">
        <f>'A) Base RI'!AK257</f>
        <v>0</v>
      </c>
      <c r="AR257" s="14">
        <f>'A) Base RI'!AN257</f>
        <v>856</v>
      </c>
    </row>
    <row r="258" spans="1:44" x14ac:dyDescent="0.25">
      <c r="A258" s="12">
        <f>'A) Base RI'!A258</f>
        <v>5819</v>
      </c>
      <c r="B258" s="42" t="str">
        <f>'A) Base RI'!B258</f>
        <v>Henniez</v>
      </c>
      <c r="C258" s="14">
        <f>'A) Base RI'!C258+'A) Base RI'!D258</f>
        <v>563897.81000000006</v>
      </c>
      <c r="D258" s="14">
        <f>'A) Base RI'!AO258</f>
        <v>-14156.45</v>
      </c>
      <c r="E258" s="41">
        <f>'A) Base RI'!AP258</f>
        <v>0</v>
      </c>
      <c r="F258" s="41">
        <f>'A) Base RI'!AQ258</f>
        <v>-8.31</v>
      </c>
      <c r="G258" s="4">
        <f t="shared" si="18"/>
        <v>549733.05000000005</v>
      </c>
      <c r="H258" s="14">
        <f>'A) Base RI'!E258</f>
        <v>0</v>
      </c>
      <c r="I258" s="14">
        <f>'A) Base RI'!F258</f>
        <v>0</v>
      </c>
      <c r="J258" s="14">
        <f>'A) Base RI'!G258+'A) Base RI'!H258</f>
        <v>228966.85</v>
      </c>
      <c r="K258" s="14">
        <f>'A) Base RI'!I258</f>
        <v>0</v>
      </c>
      <c r="L258" s="14">
        <f>'A) Base RI'!J258</f>
        <v>23475.03</v>
      </c>
      <c r="M258" s="14">
        <f>'A) Base RI'!K258</f>
        <v>1534.5</v>
      </c>
      <c r="N258" s="14">
        <f>'A) Base RI'!Q258</f>
        <v>2077.54</v>
      </c>
      <c r="O258" s="14">
        <f t="shared" si="19"/>
        <v>72380.649999999994</v>
      </c>
      <c r="P258" s="14">
        <f>'A) Base RI'!L258</f>
        <v>72380.649999999994</v>
      </c>
      <c r="Q258" s="44">
        <f>'A) Base RI'!AR258</f>
        <v>1</v>
      </c>
      <c r="R258" s="4">
        <f t="shared" si="20"/>
        <v>878167.62000000011</v>
      </c>
      <c r="S258" s="43">
        <f>'A) Base RI'!AM258</f>
        <v>67</v>
      </c>
      <c r="T258" s="4">
        <f t="shared" si="21"/>
        <v>804252.47000000009</v>
      </c>
      <c r="U258" s="4">
        <f t="shared" si="22"/>
        <v>13106.979402985076</v>
      </c>
      <c r="V258" s="14">
        <f>'A) Base RI'!O258</f>
        <v>1734</v>
      </c>
      <c r="W258" s="14">
        <f>'A) Base RI'!P258</f>
        <v>23661</v>
      </c>
      <c r="X258" s="14">
        <f>'A) Base RI'!R258</f>
        <v>11709.65</v>
      </c>
      <c r="Y258" s="4">
        <f t="shared" si="23"/>
        <v>37104.65</v>
      </c>
      <c r="Z258" s="14">
        <f>'A) Base RI'!N258</f>
        <v>21737.15</v>
      </c>
      <c r="AA258" s="14">
        <f>'A) Base RI'!S258+'A) Base RI'!T258</f>
        <v>0</v>
      </c>
      <c r="AB258" s="14">
        <f>'A) Base RI'!U258</f>
        <v>750</v>
      </c>
      <c r="AC258" s="14">
        <f>'A) Base RI'!V258</f>
        <v>0</v>
      </c>
      <c r="AD258" s="14">
        <f>'A) Base RI'!W258</f>
        <v>0</v>
      </c>
      <c r="AE258" s="14">
        <f>'A) Base RI'!Y258</f>
        <v>12500</v>
      </c>
      <c r="AF258" s="14">
        <f>'A) Base RI'!Z258</f>
        <v>0</v>
      </c>
      <c r="AG258" s="14">
        <f>'A) Base RI'!AA258</f>
        <v>15348.8</v>
      </c>
      <c r="AH258" s="14">
        <f>'A) Base RI'!AB258</f>
        <v>0</v>
      </c>
      <c r="AI258" s="14">
        <f>'A) Base RI'!AC258</f>
        <v>31230.799999999999</v>
      </c>
      <c r="AJ258" s="14">
        <f>'A) Base RI'!AD258</f>
        <v>5300</v>
      </c>
      <c r="AK258" s="14">
        <f>'A) Base RI'!AE258</f>
        <v>0</v>
      </c>
      <c r="AL258" s="14">
        <f>'A) Base RI'!AF258</f>
        <v>0</v>
      </c>
      <c r="AM258" s="14">
        <f>'A) Base RI'!AG258</f>
        <v>0</v>
      </c>
      <c r="AN258" s="14">
        <f>'A) Base RI'!AH258</f>
        <v>0</v>
      </c>
      <c r="AO258" s="14">
        <f>'A) Base RI'!AI258</f>
        <v>0</v>
      </c>
      <c r="AP258" s="14">
        <f>'A) Base RI'!AJ258</f>
        <v>0</v>
      </c>
      <c r="AQ258" s="14">
        <f>'A) Base RI'!AK258</f>
        <v>0</v>
      </c>
      <c r="AR258" s="14">
        <f>'A) Base RI'!AN258</f>
        <v>339</v>
      </c>
    </row>
    <row r="259" spans="1:44" x14ac:dyDescent="0.25">
      <c r="A259" s="12">
        <f>'A) Base RI'!A259</f>
        <v>5821</v>
      </c>
      <c r="B259" s="42" t="str">
        <f>'A) Base RI'!B259</f>
        <v>Missy</v>
      </c>
      <c r="C259" s="14">
        <f>'A) Base RI'!C259+'A) Base RI'!D259</f>
        <v>494274.83999999997</v>
      </c>
      <c r="D259" s="14">
        <f>'A) Base RI'!AO259</f>
        <v>-35295.67</v>
      </c>
      <c r="E259" s="41">
        <f>'A) Base RI'!AP259</f>
        <v>0</v>
      </c>
      <c r="F259" s="41">
        <f>'A) Base RI'!AQ259</f>
        <v>0</v>
      </c>
      <c r="G259" s="4">
        <f t="shared" si="18"/>
        <v>458979.17</v>
      </c>
      <c r="H259" s="14">
        <f>'A) Base RI'!E259</f>
        <v>0</v>
      </c>
      <c r="I259" s="14">
        <f>'A) Base RI'!F259</f>
        <v>0</v>
      </c>
      <c r="J259" s="14">
        <f>'A) Base RI'!G259+'A) Base RI'!H259</f>
        <v>5310.85</v>
      </c>
      <c r="K259" s="14">
        <f>'A) Base RI'!I259</f>
        <v>0</v>
      </c>
      <c r="L259" s="14">
        <f>'A) Base RI'!J259</f>
        <v>22945.02</v>
      </c>
      <c r="M259" s="14">
        <f>'A) Base RI'!K259</f>
        <v>1306.5</v>
      </c>
      <c r="N259" s="14">
        <f>'A) Base RI'!Q259</f>
        <v>-2655.73</v>
      </c>
      <c r="O259" s="14">
        <f t="shared" si="19"/>
        <v>40708.300000000003</v>
      </c>
      <c r="P259" s="14">
        <f>'A) Base RI'!L259</f>
        <v>40708.300000000003</v>
      </c>
      <c r="Q259" s="44">
        <f>'A) Base RI'!AR259</f>
        <v>1</v>
      </c>
      <c r="R259" s="4">
        <f t="shared" si="20"/>
        <v>526594.11</v>
      </c>
      <c r="S259" s="43">
        <f>'A) Base RI'!AM259</f>
        <v>72</v>
      </c>
      <c r="T259" s="4">
        <f t="shared" si="21"/>
        <v>484579.31</v>
      </c>
      <c r="U259" s="4">
        <f t="shared" si="22"/>
        <v>7313.8070833333331</v>
      </c>
      <c r="V259" s="14">
        <f>'A) Base RI'!O259</f>
        <v>63755.4</v>
      </c>
      <c r="W259" s="14">
        <f>'A) Base RI'!P259</f>
        <v>16148.8</v>
      </c>
      <c r="X259" s="14">
        <f>'A) Base RI'!R259</f>
        <v>17238.099999999999</v>
      </c>
      <c r="Y259" s="4">
        <f t="shared" si="23"/>
        <v>97142.299999999988</v>
      </c>
      <c r="Z259" s="14">
        <f>'A) Base RI'!N259</f>
        <v>0</v>
      </c>
      <c r="AA259" s="14">
        <f>'A) Base RI'!S259+'A) Base RI'!T259</f>
        <v>0</v>
      </c>
      <c r="AB259" s="14">
        <f>'A) Base RI'!U259</f>
        <v>3150</v>
      </c>
      <c r="AC259" s="14">
        <f>'A) Base RI'!V259</f>
        <v>0</v>
      </c>
      <c r="AD259" s="14">
        <f>'A) Base RI'!W259</f>
        <v>0</v>
      </c>
      <c r="AE259" s="14">
        <f>'A) Base RI'!Y259</f>
        <v>17970</v>
      </c>
      <c r="AF259" s="14">
        <f>'A) Base RI'!Z259</f>
        <v>0</v>
      </c>
      <c r="AG259" s="14">
        <f>'A) Base RI'!AA259</f>
        <v>52137.5</v>
      </c>
      <c r="AH259" s="14">
        <f>'A) Base RI'!AB259</f>
        <v>0</v>
      </c>
      <c r="AI259" s="14">
        <f>'A) Base RI'!AC259</f>
        <v>28765.1</v>
      </c>
      <c r="AJ259" s="14">
        <f>'A) Base RI'!AD259</f>
        <v>27755.35</v>
      </c>
      <c r="AK259" s="14">
        <f>'A) Base RI'!AE259</f>
        <v>0</v>
      </c>
      <c r="AL259" s="14">
        <f>'A) Base RI'!AF259</f>
        <v>0</v>
      </c>
      <c r="AM259" s="14">
        <f>'A) Base RI'!AG259</f>
        <v>0</v>
      </c>
      <c r="AN259" s="14">
        <f>'A) Base RI'!AH259</f>
        <v>7819.85</v>
      </c>
      <c r="AO259" s="14">
        <f>'A) Base RI'!AI259</f>
        <v>0</v>
      </c>
      <c r="AP259" s="14">
        <f>'A) Base RI'!AJ259</f>
        <v>72.75</v>
      </c>
      <c r="AQ259" s="14">
        <f>'A) Base RI'!AK259</f>
        <v>0</v>
      </c>
      <c r="AR259" s="14">
        <f>'A) Base RI'!AN259</f>
        <v>350</v>
      </c>
    </row>
    <row r="260" spans="1:44" x14ac:dyDescent="0.25">
      <c r="A260" s="12">
        <f>'A) Base RI'!A260</f>
        <v>5822</v>
      </c>
      <c r="B260" s="42" t="str">
        <f>'A) Base RI'!B260</f>
        <v>Payerne</v>
      </c>
      <c r="C260" s="14">
        <f>'A) Base RI'!C260+'A) Base RI'!D260</f>
        <v>13549927.23</v>
      </c>
      <c r="D260" s="14">
        <f>'A) Base RI'!AO260</f>
        <v>-672577.71</v>
      </c>
      <c r="E260" s="41">
        <f>'A) Base RI'!AP260</f>
        <v>0</v>
      </c>
      <c r="F260" s="41">
        <f>'A) Base RI'!AQ260</f>
        <v>-400.05</v>
      </c>
      <c r="G260" s="4">
        <f t="shared" si="18"/>
        <v>12876949.469999999</v>
      </c>
      <c r="H260" s="14">
        <f>'A) Base RI'!E260</f>
        <v>0</v>
      </c>
      <c r="I260" s="14">
        <f>'A) Base RI'!F260</f>
        <v>0</v>
      </c>
      <c r="J260" s="14">
        <f>'A) Base RI'!G260+'A) Base RI'!H260</f>
        <v>1826677.25</v>
      </c>
      <c r="K260" s="14">
        <f>'A) Base RI'!I260</f>
        <v>0</v>
      </c>
      <c r="L260" s="14">
        <f>'A) Base RI'!J260</f>
        <v>678510.52</v>
      </c>
      <c r="M260" s="14">
        <f>'A) Base RI'!K260</f>
        <v>146425.5</v>
      </c>
      <c r="N260" s="14">
        <f>'A) Base RI'!Q260</f>
        <v>116187.35</v>
      </c>
      <c r="O260" s="14">
        <f t="shared" si="19"/>
        <v>1188663.05</v>
      </c>
      <c r="P260" s="14">
        <f>'A) Base RI'!L260</f>
        <v>1188663.05</v>
      </c>
      <c r="Q260" s="44">
        <f>'A) Base RI'!AR260</f>
        <v>1</v>
      </c>
      <c r="R260" s="4">
        <f t="shared" si="20"/>
        <v>16833413.139999997</v>
      </c>
      <c r="S260" s="43">
        <f>'A) Base RI'!AM260</f>
        <v>75</v>
      </c>
      <c r="T260" s="4">
        <f t="shared" si="21"/>
        <v>15498324.589999998</v>
      </c>
      <c r="U260" s="4">
        <f t="shared" si="22"/>
        <v>224445.50853333328</v>
      </c>
      <c r="V260" s="14">
        <f>'A) Base RI'!O260</f>
        <v>124887.6</v>
      </c>
      <c r="W260" s="14">
        <f>'A) Base RI'!P260</f>
        <v>809056.95</v>
      </c>
      <c r="X260" s="14">
        <f>'A) Base RI'!R260</f>
        <v>407033.35</v>
      </c>
      <c r="Y260" s="4">
        <f t="shared" si="23"/>
        <v>1340977.8999999999</v>
      </c>
      <c r="Z260" s="14">
        <f>'A) Base RI'!N260</f>
        <v>48080.9</v>
      </c>
      <c r="AA260" s="14">
        <f>'A) Base RI'!S260+'A) Base RI'!T260</f>
        <v>101617.95</v>
      </c>
      <c r="AB260" s="14">
        <f>'A) Base RI'!U260</f>
        <v>17950</v>
      </c>
      <c r="AC260" s="14">
        <f>'A) Base RI'!V260</f>
        <v>64896.7</v>
      </c>
      <c r="AD260" s="14">
        <f>'A) Base RI'!W260</f>
        <v>0</v>
      </c>
      <c r="AE260" s="14">
        <f>'A) Base RI'!Y260</f>
        <v>572946.5</v>
      </c>
      <c r="AF260" s="14">
        <f>'A) Base RI'!Z260</f>
        <v>0</v>
      </c>
      <c r="AG260" s="14">
        <f>'A) Base RI'!AA260</f>
        <v>2198806.2999999998</v>
      </c>
      <c r="AH260" s="14">
        <f>'A) Base RI'!AB260</f>
        <v>0</v>
      </c>
      <c r="AI260" s="14">
        <f>'A) Base RI'!AC260</f>
        <v>0</v>
      </c>
      <c r="AJ260" s="14">
        <f>'A) Base RI'!AD260</f>
        <v>1151126.79</v>
      </c>
      <c r="AK260" s="14">
        <f>'A) Base RI'!AE260</f>
        <v>152289.35</v>
      </c>
      <c r="AL260" s="14">
        <f>'A) Base RI'!AF260</f>
        <v>0</v>
      </c>
      <c r="AM260" s="14">
        <f>'A) Base RI'!AG260</f>
        <v>1590</v>
      </c>
      <c r="AN260" s="14">
        <f>'A) Base RI'!AH260</f>
        <v>0</v>
      </c>
      <c r="AO260" s="14">
        <f>'A) Base RI'!AI260</f>
        <v>0</v>
      </c>
      <c r="AP260" s="14">
        <f>'A) Base RI'!AJ260</f>
        <v>0</v>
      </c>
      <c r="AQ260" s="14">
        <f>'A) Base RI'!AK260</f>
        <v>0</v>
      </c>
      <c r="AR260" s="14">
        <f>'A) Base RI'!AN260</f>
        <v>9302</v>
      </c>
    </row>
    <row r="261" spans="1:44" x14ac:dyDescent="0.25">
      <c r="A261" s="12">
        <f>'A) Base RI'!A261</f>
        <v>5827</v>
      </c>
      <c r="B261" s="42" t="str">
        <f>'A) Base RI'!B261</f>
        <v>Trey</v>
      </c>
      <c r="C261" s="14">
        <f>'A) Base RI'!C261+'A) Base RI'!D261</f>
        <v>469473.01</v>
      </c>
      <c r="D261" s="14">
        <f>'A) Base RI'!AO261</f>
        <v>-11268.8</v>
      </c>
      <c r="E261" s="41">
        <f>'A) Base RI'!AP261</f>
        <v>0</v>
      </c>
      <c r="F261" s="41">
        <f>'A) Base RI'!AQ261</f>
        <v>-9.5399999999999991</v>
      </c>
      <c r="G261" s="4">
        <f t="shared" si="18"/>
        <v>458194.67000000004</v>
      </c>
      <c r="H261" s="14">
        <f>'A) Base RI'!E261</f>
        <v>0</v>
      </c>
      <c r="I261" s="14">
        <f>'A) Base RI'!F261</f>
        <v>1340</v>
      </c>
      <c r="J261" s="14">
        <f>'A) Base RI'!G261+'A) Base RI'!H261</f>
        <v>24424.400000000001</v>
      </c>
      <c r="K261" s="14">
        <f>'A) Base RI'!I261</f>
        <v>0</v>
      </c>
      <c r="L261" s="14">
        <f>'A) Base RI'!J261</f>
        <v>5080.47</v>
      </c>
      <c r="M261" s="14">
        <f>'A) Base RI'!K261</f>
        <v>141</v>
      </c>
      <c r="N261" s="14">
        <f>'A) Base RI'!Q261</f>
        <v>2196.1999999999998</v>
      </c>
      <c r="O261" s="14">
        <f t="shared" si="19"/>
        <v>32169.95</v>
      </c>
      <c r="P261" s="14">
        <f>'A) Base RI'!L261</f>
        <v>32169.95</v>
      </c>
      <c r="Q261" s="44">
        <f>'A) Base RI'!AR261</f>
        <v>1</v>
      </c>
      <c r="R261" s="4">
        <f t="shared" si="20"/>
        <v>523546.69000000006</v>
      </c>
      <c r="S261" s="43">
        <f>'A) Base RI'!AM261</f>
        <v>80</v>
      </c>
      <c r="T261" s="4">
        <f t="shared" si="21"/>
        <v>489895.74000000005</v>
      </c>
      <c r="U261" s="4">
        <f t="shared" si="22"/>
        <v>6544.3336250000011</v>
      </c>
      <c r="V261" s="14">
        <f>'A) Base RI'!O261</f>
        <v>0</v>
      </c>
      <c r="W261" s="14">
        <f>'A) Base RI'!P261</f>
        <v>25559.8</v>
      </c>
      <c r="X261" s="14">
        <f>'A) Base RI'!R261</f>
        <v>20130</v>
      </c>
      <c r="Y261" s="4">
        <f t="shared" si="23"/>
        <v>45689.8</v>
      </c>
      <c r="Z261" s="14">
        <f>'A) Base RI'!N261</f>
        <v>10533.4</v>
      </c>
      <c r="AA261" s="14">
        <f>'A) Base RI'!S261+'A) Base RI'!T261</f>
        <v>0</v>
      </c>
      <c r="AB261" s="14">
        <f>'A) Base RI'!U261</f>
        <v>1700</v>
      </c>
      <c r="AC261" s="14">
        <f>'A) Base RI'!V261</f>
        <v>0</v>
      </c>
      <c r="AD261" s="14">
        <f>'A) Base RI'!W261</f>
        <v>0</v>
      </c>
      <c r="AE261" s="14">
        <f>'A) Base RI'!Y261</f>
        <v>0</v>
      </c>
      <c r="AF261" s="14">
        <f>'A) Base RI'!Z261</f>
        <v>0</v>
      </c>
      <c r="AG261" s="14">
        <f>'A) Base RI'!AA261</f>
        <v>43178.6</v>
      </c>
      <c r="AH261" s="14">
        <f>'A) Base RI'!AB261</f>
        <v>0</v>
      </c>
      <c r="AI261" s="14">
        <f>'A) Base RI'!AC261</f>
        <v>13090</v>
      </c>
      <c r="AJ261" s="14">
        <f>'A) Base RI'!AD261</f>
        <v>0</v>
      </c>
      <c r="AK261" s="14">
        <f>'A) Base RI'!AE261</f>
        <v>0</v>
      </c>
      <c r="AL261" s="14">
        <f>'A) Base RI'!AF261</f>
        <v>0</v>
      </c>
      <c r="AM261" s="14">
        <f>'A) Base RI'!AG261</f>
        <v>0</v>
      </c>
      <c r="AN261" s="14">
        <f>'A) Base RI'!AH261</f>
        <v>0</v>
      </c>
      <c r="AO261" s="14">
        <f>'A) Base RI'!AI261</f>
        <v>0</v>
      </c>
      <c r="AP261" s="14">
        <f>'A) Base RI'!AJ261</f>
        <v>0</v>
      </c>
      <c r="AQ261" s="14">
        <f>'A) Base RI'!AK261</f>
        <v>0</v>
      </c>
      <c r="AR261" s="14">
        <f>'A) Base RI'!AN261</f>
        <v>255</v>
      </c>
    </row>
    <row r="262" spans="1:44" x14ac:dyDescent="0.25">
      <c r="A262" s="12">
        <f>'A) Base RI'!A262</f>
        <v>5828</v>
      </c>
      <c r="B262" s="42" t="str">
        <f>'A) Base RI'!B262</f>
        <v>Treytorrens (Payerne)</v>
      </c>
      <c r="C262" s="14">
        <f>'A) Base RI'!C262+'A) Base RI'!D262</f>
        <v>167376.93</v>
      </c>
      <c r="D262" s="14">
        <f>'A) Base RI'!AO262</f>
        <v>-4086.27</v>
      </c>
      <c r="E262" s="41">
        <f>'A) Base RI'!AP262</f>
        <v>0</v>
      </c>
      <c r="F262" s="41">
        <f>'A) Base RI'!AQ262</f>
        <v>-0.08</v>
      </c>
      <c r="G262" s="4">
        <f t="shared" si="18"/>
        <v>163290.58000000002</v>
      </c>
      <c r="H262" s="14">
        <f>'A) Base RI'!E262</f>
        <v>0</v>
      </c>
      <c r="I262" s="14">
        <f>'A) Base RI'!F262</f>
        <v>0</v>
      </c>
      <c r="J262" s="14">
        <f>'A) Base RI'!G262+'A) Base RI'!H262</f>
        <v>448.55</v>
      </c>
      <c r="K262" s="14">
        <f>'A) Base RI'!I262</f>
        <v>0</v>
      </c>
      <c r="L262" s="14">
        <f>'A) Base RI'!J262</f>
        <v>2077.92</v>
      </c>
      <c r="M262" s="14">
        <f>'A) Base RI'!K262</f>
        <v>0</v>
      </c>
      <c r="N262" s="14">
        <f>'A) Base RI'!Q262</f>
        <v>0</v>
      </c>
      <c r="O262" s="14">
        <f t="shared" si="19"/>
        <v>13650.366666666667</v>
      </c>
      <c r="P262" s="14">
        <f>'A) Base RI'!L262</f>
        <v>20475.55</v>
      </c>
      <c r="Q262" s="44">
        <f>'A) Base RI'!AR262</f>
        <v>1.5</v>
      </c>
      <c r="R262" s="4">
        <f t="shared" si="20"/>
        <v>179467.41666666669</v>
      </c>
      <c r="S262" s="43">
        <f>'A) Base RI'!AM262</f>
        <v>84</v>
      </c>
      <c r="T262" s="4">
        <f t="shared" si="21"/>
        <v>165817.05000000002</v>
      </c>
      <c r="U262" s="4">
        <f t="shared" si="22"/>
        <v>2136.5168650793653</v>
      </c>
      <c r="V262" s="14">
        <f>'A) Base RI'!O262</f>
        <v>0</v>
      </c>
      <c r="W262" s="14">
        <f>'A) Base RI'!P262</f>
        <v>6712.8</v>
      </c>
      <c r="X262" s="14">
        <f>'A) Base RI'!R262</f>
        <v>9585.4500000000007</v>
      </c>
      <c r="Y262" s="4">
        <f t="shared" si="23"/>
        <v>16298.25</v>
      </c>
      <c r="Z262" s="14">
        <f>'A) Base RI'!N262</f>
        <v>0</v>
      </c>
      <c r="AA262" s="14">
        <f>'A) Base RI'!S262+'A) Base RI'!T262</f>
        <v>0</v>
      </c>
      <c r="AB262" s="14">
        <f>'A) Base RI'!U262</f>
        <v>580</v>
      </c>
      <c r="AC262" s="14">
        <f>'A) Base RI'!V262</f>
        <v>0</v>
      </c>
      <c r="AD262" s="14">
        <f>'A) Base RI'!W262</f>
        <v>0</v>
      </c>
      <c r="AE262" s="14">
        <f>'A) Base RI'!Y262</f>
        <v>0</v>
      </c>
      <c r="AF262" s="14">
        <f>'A) Base RI'!Z262</f>
        <v>0</v>
      </c>
      <c r="AG262" s="14">
        <f>'A) Base RI'!AA262</f>
        <v>18980</v>
      </c>
      <c r="AH262" s="14">
        <f>'A) Base RI'!AB262</f>
        <v>0</v>
      </c>
      <c r="AI262" s="14">
        <f>'A) Base RI'!AC262</f>
        <v>9584.2999999999993</v>
      </c>
      <c r="AJ262" s="14">
        <f>'A) Base RI'!AD262</f>
        <v>0</v>
      </c>
      <c r="AK262" s="14">
        <f>'A) Base RI'!AE262</f>
        <v>0</v>
      </c>
      <c r="AL262" s="14">
        <f>'A) Base RI'!AF262</f>
        <v>0</v>
      </c>
      <c r="AM262" s="14">
        <f>'A) Base RI'!AG262</f>
        <v>0</v>
      </c>
      <c r="AN262" s="14">
        <f>'A) Base RI'!AH262</f>
        <v>2994.8</v>
      </c>
      <c r="AO262" s="14">
        <f>'A) Base RI'!AI262</f>
        <v>0</v>
      </c>
      <c r="AP262" s="14">
        <f>'A) Base RI'!AJ262</f>
        <v>0</v>
      </c>
      <c r="AQ262" s="14">
        <f>'A) Base RI'!AK262</f>
        <v>0</v>
      </c>
      <c r="AR262" s="14">
        <f>'A) Base RI'!AN262</f>
        <v>124</v>
      </c>
    </row>
    <row r="263" spans="1:44" x14ac:dyDescent="0.25">
      <c r="A263" s="12">
        <f>'A) Base RI'!A263</f>
        <v>5830</v>
      </c>
      <c r="B263" s="42" t="str">
        <f>'A) Base RI'!B263</f>
        <v>Villarzel</v>
      </c>
      <c r="C263" s="14">
        <f>'A) Base RI'!C263+'A) Base RI'!D263</f>
        <v>743583.33</v>
      </c>
      <c r="D263" s="14">
        <f>'A) Base RI'!AO263</f>
        <v>-5952.52</v>
      </c>
      <c r="E263" s="41">
        <f>'A) Base RI'!AP263</f>
        <v>0</v>
      </c>
      <c r="F263" s="41">
        <f>'A) Base RI'!AQ263</f>
        <v>-1.1599999999999999</v>
      </c>
      <c r="G263" s="4">
        <f t="shared" si="18"/>
        <v>737629.64999999991</v>
      </c>
      <c r="H263" s="14">
        <f>'A) Base RI'!E263</f>
        <v>0</v>
      </c>
      <c r="I263" s="14">
        <f>'A) Base RI'!F263</f>
        <v>2460</v>
      </c>
      <c r="J263" s="14">
        <f>'A) Base RI'!G263+'A) Base RI'!H263</f>
        <v>2122.5</v>
      </c>
      <c r="K263" s="14">
        <f>'A) Base RI'!I263</f>
        <v>0</v>
      </c>
      <c r="L263" s="14">
        <f>'A) Base RI'!J263</f>
        <v>11864.11</v>
      </c>
      <c r="M263" s="14">
        <f>'A) Base RI'!K263</f>
        <v>1396.5</v>
      </c>
      <c r="N263" s="14">
        <f>'A) Base RI'!Q263</f>
        <v>2833.53</v>
      </c>
      <c r="O263" s="14">
        <f t="shared" si="19"/>
        <v>50415.25</v>
      </c>
      <c r="P263" s="14">
        <f>'A) Base RI'!L263</f>
        <v>50415.25</v>
      </c>
      <c r="Q263" s="44">
        <f>'A) Base RI'!AR263</f>
        <v>1</v>
      </c>
      <c r="R263" s="4">
        <f t="shared" si="20"/>
        <v>808721.53999999992</v>
      </c>
      <c r="S263" s="43">
        <f>'A) Base RI'!AM263</f>
        <v>79</v>
      </c>
      <c r="T263" s="4">
        <f t="shared" si="21"/>
        <v>754449.78999999992</v>
      </c>
      <c r="U263" s="4">
        <f t="shared" si="22"/>
        <v>10236.981518987341</v>
      </c>
      <c r="V263" s="14">
        <f>'A) Base RI'!O263</f>
        <v>0</v>
      </c>
      <c r="W263" s="14">
        <f>'A) Base RI'!P263</f>
        <v>22117.05</v>
      </c>
      <c r="X263" s="14">
        <f>'A) Base RI'!R263</f>
        <v>9342</v>
      </c>
      <c r="Y263" s="4">
        <f t="shared" si="23"/>
        <v>31459.05</v>
      </c>
      <c r="Z263" s="14">
        <f>'A) Base RI'!N263</f>
        <v>0</v>
      </c>
      <c r="AA263" s="14">
        <f>'A) Base RI'!S263+'A) Base RI'!T263</f>
        <v>0</v>
      </c>
      <c r="AB263" s="14">
        <f>'A) Base RI'!U263</f>
        <v>2910</v>
      </c>
      <c r="AC263" s="14">
        <f>'A) Base RI'!V263</f>
        <v>0</v>
      </c>
      <c r="AD263" s="14">
        <f>'A) Base RI'!W263</f>
        <v>0</v>
      </c>
      <c r="AE263" s="14">
        <f>'A) Base RI'!Y263</f>
        <v>43000</v>
      </c>
      <c r="AF263" s="14">
        <f>'A) Base RI'!Z263</f>
        <v>0</v>
      </c>
      <c r="AG263" s="14">
        <f>'A) Base RI'!AA263</f>
        <v>51961.2</v>
      </c>
      <c r="AH263" s="14">
        <f>'A) Base RI'!AB263</f>
        <v>0</v>
      </c>
      <c r="AI263" s="14">
        <f>'A) Base RI'!AC263</f>
        <v>28019.15</v>
      </c>
      <c r="AJ263" s="14">
        <f>'A) Base RI'!AD263</f>
        <v>14000</v>
      </c>
      <c r="AK263" s="14">
        <f>'A) Base RI'!AE263</f>
        <v>0</v>
      </c>
      <c r="AL263" s="14">
        <f>'A) Base RI'!AF263</f>
        <v>0</v>
      </c>
      <c r="AM263" s="14">
        <f>'A) Base RI'!AG263</f>
        <v>0</v>
      </c>
      <c r="AN263" s="14">
        <f>'A) Base RI'!AH263</f>
        <v>0</v>
      </c>
      <c r="AO263" s="14">
        <f>'A) Base RI'!AI263</f>
        <v>0</v>
      </c>
      <c r="AP263" s="14">
        <f>'A) Base RI'!AJ263</f>
        <v>0</v>
      </c>
      <c r="AQ263" s="14">
        <f>'A) Base RI'!AK263</f>
        <v>0</v>
      </c>
      <c r="AR263" s="14">
        <f>'A) Base RI'!AN263</f>
        <v>415</v>
      </c>
    </row>
    <row r="264" spans="1:44" x14ac:dyDescent="0.25">
      <c r="A264" s="12">
        <f>'A) Base RI'!A264</f>
        <v>5831</v>
      </c>
      <c r="B264" s="42" t="str">
        <f>'A) Base RI'!B264</f>
        <v>Valbroye</v>
      </c>
      <c r="C264" s="14">
        <f>'A) Base RI'!C264+'A) Base RI'!D264</f>
        <v>4659502.8499999996</v>
      </c>
      <c r="D264" s="14">
        <f>'A) Base RI'!AO264</f>
        <v>-69451.69</v>
      </c>
      <c r="E264" s="41">
        <f>'A) Base RI'!AP264</f>
        <v>0</v>
      </c>
      <c r="F264" s="41">
        <f>'A) Base RI'!AQ264</f>
        <v>-307.89</v>
      </c>
      <c r="G264" s="4">
        <f t="shared" ref="G264:G324" si="24">SUM(C264:F264)</f>
        <v>4589743.2699999996</v>
      </c>
      <c r="H264" s="14">
        <f>'A) Base RI'!E264</f>
        <v>0</v>
      </c>
      <c r="I264" s="14">
        <f>'A) Base RI'!F264</f>
        <v>0</v>
      </c>
      <c r="J264" s="14">
        <f>'A) Base RI'!G264+'A) Base RI'!H264</f>
        <v>544881.9</v>
      </c>
      <c r="K264" s="14">
        <f>'A) Base RI'!I264</f>
        <v>0</v>
      </c>
      <c r="L264" s="14">
        <f>'A) Base RI'!J264</f>
        <v>158558.10999999999</v>
      </c>
      <c r="M264" s="14">
        <f>'A) Base RI'!K264</f>
        <v>14554</v>
      </c>
      <c r="N264" s="14">
        <f>'A) Base RI'!Q264</f>
        <v>10214.52</v>
      </c>
      <c r="O264" s="14">
        <f t="shared" ref="O264:O324" si="25">(P264/Q264)*1</f>
        <v>378801.5</v>
      </c>
      <c r="P264" s="14">
        <f>'A) Base RI'!L264</f>
        <v>227280.9</v>
      </c>
      <c r="Q264" s="44">
        <f>'A) Base RI'!AR264</f>
        <v>0.6</v>
      </c>
      <c r="R264" s="4">
        <f t="shared" ref="R264:R324" si="26">SUM(G264:O264)</f>
        <v>5696753.2999999998</v>
      </c>
      <c r="S264" s="43">
        <f>'A) Base RI'!AM264</f>
        <v>73</v>
      </c>
      <c r="T264" s="4">
        <f t="shared" ref="T264:T324" si="27">(G264+H264+J264+K264+L264+N264)</f>
        <v>5303397.8</v>
      </c>
      <c r="U264" s="4">
        <f t="shared" ref="U264:U324" si="28">R264/S264</f>
        <v>78037.716438356161</v>
      </c>
      <c r="V264" s="14">
        <f>'A) Base RI'!O264</f>
        <v>20045.400000000001</v>
      </c>
      <c r="W264" s="14">
        <f>'A) Base RI'!P264</f>
        <v>118024.2</v>
      </c>
      <c r="X264" s="14">
        <f>'A) Base RI'!R264</f>
        <v>71420.55</v>
      </c>
      <c r="Y264" s="4">
        <f t="shared" ref="Y264:Y324" si="29">SUM(V264:X264)</f>
        <v>209490.15000000002</v>
      </c>
      <c r="Z264" s="14">
        <f>'A) Base RI'!N264</f>
        <v>15624.5</v>
      </c>
      <c r="AA264" s="14">
        <f>'A) Base RI'!S264+'A) Base RI'!T264</f>
        <v>800</v>
      </c>
      <c r="AB264" s="14">
        <f>'A) Base RI'!U264</f>
        <v>15700</v>
      </c>
      <c r="AC264" s="14">
        <f>'A) Base RI'!V264</f>
        <v>0</v>
      </c>
      <c r="AD264" s="14">
        <f>'A) Base RI'!W264</f>
        <v>0</v>
      </c>
      <c r="AE264" s="14">
        <f>'A) Base RI'!Y264</f>
        <v>421085</v>
      </c>
      <c r="AF264" s="14">
        <f>'A) Base RI'!Z264</f>
        <v>0</v>
      </c>
      <c r="AG264" s="14">
        <f>'A) Base RI'!AA264</f>
        <v>317378.40000000002</v>
      </c>
      <c r="AH264" s="14">
        <f>'A) Base RI'!AB264</f>
        <v>0</v>
      </c>
      <c r="AI264" s="14">
        <f>'A) Base RI'!AC264</f>
        <v>252863.92</v>
      </c>
      <c r="AJ264" s="14">
        <f>'A) Base RI'!AD264</f>
        <v>118828.5</v>
      </c>
      <c r="AK264" s="14">
        <f>'A) Base RI'!AE264</f>
        <v>0</v>
      </c>
      <c r="AL264" s="14">
        <f>'A) Base RI'!AF264</f>
        <v>0</v>
      </c>
      <c r="AM264" s="14">
        <f>'A) Base RI'!AG264</f>
        <v>0</v>
      </c>
      <c r="AN264" s="14">
        <f>'A) Base RI'!AH264</f>
        <v>144044.25</v>
      </c>
      <c r="AO264" s="14">
        <f>'A) Base RI'!AI264</f>
        <v>0</v>
      </c>
      <c r="AP264" s="14">
        <f>'A) Base RI'!AJ264</f>
        <v>0</v>
      </c>
      <c r="AQ264" s="14">
        <f>'A) Base RI'!AK264</f>
        <v>0</v>
      </c>
      <c r="AR264" s="14">
        <f>'A) Base RI'!AN264</f>
        <v>2960</v>
      </c>
    </row>
    <row r="265" spans="1:44" x14ac:dyDescent="0.25">
      <c r="A265" s="12">
        <f>'A) Base RI'!A265</f>
        <v>5841</v>
      </c>
      <c r="B265" s="42" t="str">
        <f>'A) Base RI'!B265</f>
        <v>Château-d'Oex</v>
      </c>
      <c r="C265" s="14">
        <f>'A) Base RI'!C265+'A) Base RI'!D265</f>
        <v>6743024.5800000001</v>
      </c>
      <c r="D265" s="14">
        <f>'A) Base RI'!AO265</f>
        <v>-60285.38</v>
      </c>
      <c r="E265" s="41">
        <f>'A) Base RI'!AP265</f>
        <v>0</v>
      </c>
      <c r="F265" s="41">
        <f>'A) Base RI'!AQ265</f>
        <v>-3389.2</v>
      </c>
      <c r="G265" s="4">
        <f t="shared" si="24"/>
        <v>6679350</v>
      </c>
      <c r="H265" s="14">
        <f>'A) Base RI'!E265</f>
        <v>0</v>
      </c>
      <c r="I265" s="14">
        <f>'A) Base RI'!F265</f>
        <v>0</v>
      </c>
      <c r="J265" s="14">
        <f>'A) Base RI'!G265+'A) Base RI'!H265</f>
        <v>530490.55000000005</v>
      </c>
      <c r="K265" s="14">
        <f>'A) Base RI'!I265</f>
        <v>402138.35</v>
      </c>
      <c r="L265" s="14">
        <f>'A) Base RI'!J265</f>
        <v>396476.08</v>
      </c>
      <c r="M265" s="14">
        <f>'A) Base RI'!K265</f>
        <v>21166</v>
      </c>
      <c r="N265" s="14">
        <f>'A) Base RI'!Q265</f>
        <v>15507.12</v>
      </c>
      <c r="O265" s="14">
        <f t="shared" si="25"/>
        <v>879507.96666666667</v>
      </c>
      <c r="P265" s="14">
        <f>'A) Base RI'!L265</f>
        <v>1319261.95</v>
      </c>
      <c r="Q265" s="44">
        <f>'A) Base RI'!AR265</f>
        <v>1.5</v>
      </c>
      <c r="R265" s="4">
        <f t="shared" si="26"/>
        <v>8924636.0666666664</v>
      </c>
      <c r="S265" s="43">
        <f>'A) Base RI'!AM265</f>
        <v>83</v>
      </c>
      <c r="T265" s="4">
        <f t="shared" si="27"/>
        <v>8023962.0999999996</v>
      </c>
      <c r="U265" s="4">
        <f t="shared" si="28"/>
        <v>107525.73574297188</v>
      </c>
      <c r="V265" s="14">
        <f>'A) Base RI'!O265</f>
        <v>245457.5</v>
      </c>
      <c r="W265" s="14">
        <f>'A) Base RI'!P265</f>
        <v>591028.69999999995</v>
      </c>
      <c r="X265" s="14">
        <f>'A) Base RI'!R265</f>
        <v>350583.1</v>
      </c>
      <c r="Y265" s="4">
        <f t="shared" si="29"/>
        <v>1187069.2999999998</v>
      </c>
      <c r="Z265" s="14">
        <f>'A) Base RI'!N265</f>
        <v>6542.25</v>
      </c>
      <c r="AA265" s="14">
        <f>'A) Base RI'!S265+'A) Base RI'!T265</f>
        <v>19626.25</v>
      </c>
      <c r="AB265" s="14">
        <f>'A) Base RI'!U265</f>
        <v>22860</v>
      </c>
      <c r="AC265" s="14">
        <f>'A) Base RI'!V265</f>
        <v>0</v>
      </c>
      <c r="AD265" s="14">
        <f>'A) Base RI'!W265</f>
        <v>0</v>
      </c>
      <c r="AE265" s="14">
        <f>'A) Base RI'!Y265</f>
        <v>58425.98</v>
      </c>
      <c r="AF265" s="14">
        <f>'A) Base RI'!Z265</f>
        <v>0</v>
      </c>
      <c r="AG265" s="14">
        <f>'A) Base RI'!AA265</f>
        <v>1098577.1200000001</v>
      </c>
      <c r="AH265" s="14">
        <f>'A) Base RI'!AB265</f>
        <v>0</v>
      </c>
      <c r="AI265" s="14">
        <f>'A) Base RI'!AC265</f>
        <v>595039.43000000005</v>
      </c>
      <c r="AJ265" s="14">
        <f>'A) Base RI'!AD265</f>
        <v>0</v>
      </c>
      <c r="AK265" s="14">
        <f>'A) Base RI'!AE265</f>
        <v>0</v>
      </c>
      <c r="AL265" s="14">
        <f>'A) Base RI'!AF265</f>
        <v>0</v>
      </c>
      <c r="AM265" s="14">
        <f>'A) Base RI'!AG265</f>
        <v>551644.69999999995</v>
      </c>
      <c r="AN265" s="14">
        <f>'A) Base RI'!AH265</f>
        <v>155082.85</v>
      </c>
      <c r="AO265" s="14">
        <f>'A) Base RI'!AI265</f>
        <v>0</v>
      </c>
      <c r="AP265" s="14">
        <f>'A) Base RI'!AJ265</f>
        <v>0</v>
      </c>
      <c r="AQ265" s="14">
        <f>'A) Base RI'!AK265</f>
        <v>0</v>
      </c>
      <c r="AR265" s="14">
        <f>'A) Base RI'!AN265</f>
        <v>3408</v>
      </c>
    </row>
    <row r="266" spans="1:44" x14ac:dyDescent="0.25">
      <c r="A266" s="12">
        <f>'A) Base RI'!A266</f>
        <v>5842</v>
      </c>
      <c r="B266" s="42" t="str">
        <f>'A) Base RI'!B266</f>
        <v>Rossinière</v>
      </c>
      <c r="C266" s="14">
        <f>'A) Base RI'!C266+'A) Base RI'!D266</f>
        <v>1270278.0499999998</v>
      </c>
      <c r="D266" s="14">
        <f>'A) Base RI'!AO266</f>
        <v>-33300.019999999997</v>
      </c>
      <c r="E266" s="41">
        <f>'A) Base RI'!AP266</f>
        <v>0</v>
      </c>
      <c r="F266" s="41">
        <f>'A) Base RI'!AQ266</f>
        <v>-587.13</v>
      </c>
      <c r="G266" s="4">
        <f t="shared" si="24"/>
        <v>1236390.8999999999</v>
      </c>
      <c r="H266" s="14">
        <f>'A) Base RI'!E266</f>
        <v>0</v>
      </c>
      <c r="I266" s="14">
        <f>'A) Base RI'!F266</f>
        <v>0</v>
      </c>
      <c r="J266" s="14">
        <f>'A) Base RI'!G266+'A) Base RI'!H266</f>
        <v>15695.800000000001</v>
      </c>
      <c r="K266" s="14">
        <f>'A) Base RI'!I266</f>
        <v>-50592</v>
      </c>
      <c r="L266" s="14">
        <f>'A) Base RI'!J266</f>
        <v>26513.34</v>
      </c>
      <c r="M266" s="14">
        <f>'A) Base RI'!K266</f>
        <v>387.5</v>
      </c>
      <c r="N266" s="14">
        <f>'A) Base RI'!Q266</f>
        <v>29275.48</v>
      </c>
      <c r="O266" s="14">
        <f t="shared" si="25"/>
        <v>83213.133333333331</v>
      </c>
      <c r="P266" s="14">
        <f>'A) Base RI'!L266</f>
        <v>124819.7</v>
      </c>
      <c r="Q266" s="44">
        <f>'A) Base RI'!AR266</f>
        <v>1.5</v>
      </c>
      <c r="R266" s="4">
        <f t="shared" si="26"/>
        <v>1340884.1533333333</v>
      </c>
      <c r="S266" s="43">
        <f>'A) Base RI'!AM266</f>
        <v>81</v>
      </c>
      <c r="T266" s="4">
        <f t="shared" si="27"/>
        <v>1257283.52</v>
      </c>
      <c r="U266" s="4">
        <f t="shared" si="28"/>
        <v>16554.125349794238</v>
      </c>
      <c r="V266" s="14">
        <f>'A) Base RI'!O266</f>
        <v>906</v>
      </c>
      <c r="W266" s="14">
        <f>'A) Base RI'!P266</f>
        <v>24868.5</v>
      </c>
      <c r="X266" s="14">
        <f>'A) Base RI'!R266</f>
        <v>40321.85</v>
      </c>
      <c r="Y266" s="4">
        <f t="shared" si="29"/>
        <v>66096.350000000006</v>
      </c>
      <c r="Z266" s="14">
        <f>'A) Base RI'!N266</f>
        <v>0</v>
      </c>
      <c r="AA266" s="14">
        <f>'A) Base RI'!S266+'A) Base RI'!T266</f>
        <v>93.75</v>
      </c>
      <c r="AB266" s="14">
        <f>'A) Base RI'!U266</f>
        <v>2920</v>
      </c>
      <c r="AC266" s="14">
        <f>'A) Base RI'!V266</f>
        <v>0</v>
      </c>
      <c r="AD266" s="14">
        <f>'A) Base RI'!W266</f>
        <v>0</v>
      </c>
      <c r="AE266" s="14">
        <f>'A) Base RI'!Y266</f>
        <v>0</v>
      </c>
      <c r="AF266" s="14">
        <f>'A) Base RI'!Z266</f>
        <v>0</v>
      </c>
      <c r="AG266" s="14">
        <f>'A) Base RI'!AA266</f>
        <v>64978.55</v>
      </c>
      <c r="AH266" s="14">
        <f>'A) Base RI'!AB266</f>
        <v>0</v>
      </c>
      <c r="AI266" s="14">
        <f>'A) Base RI'!AC266</f>
        <v>42058.720000000001</v>
      </c>
      <c r="AJ266" s="14">
        <f>'A) Base RI'!AD266</f>
        <v>0</v>
      </c>
      <c r="AK266" s="14">
        <f>'A) Base RI'!AE266</f>
        <v>0</v>
      </c>
      <c r="AL266" s="14">
        <f>'A) Base RI'!AF266</f>
        <v>0</v>
      </c>
      <c r="AM266" s="14">
        <f>'A) Base RI'!AG266</f>
        <v>0</v>
      </c>
      <c r="AN266" s="14">
        <f>'A) Base RI'!AH266</f>
        <v>0</v>
      </c>
      <c r="AO266" s="14">
        <f>'A) Base RI'!AI266</f>
        <v>0</v>
      </c>
      <c r="AP266" s="14">
        <f>'A) Base RI'!AJ266</f>
        <v>0</v>
      </c>
      <c r="AQ266" s="14">
        <f>'A) Base RI'!AK266</f>
        <v>0</v>
      </c>
      <c r="AR266" s="14">
        <f>'A) Base RI'!AN266</f>
        <v>565</v>
      </c>
    </row>
    <row r="267" spans="1:44" x14ac:dyDescent="0.25">
      <c r="A267" s="12">
        <f>'A) Base RI'!A267</f>
        <v>5843</v>
      </c>
      <c r="B267" s="42" t="str">
        <f>'A) Base RI'!B267</f>
        <v>Rougemont</v>
      </c>
      <c r="C267" s="14">
        <f>'A) Base RI'!C267+'A) Base RI'!D267</f>
        <v>3915471.83</v>
      </c>
      <c r="D267" s="14">
        <f>'A) Base RI'!AO267</f>
        <v>-15867.56</v>
      </c>
      <c r="E267" s="41">
        <f>'A) Base RI'!AP267</f>
        <v>0</v>
      </c>
      <c r="F267" s="41">
        <f>'A) Base RI'!AQ267</f>
        <v>-4807.5600000000004</v>
      </c>
      <c r="G267" s="4">
        <f t="shared" si="24"/>
        <v>3894796.71</v>
      </c>
      <c r="H267" s="14">
        <f>'A) Base RI'!E267</f>
        <v>0</v>
      </c>
      <c r="I267" s="14">
        <f>'A) Base RI'!F267</f>
        <v>0</v>
      </c>
      <c r="J267" s="14">
        <f>'A) Base RI'!G267+'A) Base RI'!H267</f>
        <v>188701.40000000002</v>
      </c>
      <c r="K267" s="14">
        <f>'A) Base RI'!I267</f>
        <v>1369263.38</v>
      </c>
      <c r="L267" s="14">
        <f>'A) Base RI'!J267</f>
        <v>223773.67</v>
      </c>
      <c r="M267" s="14">
        <f>'A) Base RI'!K267</f>
        <v>14008.5</v>
      </c>
      <c r="N267" s="14">
        <f>'A) Base RI'!Q267</f>
        <v>479.82</v>
      </c>
      <c r="O267" s="14">
        <f t="shared" si="25"/>
        <v>677500.83333333337</v>
      </c>
      <c r="P267" s="14">
        <f>'A) Base RI'!L267</f>
        <v>1016251.25</v>
      </c>
      <c r="Q267" s="44">
        <f>'A) Base RI'!AR267</f>
        <v>1.5</v>
      </c>
      <c r="R267" s="4">
        <f t="shared" si="26"/>
        <v>6368524.3133333335</v>
      </c>
      <c r="S267" s="43">
        <f>'A) Base RI'!AM267</f>
        <v>69</v>
      </c>
      <c r="T267" s="4">
        <f t="shared" si="27"/>
        <v>5677014.9800000004</v>
      </c>
      <c r="U267" s="4">
        <f t="shared" si="28"/>
        <v>92297.453816425128</v>
      </c>
      <c r="V267" s="14">
        <f>'A) Base RI'!O267</f>
        <v>372020.3</v>
      </c>
      <c r="W267" s="14">
        <f>'A) Base RI'!P267</f>
        <v>665186.35</v>
      </c>
      <c r="X267" s="14">
        <f>'A) Base RI'!R267</f>
        <v>1087677.2</v>
      </c>
      <c r="Y267" s="4">
        <f t="shared" si="29"/>
        <v>2124883.8499999996</v>
      </c>
      <c r="Z267" s="14">
        <f>'A) Base RI'!N267</f>
        <v>0</v>
      </c>
      <c r="AA267" s="14">
        <f>'A) Base RI'!S267+'A) Base RI'!T267</f>
        <v>2677.5</v>
      </c>
      <c r="AB267" s="14">
        <f>'A) Base RI'!U267</f>
        <v>4980</v>
      </c>
      <c r="AC267" s="14">
        <f>'A) Base RI'!V267</f>
        <v>0</v>
      </c>
      <c r="AD267" s="14">
        <f>'A) Base RI'!W267</f>
        <v>0</v>
      </c>
      <c r="AE267" s="14">
        <f>'A) Base RI'!Y267</f>
        <v>90825</v>
      </c>
      <c r="AF267" s="14">
        <f>'A) Base RI'!Z267</f>
        <v>0</v>
      </c>
      <c r="AG267" s="14">
        <f>'A) Base RI'!AA267</f>
        <v>228689.35</v>
      </c>
      <c r="AH267" s="14">
        <f>'A) Base RI'!AB267</f>
        <v>0</v>
      </c>
      <c r="AI267" s="14">
        <f>'A) Base RI'!AC267</f>
        <v>239340.17</v>
      </c>
      <c r="AJ267" s="14">
        <f>'A) Base RI'!AD267</f>
        <v>144450</v>
      </c>
      <c r="AK267" s="14">
        <f>'A) Base RI'!AE267</f>
        <v>0</v>
      </c>
      <c r="AL267" s="14">
        <f>'A) Base RI'!AF267</f>
        <v>0</v>
      </c>
      <c r="AM267" s="14">
        <f>'A) Base RI'!AG267</f>
        <v>744396.65</v>
      </c>
      <c r="AN267" s="14">
        <f>'A) Base RI'!AH267</f>
        <v>81623.100000000006</v>
      </c>
      <c r="AO267" s="14">
        <f>'A) Base RI'!AI267</f>
        <v>0</v>
      </c>
      <c r="AP267" s="14">
        <f>'A) Base RI'!AJ267</f>
        <v>0</v>
      </c>
      <c r="AQ267" s="14">
        <f>'A) Base RI'!AK267</f>
        <v>0</v>
      </c>
      <c r="AR267" s="14">
        <f>'A) Base RI'!AN267</f>
        <v>881</v>
      </c>
    </row>
    <row r="268" spans="1:44" x14ac:dyDescent="0.25">
      <c r="A268" s="12">
        <f>'A) Base RI'!A268</f>
        <v>5851</v>
      </c>
      <c r="B268" s="42" t="str">
        <f>'A) Base RI'!B268</f>
        <v>Allaman</v>
      </c>
      <c r="C268" s="14">
        <f>'A) Base RI'!C268+'A) Base RI'!D268</f>
        <v>975442.53</v>
      </c>
      <c r="D268" s="14">
        <f>'A) Base RI'!AO268</f>
        <v>-5169.84</v>
      </c>
      <c r="E268" s="41">
        <f>'A) Base RI'!AP268</f>
        <v>0</v>
      </c>
      <c r="F268" s="41">
        <f>'A) Base RI'!AQ268</f>
        <v>-190.97</v>
      </c>
      <c r="G268" s="4">
        <f t="shared" si="24"/>
        <v>970081.72000000009</v>
      </c>
      <c r="H268" s="14">
        <f>'A) Base RI'!E268</f>
        <v>0</v>
      </c>
      <c r="I268" s="14">
        <f>'A) Base RI'!F268</f>
        <v>0</v>
      </c>
      <c r="J268" s="14">
        <f>'A) Base RI'!G268+'A) Base RI'!H268</f>
        <v>384496.4</v>
      </c>
      <c r="K268" s="14">
        <f>'A) Base RI'!I268</f>
        <v>0</v>
      </c>
      <c r="L268" s="14">
        <f>'A) Base RI'!J268</f>
        <v>52232.76</v>
      </c>
      <c r="M268" s="14">
        <f>'A) Base RI'!K268</f>
        <v>23919</v>
      </c>
      <c r="N268" s="14">
        <f>'A) Base RI'!Q268</f>
        <v>1947.81</v>
      </c>
      <c r="O268" s="14">
        <f t="shared" si="25"/>
        <v>198659.81818181815</v>
      </c>
      <c r="P268" s="14">
        <f>'A) Base RI'!L268</f>
        <v>218525.8</v>
      </c>
      <c r="Q268" s="44">
        <f>'A) Base RI'!AR268</f>
        <v>1.1000000000000001</v>
      </c>
      <c r="R268" s="4">
        <f t="shared" si="26"/>
        <v>1631337.5081818183</v>
      </c>
      <c r="S268" s="43">
        <f>'A) Base RI'!AM268</f>
        <v>62</v>
      </c>
      <c r="T268" s="4">
        <f t="shared" si="27"/>
        <v>1408758.6900000002</v>
      </c>
      <c r="U268" s="4">
        <f t="shared" si="28"/>
        <v>26311.895293255133</v>
      </c>
      <c r="V268" s="14">
        <f>'A) Base RI'!O268</f>
        <v>-645981.1</v>
      </c>
      <c r="W268" s="14">
        <f>'A) Base RI'!P268</f>
        <v>36630</v>
      </c>
      <c r="X268" s="14">
        <f>'A) Base RI'!R268</f>
        <v>106521.9</v>
      </c>
      <c r="Y268" s="4">
        <f t="shared" si="29"/>
        <v>-502829.19999999995</v>
      </c>
      <c r="Z268" s="14">
        <f>'A) Base RI'!N268</f>
        <v>37241.65</v>
      </c>
      <c r="AA268" s="14">
        <f>'A) Base RI'!S268+'A) Base RI'!T268</f>
        <v>268.75</v>
      </c>
      <c r="AB268" s="14">
        <f>'A) Base RI'!U268</f>
        <v>1950</v>
      </c>
      <c r="AC268" s="14">
        <f>'A) Base RI'!V268</f>
        <v>100</v>
      </c>
      <c r="AD268" s="14">
        <f>'A) Base RI'!W268</f>
        <v>0</v>
      </c>
      <c r="AE268" s="14">
        <f>'A) Base RI'!Y268</f>
        <v>2531.1999999999998</v>
      </c>
      <c r="AF268" s="14">
        <f>'A) Base RI'!Z268</f>
        <v>0</v>
      </c>
      <c r="AG268" s="14">
        <f>'A) Base RI'!AA268</f>
        <v>187419.47</v>
      </c>
      <c r="AH268" s="14">
        <f>'A) Base RI'!AB268</f>
        <v>0</v>
      </c>
      <c r="AI268" s="14">
        <f>'A) Base RI'!AC268</f>
        <v>40069.300000000003</v>
      </c>
      <c r="AJ268" s="14">
        <f>'A) Base RI'!AD268</f>
        <v>0</v>
      </c>
      <c r="AK268" s="14">
        <f>'A) Base RI'!AE268</f>
        <v>0</v>
      </c>
      <c r="AL268" s="14">
        <f>'A) Base RI'!AF268</f>
        <v>0</v>
      </c>
      <c r="AM268" s="14">
        <f>'A) Base RI'!AG268</f>
        <v>0</v>
      </c>
      <c r="AN268" s="14">
        <f>'A) Base RI'!AH268</f>
        <v>58638.5</v>
      </c>
      <c r="AO268" s="14">
        <f>'A) Base RI'!AI268</f>
        <v>0</v>
      </c>
      <c r="AP268" s="14">
        <f>'A) Base RI'!AJ268</f>
        <v>0</v>
      </c>
      <c r="AQ268" s="14">
        <f>'A) Base RI'!AK268</f>
        <v>0</v>
      </c>
      <c r="AR268" s="14">
        <f>'A) Base RI'!AN268</f>
        <v>393</v>
      </c>
    </row>
    <row r="269" spans="1:44" x14ac:dyDescent="0.25">
      <c r="A269" s="12">
        <f>'A) Base RI'!A269</f>
        <v>5852</v>
      </c>
      <c r="B269" s="42" t="str">
        <f>'A) Base RI'!B269</f>
        <v>Bursinel</v>
      </c>
      <c r="C269" s="14">
        <f>'A) Base RI'!C269+'A) Base RI'!D269</f>
        <v>1478799.77</v>
      </c>
      <c r="D269" s="14">
        <f>'A) Base RI'!AO269</f>
        <v>-6579.61</v>
      </c>
      <c r="E269" s="41">
        <f>'A) Base RI'!AP269</f>
        <v>0</v>
      </c>
      <c r="F269" s="41">
        <f>'A) Base RI'!AQ269</f>
        <v>-639.85</v>
      </c>
      <c r="G269" s="4">
        <f t="shared" si="24"/>
        <v>1471580.3099999998</v>
      </c>
      <c r="H269" s="14">
        <f>'A) Base RI'!E269</f>
        <v>0</v>
      </c>
      <c r="I269" s="14">
        <f>'A) Base RI'!F269</f>
        <v>0</v>
      </c>
      <c r="J269" s="14">
        <f>'A) Base RI'!G269+'A) Base RI'!H269</f>
        <v>-290.14999999999986</v>
      </c>
      <c r="K269" s="14">
        <f>'A) Base RI'!I269</f>
        <v>368446.95</v>
      </c>
      <c r="L269" s="14">
        <f>'A) Base RI'!J269</f>
        <v>-6169.53</v>
      </c>
      <c r="M269" s="14">
        <f>'A) Base RI'!K269</f>
        <v>6697.5</v>
      </c>
      <c r="N269" s="14">
        <f>'A) Base RI'!Q269</f>
        <v>0</v>
      </c>
      <c r="O269" s="14">
        <f t="shared" si="25"/>
        <v>168401.6</v>
      </c>
      <c r="P269" s="14">
        <f>'A) Base RI'!L269</f>
        <v>168401.6</v>
      </c>
      <c r="Q269" s="44">
        <f>'A) Base RI'!AR269</f>
        <v>1</v>
      </c>
      <c r="R269" s="4">
        <f t="shared" si="26"/>
        <v>2008666.68</v>
      </c>
      <c r="S269" s="43">
        <f>'A) Base RI'!AM269</f>
        <v>63.5</v>
      </c>
      <c r="T269" s="4">
        <f t="shared" si="27"/>
        <v>1833567.5799999998</v>
      </c>
      <c r="U269" s="4">
        <f t="shared" si="28"/>
        <v>31632.546141732284</v>
      </c>
      <c r="V269" s="14">
        <f>'A) Base RI'!O269</f>
        <v>0</v>
      </c>
      <c r="W269" s="14">
        <f>'A) Base RI'!P269</f>
        <v>113025</v>
      </c>
      <c r="X269" s="14">
        <f>'A) Base RI'!R269</f>
        <v>122989.65</v>
      </c>
      <c r="Y269" s="4">
        <f t="shared" si="29"/>
        <v>236014.65</v>
      </c>
      <c r="Z269" s="14">
        <f>'A) Base RI'!N269</f>
        <v>8016.75</v>
      </c>
      <c r="AA269" s="14">
        <f>'A) Base RI'!S269+'A) Base RI'!T269</f>
        <v>0</v>
      </c>
      <c r="AB269" s="14">
        <f>'A) Base RI'!U269</f>
        <v>3442.5</v>
      </c>
      <c r="AC269" s="14">
        <f>'A) Base RI'!V269</f>
        <v>0</v>
      </c>
      <c r="AD269" s="14">
        <f>'A) Base RI'!W269</f>
        <v>0</v>
      </c>
      <c r="AE269" s="14">
        <f>'A) Base RI'!Y269</f>
        <v>857.75</v>
      </c>
      <c r="AF269" s="14">
        <f>'A) Base RI'!Z269</f>
        <v>0</v>
      </c>
      <c r="AG269" s="14">
        <f>'A) Base RI'!AA269</f>
        <v>41970</v>
      </c>
      <c r="AH269" s="14">
        <f>'A) Base RI'!AB269</f>
        <v>0</v>
      </c>
      <c r="AI269" s="14">
        <f>'A) Base RI'!AC269</f>
        <v>16740</v>
      </c>
      <c r="AJ269" s="14">
        <f>'A) Base RI'!AD269</f>
        <v>0</v>
      </c>
      <c r="AK269" s="14">
        <f>'A) Base RI'!AE269</f>
        <v>0</v>
      </c>
      <c r="AL269" s="14">
        <f>'A) Base RI'!AF269</f>
        <v>0</v>
      </c>
      <c r="AM269" s="14">
        <f>'A) Base RI'!AG269</f>
        <v>8996</v>
      </c>
      <c r="AN269" s="14">
        <f>'A) Base RI'!AH269</f>
        <v>0</v>
      </c>
      <c r="AO269" s="14">
        <f>'A) Base RI'!AI269</f>
        <v>0</v>
      </c>
      <c r="AP269" s="14">
        <f>'A) Base RI'!AJ269</f>
        <v>0</v>
      </c>
      <c r="AQ269" s="14">
        <f>'A) Base RI'!AK269</f>
        <v>0</v>
      </c>
      <c r="AR269" s="14">
        <f>'A) Base RI'!AN269</f>
        <v>477</v>
      </c>
    </row>
    <row r="270" spans="1:44" x14ac:dyDescent="0.25">
      <c r="A270" s="12">
        <f>'A) Base RI'!A270</f>
        <v>5853</v>
      </c>
      <c r="B270" s="42" t="str">
        <f>'A) Base RI'!B270</f>
        <v>Bursins</v>
      </c>
      <c r="C270" s="14">
        <f>'A) Base RI'!C270+'A) Base RI'!D270</f>
        <v>2099339.37</v>
      </c>
      <c r="D270" s="14">
        <f>'A) Base RI'!AO270</f>
        <v>-12000.35</v>
      </c>
      <c r="E270" s="41">
        <f>'A) Base RI'!AP270</f>
        <v>0</v>
      </c>
      <c r="F270" s="41">
        <f>'A) Base RI'!AQ270</f>
        <v>-482.72</v>
      </c>
      <c r="G270" s="4">
        <f t="shared" si="24"/>
        <v>2086856.3</v>
      </c>
      <c r="H270" s="14">
        <f>'A) Base RI'!E270</f>
        <v>0</v>
      </c>
      <c r="I270" s="14">
        <f>'A) Base RI'!F270</f>
        <v>0</v>
      </c>
      <c r="J270" s="14">
        <f>'A) Base RI'!G270+'A) Base RI'!H270</f>
        <v>58477.15</v>
      </c>
      <c r="K270" s="14">
        <f>'A) Base RI'!I270</f>
        <v>251365.89</v>
      </c>
      <c r="L270" s="14">
        <f>'A) Base RI'!J270</f>
        <v>39776.129999999997</v>
      </c>
      <c r="M270" s="14">
        <f>'A) Base RI'!K270</f>
        <v>12798</v>
      </c>
      <c r="N270" s="14">
        <f>'A) Base RI'!Q270</f>
        <v>5136.37</v>
      </c>
      <c r="O270" s="14">
        <f t="shared" si="25"/>
        <v>181020.3</v>
      </c>
      <c r="P270" s="14">
        <f>'A) Base RI'!L270</f>
        <v>181020.3</v>
      </c>
      <c r="Q270" s="44">
        <f>'A) Base RI'!AR270</f>
        <v>1</v>
      </c>
      <c r="R270" s="4">
        <f t="shared" si="26"/>
        <v>2635430.14</v>
      </c>
      <c r="S270" s="43">
        <f>'A) Base RI'!AM270</f>
        <v>71</v>
      </c>
      <c r="T270" s="4">
        <f t="shared" si="27"/>
        <v>2441611.8400000003</v>
      </c>
      <c r="U270" s="4">
        <f t="shared" si="28"/>
        <v>37118.734366197183</v>
      </c>
      <c r="V270" s="14">
        <f>'A) Base RI'!O270</f>
        <v>30887.1</v>
      </c>
      <c r="W270" s="14">
        <f>'A) Base RI'!P270</f>
        <v>144315.75</v>
      </c>
      <c r="X270" s="14">
        <f>'A) Base RI'!R270</f>
        <v>91122.65</v>
      </c>
      <c r="Y270" s="4">
        <f t="shared" si="29"/>
        <v>266325.5</v>
      </c>
      <c r="Z270" s="14">
        <f>'A) Base RI'!N270</f>
        <v>55087.7</v>
      </c>
      <c r="AA270" s="14">
        <f>'A) Base RI'!S270+'A) Base RI'!T270</f>
        <v>75</v>
      </c>
      <c r="AB270" s="14">
        <f>'A) Base RI'!U270</f>
        <v>3800</v>
      </c>
      <c r="AC270" s="14">
        <f>'A) Base RI'!V270</f>
        <v>0</v>
      </c>
      <c r="AD270" s="14">
        <f>'A) Base RI'!W270</f>
        <v>0</v>
      </c>
      <c r="AE270" s="14">
        <f>'A) Base RI'!Y270</f>
        <v>6557.8</v>
      </c>
      <c r="AF270" s="14">
        <f>'A) Base RI'!Z270</f>
        <v>147324.29999999999</v>
      </c>
      <c r="AG270" s="14">
        <f>'A) Base RI'!AA270</f>
        <v>0</v>
      </c>
      <c r="AH270" s="14">
        <f>'A) Base RI'!AB270</f>
        <v>0</v>
      </c>
      <c r="AI270" s="14">
        <f>'A) Base RI'!AC270</f>
        <v>42911.5</v>
      </c>
      <c r="AJ270" s="14">
        <f>'A) Base RI'!AD270</f>
        <v>0</v>
      </c>
      <c r="AK270" s="14">
        <f>'A) Base RI'!AE270</f>
        <v>0</v>
      </c>
      <c r="AL270" s="14">
        <f>'A) Base RI'!AF270</f>
        <v>0</v>
      </c>
      <c r="AM270" s="14">
        <f>'A) Base RI'!AG270</f>
        <v>6133.9</v>
      </c>
      <c r="AN270" s="14">
        <f>'A) Base RI'!AH270</f>
        <v>0</v>
      </c>
      <c r="AO270" s="14">
        <f>'A) Base RI'!AI270</f>
        <v>0</v>
      </c>
      <c r="AP270" s="14">
        <f>'A) Base RI'!AJ270</f>
        <v>0</v>
      </c>
      <c r="AQ270" s="14">
        <f>'A) Base RI'!AK270</f>
        <v>0</v>
      </c>
      <c r="AR270" s="14">
        <f>'A) Base RI'!AN270</f>
        <v>772</v>
      </c>
    </row>
    <row r="271" spans="1:44" x14ac:dyDescent="0.25">
      <c r="A271" s="12">
        <f>'A) Base RI'!A271</f>
        <v>5854</v>
      </c>
      <c r="B271" s="42" t="str">
        <f>'A) Base RI'!B271</f>
        <v>Burtigny</v>
      </c>
      <c r="C271" s="14">
        <f>'A) Base RI'!C271+'A) Base RI'!D271</f>
        <v>736635.94000000006</v>
      </c>
      <c r="D271" s="14">
        <f>'A) Base RI'!AO271</f>
        <v>-8356.2199999999993</v>
      </c>
      <c r="E271" s="41">
        <f>'A) Base RI'!AP271</f>
        <v>0</v>
      </c>
      <c r="F271" s="41">
        <f>'A) Base RI'!AQ271</f>
        <v>-109.34</v>
      </c>
      <c r="G271" s="4">
        <f t="shared" si="24"/>
        <v>728170.38000000012</v>
      </c>
      <c r="H271" s="14">
        <f>'A) Base RI'!E271</f>
        <v>0</v>
      </c>
      <c r="I271" s="14">
        <f>'A) Base RI'!F271</f>
        <v>0</v>
      </c>
      <c r="J271" s="14">
        <f>'A) Base RI'!G271+'A) Base RI'!H271</f>
        <v>19832.25</v>
      </c>
      <c r="K271" s="14">
        <f>'A) Base RI'!I271</f>
        <v>0</v>
      </c>
      <c r="L271" s="14">
        <f>'A) Base RI'!J271</f>
        <v>9172.26</v>
      </c>
      <c r="M271" s="14">
        <f>'A) Base RI'!K271</f>
        <v>1274</v>
      </c>
      <c r="N271" s="14">
        <f>'A) Base RI'!Q271</f>
        <v>0</v>
      </c>
      <c r="O271" s="14">
        <f t="shared" si="25"/>
        <v>61084.233333333337</v>
      </c>
      <c r="P271" s="14">
        <f>'A) Base RI'!L271</f>
        <v>91626.35</v>
      </c>
      <c r="Q271" s="44">
        <f>'A) Base RI'!AR271</f>
        <v>1.5</v>
      </c>
      <c r="R271" s="4">
        <f t="shared" si="26"/>
        <v>819533.12333333353</v>
      </c>
      <c r="S271" s="43">
        <f>'A) Base RI'!AM271</f>
        <v>80</v>
      </c>
      <c r="T271" s="4">
        <f t="shared" si="27"/>
        <v>757174.89000000013</v>
      </c>
      <c r="U271" s="4">
        <f t="shared" si="28"/>
        <v>10244.164041666669</v>
      </c>
      <c r="V271" s="14">
        <f>'A) Base RI'!O271</f>
        <v>0</v>
      </c>
      <c r="W271" s="14">
        <f>'A) Base RI'!P271</f>
        <v>7705.75</v>
      </c>
      <c r="X271" s="14">
        <f>'A) Base RI'!R271</f>
        <v>0</v>
      </c>
      <c r="Y271" s="4">
        <f t="shared" si="29"/>
        <v>7705.75</v>
      </c>
      <c r="Z271" s="14">
        <f>'A) Base RI'!N271</f>
        <v>24172.9</v>
      </c>
      <c r="AA271" s="14">
        <f>'A) Base RI'!S271+'A) Base RI'!T271</f>
        <v>0</v>
      </c>
      <c r="AB271" s="14">
        <f>'A) Base RI'!U271</f>
        <v>950</v>
      </c>
      <c r="AC271" s="14">
        <f>'A) Base RI'!V271</f>
        <v>0</v>
      </c>
      <c r="AD271" s="14">
        <f>'A) Base RI'!W271</f>
        <v>0</v>
      </c>
      <c r="AE271" s="14">
        <f>'A) Base RI'!Y271</f>
        <v>973</v>
      </c>
      <c r="AF271" s="14">
        <f>'A) Base RI'!Z271</f>
        <v>0</v>
      </c>
      <c r="AG271" s="14">
        <f>'A) Base RI'!AA271</f>
        <v>29080</v>
      </c>
      <c r="AH271" s="14">
        <f>'A) Base RI'!AB271</f>
        <v>0</v>
      </c>
      <c r="AI271" s="14">
        <f>'A) Base RI'!AC271</f>
        <v>33172.400000000001</v>
      </c>
      <c r="AJ271" s="14">
        <f>'A) Base RI'!AD271</f>
        <v>30</v>
      </c>
      <c r="AK271" s="14">
        <f>'A) Base RI'!AE271</f>
        <v>0</v>
      </c>
      <c r="AL271" s="14">
        <f>'A) Base RI'!AF271</f>
        <v>0</v>
      </c>
      <c r="AM271" s="14">
        <f>'A) Base RI'!AG271</f>
        <v>654.9</v>
      </c>
      <c r="AN271" s="14">
        <f>'A) Base RI'!AH271</f>
        <v>7675.65</v>
      </c>
      <c r="AO271" s="14">
        <f>'A) Base RI'!AI271</f>
        <v>0</v>
      </c>
      <c r="AP271" s="14">
        <f>'A) Base RI'!AJ271</f>
        <v>0</v>
      </c>
      <c r="AQ271" s="14">
        <f>'A) Base RI'!AK271</f>
        <v>0</v>
      </c>
      <c r="AR271" s="14">
        <f>'A) Base RI'!AN271</f>
        <v>352</v>
      </c>
    </row>
    <row r="272" spans="1:44" x14ac:dyDescent="0.25">
      <c r="A272" s="12">
        <f>'A) Base RI'!A272</f>
        <v>5855</v>
      </c>
      <c r="B272" s="42" t="str">
        <f>'A) Base RI'!B272</f>
        <v>Dully</v>
      </c>
      <c r="C272" s="14">
        <f>'A) Base RI'!C272+'A) Base RI'!D272</f>
        <v>2193023.61</v>
      </c>
      <c r="D272" s="14">
        <f>'A) Base RI'!AO272</f>
        <v>-7712.89</v>
      </c>
      <c r="E272" s="41">
        <f>'A) Base RI'!AP272</f>
        <v>0</v>
      </c>
      <c r="F272" s="41">
        <f>'A) Base RI'!AQ272</f>
        <v>-2142.0500000000002</v>
      </c>
      <c r="G272" s="4">
        <f t="shared" si="24"/>
        <v>2183168.67</v>
      </c>
      <c r="H272" s="14">
        <f>'A) Base RI'!E272</f>
        <v>0</v>
      </c>
      <c r="I272" s="14">
        <f>'A) Base RI'!F272</f>
        <v>0</v>
      </c>
      <c r="J272" s="14">
        <f>'A) Base RI'!G272+'A) Base RI'!H272</f>
        <v>21866.15</v>
      </c>
      <c r="K272" s="14">
        <f>'A) Base RI'!I272</f>
        <v>618638.89</v>
      </c>
      <c r="L272" s="14">
        <f>'A) Base RI'!J272</f>
        <v>77095.53</v>
      </c>
      <c r="M272" s="14">
        <f>'A) Base RI'!K272</f>
        <v>2549</v>
      </c>
      <c r="N272" s="14">
        <f>'A) Base RI'!Q272</f>
        <v>0</v>
      </c>
      <c r="O272" s="14">
        <f t="shared" si="25"/>
        <v>298987.40000000002</v>
      </c>
      <c r="P272" s="14">
        <f>'A) Base RI'!L272</f>
        <v>149493.70000000001</v>
      </c>
      <c r="Q272" s="44">
        <f>'A) Base RI'!AR272</f>
        <v>0.5</v>
      </c>
      <c r="R272" s="4">
        <f t="shared" si="26"/>
        <v>3202305.6399999997</v>
      </c>
      <c r="S272" s="43">
        <f>'A) Base RI'!AM272</f>
        <v>49</v>
      </c>
      <c r="T272" s="4">
        <f t="shared" si="27"/>
        <v>2900769.2399999998</v>
      </c>
      <c r="U272" s="4">
        <f t="shared" si="28"/>
        <v>65353.176326530607</v>
      </c>
      <c r="V272" s="14">
        <f>'A) Base RI'!O272</f>
        <v>515090</v>
      </c>
      <c r="W272" s="14">
        <f>'A) Base RI'!P272</f>
        <v>265586.90000000002</v>
      </c>
      <c r="X272" s="14">
        <f>'A) Base RI'!R272</f>
        <v>133343.04999999999</v>
      </c>
      <c r="Y272" s="4">
        <f t="shared" si="29"/>
        <v>914019.95</v>
      </c>
      <c r="Z272" s="14">
        <f>'A) Base RI'!N272</f>
        <v>2150.65</v>
      </c>
      <c r="AA272" s="14">
        <f>'A) Base RI'!S272+'A) Base RI'!T272</f>
        <v>93.75</v>
      </c>
      <c r="AB272" s="14">
        <f>'A) Base RI'!U272</f>
        <v>2280</v>
      </c>
      <c r="AC272" s="14">
        <f>'A) Base RI'!V272</f>
        <v>0</v>
      </c>
      <c r="AD272" s="14">
        <f>'A) Base RI'!W272</f>
        <v>0</v>
      </c>
      <c r="AE272" s="14">
        <f>'A) Base RI'!Y272</f>
        <v>57128.45</v>
      </c>
      <c r="AF272" s="14">
        <f>'A) Base RI'!Z272</f>
        <v>0</v>
      </c>
      <c r="AG272" s="14">
        <f>'A) Base RI'!AA272</f>
        <v>128233.3</v>
      </c>
      <c r="AH272" s="14">
        <f>'A) Base RI'!AB272</f>
        <v>0</v>
      </c>
      <c r="AI272" s="14">
        <f>'A) Base RI'!AC272</f>
        <v>20075.849999999999</v>
      </c>
      <c r="AJ272" s="14">
        <f>'A) Base RI'!AD272</f>
        <v>0</v>
      </c>
      <c r="AK272" s="14">
        <f>'A) Base RI'!AE272</f>
        <v>0</v>
      </c>
      <c r="AL272" s="14">
        <f>'A) Base RI'!AF272</f>
        <v>0</v>
      </c>
      <c r="AM272" s="14">
        <f>'A) Base RI'!AG272</f>
        <v>11766.1</v>
      </c>
      <c r="AN272" s="14">
        <f>'A) Base RI'!AH272</f>
        <v>0</v>
      </c>
      <c r="AO272" s="14">
        <f>'A) Base RI'!AI272</f>
        <v>0</v>
      </c>
      <c r="AP272" s="14">
        <f>'A) Base RI'!AJ272</f>
        <v>0</v>
      </c>
      <c r="AQ272" s="14">
        <f>'A) Base RI'!AK272</f>
        <v>0</v>
      </c>
      <c r="AR272" s="14">
        <f>'A) Base RI'!AN272</f>
        <v>636</v>
      </c>
    </row>
    <row r="273" spans="1:44" x14ac:dyDescent="0.25">
      <c r="A273" s="12">
        <f>'A) Base RI'!A273</f>
        <v>5856</v>
      </c>
      <c r="B273" s="42" t="str">
        <f>'A) Base RI'!B273</f>
        <v>Essertines-sur-Rolle</v>
      </c>
      <c r="C273" s="14">
        <f>'A) Base RI'!C273+'A) Base RI'!D273</f>
        <v>1532149.94</v>
      </c>
      <c r="D273" s="14">
        <f>'A) Base RI'!AO273</f>
        <v>-6983.38</v>
      </c>
      <c r="E273" s="41">
        <f>'A) Base RI'!AP273</f>
        <v>0</v>
      </c>
      <c r="F273" s="41">
        <f>'A) Base RI'!AQ273</f>
        <v>-311.41000000000003</v>
      </c>
      <c r="G273" s="4">
        <f t="shared" si="24"/>
        <v>1524855.1500000001</v>
      </c>
      <c r="H273" s="14">
        <f>'A) Base RI'!E273</f>
        <v>0</v>
      </c>
      <c r="I273" s="14">
        <f>'A) Base RI'!F273</f>
        <v>0</v>
      </c>
      <c r="J273" s="14">
        <f>'A) Base RI'!G273+'A) Base RI'!H273</f>
        <v>1114.8</v>
      </c>
      <c r="K273" s="14">
        <f>'A) Base RI'!I273</f>
        <v>180427.05</v>
      </c>
      <c r="L273" s="14">
        <f>'A) Base RI'!J273</f>
        <v>77898.73</v>
      </c>
      <c r="M273" s="14">
        <f>'A) Base RI'!K273</f>
        <v>1786</v>
      </c>
      <c r="N273" s="14">
        <f>'A) Base RI'!Q273</f>
        <v>2285.09</v>
      </c>
      <c r="O273" s="14">
        <f t="shared" si="25"/>
        <v>167738.61538461538</v>
      </c>
      <c r="P273" s="14">
        <f>'A) Base RI'!L273</f>
        <v>218060.2</v>
      </c>
      <c r="Q273" s="44">
        <f>'A) Base RI'!AR273</f>
        <v>1.3</v>
      </c>
      <c r="R273" s="4">
        <f t="shared" si="26"/>
        <v>1956105.4353846158</v>
      </c>
      <c r="S273" s="43">
        <f>'A) Base RI'!AM273</f>
        <v>68</v>
      </c>
      <c r="T273" s="4">
        <f t="shared" si="27"/>
        <v>1786580.8200000003</v>
      </c>
      <c r="U273" s="4">
        <f t="shared" si="28"/>
        <v>28766.256402714938</v>
      </c>
      <c r="V273" s="14">
        <f>'A) Base RI'!O273</f>
        <v>4594.8999999999996</v>
      </c>
      <c r="W273" s="14">
        <f>'A) Base RI'!P273</f>
        <v>7396.65</v>
      </c>
      <c r="X273" s="14">
        <f>'A) Base RI'!R273</f>
        <v>25890.05</v>
      </c>
      <c r="Y273" s="4">
        <f t="shared" si="29"/>
        <v>37881.599999999999</v>
      </c>
      <c r="Z273" s="14">
        <f>'A) Base RI'!N273</f>
        <v>0</v>
      </c>
      <c r="AA273" s="14">
        <f>'A) Base RI'!S273+'A) Base RI'!T273</f>
        <v>0</v>
      </c>
      <c r="AB273" s="14">
        <f>'A) Base RI'!U273</f>
        <v>2775</v>
      </c>
      <c r="AC273" s="14">
        <f>'A) Base RI'!V273</f>
        <v>0</v>
      </c>
      <c r="AD273" s="14">
        <f>'A) Base RI'!W273</f>
        <v>0</v>
      </c>
      <c r="AE273" s="14">
        <f>'A) Base RI'!Y273</f>
        <v>1150</v>
      </c>
      <c r="AF273" s="14">
        <f>'A) Base RI'!Z273</f>
        <v>0</v>
      </c>
      <c r="AG273" s="14">
        <f>'A) Base RI'!AA273</f>
        <v>132831.1</v>
      </c>
      <c r="AH273" s="14">
        <f>'A) Base RI'!AB273</f>
        <v>0</v>
      </c>
      <c r="AI273" s="14">
        <f>'A) Base RI'!AC273</f>
        <v>63565.9</v>
      </c>
      <c r="AJ273" s="14">
        <f>'A) Base RI'!AD273</f>
        <v>78.099999999999994</v>
      </c>
      <c r="AK273" s="14">
        <f>'A) Base RI'!AE273</f>
        <v>0</v>
      </c>
      <c r="AL273" s="14">
        <f>'A) Base RI'!AF273</f>
        <v>0</v>
      </c>
      <c r="AM273" s="14">
        <f>'A) Base RI'!AG273</f>
        <v>0</v>
      </c>
      <c r="AN273" s="14">
        <f>'A) Base RI'!AH273</f>
        <v>0</v>
      </c>
      <c r="AO273" s="14">
        <f>'A) Base RI'!AI273</f>
        <v>0</v>
      </c>
      <c r="AP273" s="14">
        <f>'A) Base RI'!AJ273</f>
        <v>0</v>
      </c>
      <c r="AQ273" s="14">
        <f>'A) Base RI'!AK273</f>
        <v>0</v>
      </c>
      <c r="AR273" s="14">
        <f>'A) Base RI'!AN273</f>
        <v>700</v>
      </c>
    </row>
    <row r="274" spans="1:44" x14ac:dyDescent="0.25">
      <c r="A274" s="12">
        <f>'A) Base RI'!A274</f>
        <v>5857</v>
      </c>
      <c r="B274" s="42" t="str">
        <f>'A) Base RI'!B274</f>
        <v>Gilly</v>
      </c>
      <c r="C274" s="14">
        <f>'A) Base RI'!C274+'A) Base RI'!D274</f>
        <v>3393221.36</v>
      </c>
      <c r="D274" s="14">
        <f>'A) Base RI'!AO274</f>
        <v>-100860.13</v>
      </c>
      <c r="E274" s="41">
        <f>'A) Base RI'!AP274</f>
        <v>0</v>
      </c>
      <c r="F274" s="41">
        <f>'A) Base RI'!AQ274</f>
        <v>-799.71</v>
      </c>
      <c r="G274" s="4">
        <f t="shared" si="24"/>
        <v>3291561.52</v>
      </c>
      <c r="H274" s="14">
        <f>'A) Base RI'!E274</f>
        <v>0</v>
      </c>
      <c r="I274" s="14">
        <f>'A) Base RI'!F274</f>
        <v>0</v>
      </c>
      <c r="J274" s="14">
        <f>'A) Base RI'!G274+'A) Base RI'!H274</f>
        <v>48059.15</v>
      </c>
      <c r="K274" s="14">
        <f>'A) Base RI'!I274</f>
        <v>10166.549999999999</v>
      </c>
      <c r="L274" s="14">
        <f>'A) Base RI'!J274</f>
        <v>7886.67</v>
      </c>
      <c r="M274" s="14">
        <f>'A) Base RI'!K274</f>
        <v>5690.5</v>
      </c>
      <c r="N274" s="14">
        <f>'A) Base RI'!Q274</f>
        <v>0</v>
      </c>
      <c r="O274" s="14">
        <f t="shared" si="25"/>
        <v>312500.25</v>
      </c>
      <c r="P274" s="14">
        <f>'A) Base RI'!L274</f>
        <v>312500.25</v>
      </c>
      <c r="Q274" s="44">
        <f>'A) Base RI'!AR274</f>
        <v>1</v>
      </c>
      <c r="R274" s="4">
        <f t="shared" si="26"/>
        <v>3675864.6399999997</v>
      </c>
      <c r="S274" s="43">
        <f>'A) Base RI'!AM274</f>
        <v>66</v>
      </c>
      <c r="T274" s="4">
        <f t="shared" si="27"/>
        <v>3357673.8899999997</v>
      </c>
      <c r="U274" s="4">
        <f t="shared" si="28"/>
        <v>55694.918787878785</v>
      </c>
      <c r="V274" s="14">
        <f>'A) Base RI'!O274</f>
        <v>123134.3</v>
      </c>
      <c r="W274" s="14">
        <f>'A) Base RI'!P274</f>
        <v>276375.75</v>
      </c>
      <c r="X274" s="14">
        <f>'A) Base RI'!R274</f>
        <v>264007.65000000002</v>
      </c>
      <c r="Y274" s="4">
        <f t="shared" si="29"/>
        <v>663517.69999999995</v>
      </c>
      <c r="Z274" s="14">
        <f>'A) Base RI'!N274</f>
        <v>62919.5</v>
      </c>
      <c r="AA274" s="14">
        <f>'A) Base RI'!S274+'A) Base RI'!T274</f>
        <v>62.5</v>
      </c>
      <c r="AB274" s="14">
        <f>'A) Base RI'!U274</f>
        <v>1950</v>
      </c>
      <c r="AC274" s="14">
        <f>'A) Base RI'!V274</f>
        <v>0</v>
      </c>
      <c r="AD274" s="14">
        <f>'A) Base RI'!W274</f>
        <v>0</v>
      </c>
      <c r="AE274" s="14">
        <f>'A) Base RI'!Y274</f>
        <v>19492.5</v>
      </c>
      <c r="AF274" s="14">
        <f>'A) Base RI'!Z274</f>
        <v>0</v>
      </c>
      <c r="AG274" s="14">
        <f>'A) Base RI'!AA274</f>
        <v>80189.05</v>
      </c>
      <c r="AH274" s="14">
        <f>'A) Base RI'!AB274</f>
        <v>0</v>
      </c>
      <c r="AI274" s="14">
        <f>'A) Base RI'!AC274</f>
        <v>72010.75</v>
      </c>
      <c r="AJ274" s="14">
        <f>'A) Base RI'!AD274</f>
        <v>0</v>
      </c>
      <c r="AK274" s="14">
        <f>'A) Base RI'!AE274</f>
        <v>0</v>
      </c>
      <c r="AL274" s="14">
        <f>'A) Base RI'!AF274</f>
        <v>0</v>
      </c>
      <c r="AM274" s="14">
        <f>'A) Base RI'!AG274</f>
        <v>1510.1</v>
      </c>
      <c r="AN274" s="14">
        <f>'A) Base RI'!AH274</f>
        <v>27363.55</v>
      </c>
      <c r="AO274" s="14">
        <f>'A) Base RI'!AI274</f>
        <v>0</v>
      </c>
      <c r="AP274" s="14">
        <f>'A) Base RI'!AJ274</f>
        <v>0</v>
      </c>
      <c r="AQ274" s="14">
        <f>'A) Base RI'!AK274</f>
        <v>0</v>
      </c>
      <c r="AR274" s="14">
        <f>'A) Base RI'!AN274</f>
        <v>1131</v>
      </c>
    </row>
    <row r="275" spans="1:44" x14ac:dyDescent="0.25">
      <c r="A275" s="12">
        <f>'A) Base RI'!A275</f>
        <v>5858</v>
      </c>
      <c r="B275" s="42" t="str">
        <f>'A) Base RI'!B275</f>
        <v>Luins</v>
      </c>
      <c r="C275" s="14">
        <f>'A) Base RI'!C275+'A) Base RI'!D275</f>
        <v>1705526.7</v>
      </c>
      <c r="D275" s="14">
        <f>'A) Base RI'!AO275</f>
        <v>-32489.95</v>
      </c>
      <c r="E275" s="41">
        <f>'A) Base RI'!AP275</f>
        <v>0</v>
      </c>
      <c r="F275" s="41">
        <f>'A) Base RI'!AQ275</f>
        <v>-300.37</v>
      </c>
      <c r="G275" s="4">
        <f t="shared" si="24"/>
        <v>1672736.38</v>
      </c>
      <c r="H275" s="14">
        <f>'A) Base RI'!E275</f>
        <v>0</v>
      </c>
      <c r="I275" s="14">
        <f>'A) Base RI'!F275</f>
        <v>0</v>
      </c>
      <c r="J275" s="14">
        <f>'A) Base RI'!G275+'A) Base RI'!H275</f>
        <v>12908.3</v>
      </c>
      <c r="K275" s="14">
        <f>'A) Base RI'!I275</f>
        <v>81744.3</v>
      </c>
      <c r="L275" s="14">
        <f>'A) Base RI'!J275</f>
        <v>103421.04</v>
      </c>
      <c r="M275" s="14">
        <f>'A) Base RI'!K275</f>
        <v>1042.2</v>
      </c>
      <c r="N275" s="14">
        <f>'A) Base RI'!Q275</f>
        <v>4392.01</v>
      </c>
      <c r="O275" s="14">
        <f t="shared" si="25"/>
        <v>139430.06666666668</v>
      </c>
      <c r="P275" s="14">
        <f>'A) Base RI'!L275</f>
        <v>209145.1</v>
      </c>
      <c r="Q275" s="44">
        <f>'A) Base RI'!AR275</f>
        <v>1.5</v>
      </c>
      <c r="R275" s="4">
        <f t="shared" si="26"/>
        <v>2015674.2966666666</v>
      </c>
      <c r="S275" s="43">
        <f>'A) Base RI'!AM275</f>
        <v>60</v>
      </c>
      <c r="T275" s="4">
        <f t="shared" si="27"/>
        <v>1875202.03</v>
      </c>
      <c r="U275" s="4">
        <f t="shared" si="28"/>
        <v>33594.571611111111</v>
      </c>
      <c r="V275" s="14">
        <f>'A) Base RI'!O275</f>
        <v>1393.8</v>
      </c>
      <c r="W275" s="14">
        <f>'A) Base RI'!P275</f>
        <v>26820.3</v>
      </c>
      <c r="X275" s="14">
        <f>'A) Base RI'!R275</f>
        <v>24745.75</v>
      </c>
      <c r="Y275" s="4">
        <f t="shared" si="29"/>
        <v>52959.85</v>
      </c>
      <c r="Z275" s="14">
        <f>'A) Base RI'!N275</f>
        <v>11284.05</v>
      </c>
      <c r="AA275" s="14">
        <f>'A) Base RI'!S275+'A) Base RI'!T275</f>
        <v>0</v>
      </c>
      <c r="AB275" s="14">
        <f>'A) Base RI'!U275</f>
        <v>1950</v>
      </c>
      <c r="AC275" s="14">
        <f>'A) Base RI'!V275</f>
        <v>0</v>
      </c>
      <c r="AD275" s="14">
        <f>'A) Base RI'!W275</f>
        <v>0</v>
      </c>
      <c r="AE275" s="14">
        <f>'A) Base RI'!Y275</f>
        <v>41580</v>
      </c>
      <c r="AF275" s="14">
        <f>'A) Base RI'!Z275</f>
        <v>0</v>
      </c>
      <c r="AG275" s="14">
        <f>'A) Base RI'!AA275</f>
        <v>24949.7</v>
      </c>
      <c r="AH275" s="14">
        <f>'A) Base RI'!AB275</f>
        <v>0</v>
      </c>
      <c r="AI275" s="14">
        <f>'A) Base RI'!AC275</f>
        <v>32570.799999999999</v>
      </c>
      <c r="AJ275" s="14">
        <f>'A) Base RI'!AD275</f>
        <v>0</v>
      </c>
      <c r="AK275" s="14">
        <f>'A) Base RI'!AE275</f>
        <v>0</v>
      </c>
      <c r="AL275" s="14">
        <f>'A) Base RI'!AF275</f>
        <v>0</v>
      </c>
      <c r="AM275" s="14">
        <f>'A) Base RI'!AG275</f>
        <v>27.3</v>
      </c>
      <c r="AN275" s="14">
        <f>'A) Base RI'!AH275</f>
        <v>19309.3</v>
      </c>
      <c r="AO275" s="14">
        <f>'A) Base RI'!AI275</f>
        <v>0</v>
      </c>
      <c r="AP275" s="14">
        <f>'A) Base RI'!AJ275</f>
        <v>0</v>
      </c>
      <c r="AQ275" s="14">
        <f>'A) Base RI'!AK275</f>
        <v>0</v>
      </c>
      <c r="AR275" s="14">
        <f>'A) Base RI'!AN275</f>
        <v>633</v>
      </c>
    </row>
    <row r="276" spans="1:44" x14ac:dyDescent="0.25">
      <c r="A276" s="12">
        <f>'A) Base RI'!A276</f>
        <v>5859</v>
      </c>
      <c r="B276" s="42" t="str">
        <f>'A) Base RI'!B276</f>
        <v>Mont-sur-Rolle</v>
      </c>
      <c r="C276" s="14">
        <f>'A) Base RI'!C276+'A) Base RI'!D276</f>
        <v>8098091.2799999993</v>
      </c>
      <c r="D276" s="14">
        <f>'A) Base RI'!AO276</f>
        <v>-62389.56</v>
      </c>
      <c r="E276" s="41">
        <f>'A) Base RI'!AP276</f>
        <v>0</v>
      </c>
      <c r="F276" s="41">
        <f>'A) Base RI'!AQ276</f>
        <v>-5633.05</v>
      </c>
      <c r="G276" s="4">
        <f t="shared" si="24"/>
        <v>8030068.6699999999</v>
      </c>
      <c r="H276" s="14">
        <f>'A) Base RI'!E276</f>
        <v>0</v>
      </c>
      <c r="I276" s="14">
        <f>'A) Base RI'!F276</f>
        <v>0</v>
      </c>
      <c r="J276" s="14">
        <f>'A) Base RI'!G276+'A) Base RI'!H276</f>
        <v>129255.80000000002</v>
      </c>
      <c r="K276" s="14">
        <f>'A) Base RI'!I276</f>
        <v>442766.5</v>
      </c>
      <c r="L276" s="14">
        <f>'A) Base RI'!J276</f>
        <v>91804.29</v>
      </c>
      <c r="M276" s="14">
        <f>'A) Base RI'!K276</f>
        <v>19193.7</v>
      </c>
      <c r="N276" s="14">
        <f>'A) Base RI'!Q276</f>
        <v>359.66</v>
      </c>
      <c r="O276" s="14">
        <f t="shared" si="25"/>
        <v>587089.55000000005</v>
      </c>
      <c r="P276" s="14">
        <f>'A) Base RI'!L276</f>
        <v>587089.55000000005</v>
      </c>
      <c r="Q276" s="44">
        <f>'A) Base RI'!AR276</f>
        <v>1</v>
      </c>
      <c r="R276" s="4">
        <f t="shared" si="26"/>
        <v>9300538.1699999981</v>
      </c>
      <c r="S276" s="43">
        <f>'A) Base RI'!AM276</f>
        <v>63</v>
      </c>
      <c r="T276" s="4">
        <f t="shared" si="27"/>
        <v>8694254.9199999981</v>
      </c>
      <c r="U276" s="4">
        <f t="shared" si="28"/>
        <v>147627.58999999997</v>
      </c>
      <c r="V276" s="14">
        <f>'A) Base RI'!O276</f>
        <v>35430.9</v>
      </c>
      <c r="W276" s="14">
        <f>'A) Base RI'!P276</f>
        <v>286768.05</v>
      </c>
      <c r="X276" s="14">
        <f>'A) Base RI'!R276</f>
        <v>213633.05</v>
      </c>
      <c r="Y276" s="4">
        <f t="shared" si="29"/>
        <v>535832</v>
      </c>
      <c r="Z276" s="14">
        <f>'A) Base RI'!N276</f>
        <v>60557.85</v>
      </c>
      <c r="AA276" s="14">
        <f>'A) Base RI'!S276+'A) Base RI'!T276</f>
        <v>0</v>
      </c>
      <c r="AB276" s="14">
        <f>'A) Base RI'!U276</f>
        <v>13250</v>
      </c>
      <c r="AC276" s="14">
        <f>'A) Base RI'!V276</f>
        <v>0</v>
      </c>
      <c r="AD276" s="14">
        <f>'A) Base RI'!W276</f>
        <v>0</v>
      </c>
      <c r="AE276" s="14">
        <f>'A) Base RI'!Y276</f>
        <v>18536.2</v>
      </c>
      <c r="AF276" s="14">
        <f>'A) Base RI'!Z276</f>
        <v>0</v>
      </c>
      <c r="AG276" s="14">
        <f>'A) Base RI'!AA276</f>
        <v>376588.1</v>
      </c>
      <c r="AH276" s="14">
        <f>'A) Base RI'!AB276</f>
        <v>0</v>
      </c>
      <c r="AI276" s="14">
        <f>'A) Base RI'!AC276</f>
        <v>165769.9</v>
      </c>
      <c r="AJ276" s="14">
        <f>'A) Base RI'!AD276</f>
        <v>0</v>
      </c>
      <c r="AK276" s="14">
        <f>'A) Base RI'!AE276</f>
        <v>0</v>
      </c>
      <c r="AL276" s="14">
        <f>'A) Base RI'!AF276</f>
        <v>0</v>
      </c>
      <c r="AM276" s="14">
        <f>'A) Base RI'!AG276</f>
        <v>0</v>
      </c>
      <c r="AN276" s="14">
        <f>'A) Base RI'!AH276</f>
        <v>0</v>
      </c>
      <c r="AO276" s="14">
        <f>'A) Base RI'!AI276</f>
        <v>0</v>
      </c>
      <c r="AP276" s="14">
        <f>'A) Base RI'!AJ276</f>
        <v>0</v>
      </c>
      <c r="AQ276" s="14">
        <f>'A) Base RI'!AK276</f>
        <v>0</v>
      </c>
      <c r="AR276" s="14">
        <f>'A) Base RI'!AN276</f>
        <v>2594</v>
      </c>
    </row>
    <row r="277" spans="1:44" x14ac:dyDescent="0.25">
      <c r="A277" s="12">
        <f>'A) Base RI'!A277</f>
        <v>5860</v>
      </c>
      <c r="B277" s="42" t="str">
        <f>'A) Base RI'!B277</f>
        <v>Perroy</v>
      </c>
      <c r="C277" s="14">
        <f>'A) Base RI'!C277+'A) Base RI'!D277</f>
        <v>4423572.7</v>
      </c>
      <c r="D277" s="14">
        <f>'A) Base RI'!AO277</f>
        <v>-94529.2</v>
      </c>
      <c r="E277" s="41">
        <f>'A) Base RI'!AP277</f>
        <v>0</v>
      </c>
      <c r="F277" s="41">
        <f>'A) Base RI'!AQ277</f>
        <v>-4762.24</v>
      </c>
      <c r="G277" s="4">
        <f t="shared" si="24"/>
        <v>4324281.26</v>
      </c>
      <c r="H277" s="14">
        <f>'A) Base RI'!E277</f>
        <v>0</v>
      </c>
      <c r="I277" s="14">
        <f>'A) Base RI'!F277</f>
        <v>0</v>
      </c>
      <c r="J277" s="14">
        <f>'A) Base RI'!G277+'A) Base RI'!H277</f>
        <v>120639.2</v>
      </c>
      <c r="K277" s="14">
        <f>'A) Base RI'!I277</f>
        <v>282874.5</v>
      </c>
      <c r="L277" s="14">
        <f>'A) Base RI'!J277</f>
        <v>135430.39000000001</v>
      </c>
      <c r="M277" s="14">
        <f>'A) Base RI'!K277</f>
        <v>-19501</v>
      </c>
      <c r="N277" s="14">
        <f>'A) Base RI'!Q277</f>
        <v>16479.36</v>
      </c>
      <c r="O277" s="14">
        <f t="shared" si="25"/>
        <v>434300.19230769231</v>
      </c>
      <c r="P277" s="14">
        <f>'A) Base RI'!L277</f>
        <v>564590.25</v>
      </c>
      <c r="Q277" s="44">
        <f>'A) Base RI'!AR277</f>
        <v>1.3</v>
      </c>
      <c r="R277" s="4">
        <f t="shared" si="26"/>
        <v>5294503.902307692</v>
      </c>
      <c r="S277" s="43">
        <f>'A) Base RI'!AM277</f>
        <v>60</v>
      </c>
      <c r="T277" s="4">
        <f t="shared" si="27"/>
        <v>4879704.71</v>
      </c>
      <c r="U277" s="4">
        <f t="shared" si="28"/>
        <v>88241.731705128201</v>
      </c>
      <c r="V277" s="14">
        <f>'A) Base RI'!O277</f>
        <v>720.1</v>
      </c>
      <c r="W277" s="14">
        <f>'A) Base RI'!P277</f>
        <v>387454.9</v>
      </c>
      <c r="X277" s="14">
        <f>'A) Base RI'!R277</f>
        <v>359146.65</v>
      </c>
      <c r="Y277" s="4">
        <f t="shared" si="29"/>
        <v>747321.65</v>
      </c>
      <c r="Z277" s="14">
        <f>'A) Base RI'!N277</f>
        <v>18250.349999999999</v>
      </c>
      <c r="AA277" s="14">
        <f>'A) Base RI'!S277+'A) Base RI'!T277</f>
        <v>0</v>
      </c>
      <c r="AB277" s="14">
        <f>'A) Base RI'!U277</f>
        <v>7320</v>
      </c>
      <c r="AC277" s="14">
        <f>'A) Base RI'!V277</f>
        <v>0</v>
      </c>
      <c r="AD277" s="14">
        <f>'A) Base RI'!W277</f>
        <v>0</v>
      </c>
      <c r="AE277" s="14">
        <f>'A) Base RI'!Y277</f>
        <v>79990.75</v>
      </c>
      <c r="AF277" s="14">
        <f>'A) Base RI'!Z277</f>
        <v>0</v>
      </c>
      <c r="AG277" s="14">
        <f>'A) Base RI'!AA277</f>
        <v>275664.51</v>
      </c>
      <c r="AH277" s="14">
        <f>'A) Base RI'!AB277</f>
        <v>0</v>
      </c>
      <c r="AI277" s="14">
        <f>'A) Base RI'!AC277</f>
        <v>85697.22</v>
      </c>
      <c r="AJ277" s="14">
        <f>'A) Base RI'!AD277</f>
        <v>0</v>
      </c>
      <c r="AK277" s="14">
        <f>'A) Base RI'!AE277</f>
        <v>0</v>
      </c>
      <c r="AL277" s="14">
        <f>'A) Base RI'!AF277</f>
        <v>0</v>
      </c>
      <c r="AM277" s="14">
        <f>'A) Base RI'!AG277</f>
        <v>0</v>
      </c>
      <c r="AN277" s="14">
        <f>'A) Base RI'!AH277</f>
        <v>0</v>
      </c>
      <c r="AO277" s="14">
        <f>'A) Base RI'!AI277</f>
        <v>0</v>
      </c>
      <c r="AP277" s="14">
        <f>'A) Base RI'!AJ277</f>
        <v>0</v>
      </c>
      <c r="AQ277" s="14">
        <f>'A) Base RI'!AK277</f>
        <v>0</v>
      </c>
      <c r="AR277" s="14">
        <f>'A) Base RI'!AN277</f>
        <v>1464</v>
      </c>
    </row>
    <row r="278" spans="1:44" x14ac:dyDescent="0.25">
      <c r="A278" s="12">
        <f>'A) Base RI'!A278</f>
        <v>5861</v>
      </c>
      <c r="B278" s="42" t="str">
        <f>'A) Base RI'!B278</f>
        <v>Rolle</v>
      </c>
      <c r="C278" s="14">
        <f>'A) Base RI'!C278+'A) Base RI'!D278</f>
        <v>13243587.829999998</v>
      </c>
      <c r="D278" s="14">
        <f>'A) Base RI'!AO278</f>
        <v>-253640.76</v>
      </c>
      <c r="E278" s="41">
        <f>'A) Base RI'!AP278</f>
        <v>0</v>
      </c>
      <c r="F278" s="41">
        <f>'A) Base RI'!AQ278</f>
        <v>-9309.49</v>
      </c>
      <c r="G278" s="4">
        <f t="shared" si="24"/>
        <v>12980637.579999998</v>
      </c>
      <c r="H278" s="14">
        <f>'A) Base RI'!E278</f>
        <v>613651</v>
      </c>
      <c r="I278" s="14">
        <f>'A) Base RI'!F278</f>
        <v>0</v>
      </c>
      <c r="J278" s="14">
        <f>'A) Base RI'!G278+'A) Base RI'!H278</f>
        <v>19740522.450000003</v>
      </c>
      <c r="K278" s="14">
        <f>'A) Base RI'!I278</f>
        <v>1313831.51</v>
      </c>
      <c r="L278" s="14">
        <f>'A) Base RI'!J278</f>
        <v>1514705.56</v>
      </c>
      <c r="M278" s="14">
        <f>'A) Base RI'!K278</f>
        <v>254227.5</v>
      </c>
      <c r="N278" s="14">
        <f>'A) Base RI'!Q278</f>
        <v>103484.05</v>
      </c>
      <c r="O278" s="14">
        <f t="shared" si="25"/>
        <v>1626037.4</v>
      </c>
      <c r="P278" s="14">
        <f>'A) Base RI'!L278</f>
        <v>1626037.4</v>
      </c>
      <c r="Q278" s="44">
        <f>'A) Base RI'!AR278</f>
        <v>1</v>
      </c>
      <c r="R278" s="4">
        <f t="shared" si="26"/>
        <v>38147097.049999997</v>
      </c>
      <c r="S278" s="43">
        <f>'A) Base RI'!AM278</f>
        <v>59.5</v>
      </c>
      <c r="T278" s="4">
        <f t="shared" si="27"/>
        <v>36266832.149999999</v>
      </c>
      <c r="U278" s="4">
        <f t="shared" si="28"/>
        <v>641127.68151260505</v>
      </c>
      <c r="V278" s="14">
        <f>'A) Base RI'!O278</f>
        <v>628357.1</v>
      </c>
      <c r="W278" s="14">
        <f>'A) Base RI'!P278</f>
        <v>490543.75</v>
      </c>
      <c r="X278" s="14">
        <f>'A) Base RI'!R278</f>
        <v>685925.2</v>
      </c>
      <c r="Y278" s="4">
        <f t="shared" si="29"/>
        <v>1804826.05</v>
      </c>
      <c r="Z278" s="14">
        <f>'A) Base RI'!N278</f>
        <v>1381772.65</v>
      </c>
      <c r="AA278" s="14">
        <f>'A) Base RI'!S278+'A) Base RI'!T278</f>
        <v>606.25</v>
      </c>
      <c r="AB278" s="14">
        <f>'A) Base RI'!U278</f>
        <v>16932</v>
      </c>
      <c r="AC278" s="14">
        <f>'A) Base RI'!V278</f>
        <v>0</v>
      </c>
      <c r="AD278" s="14">
        <f>'A) Base RI'!W278</f>
        <v>0</v>
      </c>
      <c r="AE278" s="14">
        <f>'A) Base RI'!Y278</f>
        <v>40890.019999999997</v>
      </c>
      <c r="AF278" s="14">
        <f>'A) Base RI'!Z278</f>
        <v>415580</v>
      </c>
      <c r="AG278" s="14">
        <f>'A) Base RI'!AA278</f>
        <v>1052946</v>
      </c>
      <c r="AH278" s="14">
        <f>'A) Base RI'!AB278</f>
        <v>0</v>
      </c>
      <c r="AI278" s="14">
        <f>'A) Base RI'!AC278</f>
        <v>356529.15</v>
      </c>
      <c r="AJ278" s="14">
        <f>'A) Base RI'!AD278</f>
        <v>0</v>
      </c>
      <c r="AK278" s="14">
        <f>'A) Base RI'!AE278</f>
        <v>0</v>
      </c>
      <c r="AL278" s="14">
        <f>'A) Base RI'!AF278</f>
        <v>0</v>
      </c>
      <c r="AM278" s="14">
        <f>'A) Base RI'!AG278</f>
        <v>107574.3</v>
      </c>
      <c r="AN278" s="14">
        <f>'A) Base RI'!AH278</f>
        <v>220179.25</v>
      </c>
      <c r="AO278" s="14">
        <f>'A) Base RI'!AI278</f>
        <v>0</v>
      </c>
      <c r="AP278" s="14">
        <f>'A) Base RI'!AJ278</f>
        <v>0</v>
      </c>
      <c r="AQ278" s="14">
        <f>'A) Base RI'!AK278</f>
        <v>0</v>
      </c>
      <c r="AR278" s="14">
        <f>'A) Base RI'!AN278</f>
        <v>6047</v>
      </c>
    </row>
    <row r="279" spans="1:44" x14ac:dyDescent="0.25">
      <c r="A279" s="12">
        <f>'A) Base RI'!A279</f>
        <v>5862</v>
      </c>
      <c r="B279" s="42" t="str">
        <f>'A) Base RI'!B279</f>
        <v>Tartegnin</v>
      </c>
      <c r="C279" s="14">
        <f>'A) Base RI'!C279+'A) Base RI'!D279</f>
        <v>756723.74</v>
      </c>
      <c r="D279" s="14">
        <f>'A) Base RI'!AO279</f>
        <v>-3409.8</v>
      </c>
      <c r="E279" s="41">
        <f>'A) Base RI'!AP279</f>
        <v>0</v>
      </c>
      <c r="F279" s="41">
        <f>'A) Base RI'!AQ279</f>
        <v>-8.23</v>
      </c>
      <c r="G279" s="4">
        <f t="shared" si="24"/>
        <v>753305.71</v>
      </c>
      <c r="H279" s="14">
        <f>'A) Base RI'!E279</f>
        <v>0</v>
      </c>
      <c r="I279" s="14">
        <f>'A) Base RI'!F279</f>
        <v>0</v>
      </c>
      <c r="J279" s="14">
        <f>'A) Base RI'!G279+'A) Base RI'!H279</f>
        <v>4929.95</v>
      </c>
      <c r="K279" s="14">
        <f>'A) Base RI'!I279</f>
        <v>0</v>
      </c>
      <c r="L279" s="14">
        <f>'A) Base RI'!J279</f>
        <v>36158.28</v>
      </c>
      <c r="M279" s="14">
        <f>'A) Base RI'!K279</f>
        <v>0</v>
      </c>
      <c r="N279" s="14">
        <f>'A) Base RI'!Q279</f>
        <v>0</v>
      </c>
      <c r="O279" s="14">
        <f t="shared" si="25"/>
        <v>44838.833333333328</v>
      </c>
      <c r="P279" s="14">
        <f>'A) Base RI'!L279</f>
        <v>40354.949999999997</v>
      </c>
      <c r="Q279" s="44">
        <f>'A) Base RI'!AR279</f>
        <v>0.9</v>
      </c>
      <c r="R279" s="4">
        <f t="shared" si="26"/>
        <v>839232.77333333332</v>
      </c>
      <c r="S279" s="43">
        <f>'A) Base RI'!AM279</f>
        <v>84</v>
      </c>
      <c r="T279" s="4">
        <f t="shared" si="27"/>
        <v>794393.94</v>
      </c>
      <c r="U279" s="4">
        <f t="shared" si="28"/>
        <v>9990.8663492063497</v>
      </c>
      <c r="V279" s="14">
        <f>'A) Base RI'!O279</f>
        <v>1224</v>
      </c>
      <c r="W279" s="14">
        <f>'A) Base RI'!P279</f>
        <v>13959.15</v>
      </c>
      <c r="X279" s="14">
        <f>'A) Base RI'!R279</f>
        <v>10460.4</v>
      </c>
      <c r="Y279" s="4">
        <f t="shared" si="29"/>
        <v>25643.55</v>
      </c>
      <c r="Z279" s="14">
        <f>'A) Base RI'!N279</f>
        <v>6283.3</v>
      </c>
      <c r="AA279" s="14">
        <f>'A) Base RI'!S279+'A) Base RI'!T279</f>
        <v>31.25</v>
      </c>
      <c r="AB279" s="14">
        <f>'A) Base RI'!U279</f>
        <v>750</v>
      </c>
      <c r="AC279" s="14">
        <f>'A) Base RI'!V279</f>
        <v>0</v>
      </c>
      <c r="AD279" s="14">
        <f>'A) Base RI'!W279</f>
        <v>0</v>
      </c>
      <c r="AE279" s="14">
        <f>'A) Base RI'!Y279</f>
        <v>0</v>
      </c>
      <c r="AF279" s="14">
        <f>'A) Base RI'!Z279</f>
        <v>0</v>
      </c>
      <c r="AG279" s="14">
        <f>'A) Base RI'!AA279</f>
        <v>46460.4</v>
      </c>
      <c r="AH279" s="14">
        <f>'A) Base RI'!AB279</f>
        <v>0</v>
      </c>
      <c r="AI279" s="14">
        <f>'A) Base RI'!AC279</f>
        <v>14251.45</v>
      </c>
      <c r="AJ279" s="14">
        <f>'A) Base RI'!AD279</f>
        <v>0</v>
      </c>
      <c r="AK279" s="14">
        <f>'A) Base RI'!AE279</f>
        <v>0</v>
      </c>
      <c r="AL279" s="14">
        <f>'A) Base RI'!AF279</f>
        <v>0</v>
      </c>
      <c r="AM279" s="14">
        <f>'A) Base RI'!AG279</f>
        <v>0</v>
      </c>
      <c r="AN279" s="14">
        <f>'A) Base RI'!AH279</f>
        <v>0</v>
      </c>
      <c r="AO279" s="14">
        <f>'A) Base RI'!AI279</f>
        <v>0</v>
      </c>
      <c r="AP279" s="14">
        <f>'A) Base RI'!AJ279</f>
        <v>0</v>
      </c>
      <c r="AQ279" s="14">
        <f>'A) Base RI'!AK279</f>
        <v>0</v>
      </c>
      <c r="AR279" s="14">
        <f>'A) Base RI'!AN279</f>
        <v>230</v>
      </c>
    </row>
    <row r="280" spans="1:44" x14ac:dyDescent="0.25">
      <c r="A280" s="12">
        <f>'A) Base RI'!A280</f>
        <v>5863</v>
      </c>
      <c r="B280" s="42" t="str">
        <f>'A) Base RI'!B280</f>
        <v>Vinzel</v>
      </c>
      <c r="C280" s="14">
        <f>'A) Base RI'!C280+'A) Base RI'!D280</f>
        <v>1638276.43</v>
      </c>
      <c r="D280" s="14">
        <f>'A) Base RI'!AO280</f>
        <v>-12386.62</v>
      </c>
      <c r="E280" s="41">
        <f>'A) Base RI'!AP280</f>
        <v>0</v>
      </c>
      <c r="F280" s="41">
        <f>'A) Base RI'!AQ280</f>
        <v>-2428.83</v>
      </c>
      <c r="G280" s="4">
        <f t="shared" si="24"/>
        <v>1623460.9799999997</v>
      </c>
      <c r="H280" s="14">
        <f>'A) Base RI'!E280</f>
        <v>0</v>
      </c>
      <c r="I280" s="14">
        <f>'A) Base RI'!F280</f>
        <v>0</v>
      </c>
      <c r="J280" s="14">
        <f>'A) Base RI'!G280+'A) Base RI'!H280</f>
        <v>43520.200000000004</v>
      </c>
      <c r="K280" s="14">
        <f>'A) Base RI'!I280</f>
        <v>0</v>
      </c>
      <c r="L280" s="14">
        <f>'A) Base RI'!J280</f>
        <v>54790.99</v>
      </c>
      <c r="M280" s="14">
        <f>'A) Base RI'!K280</f>
        <v>1387</v>
      </c>
      <c r="N280" s="14">
        <f>'A) Base RI'!Q280</f>
        <v>0</v>
      </c>
      <c r="O280" s="14">
        <f t="shared" si="25"/>
        <v>73096.399999999994</v>
      </c>
      <c r="P280" s="14">
        <f>'A) Base RI'!L280</f>
        <v>73096.399999999994</v>
      </c>
      <c r="Q280" s="44">
        <f>'A) Base RI'!AR280</f>
        <v>1</v>
      </c>
      <c r="R280" s="4">
        <f t="shared" si="26"/>
        <v>1796255.5699999996</v>
      </c>
      <c r="S280" s="43">
        <f>'A) Base RI'!AM280</f>
        <v>70</v>
      </c>
      <c r="T280" s="4">
        <f t="shared" si="27"/>
        <v>1721772.1699999997</v>
      </c>
      <c r="U280" s="4">
        <f t="shared" si="28"/>
        <v>25660.793857142853</v>
      </c>
      <c r="V280" s="14">
        <f>'A) Base RI'!O280</f>
        <v>0</v>
      </c>
      <c r="W280" s="14">
        <f>'A) Base RI'!P280</f>
        <v>17066.55</v>
      </c>
      <c r="X280" s="14">
        <f>'A) Base RI'!R280</f>
        <v>25137.599999999999</v>
      </c>
      <c r="Y280" s="4">
        <f t="shared" si="29"/>
        <v>42204.149999999994</v>
      </c>
      <c r="Z280" s="14">
        <f>'A) Base RI'!N280</f>
        <v>20369.650000000001</v>
      </c>
      <c r="AA280" s="14">
        <f>'A) Base RI'!S280+'A) Base RI'!T280</f>
        <v>387.5</v>
      </c>
      <c r="AB280" s="14">
        <f>'A) Base RI'!U280</f>
        <v>1300</v>
      </c>
      <c r="AC280" s="14">
        <f>'A) Base RI'!V280</f>
        <v>0</v>
      </c>
      <c r="AD280" s="14">
        <f>'A) Base RI'!W280</f>
        <v>0</v>
      </c>
      <c r="AE280" s="14">
        <f>'A) Base RI'!Y280</f>
        <v>0</v>
      </c>
      <c r="AF280" s="14">
        <f>'A) Base RI'!Z280</f>
        <v>0</v>
      </c>
      <c r="AG280" s="14">
        <f>'A) Base RI'!AA280</f>
        <v>13424</v>
      </c>
      <c r="AH280" s="14">
        <f>'A) Base RI'!AB280</f>
        <v>0</v>
      </c>
      <c r="AI280" s="14">
        <f>'A) Base RI'!AC280</f>
        <v>34921.800000000003</v>
      </c>
      <c r="AJ280" s="14">
        <f>'A) Base RI'!AD280</f>
        <v>0</v>
      </c>
      <c r="AK280" s="14">
        <f>'A) Base RI'!AE280</f>
        <v>0</v>
      </c>
      <c r="AL280" s="14">
        <f>'A) Base RI'!AF280</f>
        <v>0</v>
      </c>
      <c r="AM280" s="14">
        <f>'A) Base RI'!AG280</f>
        <v>1124.6500000000001</v>
      </c>
      <c r="AN280" s="14">
        <f>'A) Base RI'!AH280</f>
        <v>6522.65</v>
      </c>
      <c r="AO280" s="14">
        <f>'A) Base RI'!AI280</f>
        <v>0</v>
      </c>
      <c r="AP280" s="14">
        <f>'A) Base RI'!AJ280</f>
        <v>0</v>
      </c>
      <c r="AQ280" s="14">
        <f>'A) Base RI'!AK280</f>
        <v>0</v>
      </c>
      <c r="AR280" s="14">
        <f>'A) Base RI'!AN280</f>
        <v>349</v>
      </c>
    </row>
    <row r="281" spans="1:44" x14ac:dyDescent="0.25">
      <c r="A281" s="12">
        <f>'A) Base RI'!A281</f>
        <v>5871</v>
      </c>
      <c r="B281" s="42" t="str">
        <f>'A) Base RI'!B281</f>
        <v>L'Abbaye</v>
      </c>
      <c r="C281" s="14">
        <f>'A) Base RI'!C281+'A) Base RI'!D281</f>
        <v>3197985.79</v>
      </c>
      <c r="D281" s="14">
        <f>'A) Base RI'!AO281</f>
        <v>-25115.439999999999</v>
      </c>
      <c r="E281" s="41">
        <f>'A) Base RI'!AP281</f>
        <v>0</v>
      </c>
      <c r="F281" s="41">
        <f>'A) Base RI'!AQ281</f>
        <v>-91.14</v>
      </c>
      <c r="G281" s="4">
        <f t="shared" si="24"/>
        <v>3172779.21</v>
      </c>
      <c r="H281" s="14">
        <f>'A) Base RI'!E281</f>
        <v>0</v>
      </c>
      <c r="I281" s="14">
        <f>'A) Base RI'!F281</f>
        <v>0</v>
      </c>
      <c r="J281" s="14">
        <f>'A) Base RI'!G281+'A) Base RI'!H281</f>
        <v>300950.15000000002</v>
      </c>
      <c r="K281" s="14">
        <f>'A) Base RI'!I281</f>
        <v>-11689.1</v>
      </c>
      <c r="L281" s="14">
        <f>'A) Base RI'!J281</f>
        <v>92115.51</v>
      </c>
      <c r="M281" s="14">
        <f>'A) Base RI'!K281</f>
        <v>722.25</v>
      </c>
      <c r="N281" s="14">
        <f>'A) Base RI'!Q281</f>
        <v>14793.13</v>
      </c>
      <c r="O281" s="14">
        <f t="shared" si="25"/>
        <v>229585.95</v>
      </c>
      <c r="P281" s="14">
        <f>'A) Base RI'!L281</f>
        <v>229585.95</v>
      </c>
      <c r="Q281" s="44">
        <f>'A) Base RI'!AR281</f>
        <v>1</v>
      </c>
      <c r="R281" s="4">
        <f t="shared" si="26"/>
        <v>3799257.0999999996</v>
      </c>
      <c r="S281" s="43">
        <f>'A) Base RI'!AM281</f>
        <v>77.11</v>
      </c>
      <c r="T281" s="4">
        <f t="shared" si="27"/>
        <v>3568948.8999999994</v>
      </c>
      <c r="U281" s="4">
        <f t="shared" si="28"/>
        <v>49270.614706263776</v>
      </c>
      <c r="V281" s="14">
        <f>'A) Base RI'!O281</f>
        <v>26791.599999999999</v>
      </c>
      <c r="W281" s="14">
        <f>'A) Base RI'!P281</f>
        <v>64423</v>
      </c>
      <c r="X281" s="14">
        <f>'A) Base RI'!R281</f>
        <v>114898.95</v>
      </c>
      <c r="Y281" s="4">
        <f t="shared" si="29"/>
        <v>206113.55</v>
      </c>
      <c r="Z281" s="14">
        <f>'A) Base RI'!N281</f>
        <v>512529.65</v>
      </c>
      <c r="AA281" s="14">
        <f>'A) Base RI'!S281+'A) Base RI'!T281</f>
        <v>250</v>
      </c>
      <c r="AB281" s="14">
        <f>'A) Base RI'!U281</f>
        <v>7950</v>
      </c>
      <c r="AC281" s="14">
        <f>'A) Base RI'!V281</f>
        <v>0</v>
      </c>
      <c r="AD281" s="14">
        <f>'A) Base RI'!W281</f>
        <v>0</v>
      </c>
      <c r="AE281" s="14">
        <f>'A) Base RI'!Y281</f>
        <v>84794</v>
      </c>
      <c r="AF281" s="14">
        <f>'A) Base RI'!Z281</f>
        <v>12702.55</v>
      </c>
      <c r="AG281" s="14">
        <f>'A) Base RI'!AA281</f>
        <v>293378.09999999998</v>
      </c>
      <c r="AH281" s="14">
        <f>'A) Base RI'!AB281</f>
        <v>0</v>
      </c>
      <c r="AI281" s="14">
        <f>'A) Base RI'!AC281</f>
        <v>145923.70000000001</v>
      </c>
      <c r="AJ281" s="14">
        <f>'A) Base RI'!AD281</f>
        <v>0</v>
      </c>
      <c r="AK281" s="14">
        <f>'A) Base RI'!AE281</f>
        <v>0</v>
      </c>
      <c r="AL281" s="14">
        <f>'A) Base RI'!AF281</f>
        <v>0</v>
      </c>
      <c r="AM281" s="14">
        <f>'A) Base RI'!AG281</f>
        <v>61963.65</v>
      </c>
      <c r="AN281" s="14">
        <f>'A) Base RI'!AH281</f>
        <v>0</v>
      </c>
      <c r="AO281" s="14">
        <f>'A) Base RI'!AI281</f>
        <v>0</v>
      </c>
      <c r="AP281" s="14">
        <f>'A) Base RI'!AJ281</f>
        <v>0</v>
      </c>
      <c r="AQ281" s="14">
        <f>'A) Base RI'!AK281</f>
        <v>0</v>
      </c>
      <c r="AR281" s="14">
        <f>'A) Base RI'!AN281</f>
        <v>1423</v>
      </c>
    </row>
    <row r="282" spans="1:44" x14ac:dyDescent="0.25">
      <c r="A282" s="12">
        <f>'A) Base RI'!A282</f>
        <v>5872</v>
      </c>
      <c r="B282" s="42" t="str">
        <f>'A) Base RI'!B282</f>
        <v>Le Chenit</v>
      </c>
      <c r="C282" s="14">
        <f>'A) Base RI'!C282+'A) Base RI'!D282</f>
        <v>7580823.8399999999</v>
      </c>
      <c r="D282" s="14">
        <f>'A) Base RI'!AO282</f>
        <v>-80963.73</v>
      </c>
      <c r="E282" s="41">
        <f>'A) Base RI'!AP282</f>
        <v>0</v>
      </c>
      <c r="F282" s="41">
        <f>'A) Base RI'!AQ282</f>
        <v>-537.03</v>
      </c>
      <c r="G282" s="4">
        <f t="shared" si="24"/>
        <v>7499323.0799999991</v>
      </c>
      <c r="H282" s="14">
        <f>'A) Base RI'!E282</f>
        <v>0</v>
      </c>
      <c r="I282" s="14">
        <f>'A) Base RI'!F282</f>
        <v>0</v>
      </c>
      <c r="J282" s="14">
        <f>'A) Base RI'!G282+'A) Base RI'!H282</f>
        <v>12949022.25</v>
      </c>
      <c r="K282" s="14">
        <f>'A) Base RI'!I282</f>
        <v>0</v>
      </c>
      <c r="L282" s="14">
        <f>'A) Base RI'!J282</f>
        <v>640725.71</v>
      </c>
      <c r="M282" s="14">
        <f>'A) Base RI'!K282</f>
        <v>40783.5</v>
      </c>
      <c r="N282" s="14">
        <f>'A) Base RI'!Q282</f>
        <v>26816.95</v>
      </c>
      <c r="O282" s="14">
        <f t="shared" si="25"/>
        <v>641645.14285714284</v>
      </c>
      <c r="P282" s="14">
        <f>'A) Base RI'!L282</f>
        <v>449151.6</v>
      </c>
      <c r="Q282" s="44">
        <f>'A) Base RI'!AR282</f>
        <v>0.7</v>
      </c>
      <c r="R282" s="4">
        <f t="shared" si="26"/>
        <v>21798316.63285714</v>
      </c>
      <c r="S282" s="43">
        <f>'A) Base RI'!AM282</f>
        <v>69.739999999999995</v>
      </c>
      <c r="T282" s="4">
        <f t="shared" si="27"/>
        <v>21115887.989999998</v>
      </c>
      <c r="U282" s="4">
        <f t="shared" si="28"/>
        <v>312565.48082674423</v>
      </c>
      <c r="V282" s="14">
        <f>'A) Base RI'!O282</f>
        <v>67019.899999999994</v>
      </c>
      <c r="W282" s="14">
        <f>'A) Base RI'!P282</f>
        <v>287706.5</v>
      </c>
      <c r="X282" s="14">
        <f>'A) Base RI'!R282</f>
        <v>205029.55</v>
      </c>
      <c r="Y282" s="4">
        <f t="shared" si="29"/>
        <v>559755.94999999995</v>
      </c>
      <c r="Z282" s="14">
        <f>'A) Base RI'!N282</f>
        <v>4336543.1500000004</v>
      </c>
      <c r="AA282" s="14">
        <f>'A) Base RI'!S282+'A) Base RI'!T282</f>
        <v>3981.25</v>
      </c>
      <c r="AB282" s="14">
        <f>'A) Base RI'!U282</f>
        <v>26400</v>
      </c>
      <c r="AC282" s="14">
        <f>'A) Base RI'!V282</f>
        <v>0</v>
      </c>
      <c r="AD282" s="14">
        <f>'A) Base RI'!W282</f>
        <v>0</v>
      </c>
      <c r="AE282" s="14">
        <f>'A) Base RI'!Y282</f>
        <v>73694</v>
      </c>
      <c r="AF282" s="14">
        <f>'A) Base RI'!Z282</f>
        <v>36847</v>
      </c>
      <c r="AG282" s="14">
        <f>'A) Base RI'!AA282</f>
        <v>962389.95</v>
      </c>
      <c r="AH282" s="14">
        <f>'A) Base RI'!AB282</f>
        <v>0</v>
      </c>
      <c r="AI282" s="14">
        <f>'A) Base RI'!AC282</f>
        <v>416727.4</v>
      </c>
      <c r="AJ282" s="14">
        <f>'A) Base RI'!AD282</f>
        <v>49129</v>
      </c>
      <c r="AK282" s="14">
        <f>'A) Base RI'!AE282</f>
        <v>24565</v>
      </c>
      <c r="AL282" s="14">
        <f>'A) Base RI'!AF282</f>
        <v>0</v>
      </c>
      <c r="AM282" s="14">
        <f>'A) Base RI'!AG282</f>
        <v>113011.42</v>
      </c>
      <c r="AN282" s="14">
        <f>'A) Base RI'!AH282</f>
        <v>0</v>
      </c>
      <c r="AO282" s="14">
        <f>'A) Base RI'!AI282</f>
        <v>0</v>
      </c>
      <c r="AP282" s="14">
        <f>'A) Base RI'!AJ282</f>
        <v>0</v>
      </c>
      <c r="AQ282" s="14">
        <f>'A) Base RI'!AK282</f>
        <v>0</v>
      </c>
      <c r="AR282" s="14">
        <f>'A) Base RI'!AN282</f>
        <v>4614</v>
      </c>
    </row>
    <row r="283" spans="1:44" x14ac:dyDescent="0.25">
      <c r="A283" s="12">
        <f>'A) Base RI'!A283</f>
        <v>5873</v>
      </c>
      <c r="B283" s="42" t="str">
        <f>'A) Base RI'!B283</f>
        <v>Le Lieu</v>
      </c>
      <c r="C283" s="14">
        <f>'A) Base RI'!C283+'A) Base RI'!D283</f>
        <v>1571649.56</v>
      </c>
      <c r="D283" s="14">
        <f>'A) Base RI'!AO283</f>
        <v>-18562.34</v>
      </c>
      <c r="E283" s="41">
        <f>'A) Base RI'!AP283</f>
        <v>0</v>
      </c>
      <c r="F283" s="41">
        <f>'A) Base RI'!AQ283</f>
        <v>-97.47</v>
      </c>
      <c r="G283" s="4">
        <f t="shared" si="24"/>
        <v>1552989.75</v>
      </c>
      <c r="H283" s="14">
        <f>'A) Base RI'!E283</f>
        <v>0</v>
      </c>
      <c r="I283" s="14">
        <f>'A) Base RI'!F283</f>
        <v>0</v>
      </c>
      <c r="J283" s="14">
        <f>'A) Base RI'!G283+'A) Base RI'!H283</f>
        <v>506307.7</v>
      </c>
      <c r="K283" s="14">
        <f>'A) Base RI'!I283</f>
        <v>0</v>
      </c>
      <c r="L283" s="14">
        <f>'A) Base RI'!J283</f>
        <v>48331.14</v>
      </c>
      <c r="M283" s="14">
        <f>'A) Base RI'!K283</f>
        <v>0</v>
      </c>
      <c r="N283" s="14">
        <f>'A) Base RI'!Q283</f>
        <v>7929.71</v>
      </c>
      <c r="O283" s="14">
        <f t="shared" si="25"/>
        <v>218368</v>
      </c>
      <c r="P283" s="14">
        <f>'A) Base RI'!L283</f>
        <v>131020.8</v>
      </c>
      <c r="Q283" s="44">
        <f>'A) Base RI'!AR283</f>
        <v>0.6</v>
      </c>
      <c r="R283" s="4">
        <f t="shared" si="26"/>
        <v>2333926.2999999998</v>
      </c>
      <c r="S283" s="43">
        <f>'A) Base RI'!AM283</f>
        <v>65</v>
      </c>
      <c r="T283" s="4">
        <f t="shared" si="27"/>
        <v>2115558.2999999998</v>
      </c>
      <c r="U283" s="4">
        <f t="shared" si="28"/>
        <v>35906.558461538458</v>
      </c>
      <c r="V283" s="14">
        <f>'A) Base RI'!O283</f>
        <v>0</v>
      </c>
      <c r="W283" s="14">
        <f>'A) Base RI'!P283</f>
        <v>170036.2</v>
      </c>
      <c r="X283" s="14">
        <f>'A) Base RI'!R283</f>
        <v>53636.5</v>
      </c>
      <c r="Y283" s="4">
        <f t="shared" si="29"/>
        <v>223672.7</v>
      </c>
      <c r="Z283" s="14">
        <f>'A) Base RI'!N283</f>
        <v>766492.05</v>
      </c>
      <c r="AA283" s="14">
        <f>'A) Base RI'!S283+'A) Base RI'!T283</f>
        <v>156.25</v>
      </c>
      <c r="AB283" s="14">
        <f>'A) Base RI'!U283</f>
        <v>5850</v>
      </c>
      <c r="AC283" s="14">
        <f>'A) Base RI'!V283</f>
        <v>0</v>
      </c>
      <c r="AD283" s="14">
        <f>'A) Base RI'!W283</f>
        <v>0</v>
      </c>
      <c r="AE283" s="14">
        <f>'A) Base RI'!Y283</f>
        <v>12840</v>
      </c>
      <c r="AF283" s="14">
        <f>'A) Base RI'!Z283</f>
        <v>0</v>
      </c>
      <c r="AG283" s="14">
        <f>'A) Base RI'!AA283</f>
        <v>228102</v>
      </c>
      <c r="AH283" s="14">
        <f>'A) Base RI'!AB283</f>
        <v>0</v>
      </c>
      <c r="AI283" s="14">
        <f>'A) Base RI'!AC283</f>
        <v>87280.2</v>
      </c>
      <c r="AJ283" s="14">
        <f>'A) Base RI'!AD283</f>
        <v>8140</v>
      </c>
      <c r="AK283" s="14">
        <f>'A) Base RI'!AE283</f>
        <v>0</v>
      </c>
      <c r="AL283" s="14">
        <f>'A) Base RI'!AF283</f>
        <v>0</v>
      </c>
      <c r="AM283" s="14">
        <f>'A) Base RI'!AG283</f>
        <v>23543.7</v>
      </c>
      <c r="AN283" s="14">
        <f>'A) Base RI'!AH283</f>
        <v>0</v>
      </c>
      <c r="AO283" s="14">
        <f>'A) Base RI'!AI283</f>
        <v>0</v>
      </c>
      <c r="AP283" s="14">
        <f>'A) Base RI'!AJ283</f>
        <v>0</v>
      </c>
      <c r="AQ283" s="14">
        <f>'A) Base RI'!AK283</f>
        <v>0</v>
      </c>
      <c r="AR283" s="14">
        <f>'A) Base RI'!AN283</f>
        <v>859</v>
      </c>
    </row>
    <row r="284" spans="1:44" x14ac:dyDescent="0.25">
      <c r="A284" s="12">
        <f>'A) Base RI'!A284</f>
        <v>5881</v>
      </c>
      <c r="B284" s="42" t="str">
        <f>'A) Base RI'!B284</f>
        <v>Blonay</v>
      </c>
      <c r="C284" s="14">
        <f>'A) Base RI'!C284+'A) Base RI'!D284</f>
        <v>21061127.540000003</v>
      </c>
      <c r="D284" s="14">
        <f>'A) Base RI'!AO284</f>
        <v>-495350.95</v>
      </c>
      <c r="E284" s="41">
        <f>'A) Base RI'!AP284</f>
        <v>0</v>
      </c>
      <c r="F284" s="41">
        <f>'A) Base RI'!AQ284</f>
        <v>-9066.18</v>
      </c>
      <c r="G284" s="4">
        <f t="shared" si="24"/>
        <v>20556710.410000004</v>
      </c>
      <c r="H284" s="14">
        <f>'A) Base RI'!E284</f>
        <v>0</v>
      </c>
      <c r="I284" s="14">
        <f>'A) Base RI'!F284</f>
        <v>0</v>
      </c>
      <c r="J284" s="14">
        <f>'A) Base RI'!G284+'A) Base RI'!H284</f>
        <v>904542.04999999993</v>
      </c>
      <c r="K284" s="14">
        <f>'A) Base RI'!I284</f>
        <v>575811.28</v>
      </c>
      <c r="L284" s="14">
        <f>'A) Base RI'!J284</f>
        <v>597643.92000000004</v>
      </c>
      <c r="M284" s="14">
        <f>'A) Base RI'!K284</f>
        <v>53867</v>
      </c>
      <c r="N284" s="14">
        <f>'A) Base RI'!Q284</f>
        <v>308976.87</v>
      </c>
      <c r="O284" s="14">
        <f t="shared" si="25"/>
        <v>1523634.85</v>
      </c>
      <c r="P284" s="14">
        <f>'A) Base RI'!L284</f>
        <v>1523634.85</v>
      </c>
      <c r="Q284" s="44">
        <f>'A) Base RI'!AR284</f>
        <v>1</v>
      </c>
      <c r="R284" s="4">
        <f t="shared" si="26"/>
        <v>24521186.38000001</v>
      </c>
      <c r="S284" s="43">
        <f>'A) Base RI'!AM284</f>
        <v>70</v>
      </c>
      <c r="T284" s="4">
        <f t="shared" si="27"/>
        <v>22943684.530000009</v>
      </c>
      <c r="U284" s="4">
        <f t="shared" si="28"/>
        <v>350302.66257142869</v>
      </c>
      <c r="V284" s="14">
        <f>'A) Base RI'!O284</f>
        <v>70267.899999999994</v>
      </c>
      <c r="W284" s="14">
        <f>'A) Base RI'!P284</f>
        <v>939378</v>
      </c>
      <c r="X284" s="14">
        <f>'A) Base RI'!R284</f>
        <v>881290.3</v>
      </c>
      <c r="Y284" s="4">
        <f t="shared" si="29"/>
        <v>1890936.2000000002</v>
      </c>
      <c r="Z284" s="14">
        <f>'A) Base RI'!N284</f>
        <v>84265.7</v>
      </c>
      <c r="AA284" s="14">
        <f>'A) Base RI'!S284+'A) Base RI'!T284</f>
        <v>431.25</v>
      </c>
      <c r="AB284" s="14">
        <f>'A) Base RI'!U284</f>
        <v>39550</v>
      </c>
      <c r="AC284" s="14">
        <f>'A) Base RI'!V284</f>
        <v>0</v>
      </c>
      <c r="AD284" s="14">
        <f>'A) Base RI'!W284</f>
        <v>0</v>
      </c>
      <c r="AE284" s="14">
        <f>'A) Base RI'!Y284</f>
        <v>254624.15</v>
      </c>
      <c r="AF284" s="14">
        <f>'A) Base RI'!Z284</f>
        <v>0</v>
      </c>
      <c r="AG284" s="14">
        <f>'A) Base RI'!AA284</f>
        <v>452000.9</v>
      </c>
      <c r="AH284" s="14">
        <f>'A) Base RI'!AB284</f>
        <v>0</v>
      </c>
      <c r="AI284" s="14">
        <f>'A) Base RI'!AC284</f>
        <v>758353.15</v>
      </c>
      <c r="AJ284" s="14">
        <f>'A) Base RI'!AD284</f>
        <v>326635.65000000002</v>
      </c>
      <c r="AK284" s="14">
        <f>'A) Base RI'!AE284</f>
        <v>0</v>
      </c>
      <c r="AL284" s="14">
        <f>'A) Base RI'!AF284</f>
        <v>0</v>
      </c>
      <c r="AM284" s="14">
        <f>'A) Base RI'!AG284</f>
        <v>0</v>
      </c>
      <c r="AN284" s="14">
        <f>'A) Base RI'!AH284</f>
        <v>0</v>
      </c>
      <c r="AO284" s="14">
        <f>'A) Base RI'!AI284</f>
        <v>0</v>
      </c>
      <c r="AP284" s="14">
        <f>'A) Base RI'!AJ284</f>
        <v>0</v>
      </c>
      <c r="AQ284" s="14">
        <f>'A) Base RI'!AK284</f>
        <v>0</v>
      </c>
      <c r="AR284" s="14">
        <f>'A) Base RI'!AN284</f>
        <v>6132</v>
      </c>
    </row>
    <row r="285" spans="1:44" x14ac:dyDescent="0.25">
      <c r="A285" s="12">
        <f>'A) Base RI'!A285</f>
        <v>5882</v>
      </c>
      <c r="B285" s="42" t="str">
        <f>'A) Base RI'!B285</f>
        <v>Chardonne</v>
      </c>
      <c r="C285" s="14">
        <f>'A) Base RI'!C285+'A) Base RI'!D285</f>
        <v>8767054.8000000007</v>
      </c>
      <c r="D285" s="14">
        <f>'A) Base RI'!AO285</f>
        <v>-72369.570000000007</v>
      </c>
      <c r="E285" s="41">
        <f>'A) Base RI'!AP285</f>
        <v>0</v>
      </c>
      <c r="F285" s="41">
        <f>'A) Base RI'!AQ285</f>
        <v>-2180.65</v>
      </c>
      <c r="G285" s="4">
        <f t="shared" si="24"/>
        <v>8692504.5800000001</v>
      </c>
      <c r="H285" s="14">
        <f>'A) Base RI'!E285</f>
        <v>0</v>
      </c>
      <c r="I285" s="14">
        <f>'A) Base RI'!F285</f>
        <v>0</v>
      </c>
      <c r="J285" s="14">
        <f>'A) Base RI'!G285+'A) Base RI'!H285</f>
        <v>339183.85000000003</v>
      </c>
      <c r="K285" s="14">
        <f>'A) Base RI'!I285</f>
        <v>648858.9</v>
      </c>
      <c r="L285" s="14">
        <f>'A) Base RI'!J285</f>
        <v>205936.44</v>
      </c>
      <c r="M285" s="14">
        <f>'A) Base RI'!K285</f>
        <v>14266</v>
      </c>
      <c r="N285" s="14">
        <f>'A) Base RI'!Q285</f>
        <v>40184.85</v>
      </c>
      <c r="O285" s="14">
        <f t="shared" si="25"/>
        <v>808765.75</v>
      </c>
      <c r="P285" s="14">
        <f>'A) Base RI'!L285</f>
        <v>808765.75</v>
      </c>
      <c r="Q285" s="44">
        <f>'A) Base RI'!AR285</f>
        <v>1</v>
      </c>
      <c r="R285" s="4">
        <f t="shared" si="26"/>
        <v>10749700.369999999</v>
      </c>
      <c r="S285" s="43">
        <f>'A) Base RI'!AM285</f>
        <v>66</v>
      </c>
      <c r="T285" s="4">
        <f t="shared" si="27"/>
        <v>9926668.6199999992</v>
      </c>
      <c r="U285" s="4">
        <f t="shared" si="28"/>
        <v>162874.24803030302</v>
      </c>
      <c r="V285" s="14">
        <f>'A) Base RI'!O285</f>
        <v>714160.5</v>
      </c>
      <c r="W285" s="14">
        <f>'A) Base RI'!P285</f>
        <v>472638.5</v>
      </c>
      <c r="X285" s="14">
        <f>'A) Base RI'!R285</f>
        <v>266673.15000000002</v>
      </c>
      <c r="Y285" s="4">
        <f t="shared" si="29"/>
        <v>1453472.15</v>
      </c>
      <c r="Z285" s="14">
        <f>'A) Base RI'!N285</f>
        <v>0</v>
      </c>
      <c r="AA285" s="14">
        <f>'A) Base RI'!S285+'A) Base RI'!T285</f>
        <v>118.9</v>
      </c>
      <c r="AB285" s="14">
        <f>'A) Base RI'!U285</f>
        <v>11440</v>
      </c>
      <c r="AC285" s="14">
        <f>'A) Base RI'!V285</f>
        <v>0</v>
      </c>
      <c r="AD285" s="14">
        <f>'A) Base RI'!W285</f>
        <v>0</v>
      </c>
      <c r="AE285" s="14">
        <f>'A) Base RI'!Y285</f>
        <v>-17067.25</v>
      </c>
      <c r="AF285" s="14">
        <f>'A) Base RI'!Z285</f>
        <v>0</v>
      </c>
      <c r="AG285" s="14">
        <f>'A) Base RI'!AA285</f>
        <v>278639.94</v>
      </c>
      <c r="AH285" s="14">
        <f>'A) Base RI'!AB285</f>
        <v>0</v>
      </c>
      <c r="AI285" s="14">
        <f>'A) Base RI'!AC285</f>
        <v>232156.99</v>
      </c>
      <c r="AJ285" s="14">
        <f>'A) Base RI'!AD285</f>
        <v>0</v>
      </c>
      <c r="AK285" s="14">
        <f>'A) Base RI'!AE285</f>
        <v>0</v>
      </c>
      <c r="AL285" s="14">
        <f>'A) Base RI'!AF285</f>
        <v>0</v>
      </c>
      <c r="AM285" s="14">
        <f>'A) Base RI'!AG285</f>
        <v>0</v>
      </c>
      <c r="AN285" s="14">
        <f>'A) Base RI'!AH285</f>
        <v>0</v>
      </c>
      <c r="AO285" s="14">
        <f>'A) Base RI'!AI285</f>
        <v>0</v>
      </c>
      <c r="AP285" s="14">
        <f>'A) Base RI'!AJ285</f>
        <v>0</v>
      </c>
      <c r="AQ285" s="14">
        <f>'A) Base RI'!AK285</f>
        <v>0</v>
      </c>
      <c r="AR285" s="14">
        <f>'A) Base RI'!AN285</f>
        <v>2889</v>
      </c>
    </row>
    <row r="286" spans="1:44" x14ac:dyDescent="0.25">
      <c r="A286" s="12">
        <f>'A) Base RI'!A286</f>
        <v>5883</v>
      </c>
      <c r="B286" s="42" t="str">
        <f>'A) Base RI'!B286</f>
        <v>Corseaux</v>
      </c>
      <c r="C286" s="14">
        <f>'A) Base RI'!C286+'A) Base RI'!D286</f>
        <v>8125728.0999999996</v>
      </c>
      <c r="D286" s="14">
        <f>'A) Base RI'!AO286</f>
        <v>-203366.76</v>
      </c>
      <c r="E286" s="41">
        <f>'A) Base RI'!AP286</f>
        <v>0</v>
      </c>
      <c r="F286" s="41">
        <f>'A) Base RI'!AQ286</f>
        <v>-11498.93</v>
      </c>
      <c r="G286" s="4">
        <f t="shared" si="24"/>
        <v>7910862.4100000001</v>
      </c>
      <c r="H286" s="14">
        <f>'A) Base RI'!E286</f>
        <v>0</v>
      </c>
      <c r="I286" s="14">
        <f>'A) Base RI'!F286</f>
        <v>0</v>
      </c>
      <c r="J286" s="14">
        <f>'A) Base RI'!G286+'A) Base RI'!H286</f>
        <v>267608.25</v>
      </c>
      <c r="K286" s="14">
        <f>'A) Base RI'!I286</f>
        <v>119265.4</v>
      </c>
      <c r="L286" s="14">
        <f>'A) Base RI'!J286</f>
        <v>163909.34</v>
      </c>
      <c r="M286" s="14">
        <f>'A) Base RI'!K286</f>
        <v>15237.5</v>
      </c>
      <c r="N286" s="14">
        <f>'A) Base RI'!Q286</f>
        <v>179154.01</v>
      </c>
      <c r="O286" s="14">
        <f t="shared" si="25"/>
        <v>586718.55000000005</v>
      </c>
      <c r="P286" s="14">
        <f>'A) Base RI'!L286</f>
        <v>586718.55000000005</v>
      </c>
      <c r="Q286" s="44">
        <f>'A) Base RI'!AR286</f>
        <v>1</v>
      </c>
      <c r="R286" s="4">
        <f t="shared" si="26"/>
        <v>9242755.4600000009</v>
      </c>
      <c r="S286" s="43">
        <f>'A) Base RI'!AM286</f>
        <v>64</v>
      </c>
      <c r="T286" s="4">
        <f t="shared" si="27"/>
        <v>8640799.4100000001</v>
      </c>
      <c r="U286" s="4">
        <f t="shared" si="28"/>
        <v>144418.05406250001</v>
      </c>
      <c r="V286" s="14">
        <f>'A) Base RI'!O286</f>
        <v>303292.90000000002</v>
      </c>
      <c r="W286" s="14">
        <f>'A) Base RI'!P286</f>
        <v>443659.55</v>
      </c>
      <c r="X286" s="14">
        <f>'A) Base RI'!R286</f>
        <v>375029.3</v>
      </c>
      <c r="Y286" s="4">
        <f t="shared" si="29"/>
        <v>1121981.75</v>
      </c>
      <c r="Z286" s="14">
        <f>'A) Base RI'!N286</f>
        <v>4430.75</v>
      </c>
      <c r="AA286" s="14">
        <f>'A) Base RI'!S286+'A) Base RI'!T286</f>
        <v>62.55</v>
      </c>
      <c r="AB286" s="14">
        <f>'A) Base RI'!U286</f>
        <v>4975</v>
      </c>
      <c r="AC286" s="14">
        <f>'A) Base RI'!V286</f>
        <v>0</v>
      </c>
      <c r="AD286" s="14">
        <f>'A) Base RI'!W286</f>
        <v>0</v>
      </c>
      <c r="AE286" s="14">
        <f>'A) Base RI'!Y286</f>
        <v>0</v>
      </c>
      <c r="AF286" s="14">
        <f>'A) Base RI'!Z286</f>
        <v>0</v>
      </c>
      <c r="AG286" s="14">
        <f>'A) Base RI'!AA286</f>
        <v>0</v>
      </c>
      <c r="AH286" s="14">
        <f>'A) Base RI'!AB286</f>
        <v>445640</v>
      </c>
      <c r="AI286" s="14">
        <f>'A) Base RI'!AC286</f>
        <v>374072.41</v>
      </c>
      <c r="AJ286" s="14">
        <f>'A) Base RI'!AD286</f>
        <v>228688.64000000001</v>
      </c>
      <c r="AK286" s="14">
        <f>'A) Base RI'!AE286</f>
        <v>0</v>
      </c>
      <c r="AL286" s="14">
        <f>'A) Base RI'!AF286</f>
        <v>0</v>
      </c>
      <c r="AM286" s="14">
        <f>'A) Base RI'!AG286</f>
        <v>0</v>
      </c>
      <c r="AN286" s="14">
        <f>'A) Base RI'!AH286</f>
        <v>0</v>
      </c>
      <c r="AO286" s="14">
        <f>'A) Base RI'!AI286</f>
        <v>0</v>
      </c>
      <c r="AP286" s="14">
        <f>'A) Base RI'!AJ286</f>
        <v>0</v>
      </c>
      <c r="AQ286" s="14">
        <f>'A) Base RI'!AK286</f>
        <v>0</v>
      </c>
      <c r="AR286" s="14">
        <f>'A) Base RI'!AN286</f>
        <v>2172</v>
      </c>
    </row>
    <row r="287" spans="1:44" x14ac:dyDescent="0.25">
      <c r="A287" s="12">
        <f>'A) Base RI'!A287</f>
        <v>5884</v>
      </c>
      <c r="B287" s="42" t="str">
        <f>'A) Base RI'!B287</f>
        <v>Corsier-sur-Vevey</v>
      </c>
      <c r="C287" s="14">
        <f>'A) Base RI'!C287+'A) Base RI'!D287</f>
        <v>6089252.3600000003</v>
      </c>
      <c r="D287" s="14">
        <f>'A) Base RI'!AO287</f>
        <v>-148978.16</v>
      </c>
      <c r="E287" s="41">
        <f>'A) Base RI'!AP287</f>
        <v>0</v>
      </c>
      <c r="F287" s="41">
        <f>'A) Base RI'!AQ287</f>
        <v>-276.98</v>
      </c>
      <c r="G287" s="4">
        <f t="shared" si="24"/>
        <v>5939997.2199999997</v>
      </c>
      <c r="H287" s="14">
        <f>'A) Base RI'!E287</f>
        <v>0</v>
      </c>
      <c r="I287" s="14">
        <f>'A) Base RI'!F287</f>
        <v>0</v>
      </c>
      <c r="J287" s="14">
        <f>'A) Base RI'!G287+'A) Base RI'!H287</f>
        <v>1541489.59</v>
      </c>
      <c r="K287" s="14">
        <f>'A) Base RI'!I287</f>
        <v>16478.900000000001</v>
      </c>
      <c r="L287" s="14">
        <f>'A) Base RI'!J287</f>
        <v>273364.46000000002</v>
      </c>
      <c r="M287" s="14">
        <f>'A) Base RI'!K287</f>
        <v>166715.5</v>
      </c>
      <c r="N287" s="14">
        <f>'A) Base RI'!Q287</f>
        <v>66588.81</v>
      </c>
      <c r="O287" s="14">
        <f t="shared" si="25"/>
        <v>732441.08333333337</v>
      </c>
      <c r="P287" s="14">
        <f>'A) Base RI'!L287</f>
        <v>878929.3</v>
      </c>
      <c r="Q287" s="44">
        <f>'A) Base RI'!AR287</f>
        <v>1.2</v>
      </c>
      <c r="R287" s="4">
        <f t="shared" si="26"/>
        <v>8737075.5633333325</v>
      </c>
      <c r="S287" s="43">
        <f>'A) Base RI'!AM287</f>
        <v>66</v>
      </c>
      <c r="T287" s="4">
        <f t="shared" si="27"/>
        <v>7837918.9799999995</v>
      </c>
      <c r="U287" s="4">
        <f t="shared" si="28"/>
        <v>132379.93277777778</v>
      </c>
      <c r="V287" s="14">
        <f>'A) Base RI'!O287</f>
        <v>26716.3</v>
      </c>
      <c r="W287" s="14">
        <f>'A) Base RI'!P287</f>
        <v>352541.65</v>
      </c>
      <c r="X287" s="14">
        <f>'A) Base RI'!R287</f>
        <v>140627.29999999999</v>
      </c>
      <c r="Y287" s="4">
        <f t="shared" si="29"/>
        <v>519885.25</v>
      </c>
      <c r="Z287" s="14">
        <f>'A) Base RI'!N287</f>
        <v>276074.8</v>
      </c>
      <c r="AA287" s="14">
        <f>'A) Base RI'!S287+'A) Base RI'!T287</f>
        <v>487.5</v>
      </c>
      <c r="AB287" s="14">
        <f>'A) Base RI'!U287</f>
        <v>17150</v>
      </c>
      <c r="AC287" s="14">
        <f>'A) Base RI'!V287</f>
        <v>0</v>
      </c>
      <c r="AD287" s="14">
        <f>'A) Base RI'!W287</f>
        <v>0</v>
      </c>
      <c r="AE287" s="14">
        <f>'A) Base RI'!Y287</f>
        <v>6153.7</v>
      </c>
      <c r="AF287" s="14">
        <f>'A) Base RI'!Z287</f>
        <v>307721.2</v>
      </c>
      <c r="AG287" s="14">
        <f>'A) Base RI'!AA287</f>
        <v>0</v>
      </c>
      <c r="AH287" s="14">
        <f>'A) Base RI'!AB287</f>
        <v>596673.94999999995</v>
      </c>
      <c r="AI287" s="14">
        <f>'A) Base RI'!AC287</f>
        <v>244009.55</v>
      </c>
      <c r="AJ287" s="14">
        <f>'A) Base RI'!AD287</f>
        <v>0</v>
      </c>
      <c r="AK287" s="14">
        <f>'A) Base RI'!AE287</f>
        <v>0</v>
      </c>
      <c r="AL287" s="14">
        <f>'A) Base RI'!AF287</f>
        <v>0</v>
      </c>
      <c r="AM287" s="14">
        <f>'A) Base RI'!AG287</f>
        <v>14907</v>
      </c>
      <c r="AN287" s="14">
        <f>'A) Base RI'!AH287</f>
        <v>275914.05</v>
      </c>
      <c r="AO287" s="14">
        <f>'A) Base RI'!AI287</f>
        <v>0</v>
      </c>
      <c r="AP287" s="14">
        <f>'A) Base RI'!AJ287</f>
        <v>0</v>
      </c>
      <c r="AQ287" s="14">
        <f>'A) Base RI'!AK287</f>
        <v>0</v>
      </c>
      <c r="AR287" s="14">
        <f>'A) Base RI'!AN287</f>
        <v>3427</v>
      </c>
    </row>
    <row r="288" spans="1:44" x14ac:dyDescent="0.25">
      <c r="A288" s="12">
        <f>'A) Base RI'!A288</f>
        <v>5885</v>
      </c>
      <c r="B288" s="42" t="str">
        <f>'A) Base RI'!B288</f>
        <v>Jongny</v>
      </c>
      <c r="C288" s="14">
        <f>'A) Base RI'!C288+'A) Base RI'!D288</f>
        <v>13114597.529999999</v>
      </c>
      <c r="D288" s="14">
        <f>'A) Base RI'!AO288</f>
        <v>-12401.94</v>
      </c>
      <c r="E288" s="41">
        <f>'A) Base RI'!AP288</f>
        <v>0</v>
      </c>
      <c r="F288" s="41">
        <f>'A) Base RI'!AQ288</f>
        <v>-2502.75</v>
      </c>
      <c r="G288" s="4">
        <f t="shared" si="24"/>
        <v>13099692.84</v>
      </c>
      <c r="H288" s="14">
        <f>'A) Base RI'!E288</f>
        <v>0</v>
      </c>
      <c r="I288" s="14">
        <f>'A) Base RI'!F288</f>
        <v>0</v>
      </c>
      <c r="J288" s="14">
        <f>'A) Base RI'!G288+'A) Base RI'!H288</f>
        <v>48958.8</v>
      </c>
      <c r="K288" s="14">
        <f>'A) Base RI'!I288</f>
        <v>108946.15</v>
      </c>
      <c r="L288" s="14">
        <f>'A) Base RI'!J288</f>
        <v>41176.28</v>
      </c>
      <c r="M288" s="14">
        <f>'A) Base RI'!K288</f>
        <v>7751.5</v>
      </c>
      <c r="N288" s="14">
        <f>'A) Base RI'!Q288</f>
        <v>3664.73</v>
      </c>
      <c r="O288" s="14">
        <f t="shared" si="25"/>
        <v>315659.20833333331</v>
      </c>
      <c r="P288" s="14">
        <f>'A) Base RI'!L288</f>
        <v>378791.05</v>
      </c>
      <c r="Q288" s="44">
        <f>'A) Base RI'!AR288</f>
        <v>1.2</v>
      </c>
      <c r="R288" s="4">
        <f t="shared" si="26"/>
        <v>13625849.508333335</v>
      </c>
      <c r="S288" s="43">
        <f>'A) Base RI'!AM288</f>
        <v>69</v>
      </c>
      <c r="T288" s="4">
        <f t="shared" si="27"/>
        <v>13302438.800000001</v>
      </c>
      <c r="U288" s="4">
        <f t="shared" si="28"/>
        <v>197476.07983091791</v>
      </c>
      <c r="V288" s="14">
        <f>'A) Base RI'!O288</f>
        <v>55331</v>
      </c>
      <c r="W288" s="14">
        <f>'A) Base RI'!P288</f>
        <v>211033.65</v>
      </c>
      <c r="X288" s="14">
        <f>'A) Base RI'!R288</f>
        <v>116776.7</v>
      </c>
      <c r="Y288" s="4">
        <f t="shared" si="29"/>
        <v>383141.35000000003</v>
      </c>
      <c r="Z288" s="14">
        <f>'A) Base RI'!N288</f>
        <v>0</v>
      </c>
      <c r="AA288" s="14">
        <f>'A) Base RI'!S288+'A) Base RI'!T288</f>
        <v>93.75</v>
      </c>
      <c r="AB288" s="14">
        <f>'A) Base RI'!U288</f>
        <v>6750</v>
      </c>
      <c r="AC288" s="14">
        <f>'A) Base RI'!V288</f>
        <v>0</v>
      </c>
      <c r="AD288" s="14">
        <f>'A) Base RI'!W288</f>
        <v>0</v>
      </c>
      <c r="AE288" s="14">
        <f>'A) Base RI'!Y288</f>
        <v>0</v>
      </c>
      <c r="AF288" s="14">
        <f>'A) Base RI'!Z288</f>
        <v>0</v>
      </c>
      <c r="AG288" s="14">
        <f>'A) Base RI'!AA288</f>
        <v>0</v>
      </c>
      <c r="AH288" s="14">
        <f>'A) Base RI'!AB288</f>
        <v>0</v>
      </c>
      <c r="AI288" s="14">
        <f>'A) Base RI'!AC288</f>
        <v>0</v>
      </c>
      <c r="AJ288" s="14">
        <f>'A) Base RI'!AD288</f>
        <v>0</v>
      </c>
      <c r="AK288" s="14">
        <f>'A) Base RI'!AE288</f>
        <v>0</v>
      </c>
      <c r="AL288" s="14">
        <f>'A) Base RI'!AF288</f>
        <v>0</v>
      </c>
      <c r="AM288" s="14">
        <f>'A) Base RI'!AG288</f>
        <v>0</v>
      </c>
      <c r="AN288" s="14">
        <f>'A) Base RI'!AH288</f>
        <v>0</v>
      </c>
      <c r="AO288" s="14">
        <f>'A) Base RI'!AI288</f>
        <v>0</v>
      </c>
      <c r="AP288" s="14">
        <f>'A) Base RI'!AJ288</f>
        <v>0</v>
      </c>
      <c r="AQ288" s="14">
        <f>'A) Base RI'!AK288</f>
        <v>0</v>
      </c>
      <c r="AR288" s="14">
        <f>'A) Base RI'!AN288</f>
        <v>1493</v>
      </c>
    </row>
    <row r="289" spans="1:44" x14ac:dyDescent="0.25">
      <c r="A289" s="12">
        <f>'A) Base RI'!A289</f>
        <v>5886</v>
      </c>
      <c r="B289" s="42" t="str">
        <f>'A) Base RI'!B289</f>
        <v>Montreux</v>
      </c>
      <c r="C289" s="14">
        <f>'A) Base RI'!C289+'A) Base RI'!D289</f>
        <v>52937887.670000002</v>
      </c>
      <c r="D289" s="14">
        <f>'A) Base RI'!AO289</f>
        <v>-1572183.83</v>
      </c>
      <c r="E289" s="41">
        <f>'A) Base RI'!AP289</f>
        <v>0</v>
      </c>
      <c r="F289" s="41">
        <f>'A) Base RI'!AQ289</f>
        <v>-24187.98</v>
      </c>
      <c r="G289" s="4">
        <f t="shared" si="24"/>
        <v>51341515.860000007</v>
      </c>
      <c r="H289" s="14">
        <f>'A) Base RI'!E289</f>
        <v>0</v>
      </c>
      <c r="I289" s="14">
        <f>'A) Base RI'!F289</f>
        <v>0</v>
      </c>
      <c r="J289" s="14">
        <f>'A) Base RI'!G289+'A) Base RI'!H289</f>
        <v>7512891.8500000006</v>
      </c>
      <c r="K289" s="14">
        <f>'A) Base RI'!I289</f>
        <v>3544361.28</v>
      </c>
      <c r="L289" s="14">
        <f>'A) Base RI'!J289</f>
        <v>2751024.59</v>
      </c>
      <c r="M289" s="14">
        <f>'A) Base RI'!K289</f>
        <v>532089.94999999995</v>
      </c>
      <c r="N289" s="14">
        <f>'A) Base RI'!Q289</f>
        <v>458969.03</v>
      </c>
      <c r="O289" s="14">
        <f t="shared" si="25"/>
        <v>6213594.54</v>
      </c>
      <c r="P289" s="14">
        <f>'A) Base RI'!L289</f>
        <v>9320391.8100000005</v>
      </c>
      <c r="Q289" s="44">
        <f>'A) Base RI'!AR289</f>
        <v>1.5</v>
      </c>
      <c r="R289" s="4">
        <f t="shared" si="26"/>
        <v>72354447.100000024</v>
      </c>
      <c r="S289" s="43">
        <f>'A) Base RI'!AM289</f>
        <v>65</v>
      </c>
      <c r="T289" s="4">
        <f t="shared" si="27"/>
        <v>65608762.610000014</v>
      </c>
      <c r="U289" s="4">
        <f t="shared" si="28"/>
        <v>1113145.3400000003</v>
      </c>
      <c r="V289" s="14">
        <f>'A) Base RI'!O289</f>
        <v>4393730.5999999996</v>
      </c>
      <c r="W289" s="14">
        <f>'A) Base RI'!P289</f>
        <v>5594004.7999999998</v>
      </c>
      <c r="X289" s="14">
        <f>'A) Base RI'!R289</f>
        <v>3407815.55</v>
      </c>
      <c r="Y289" s="4">
        <f t="shared" si="29"/>
        <v>13395550.949999999</v>
      </c>
      <c r="Z289" s="14">
        <f>'A) Base RI'!N289</f>
        <v>803251.7</v>
      </c>
      <c r="AA289" s="14">
        <f>'A) Base RI'!S289+'A) Base RI'!T289</f>
        <v>4162.5</v>
      </c>
      <c r="AB289" s="14">
        <f>'A) Base RI'!U289</f>
        <v>118450</v>
      </c>
      <c r="AC289" s="14">
        <f>'A) Base RI'!V289</f>
        <v>0</v>
      </c>
      <c r="AD289" s="14">
        <f>'A) Base RI'!W289</f>
        <v>0</v>
      </c>
      <c r="AE289" s="14">
        <f>'A) Base RI'!Y289</f>
        <v>0</v>
      </c>
      <c r="AF289" s="14">
        <f>'A) Base RI'!Z289</f>
        <v>0</v>
      </c>
      <c r="AG289" s="14">
        <f>'A) Base RI'!AA289</f>
        <v>2562734.35</v>
      </c>
      <c r="AH289" s="14">
        <f>'A) Base RI'!AB289</f>
        <v>0</v>
      </c>
      <c r="AI289" s="14">
        <f>'A) Base RI'!AC289</f>
        <v>3970623.05</v>
      </c>
      <c r="AJ289" s="14">
        <f>'A) Base RI'!AD289</f>
        <v>0</v>
      </c>
      <c r="AK289" s="14">
        <f>'A) Base RI'!AE289</f>
        <v>0</v>
      </c>
      <c r="AL289" s="14">
        <f>'A) Base RI'!AF289</f>
        <v>0</v>
      </c>
      <c r="AM289" s="14">
        <f>'A) Base RI'!AG289</f>
        <v>0</v>
      </c>
      <c r="AN289" s="14">
        <f>'A) Base RI'!AH289</f>
        <v>0</v>
      </c>
      <c r="AO289" s="14">
        <f>'A) Base RI'!AI289</f>
        <v>0</v>
      </c>
      <c r="AP289" s="14">
        <f>'A) Base RI'!AJ289</f>
        <v>0</v>
      </c>
      <c r="AQ289" s="14">
        <f>'A) Base RI'!AK289</f>
        <v>0</v>
      </c>
      <c r="AR289" s="14">
        <f>'A) Base RI'!AN289</f>
        <v>26283</v>
      </c>
    </row>
    <row r="290" spans="1:44" x14ac:dyDescent="0.25">
      <c r="A290" s="12">
        <f>'A) Base RI'!A290</f>
        <v>5888</v>
      </c>
      <c r="B290" s="42" t="str">
        <f>'A) Base RI'!B290</f>
        <v>Saint-Légier-La Chiésaz</v>
      </c>
      <c r="C290" s="14">
        <f>'A) Base RI'!C290+'A) Base RI'!D290</f>
        <v>18037566.469999999</v>
      </c>
      <c r="D290" s="14">
        <f>'A) Base RI'!AO290</f>
        <v>-330586.90999999997</v>
      </c>
      <c r="E290" s="41">
        <f>'A) Base RI'!AP290</f>
        <v>0</v>
      </c>
      <c r="F290" s="41">
        <f>'A) Base RI'!AQ290</f>
        <v>-8035.57</v>
      </c>
      <c r="G290" s="4">
        <f t="shared" si="24"/>
        <v>17698943.989999998</v>
      </c>
      <c r="H290" s="14">
        <f>'A) Base RI'!E290</f>
        <v>0</v>
      </c>
      <c r="I290" s="14">
        <f>'A) Base RI'!F290</f>
        <v>0</v>
      </c>
      <c r="J290" s="14">
        <f>'A) Base RI'!G290+'A) Base RI'!H290</f>
        <v>684885.15</v>
      </c>
      <c r="K290" s="14">
        <f>'A) Base RI'!I290</f>
        <v>389017.5</v>
      </c>
      <c r="L290" s="14">
        <f>'A) Base RI'!J290</f>
        <v>359004.09</v>
      </c>
      <c r="M290" s="14">
        <f>'A) Base RI'!K290</f>
        <v>36325.5</v>
      </c>
      <c r="N290" s="14">
        <f>'A) Base RI'!Q290</f>
        <v>180523.26</v>
      </c>
      <c r="O290" s="14">
        <f t="shared" si="25"/>
        <v>1332324.5</v>
      </c>
      <c r="P290" s="14">
        <f>'A) Base RI'!L290</f>
        <v>1332324.5</v>
      </c>
      <c r="Q290" s="44">
        <f>'A) Base RI'!AR290</f>
        <v>1</v>
      </c>
      <c r="R290" s="4">
        <f t="shared" si="26"/>
        <v>20681023.989999998</v>
      </c>
      <c r="S290" s="43">
        <f>'A) Base RI'!AM290</f>
        <v>66</v>
      </c>
      <c r="T290" s="4">
        <f t="shared" si="27"/>
        <v>19312373.989999998</v>
      </c>
      <c r="U290" s="4">
        <f t="shared" si="28"/>
        <v>313348.84833333333</v>
      </c>
      <c r="V290" s="14">
        <f>'A) Base RI'!O290</f>
        <v>188428.5</v>
      </c>
      <c r="W290" s="14">
        <f>'A) Base RI'!P290</f>
        <v>616858.65</v>
      </c>
      <c r="X290" s="14">
        <f>'A) Base RI'!R290</f>
        <v>465120.65</v>
      </c>
      <c r="Y290" s="4">
        <f t="shared" si="29"/>
        <v>1270407.8</v>
      </c>
      <c r="Z290" s="14">
        <f>'A) Base RI'!N290</f>
        <v>140293.25</v>
      </c>
      <c r="AA290" s="14">
        <f>'A) Base RI'!S290+'A) Base RI'!T290</f>
        <v>143.75</v>
      </c>
      <c r="AB290" s="14">
        <f>'A) Base RI'!U290</f>
        <v>34650</v>
      </c>
      <c r="AC290" s="14">
        <f>'A) Base RI'!V290</f>
        <v>0</v>
      </c>
      <c r="AD290" s="14">
        <f>'A) Base RI'!W290</f>
        <v>0</v>
      </c>
      <c r="AE290" s="14">
        <f>'A) Base RI'!Y290</f>
        <v>81125.600000000006</v>
      </c>
      <c r="AF290" s="14">
        <f>'A) Base RI'!Z290</f>
        <v>0</v>
      </c>
      <c r="AG290" s="14">
        <f>'A) Base RI'!AA290</f>
        <v>699846.86</v>
      </c>
      <c r="AH290" s="14">
        <f>'A) Base RI'!AB290</f>
        <v>965603.9</v>
      </c>
      <c r="AI290" s="14">
        <f>'A) Base RI'!AC290</f>
        <v>375372.84</v>
      </c>
      <c r="AJ290" s="14">
        <f>'A) Base RI'!AD290</f>
        <v>86243.31</v>
      </c>
      <c r="AK290" s="14">
        <f>'A) Base RI'!AE290</f>
        <v>0</v>
      </c>
      <c r="AL290" s="14">
        <f>'A) Base RI'!AF290</f>
        <v>0</v>
      </c>
      <c r="AM290" s="14">
        <f>'A) Base RI'!AG290</f>
        <v>22859</v>
      </c>
      <c r="AN290" s="14">
        <f>'A) Base RI'!AH290</f>
        <v>0</v>
      </c>
      <c r="AO290" s="14">
        <f>'A) Base RI'!AI290</f>
        <v>0</v>
      </c>
      <c r="AP290" s="14">
        <f>'A) Base RI'!AJ290</f>
        <v>0</v>
      </c>
      <c r="AQ290" s="14">
        <f>'A) Base RI'!AK290</f>
        <v>0</v>
      </c>
      <c r="AR290" s="14">
        <f>'A) Base RI'!AN290</f>
        <v>5071</v>
      </c>
    </row>
    <row r="291" spans="1:44" x14ac:dyDescent="0.25">
      <c r="A291" s="12">
        <f>'A) Base RI'!A291</f>
        <v>5889</v>
      </c>
      <c r="B291" s="42" t="str">
        <f>'A) Base RI'!B291</f>
        <v>La Tour-de-Peilz</v>
      </c>
      <c r="C291" s="14">
        <f>'A) Base RI'!C291+'A) Base RI'!D291</f>
        <v>25424829.850000001</v>
      </c>
      <c r="D291" s="14">
        <f>'A) Base RI'!AO291</f>
        <v>-467604.81</v>
      </c>
      <c r="E291" s="41">
        <f>'A) Base RI'!AP291</f>
        <v>0</v>
      </c>
      <c r="F291" s="41">
        <f>'A) Base RI'!AQ291</f>
        <v>-12558.82</v>
      </c>
      <c r="G291" s="4">
        <f t="shared" si="24"/>
        <v>24944666.220000003</v>
      </c>
      <c r="H291" s="14">
        <f>'A) Base RI'!E291</f>
        <v>0</v>
      </c>
      <c r="I291" s="14">
        <f>'A) Base RI'!F291</f>
        <v>0</v>
      </c>
      <c r="J291" s="14">
        <f>'A) Base RI'!G291+'A) Base RI'!H291</f>
        <v>8557530.3999999985</v>
      </c>
      <c r="K291" s="14">
        <f>'A) Base RI'!I291</f>
        <v>797235.17</v>
      </c>
      <c r="L291" s="14">
        <f>'A) Base RI'!J291</f>
        <v>1160691.54</v>
      </c>
      <c r="M291" s="14">
        <f>'A) Base RI'!K291</f>
        <v>146088</v>
      </c>
      <c r="N291" s="14">
        <f>'A) Base RI'!Q291</f>
        <v>182421.31</v>
      </c>
      <c r="O291" s="14">
        <f t="shared" si="25"/>
        <v>1980420.7083333335</v>
      </c>
      <c r="P291" s="14">
        <f>'A) Base RI'!L291</f>
        <v>2376504.85</v>
      </c>
      <c r="Q291" s="44">
        <f>'A) Base RI'!AR291</f>
        <v>1.2</v>
      </c>
      <c r="R291" s="4">
        <f t="shared" si="26"/>
        <v>37769053.348333336</v>
      </c>
      <c r="S291" s="43">
        <f>'A) Base RI'!AM291</f>
        <v>64</v>
      </c>
      <c r="T291" s="4">
        <f t="shared" si="27"/>
        <v>35642544.640000001</v>
      </c>
      <c r="U291" s="4">
        <f t="shared" si="28"/>
        <v>590141.45856770838</v>
      </c>
      <c r="V291" s="14">
        <f>'A) Base RI'!O291</f>
        <v>816285</v>
      </c>
      <c r="W291" s="14">
        <f>'A) Base RI'!P291</f>
        <v>794729.85</v>
      </c>
      <c r="X291" s="14">
        <f>'A) Base RI'!R291</f>
        <v>492402.2</v>
      </c>
      <c r="Y291" s="4">
        <f t="shared" si="29"/>
        <v>2103417.0500000003</v>
      </c>
      <c r="Z291" s="14">
        <f>'A) Base RI'!N291</f>
        <v>93323.5</v>
      </c>
      <c r="AA291" s="14">
        <f>'A) Base RI'!S291+'A) Base RI'!T291</f>
        <v>1293.75</v>
      </c>
      <c r="AB291" s="14">
        <f>'A) Base RI'!U291</f>
        <v>39350</v>
      </c>
      <c r="AC291" s="14">
        <f>'A) Base RI'!V291</f>
        <v>0</v>
      </c>
      <c r="AD291" s="14">
        <f>'A) Base RI'!W291</f>
        <v>220224.67</v>
      </c>
      <c r="AE291" s="14">
        <f>'A) Base RI'!Y291</f>
        <v>2666.25</v>
      </c>
      <c r="AF291" s="14">
        <f>'A) Base RI'!Z291</f>
        <v>0</v>
      </c>
      <c r="AG291" s="14">
        <f>'A) Base RI'!AA291</f>
        <v>443443.85</v>
      </c>
      <c r="AH291" s="14">
        <f>'A) Base RI'!AB291</f>
        <v>1719215.85</v>
      </c>
      <c r="AI291" s="14">
        <f>'A) Base RI'!AC291</f>
        <v>0</v>
      </c>
      <c r="AJ291" s="14">
        <f>'A) Base RI'!AD291</f>
        <v>0</v>
      </c>
      <c r="AK291" s="14">
        <f>'A) Base RI'!AE291</f>
        <v>0</v>
      </c>
      <c r="AL291" s="14">
        <f>'A) Base RI'!AF291</f>
        <v>0</v>
      </c>
      <c r="AM291" s="14">
        <f>'A) Base RI'!AG291</f>
        <v>0</v>
      </c>
      <c r="AN291" s="14">
        <f>'A) Base RI'!AH291</f>
        <v>0</v>
      </c>
      <c r="AO291" s="14">
        <f>'A) Base RI'!AI291</f>
        <v>0</v>
      </c>
      <c r="AP291" s="14">
        <f>'A) Base RI'!AJ291</f>
        <v>0</v>
      </c>
      <c r="AQ291" s="14">
        <f>'A) Base RI'!AK291</f>
        <v>0</v>
      </c>
      <c r="AR291" s="14">
        <f>'A) Base RI'!AN291</f>
        <v>11421</v>
      </c>
    </row>
    <row r="292" spans="1:44" x14ac:dyDescent="0.25">
      <c r="A292" s="12">
        <f>'A) Base RI'!A292</f>
        <v>5890</v>
      </c>
      <c r="B292" s="42" t="str">
        <f>'A) Base RI'!B292</f>
        <v>Vevey</v>
      </c>
      <c r="C292" s="14">
        <f>'A) Base RI'!C292+'A) Base RI'!D292</f>
        <v>39224274.350000001</v>
      </c>
      <c r="D292" s="14">
        <f>'A) Base RI'!AO292</f>
        <v>-972164.95</v>
      </c>
      <c r="E292" s="41">
        <f>'A) Base RI'!AP292</f>
        <v>0</v>
      </c>
      <c r="F292" s="41">
        <f>'A) Base RI'!AQ292</f>
        <v>-19920.97</v>
      </c>
      <c r="G292" s="4">
        <f t="shared" si="24"/>
        <v>38232188.43</v>
      </c>
      <c r="H292" s="14">
        <f>'A) Base RI'!E292</f>
        <v>0</v>
      </c>
      <c r="I292" s="14">
        <f>'A) Base RI'!F292</f>
        <v>0</v>
      </c>
      <c r="J292" s="14">
        <f>'A) Base RI'!G292+'A) Base RI'!H292</f>
        <v>19616933.850000001</v>
      </c>
      <c r="K292" s="14">
        <f>'A) Base RI'!I292</f>
        <v>536442.19999999995</v>
      </c>
      <c r="L292" s="14">
        <f>'A) Base RI'!J292</f>
        <v>4762131.2</v>
      </c>
      <c r="M292" s="14">
        <f>'A) Base RI'!K292</f>
        <v>513240</v>
      </c>
      <c r="N292" s="14">
        <f>'A) Base RI'!Q292</f>
        <v>508956.31</v>
      </c>
      <c r="O292" s="14">
        <f t="shared" si="25"/>
        <v>3147473.625</v>
      </c>
      <c r="P292" s="14">
        <f>'A) Base RI'!L292</f>
        <v>3776968.35</v>
      </c>
      <c r="Q292" s="44">
        <f>'A) Base RI'!AR292</f>
        <v>1.2</v>
      </c>
      <c r="R292" s="4">
        <f t="shared" si="26"/>
        <v>67317365.61500001</v>
      </c>
      <c r="S292" s="43">
        <f>'A) Base RI'!AM292</f>
        <v>73</v>
      </c>
      <c r="T292" s="4">
        <f t="shared" si="27"/>
        <v>63656651.99000001</v>
      </c>
      <c r="U292" s="4">
        <f t="shared" si="28"/>
        <v>922155.6933561645</v>
      </c>
      <c r="V292" s="14">
        <f>'A) Base RI'!O292</f>
        <v>1398346.6</v>
      </c>
      <c r="W292" s="14">
        <f>'A) Base RI'!P292</f>
        <v>1869909.6</v>
      </c>
      <c r="X292" s="14">
        <f>'A) Base RI'!R292</f>
        <v>816410.1</v>
      </c>
      <c r="Y292" s="4">
        <f t="shared" si="29"/>
        <v>4084666.3000000003</v>
      </c>
      <c r="Z292" s="14">
        <f>'A) Base RI'!N292</f>
        <v>1004989.85</v>
      </c>
      <c r="AA292" s="14">
        <f>'A) Base RI'!S292+'A) Base RI'!T292</f>
        <v>4043.75</v>
      </c>
      <c r="AB292" s="14">
        <f>'A) Base RI'!U292</f>
        <v>52875</v>
      </c>
      <c r="AC292" s="14">
        <f>'A) Base RI'!V292</f>
        <v>0</v>
      </c>
      <c r="AD292" s="14">
        <f>'A) Base RI'!W292</f>
        <v>0</v>
      </c>
      <c r="AE292" s="14">
        <f>'A) Base RI'!Y292</f>
        <v>0</v>
      </c>
      <c r="AF292" s="14">
        <f>'A) Base RI'!Z292</f>
        <v>0</v>
      </c>
      <c r="AG292" s="14">
        <f>'A) Base RI'!AA292</f>
        <v>907718.7</v>
      </c>
      <c r="AH292" s="14">
        <f>'A) Base RI'!AB292</f>
        <v>0</v>
      </c>
      <c r="AI292" s="14">
        <f>'A) Base RI'!AC292</f>
        <v>1243264.6200000001</v>
      </c>
      <c r="AJ292" s="14">
        <f>'A) Base RI'!AD292</f>
        <v>0</v>
      </c>
      <c r="AK292" s="14">
        <f>'A) Base RI'!AE292</f>
        <v>0</v>
      </c>
      <c r="AL292" s="14">
        <f>'A) Base RI'!AF292</f>
        <v>0</v>
      </c>
      <c r="AM292" s="14">
        <f>'A) Base RI'!AG292</f>
        <v>0</v>
      </c>
      <c r="AN292" s="14">
        <f>'A) Base RI'!AH292</f>
        <v>663245.1</v>
      </c>
      <c r="AO292" s="14">
        <f>'A) Base RI'!AI292</f>
        <v>0</v>
      </c>
      <c r="AP292" s="14">
        <f>'A) Base RI'!AJ292</f>
        <v>190355.75</v>
      </c>
      <c r="AQ292" s="14">
        <f>'A) Base RI'!AK292</f>
        <v>0</v>
      </c>
      <c r="AR292" s="14">
        <f>'A) Base RI'!AN292</f>
        <v>19217</v>
      </c>
    </row>
    <row r="293" spans="1:44" x14ac:dyDescent="0.25">
      <c r="A293" s="12">
        <f>'A) Base RI'!A293</f>
        <v>5891</v>
      </c>
      <c r="B293" s="42" t="str">
        <f>'A) Base RI'!B293</f>
        <v>Veytaux</v>
      </c>
      <c r="C293" s="14">
        <f>'A) Base RI'!C293+'A) Base RI'!D293</f>
        <v>2216285.06</v>
      </c>
      <c r="D293" s="14">
        <f>'A) Base RI'!AO293</f>
        <v>-98596.09</v>
      </c>
      <c r="E293" s="41">
        <f>'A) Base RI'!AP293</f>
        <v>0</v>
      </c>
      <c r="F293" s="41">
        <f>'A) Base RI'!AQ293</f>
        <v>-1914.92</v>
      </c>
      <c r="G293" s="4">
        <f t="shared" si="24"/>
        <v>2115774.0500000003</v>
      </c>
      <c r="H293" s="14">
        <f>'A) Base RI'!E293</f>
        <v>0</v>
      </c>
      <c r="I293" s="14">
        <f>'A) Base RI'!F293</f>
        <v>0</v>
      </c>
      <c r="J293" s="14">
        <f>'A) Base RI'!G293+'A) Base RI'!H293</f>
        <v>125894.09999999999</v>
      </c>
      <c r="K293" s="14">
        <f>'A) Base RI'!I293</f>
        <v>40102.449999999997</v>
      </c>
      <c r="L293" s="14">
        <f>'A) Base RI'!J293</f>
        <v>38962.089999999997</v>
      </c>
      <c r="M293" s="14">
        <f>'A) Base RI'!K293</f>
        <v>12181</v>
      </c>
      <c r="N293" s="14">
        <f>'A) Base RI'!Q293</f>
        <v>13169.34</v>
      </c>
      <c r="O293" s="14">
        <f t="shared" si="25"/>
        <v>224818.66666666669</v>
      </c>
      <c r="P293" s="14">
        <f>'A) Base RI'!L293</f>
        <v>269782.40000000002</v>
      </c>
      <c r="Q293" s="44">
        <f>'A) Base RI'!AR293</f>
        <v>1.2</v>
      </c>
      <c r="R293" s="4">
        <f t="shared" si="26"/>
        <v>2570901.6966666668</v>
      </c>
      <c r="S293" s="43">
        <f>'A) Base RI'!AM293</f>
        <v>69</v>
      </c>
      <c r="T293" s="4">
        <f t="shared" si="27"/>
        <v>2333902.0300000003</v>
      </c>
      <c r="U293" s="4">
        <f t="shared" si="28"/>
        <v>37259.444879227056</v>
      </c>
      <c r="V293" s="14">
        <f>'A) Base RI'!O293</f>
        <v>0</v>
      </c>
      <c r="W293" s="14">
        <f>'A) Base RI'!P293</f>
        <v>137655.70000000001</v>
      </c>
      <c r="X293" s="14">
        <f>'A) Base RI'!R293</f>
        <v>87678.2</v>
      </c>
      <c r="Y293" s="4">
        <f t="shared" si="29"/>
        <v>225333.90000000002</v>
      </c>
      <c r="Z293" s="14">
        <f>'A) Base RI'!N293</f>
        <v>0</v>
      </c>
      <c r="AA293" s="14">
        <f>'A) Base RI'!S293+'A) Base RI'!T293</f>
        <v>125</v>
      </c>
      <c r="AB293" s="14">
        <f>'A) Base RI'!U293</f>
        <v>3750</v>
      </c>
      <c r="AC293" s="14">
        <f>'A) Base RI'!V293</f>
        <v>243738.85</v>
      </c>
      <c r="AD293" s="14">
        <f>'A) Base RI'!W293</f>
        <v>0</v>
      </c>
      <c r="AE293" s="14">
        <f>'A) Base RI'!Y293</f>
        <v>33839.599999999999</v>
      </c>
      <c r="AF293" s="14">
        <f>'A) Base RI'!Z293</f>
        <v>0</v>
      </c>
      <c r="AG293" s="14">
        <f>'A) Base RI'!AA293</f>
        <v>121519.4</v>
      </c>
      <c r="AH293" s="14">
        <f>'A) Base RI'!AB293</f>
        <v>0</v>
      </c>
      <c r="AI293" s="14">
        <f>'A) Base RI'!AC293</f>
        <v>89579.9</v>
      </c>
      <c r="AJ293" s="14">
        <f>'A) Base RI'!AD293</f>
        <v>0</v>
      </c>
      <c r="AK293" s="14">
        <f>'A) Base RI'!AE293</f>
        <v>0</v>
      </c>
      <c r="AL293" s="14">
        <f>'A) Base RI'!AF293</f>
        <v>0</v>
      </c>
      <c r="AM293" s="14">
        <f>'A) Base RI'!AG293</f>
        <v>0</v>
      </c>
      <c r="AN293" s="14">
        <f>'A) Base RI'!AH293</f>
        <v>63454.1</v>
      </c>
      <c r="AO293" s="14">
        <f>'A) Base RI'!AI293</f>
        <v>0</v>
      </c>
      <c r="AP293" s="14">
        <f>'A) Base RI'!AJ293</f>
        <v>0</v>
      </c>
      <c r="AQ293" s="14">
        <f>'A) Base RI'!AK293</f>
        <v>18129.75</v>
      </c>
      <c r="AR293" s="14">
        <f>'A) Base RI'!AN293</f>
        <v>854</v>
      </c>
    </row>
    <row r="294" spans="1:44" x14ac:dyDescent="0.25">
      <c r="A294" s="12">
        <f>'A) Base RI'!A294</f>
        <v>5902</v>
      </c>
      <c r="B294" s="42" t="str">
        <f>'A) Base RI'!B294</f>
        <v>Belmont-sur-Yverdon</v>
      </c>
      <c r="C294" s="14">
        <f>'A) Base RI'!C294+'A) Base RI'!D294</f>
        <v>587496.9</v>
      </c>
      <c r="D294" s="14">
        <f>'A) Base RI'!AO294</f>
        <v>-94.49</v>
      </c>
      <c r="E294" s="41">
        <f>'A) Base RI'!AP294</f>
        <v>0</v>
      </c>
      <c r="F294" s="41">
        <f>'A) Base RI'!AQ294</f>
        <v>0</v>
      </c>
      <c r="G294" s="4">
        <f t="shared" si="24"/>
        <v>587402.41</v>
      </c>
      <c r="H294" s="14">
        <f>'A) Base RI'!E294</f>
        <v>0</v>
      </c>
      <c r="I294" s="14">
        <f>'A) Base RI'!F294</f>
        <v>0</v>
      </c>
      <c r="J294" s="14">
        <f>'A) Base RI'!G294+'A) Base RI'!H294</f>
        <v>3919.5</v>
      </c>
      <c r="K294" s="14">
        <f>'A) Base RI'!I294</f>
        <v>0</v>
      </c>
      <c r="L294" s="14">
        <f>'A) Base RI'!J294</f>
        <v>16820.37</v>
      </c>
      <c r="M294" s="14">
        <f>'A) Base RI'!K294</f>
        <v>0</v>
      </c>
      <c r="N294" s="14">
        <f>'A) Base RI'!Q294</f>
        <v>0</v>
      </c>
      <c r="O294" s="14">
        <f t="shared" si="25"/>
        <v>48666.8</v>
      </c>
      <c r="P294" s="14">
        <f>'A) Base RI'!L294</f>
        <v>48666.8</v>
      </c>
      <c r="Q294" s="44">
        <f>'A) Base RI'!AR294</f>
        <v>1</v>
      </c>
      <c r="R294" s="4">
        <f t="shared" si="26"/>
        <v>656809.08000000007</v>
      </c>
      <c r="S294" s="43">
        <f>'A) Base RI'!AM294</f>
        <v>76</v>
      </c>
      <c r="T294" s="4">
        <f t="shared" si="27"/>
        <v>608142.28</v>
      </c>
      <c r="U294" s="4">
        <f t="shared" si="28"/>
        <v>8642.2247368421067</v>
      </c>
      <c r="V294" s="14">
        <f>'A) Base RI'!O294</f>
        <v>7253</v>
      </c>
      <c r="W294" s="14">
        <f>'A) Base RI'!P294</f>
        <v>44466.9</v>
      </c>
      <c r="X294" s="14">
        <f>'A) Base RI'!R294</f>
        <v>57201.55</v>
      </c>
      <c r="Y294" s="4">
        <f t="shared" si="29"/>
        <v>108921.45000000001</v>
      </c>
      <c r="Z294" s="14">
        <f>'A) Base RI'!N294</f>
        <v>7346.95</v>
      </c>
      <c r="AA294" s="14">
        <f>'A) Base RI'!S294+'A) Base RI'!T294</f>
        <v>550</v>
      </c>
      <c r="AB294" s="14">
        <f>'A) Base RI'!U294</f>
        <v>4300</v>
      </c>
      <c r="AC294" s="14">
        <f>'A) Base RI'!V294</f>
        <v>90</v>
      </c>
      <c r="AD294" s="14">
        <f>'A) Base RI'!W294</f>
        <v>0</v>
      </c>
      <c r="AE294" s="14">
        <f>'A) Base RI'!Y294</f>
        <v>3350</v>
      </c>
      <c r="AF294" s="14">
        <f>'A) Base RI'!Z294</f>
        <v>0</v>
      </c>
      <c r="AG294" s="14">
        <f>'A) Base RI'!AA294</f>
        <v>48161.4</v>
      </c>
      <c r="AH294" s="14">
        <f>'A) Base RI'!AB294</f>
        <v>0</v>
      </c>
      <c r="AI294" s="14">
        <f>'A) Base RI'!AC294</f>
        <v>24306.2</v>
      </c>
      <c r="AJ294" s="14">
        <f>'A) Base RI'!AD294</f>
        <v>5205</v>
      </c>
      <c r="AK294" s="14">
        <f>'A) Base RI'!AE294</f>
        <v>0</v>
      </c>
      <c r="AL294" s="14">
        <f>'A) Base RI'!AF294</f>
        <v>0</v>
      </c>
      <c r="AM294" s="14">
        <f>'A) Base RI'!AG294</f>
        <v>0</v>
      </c>
      <c r="AN294" s="14">
        <f>'A) Base RI'!AH294</f>
        <v>0</v>
      </c>
      <c r="AO294" s="14">
        <f>'A) Base RI'!AI294</f>
        <v>0</v>
      </c>
      <c r="AP294" s="14">
        <f>'A) Base RI'!AJ294</f>
        <v>0</v>
      </c>
      <c r="AQ294" s="14">
        <f>'A) Base RI'!AK294</f>
        <v>0</v>
      </c>
      <c r="AR294" s="14">
        <f>'A) Base RI'!AN294</f>
        <v>369</v>
      </c>
    </row>
    <row r="295" spans="1:44" x14ac:dyDescent="0.25">
      <c r="A295" s="12">
        <f>'A) Base RI'!A295</f>
        <v>5903</v>
      </c>
      <c r="B295" s="42" t="str">
        <f>'A) Base RI'!B295</f>
        <v>Bioley-Magnoux</v>
      </c>
      <c r="C295" s="14">
        <f>'A) Base RI'!C295+'A) Base RI'!D295</f>
        <v>406240.49000000005</v>
      </c>
      <c r="D295" s="14">
        <f>'A) Base RI'!AO295</f>
        <v>-2955.37</v>
      </c>
      <c r="E295" s="41">
        <f>'A) Base RI'!AP295</f>
        <v>0</v>
      </c>
      <c r="F295" s="41">
        <f>'A) Base RI'!AQ295</f>
        <v>0</v>
      </c>
      <c r="G295" s="4">
        <f t="shared" si="24"/>
        <v>403285.12000000005</v>
      </c>
      <c r="H295" s="14">
        <f>'A) Base RI'!E295</f>
        <v>0</v>
      </c>
      <c r="I295" s="14">
        <f>'A) Base RI'!F295</f>
        <v>0</v>
      </c>
      <c r="J295" s="14">
        <f>'A) Base RI'!G295+'A) Base RI'!H295</f>
        <v>8334.85</v>
      </c>
      <c r="K295" s="14">
        <f>'A) Base RI'!I295</f>
        <v>0</v>
      </c>
      <c r="L295" s="14">
        <f>'A) Base RI'!J295</f>
        <v>5979.54</v>
      </c>
      <c r="M295" s="14">
        <f>'A) Base RI'!K295</f>
        <v>0</v>
      </c>
      <c r="N295" s="14">
        <f>'A) Base RI'!Q295</f>
        <v>0</v>
      </c>
      <c r="O295" s="14">
        <f t="shared" si="25"/>
        <v>29843.500000000004</v>
      </c>
      <c r="P295" s="14">
        <f>'A) Base RI'!L295</f>
        <v>20890.45</v>
      </c>
      <c r="Q295" s="44">
        <f>'A) Base RI'!AR295</f>
        <v>0.7</v>
      </c>
      <c r="R295" s="4">
        <f t="shared" si="26"/>
        <v>447443.01</v>
      </c>
      <c r="S295" s="43">
        <f>'A) Base RI'!AM295</f>
        <v>74</v>
      </c>
      <c r="T295" s="4">
        <f t="shared" si="27"/>
        <v>417599.51</v>
      </c>
      <c r="U295" s="4">
        <f t="shared" si="28"/>
        <v>6046.5271621621623</v>
      </c>
      <c r="V295" s="14">
        <f>'A) Base RI'!O295</f>
        <v>34609.599999999999</v>
      </c>
      <c r="W295" s="14">
        <f>'A) Base RI'!P295</f>
        <v>18039.95</v>
      </c>
      <c r="X295" s="14">
        <f>'A) Base RI'!R295</f>
        <v>36597.4</v>
      </c>
      <c r="Y295" s="4">
        <f t="shared" si="29"/>
        <v>89246.950000000012</v>
      </c>
      <c r="Z295" s="14">
        <f>'A) Base RI'!N295</f>
        <v>2883.45</v>
      </c>
      <c r="AA295" s="14">
        <f>'A) Base RI'!S295+'A) Base RI'!T295</f>
        <v>31.25</v>
      </c>
      <c r="AB295" s="14">
        <f>'A) Base RI'!U295</f>
        <v>1160</v>
      </c>
      <c r="AC295" s="14">
        <f>'A) Base RI'!V295</f>
        <v>0</v>
      </c>
      <c r="AD295" s="14">
        <f>'A) Base RI'!W295</f>
        <v>0</v>
      </c>
      <c r="AE295" s="14">
        <f>'A) Base RI'!Y295</f>
        <v>0</v>
      </c>
      <c r="AF295" s="14">
        <f>'A) Base RI'!Z295</f>
        <v>0</v>
      </c>
      <c r="AG295" s="14">
        <f>'A) Base RI'!AA295</f>
        <v>13932</v>
      </c>
      <c r="AH295" s="14">
        <f>'A) Base RI'!AB295</f>
        <v>0</v>
      </c>
      <c r="AI295" s="14">
        <f>'A) Base RI'!AC295</f>
        <v>7440.65</v>
      </c>
      <c r="AJ295" s="14">
        <f>'A) Base RI'!AD295</f>
        <v>0</v>
      </c>
      <c r="AK295" s="14">
        <f>'A) Base RI'!AE295</f>
        <v>0</v>
      </c>
      <c r="AL295" s="14">
        <f>'A) Base RI'!AF295</f>
        <v>0</v>
      </c>
      <c r="AM295" s="14">
        <f>'A) Base RI'!AG295</f>
        <v>0</v>
      </c>
      <c r="AN295" s="14">
        <f>'A) Base RI'!AH295</f>
        <v>0</v>
      </c>
      <c r="AO295" s="14">
        <f>'A) Base RI'!AI295</f>
        <v>0</v>
      </c>
      <c r="AP295" s="14">
        <f>'A) Base RI'!AJ295</f>
        <v>0</v>
      </c>
      <c r="AQ295" s="14">
        <f>'A) Base RI'!AK295</f>
        <v>0</v>
      </c>
      <c r="AR295" s="14">
        <f>'A) Base RI'!AN295</f>
        <v>201</v>
      </c>
    </row>
    <row r="296" spans="1:44" x14ac:dyDescent="0.25">
      <c r="A296" s="12">
        <f>'A) Base RI'!A296</f>
        <v>5904</v>
      </c>
      <c r="B296" s="42" t="str">
        <f>'A) Base RI'!B296</f>
        <v>Chamblon</v>
      </c>
      <c r="C296" s="14">
        <f>'A) Base RI'!C296+'A) Base RI'!D296</f>
        <v>1221324.69</v>
      </c>
      <c r="D296" s="14">
        <f>'A) Base RI'!AO296</f>
        <v>-19370.52</v>
      </c>
      <c r="E296" s="41">
        <f>'A) Base RI'!AP296</f>
        <v>0</v>
      </c>
      <c r="F296" s="41">
        <f>'A) Base RI'!AQ296</f>
        <v>0</v>
      </c>
      <c r="G296" s="4">
        <f t="shared" si="24"/>
        <v>1201954.17</v>
      </c>
      <c r="H296" s="14">
        <f>'A) Base RI'!E296</f>
        <v>0</v>
      </c>
      <c r="I296" s="14">
        <f>'A) Base RI'!F296</f>
        <v>0</v>
      </c>
      <c r="J296" s="14">
        <f>'A) Base RI'!G296+'A) Base RI'!H296</f>
        <v>7074.4</v>
      </c>
      <c r="K296" s="14">
        <f>'A) Base RI'!I296</f>
        <v>0</v>
      </c>
      <c r="L296" s="14">
        <f>'A) Base RI'!J296</f>
        <v>29155.51</v>
      </c>
      <c r="M296" s="14">
        <f>'A) Base RI'!K296</f>
        <v>2632</v>
      </c>
      <c r="N296" s="14">
        <f>'A) Base RI'!Q296</f>
        <v>0</v>
      </c>
      <c r="O296" s="14">
        <f t="shared" si="25"/>
        <v>90432.6</v>
      </c>
      <c r="P296" s="14">
        <f>'A) Base RI'!L296</f>
        <v>90432.6</v>
      </c>
      <c r="Q296" s="44">
        <f>'A) Base RI'!AR296</f>
        <v>1</v>
      </c>
      <c r="R296" s="4">
        <f t="shared" si="26"/>
        <v>1331248.68</v>
      </c>
      <c r="S296" s="43">
        <f>'A) Base RI'!AM296</f>
        <v>66</v>
      </c>
      <c r="T296" s="4">
        <f t="shared" si="27"/>
        <v>1238184.0799999998</v>
      </c>
      <c r="U296" s="4">
        <f t="shared" si="28"/>
        <v>20170.434545454544</v>
      </c>
      <c r="V296" s="14">
        <f>'A) Base RI'!O296</f>
        <v>48888.800000000003</v>
      </c>
      <c r="W296" s="14">
        <f>'A) Base RI'!P296</f>
        <v>46992.5</v>
      </c>
      <c r="X296" s="14">
        <f>'A) Base RI'!R296</f>
        <v>36470.699999999997</v>
      </c>
      <c r="Y296" s="4">
        <f t="shared" si="29"/>
        <v>132352</v>
      </c>
      <c r="Z296" s="14">
        <f>'A) Base RI'!N296</f>
        <v>31596.75</v>
      </c>
      <c r="AA296" s="14">
        <f>'A) Base RI'!S296+'A) Base RI'!T296</f>
        <v>131.25</v>
      </c>
      <c r="AB296" s="14">
        <f>'A) Base RI'!U296</f>
        <v>4200</v>
      </c>
      <c r="AC296" s="14">
        <f>'A) Base RI'!V296</f>
        <v>0</v>
      </c>
      <c r="AD296" s="14">
        <f>'A) Base RI'!W296</f>
        <v>0</v>
      </c>
      <c r="AE296" s="14">
        <f>'A) Base RI'!Y296</f>
        <v>0</v>
      </c>
      <c r="AF296" s="14">
        <f>'A) Base RI'!Z296</f>
        <v>0</v>
      </c>
      <c r="AG296" s="14">
        <f>'A) Base RI'!AA296</f>
        <v>92979.8</v>
      </c>
      <c r="AH296" s="14">
        <f>'A) Base RI'!AB296</f>
        <v>0</v>
      </c>
      <c r="AI296" s="14">
        <f>'A) Base RI'!AC296</f>
        <v>36368.199999999997</v>
      </c>
      <c r="AJ296" s="14">
        <f>'A) Base RI'!AD296</f>
        <v>0</v>
      </c>
      <c r="AK296" s="14">
        <f>'A) Base RI'!AE296</f>
        <v>0</v>
      </c>
      <c r="AL296" s="14">
        <f>'A) Base RI'!AF296</f>
        <v>0</v>
      </c>
      <c r="AM296" s="14">
        <f>'A) Base RI'!AG296</f>
        <v>0</v>
      </c>
      <c r="AN296" s="14">
        <f>'A) Base RI'!AH296</f>
        <v>21247.05</v>
      </c>
      <c r="AO296" s="14">
        <f>'A) Base RI'!AI296</f>
        <v>0</v>
      </c>
      <c r="AP296" s="14">
        <f>'A) Base RI'!AJ296</f>
        <v>0</v>
      </c>
      <c r="AQ296" s="14">
        <f>'A) Base RI'!AK296</f>
        <v>0</v>
      </c>
      <c r="AR296" s="14">
        <f>'A) Base RI'!AN296</f>
        <v>568</v>
      </c>
    </row>
    <row r="297" spans="1:44" x14ac:dyDescent="0.25">
      <c r="A297" s="12">
        <f>'A) Base RI'!A297</f>
        <v>5905</v>
      </c>
      <c r="B297" s="42" t="str">
        <f>'A) Base RI'!B297</f>
        <v>Champvent</v>
      </c>
      <c r="C297" s="14">
        <f>'A) Base RI'!C297+'A) Base RI'!D297</f>
        <v>1034545.44</v>
      </c>
      <c r="D297" s="14">
        <f>'A) Base RI'!AO297</f>
        <v>-8669.3700000000008</v>
      </c>
      <c r="E297" s="41">
        <f>'A) Base RI'!AP297</f>
        <v>0</v>
      </c>
      <c r="F297" s="41">
        <f>'A) Base RI'!AQ297</f>
        <v>-4.8600000000000003</v>
      </c>
      <c r="G297" s="4">
        <f t="shared" si="24"/>
        <v>1025871.21</v>
      </c>
      <c r="H297" s="14">
        <f>'A) Base RI'!E297</f>
        <v>0</v>
      </c>
      <c r="I297" s="14">
        <f>'A) Base RI'!F297</f>
        <v>0</v>
      </c>
      <c r="J297" s="14">
        <f>'A) Base RI'!G297+'A) Base RI'!H297</f>
        <v>171893.40000000002</v>
      </c>
      <c r="K297" s="14">
        <f>'A) Base RI'!I297</f>
        <v>0</v>
      </c>
      <c r="L297" s="14">
        <f>'A) Base RI'!J297</f>
        <v>10030.450000000001</v>
      </c>
      <c r="M297" s="14">
        <f>'A) Base RI'!K297</f>
        <v>3072.3</v>
      </c>
      <c r="N297" s="14">
        <f>'A) Base RI'!Q297</f>
        <v>0</v>
      </c>
      <c r="O297" s="14">
        <f t="shared" si="25"/>
        <v>82807</v>
      </c>
      <c r="P297" s="14">
        <f>'A) Base RI'!L297</f>
        <v>82807</v>
      </c>
      <c r="Q297" s="44">
        <f>'A) Base RI'!AR297</f>
        <v>1</v>
      </c>
      <c r="R297" s="4">
        <f t="shared" si="26"/>
        <v>1293674.3599999999</v>
      </c>
      <c r="S297" s="43">
        <f>'A) Base RI'!AM297</f>
        <v>71</v>
      </c>
      <c r="T297" s="4">
        <f t="shared" si="27"/>
        <v>1207795.0599999998</v>
      </c>
      <c r="U297" s="4">
        <f t="shared" si="28"/>
        <v>18220.765633802814</v>
      </c>
      <c r="V297" s="14">
        <f>'A) Base RI'!O297</f>
        <v>6520.5</v>
      </c>
      <c r="W297" s="14">
        <f>'A) Base RI'!P297</f>
        <v>24304.1</v>
      </c>
      <c r="X297" s="14">
        <f>'A) Base RI'!R297</f>
        <v>8176.4</v>
      </c>
      <c r="Y297" s="4">
        <f t="shared" si="29"/>
        <v>39001</v>
      </c>
      <c r="Z297" s="14">
        <f>'A) Base RI'!N297</f>
        <v>94811.1</v>
      </c>
      <c r="AA297" s="14">
        <f>'A) Base RI'!S297+'A) Base RI'!T297</f>
        <v>0</v>
      </c>
      <c r="AB297" s="14">
        <f>'A) Base RI'!U297</f>
        <v>0</v>
      </c>
      <c r="AC297" s="14">
        <f>'A) Base RI'!V297</f>
        <v>0</v>
      </c>
      <c r="AD297" s="14">
        <f>'A) Base RI'!W297</f>
        <v>0</v>
      </c>
      <c r="AE297" s="14">
        <f>'A) Base RI'!Y297</f>
        <v>17068</v>
      </c>
      <c r="AF297" s="14">
        <f>'A) Base RI'!Z297</f>
        <v>0</v>
      </c>
      <c r="AG297" s="14">
        <f>'A) Base RI'!AA297</f>
        <v>84568</v>
      </c>
      <c r="AH297" s="14">
        <f>'A) Base RI'!AB297</f>
        <v>0</v>
      </c>
      <c r="AI297" s="14">
        <f>'A) Base RI'!AC297</f>
        <v>16592</v>
      </c>
      <c r="AJ297" s="14">
        <f>'A) Base RI'!AD297</f>
        <v>0</v>
      </c>
      <c r="AK297" s="14">
        <f>'A) Base RI'!AE297</f>
        <v>43012</v>
      </c>
      <c r="AL297" s="14">
        <f>'A) Base RI'!AF297</f>
        <v>0</v>
      </c>
      <c r="AM297" s="14">
        <f>'A) Base RI'!AG297</f>
        <v>0</v>
      </c>
      <c r="AN297" s="14">
        <f>'A) Base RI'!AH297</f>
        <v>0</v>
      </c>
      <c r="AO297" s="14">
        <f>'A) Base RI'!AI297</f>
        <v>0</v>
      </c>
      <c r="AP297" s="14">
        <f>'A) Base RI'!AJ297</f>
        <v>0</v>
      </c>
      <c r="AQ297" s="14">
        <f>'A) Base RI'!AK297</f>
        <v>0</v>
      </c>
      <c r="AR297" s="14">
        <f>'A) Base RI'!AN297</f>
        <v>617</v>
      </c>
    </row>
    <row r="298" spans="1:44" x14ac:dyDescent="0.25">
      <c r="A298" s="12">
        <f>'A) Base RI'!A298</f>
        <v>5907</v>
      </c>
      <c r="B298" s="42" t="str">
        <f>'A) Base RI'!B298</f>
        <v>Chavannes-le-Chêne</v>
      </c>
      <c r="C298" s="14">
        <f>'A) Base RI'!C298+'A) Base RI'!D298</f>
        <v>512861.25</v>
      </c>
      <c r="D298" s="14">
        <f>'A) Base RI'!AO298</f>
        <v>-10467.200000000001</v>
      </c>
      <c r="E298" s="41">
        <f>'A) Base RI'!AP298</f>
        <v>0</v>
      </c>
      <c r="F298" s="41">
        <f>'A) Base RI'!AQ298</f>
        <v>-928.2</v>
      </c>
      <c r="G298" s="4">
        <f t="shared" si="24"/>
        <v>501465.85</v>
      </c>
      <c r="H298" s="14">
        <f>'A) Base RI'!E298</f>
        <v>0</v>
      </c>
      <c r="I298" s="14">
        <f>'A) Base RI'!F298</f>
        <v>1620</v>
      </c>
      <c r="J298" s="14">
        <f>'A) Base RI'!G298+'A) Base RI'!H298</f>
        <v>2123.8999999999996</v>
      </c>
      <c r="K298" s="14">
        <f>'A) Base RI'!I298</f>
        <v>0</v>
      </c>
      <c r="L298" s="14">
        <f>'A) Base RI'!J298</f>
        <v>1201.98</v>
      </c>
      <c r="M298" s="14">
        <f>'A) Base RI'!K298</f>
        <v>134</v>
      </c>
      <c r="N298" s="14">
        <f>'A) Base RI'!Q298</f>
        <v>0</v>
      </c>
      <c r="O298" s="14">
        <f t="shared" si="25"/>
        <v>35690.6</v>
      </c>
      <c r="P298" s="14">
        <f>'A) Base RI'!L298</f>
        <v>35690.6</v>
      </c>
      <c r="Q298" s="44">
        <f>'A) Base RI'!AR298</f>
        <v>1</v>
      </c>
      <c r="R298" s="4">
        <f t="shared" si="26"/>
        <v>542236.32999999996</v>
      </c>
      <c r="S298" s="43">
        <f>'A) Base RI'!AM298</f>
        <v>78</v>
      </c>
      <c r="T298" s="4">
        <f t="shared" si="27"/>
        <v>504791.73</v>
      </c>
      <c r="U298" s="4">
        <f t="shared" si="28"/>
        <v>6951.74782051282</v>
      </c>
      <c r="V298" s="14">
        <f>'A) Base RI'!O298</f>
        <v>6897</v>
      </c>
      <c r="W298" s="14">
        <f>'A) Base RI'!P298</f>
        <v>14003.2</v>
      </c>
      <c r="X298" s="14">
        <f>'A) Base RI'!R298</f>
        <v>16580.650000000001</v>
      </c>
      <c r="Y298" s="4">
        <f t="shared" si="29"/>
        <v>37480.850000000006</v>
      </c>
      <c r="Z298" s="14">
        <f>'A) Base RI'!N298</f>
        <v>4950.3500000000004</v>
      </c>
      <c r="AA298" s="14">
        <f>'A) Base RI'!S298+'A) Base RI'!T298</f>
        <v>1460</v>
      </c>
      <c r="AB298" s="14">
        <f>'A) Base RI'!U298</f>
        <v>1680</v>
      </c>
      <c r="AC298" s="14">
        <f>'A) Base RI'!V298</f>
        <v>0</v>
      </c>
      <c r="AD298" s="14">
        <f>'A) Base RI'!W298</f>
        <v>0</v>
      </c>
      <c r="AE298" s="14">
        <f>'A) Base RI'!Y298</f>
        <v>5500</v>
      </c>
      <c r="AF298" s="14">
        <f>'A) Base RI'!Z298</f>
        <v>0</v>
      </c>
      <c r="AG298" s="14">
        <f>'A) Base RI'!AA298</f>
        <v>6441.7</v>
      </c>
      <c r="AH298" s="14">
        <f>'A) Base RI'!AB298</f>
        <v>0</v>
      </c>
      <c r="AI298" s="14">
        <f>'A) Base RI'!AC298</f>
        <v>11702.5</v>
      </c>
      <c r="AJ298" s="14">
        <f>'A) Base RI'!AD298</f>
        <v>6541.7</v>
      </c>
      <c r="AK298" s="14">
        <f>'A) Base RI'!AE298</f>
        <v>0</v>
      </c>
      <c r="AL298" s="14">
        <f>'A) Base RI'!AF298</f>
        <v>0</v>
      </c>
      <c r="AM298" s="14">
        <f>'A) Base RI'!AG298</f>
        <v>0</v>
      </c>
      <c r="AN298" s="14">
        <f>'A) Base RI'!AH298</f>
        <v>0</v>
      </c>
      <c r="AO298" s="14">
        <f>'A) Base RI'!AI298</f>
        <v>0</v>
      </c>
      <c r="AP298" s="14">
        <f>'A) Base RI'!AJ298</f>
        <v>0</v>
      </c>
      <c r="AQ298" s="14">
        <f>'A) Base RI'!AK298</f>
        <v>0</v>
      </c>
      <c r="AR298" s="14">
        <f>'A) Base RI'!AN298</f>
        <v>278</v>
      </c>
    </row>
    <row r="299" spans="1:44" x14ac:dyDescent="0.25">
      <c r="A299" s="12">
        <f>'A) Base RI'!A299</f>
        <v>5908</v>
      </c>
      <c r="B299" s="42" t="str">
        <f>'A) Base RI'!B299</f>
        <v>Chêne-Pâquier</v>
      </c>
      <c r="C299" s="14">
        <f>'A) Base RI'!C299+'A) Base RI'!D299</f>
        <v>228217.33</v>
      </c>
      <c r="D299" s="14">
        <f>'A) Base RI'!AO299</f>
        <v>-24182.78</v>
      </c>
      <c r="E299" s="41">
        <f>'A) Base RI'!AP299</f>
        <v>0</v>
      </c>
      <c r="F299" s="41">
        <f>'A) Base RI'!AQ299</f>
        <v>0</v>
      </c>
      <c r="G299" s="4">
        <f t="shared" si="24"/>
        <v>204034.55</v>
      </c>
      <c r="H299" s="14">
        <f>'A) Base RI'!E299</f>
        <v>0</v>
      </c>
      <c r="I299" s="14">
        <f>'A) Base RI'!F299</f>
        <v>0</v>
      </c>
      <c r="J299" s="14">
        <f>'A) Base RI'!G299+'A) Base RI'!H299</f>
        <v>7569.95</v>
      </c>
      <c r="K299" s="14">
        <f>'A) Base RI'!I299</f>
        <v>0</v>
      </c>
      <c r="L299" s="14">
        <f>'A) Base RI'!J299</f>
        <v>1817.14</v>
      </c>
      <c r="M299" s="14">
        <f>'A) Base RI'!K299</f>
        <v>49.5</v>
      </c>
      <c r="N299" s="14">
        <f>'A) Base RI'!Q299</f>
        <v>0</v>
      </c>
      <c r="O299" s="14">
        <f t="shared" si="25"/>
        <v>15550</v>
      </c>
      <c r="P299" s="14">
        <f>'A) Base RI'!L299</f>
        <v>15550</v>
      </c>
      <c r="Q299" s="44">
        <f>'A) Base RI'!AR299</f>
        <v>1</v>
      </c>
      <c r="R299" s="4">
        <f t="shared" si="26"/>
        <v>229021.14</v>
      </c>
      <c r="S299" s="43">
        <f>'A) Base RI'!AM299</f>
        <v>79</v>
      </c>
      <c r="T299" s="4">
        <f t="shared" si="27"/>
        <v>213421.64</v>
      </c>
      <c r="U299" s="4">
        <f t="shared" si="28"/>
        <v>2899.0017721518989</v>
      </c>
      <c r="V299" s="14">
        <f>'A) Base RI'!O299</f>
        <v>0</v>
      </c>
      <c r="W299" s="14">
        <f>'A) Base RI'!P299</f>
        <v>13904</v>
      </c>
      <c r="X299" s="14">
        <f>'A) Base RI'!R299</f>
        <v>0</v>
      </c>
      <c r="Y299" s="4">
        <f t="shared" si="29"/>
        <v>13904</v>
      </c>
      <c r="Z299" s="14">
        <f>'A) Base RI'!N299</f>
        <v>0</v>
      </c>
      <c r="AA299" s="14">
        <f>'A) Base RI'!S299+'A) Base RI'!T299</f>
        <v>0</v>
      </c>
      <c r="AB299" s="14">
        <f>'A) Base RI'!U299</f>
        <v>1452</v>
      </c>
      <c r="AC299" s="14">
        <f>'A) Base RI'!V299</f>
        <v>0</v>
      </c>
      <c r="AD299" s="14">
        <f>'A) Base RI'!W299</f>
        <v>0</v>
      </c>
      <c r="AE299" s="14">
        <f>'A) Base RI'!Y299</f>
        <v>0</v>
      </c>
      <c r="AF299" s="14">
        <f>'A) Base RI'!Z299</f>
        <v>0</v>
      </c>
      <c r="AG299" s="14">
        <f>'A) Base RI'!AA299</f>
        <v>22700</v>
      </c>
      <c r="AH299" s="14">
        <f>'A) Base RI'!AB299</f>
        <v>0</v>
      </c>
      <c r="AI299" s="14">
        <f>'A) Base RI'!AC299</f>
        <v>4945</v>
      </c>
      <c r="AJ299" s="14">
        <f>'A) Base RI'!AD299</f>
        <v>0</v>
      </c>
      <c r="AK299" s="14">
        <f>'A) Base RI'!AE299</f>
        <v>0</v>
      </c>
      <c r="AL299" s="14">
        <f>'A) Base RI'!AF299</f>
        <v>0</v>
      </c>
      <c r="AM299" s="14">
        <f>'A) Base RI'!AG299</f>
        <v>0</v>
      </c>
      <c r="AN299" s="14">
        <f>'A) Base RI'!AH299</f>
        <v>0</v>
      </c>
      <c r="AO299" s="14">
        <f>'A) Base RI'!AI299</f>
        <v>0</v>
      </c>
      <c r="AP299" s="14">
        <f>'A) Base RI'!AJ299</f>
        <v>0</v>
      </c>
      <c r="AQ299" s="14">
        <f>'A) Base RI'!AK299</f>
        <v>0</v>
      </c>
      <c r="AR299" s="14">
        <f>'A) Base RI'!AN299</f>
        <v>125</v>
      </c>
    </row>
    <row r="300" spans="1:44" x14ac:dyDescent="0.25">
      <c r="A300" s="12">
        <f>'A) Base RI'!A300</f>
        <v>5909</v>
      </c>
      <c r="B300" s="42" t="str">
        <f>'A) Base RI'!B300</f>
        <v>Cheseaux-Noréaz</v>
      </c>
      <c r="C300" s="14">
        <f>'A) Base RI'!C300+'A) Base RI'!D300</f>
        <v>1409286.9000000001</v>
      </c>
      <c r="D300" s="14">
        <f>'A) Base RI'!AO300</f>
        <v>-5598.22</v>
      </c>
      <c r="E300" s="41">
        <f>'A) Base RI'!AP300</f>
        <v>-7666.65</v>
      </c>
      <c r="F300" s="41">
        <f>'A) Base RI'!AQ300</f>
        <v>-143.44</v>
      </c>
      <c r="G300" s="4">
        <f t="shared" si="24"/>
        <v>1395878.5900000003</v>
      </c>
      <c r="H300" s="14">
        <f>'A) Base RI'!E300</f>
        <v>0</v>
      </c>
      <c r="I300" s="14">
        <f>'A) Base RI'!F300</f>
        <v>0</v>
      </c>
      <c r="J300" s="14">
        <f>'A) Base RI'!G300+'A) Base RI'!H300</f>
        <v>47569.5</v>
      </c>
      <c r="K300" s="14">
        <f>'A) Base RI'!I300</f>
        <v>0</v>
      </c>
      <c r="L300" s="14">
        <f>'A) Base RI'!J300</f>
        <v>1383.48</v>
      </c>
      <c r="M300" s="14">
        <f>'A) Base RI'!K300</f>
        <v>822.5</v>
      </c>
      <c r="N300" s="14">
        <f>'A) Base RI'!Q300</f>
        <v>0</v>
      </c>
      <c r="O300" s="14">
        <f t="shared" si="25"/>
        <v>140675.20000000001</v>
      </c>
      <c r="P300" s="14">
        <f>'A) Base RI'!L300</f>
        <v>140675.20000000001</v>
      </c>
      <c r="Q300" s="44">
        <f>'A) Base RI'!AR300</f>
        <v>1</v>
      </c>
      <c r="R300" s="4">
        <f t="shared" si="26"/>
        <v>1586329.2700000003</v>
      </c>
      <c r="S300" s="43">
        <f>'A) Base RI'!AM300</f>
        <v>70</v>
      </c>
      <c r="T300" s="4">
        <f t="shared" si="27"/>
        <v>1444831.5700000003</v>
      </c>
      <c r="U300" s="4">
        <f t="shared" si="28"/>
        <v>22661.846714285719</v>
      </c>
      <c r="V300" s="14">
        <f>'A) Base RI'!O300</f>
        <v>0</v>
      </c>
      <c r="W300" s="14">
        <f>'A) Base RI'!P300</f>
        <v>46098.15</v>
      </c>
      <c r="X300" s="14">
        <f>'A) Base RI'!R300</f>
        <v>58144.35</v>
      </c>
      <c r="Y300" s="4">
        <f t="shared" si="29"/>
        <v>104242.5</v>
      </c>
      <c r="Z300" s="14">
        <f>'A) Base RI'!N300</f>
        <v>8154.8</v>
      </c>
      <c r="AA300" s="14">
        <f>'A) Base RI'!S300+'A) Base RI'!T300</f>
        <v>0</v>
      </c>
      <c r="AB300" s="14">
        <f>'A) Base RI'!U300</f>
        <v>860</v>
      </c>
      <c r="AC300" s="14">
        <f>'A) Base RI'!V300</f>
        <v>0</v>
      </c>
      <c r="AD300" s="14">
        <f>'A) Base RI'!W300</f>
        <v>2000</v>
      </c>
      <c r="AE300" s="14">
        <f>'A) Base RI'!Y300</f>
        <v>18125</v>
      </c>
      <c r="AF300" s="14">
        <f>'A) Base RI'!Z300</f>
        <v>0</v>
      </c>
      <c r="AG300" s="14">
        <f>'A) Base RI'!AA300</f>
        <v>60314.23</v>
      </c>
      <c r="AH300" s="14">
        <f>'A) Base RI'!AB300</f>
        <v>0</v>
      </c>
      <c r="AI300" s="14">
        <f>'A) Base RI'!AC300</f>
        <v>42237.599999999999</v>
      </c>
      <c r="AJ300" s="14">
        <f>'A) Base RI'!AD300</f>
        <v>18026.2</v>
      </c>
      <c r="AK300" s="14">
        <f>'A) Base RI'!AE300</f>
        <v>0</v>
      </c>
      <c r="AL300" s="14">
        <f>'A) Base RI'!AF300</f>
        <v>0</v>
      </c>
      <c r="AM300" s="14">
        <f>'A) Base RI'!AG300</f>
        <v>72165.55</v>
      </c>
      <c r="AN300" s="14">
        <f>'A) Base RI'!AH300</f>
        <v>0</v>
      </c>
      <c r="AO300" s="14">
        <f>'A) Base RI'!AI300</f>
        <v>0</v>
      </c>
      <c r="AP300" s="14">
        <f>'A) Base RI'!AJ300</f>
        <v>0</v>
      </c>
      <c r="AQ300" s="14">
        <f>'A) Base RI'!AK300</f>
        <v>0</v>
      </c>
      <c r="AR300" s="14">
        <f>'A) Base RI'!AN300</f>
        <v>664</v>
      </c>
    </row>
    <row r="301" spans="1:44" x14ac:dyDescent="0.25">
      <c r="A301" s="12">
        <f>'A) Base RI'!A301</f>
        <v>5910</v>
      </c>
      <c r="B301" s="42" t="str">
        <f>'A) Base RI'!B301</f>
        <v>Cronay</v>
      </c>
      <c r="C301" s="14">
        <f>'A) Base RI'!C301+'A) Base RI'!D301</f>
        <v>779429.59</v>
      </c>
      <c r="D301" s="14">
        <f>'A) Base RI'!AO301</f>
        <v>-1662.47</v>
      </c>
      <c r="E301" s="41">
        <f>'A) Base RI'!AP301</f>
        <v>0</v>
      </c>
      <c r="F301" s="41">
        <f>'A) Base RI'!AQ301</f>
        <v>-0.84</v>
      </c>
      <c r="G301" s="4">
        <f t="shared" si="24"/>
        <v>777766.28</v>
      </c>
      <c r="H301" s="14">
        <f>'A) Base RI'!E301</f>
        <v>0</v>
      </c>
      <c r="I301" s="14">
        <f>'A) Base RI'!F301</f>
        <v>2080</v>
      </c>
      <c r="J301" s="14">
        <f>'A) Base RI'!G301+'A) Base RI'!H301</f>
        <v>12058.099999999999</v>
      </c>
      <c r="K301" s="14">
        <f>'A) Base RI'!I301</f>
        <v>0</v>
      </c>
      <c r="L301" s="14">
        <f>'A) Base RI'!J301</f>
        <v>2962.48</v>
      </c>
      <c r="M301" s="14">
        <f>'A) Base RI'!K301</f>
        <v>0</v>
      </c>
      <c r="N301" s="14">
        <f>'A) Base RI'!Q301</f>
        <v>1373.15</v>
      </c>
      <c r="O301" s="14">
        <f t="shared" si="25"/>
        <v>46950</v>
      </c>
      <c r="P301" s="14">
        <f>'A) Base RI'!L301</f>
        <v>46950</v>
      </c>
      <c r="Q301" s="44">
        <f>'A) Base RI'!AR301</f>
        <v>1</v>
      </c>
      <c r="R301" s="4">
        <f t="shared" si="26"/>
        <v>843190.01</v>
      </c>
      <c r="S301" s="43">
        <f>'A) Base RI'!AM301</f>
        <v>81</v>
      </c>
      <c r="T301" s="4">
        <f t="shared" si="27"/>
        <v>794160.01</v>
      </c>
      <c r="U301" s="4">
        <f t="shared" si="28"/>
        <v>10409.753209876544</v>
      </c>
      <c r="V301" s="14">
        <f>'A) Base RI'!O301</f>
        <v>0</v>
      </c>
      <c r="W301" s="14">
        <f>'A) Base RI'!P301</f>
        <v>46770.5</v>
      </c>
      <c r="X301" s="14">
        <f>'A) Base RI'!R301</f>
        <v>56372.2</v>
      </c>
      <c r="Y301" s="4">
        <f t="shared" si="29"/>
        <v>103142.7</v>
      </c>
      <c r="Z301" s="14">
        <f>'A) Base RI'!N301</f>
        <v>0</v>
      </c>
      <c r="AA301" s="14">
        <f>'A) Base RI'!S301+'A) Base RI'!T301</f>
        <v>610</v>
      </c>
      <c r="AB301" s="14">
        <f>'A) Base RI'!U301</f>
        <v>3473</v>
      </c>
      <c r="AC301" s="14">
        <f>'A) Base RI'!V301</f>
        <v>0</v>
      </c>
      <c r="AD301" s="14">
        <f>'A) Base RI'!W301</f>
        <v>0</v>
      </c>
      <c r="AE301" s="14">
        <f>'A) Base RI'!Y301</f>
        <v>16007</v>
      </c>
      <c r="AF301" s="14">
        <f>'A) Base RI'!Z301</f>
        <v>0</v>
      </c>
      <c r="AG301" s="14">
        <f>'A) Base RI'!AA301</f>
        <v>23650</v>
      </c>
      <c r="AH301" s="14">
        <f>'A) Base RI'!AB301</f>
        <v>0</v>
      </c>
      <c r="AI301" s="14">
        <f>'A) Base RI'!AC301</f>
        <v>20587</v>
      </c>
      <c r="AJ301" s="14">
        <f>'A) Base RI'!AD301</f>
        <v>0</v>
      </c>
      <c r="AK301" s="14">
        <f>'A) Base RI'!AE301</f>
        <v>0</v>
      </c>
      <c r="AL301" s="14">
        <f>'A) Base RI'!AF301</f>
        <v>0</v>
      </c>
      <c r="AM301" s="14">
        <f>'A) Base RI'!AG301</f>
        <v>0</v>
      </c>
      <c r="AN301" s="14">
        <f>'A) Base RI'!AH301</f>
        <v>0</v>
      </c>
      <c r="AO301" s="14">
        <f>'A) Base RI'!AI301</f>
        <v>0</v>
      </c>
      <c r="AP301" s="14">
        <f>'A) Base RI'!AJ301</f>
        <v>0</v>
      </c>
      <c r="AQ301" s="14">
        <f>'A) Base RI'!AK301</f>
        <v>0</v>
      </c>
      <c r="AR301" s="14">
        <f>'A) Base RI'!AN301</f>
        <v>364</v>
      </c>
    </row>
    <row r="302" spans="1:44" x14ac:dyDescent="0.25">
      <c r="A302" s="12">
        <f>'A) Base RI'!A302</f>
        <v>5911</v>
      </c>
      <c r="B302" s="42" t="str">
        <f>'A) Base RI'!B302</f>
        <v>Cuarny</v>
      </c>
      <c r="C302" s="14">
        <f>'A) Base RI'!C302+'A) Base RI'!D302</f>
        <v>512631.14</v>
      </c>
      <c r="D302" s="14">
        <f>'A) Base RI'!AO302</f>
        <v>-2867.13</v>
      </c>
      <c r="E302" s="41">
        <f>'A) Base RI'!AP302</f>
        <v>0</v>
      </c>
      <c r="F302" s="41">
        <f>'A) Base RI'!AQ302</f>
        <v>-632.80999999999995</v>
      </c>
      <c r="G302" s="4">
        <f t="shared" si="24"/>
        <v>509131.2</v>
      </c>
      <c r="H302" s="14">
        <f>'A) Base RI'!E302</f>
        <v>0</v>
      </c>
      <c r="I302" s="14">
        <f>'A) Base RI'!F302</f>
        <v>1250</v>
      </c>
      <c r="J302" s="14">
        <f>'A) Base RI'!G302+'A) Base RI'!H302</f>
        <v>13451.9</v>
      </c>
      <c r="K302" s="14">
        <f>'A) Base RI'!I302</f>
        <v>0</v>
      </c>
      <c r="L302" s="14">
        <f>'A) Base RI'!J302</f>
        <v>1532.42</v>
      </c>
      <c r="M302" s="14">
        <f>'A) Base RI'!K302</f>
        <v>348</v>
      </c>
      <c r="N302" s="14">
        <f>'A) Base RI'!Q302</f>
        <v>0</v>
      </c>
      <c r="O302" s="14">
        <f t="shared" si="25"/>
        <v>23760.35</v>
      </c>
      <c r="P302" s="14">
        <f>'A) Base RI'!L302</f>
        <v>23760.35</v>
      </c>
      <c r="Q302" s="44">
        <f>'A) Base RI'!AR302</f>
        <v>1</v>
      </c>
      <c r="R302" s="4">
        <f t="shared" si="26"/>
        <v>549473.87</v>
      </c>
      <c r="S302" s="43">
        <f>'A) Base RI'!AM302</f>
        <v>81</v>
      </c>
      <c r="T302" s="4">
        <f t="shared" si="27"/>
        <v>524115.52</v>
      </c>
      <c r="U302" s="4">
        <f t="shared" si="28"/>
        <v>6783.6280246913584</v>
      </c>
      <c r="V302" s="14">
        <f>'A) Base RI'!O302</f>
        <v>691.5</v>
      </c>
      <c r="W302" s="14">
        <f>'A) Base RI'!P302</f>
        <v>0</v>
      </c>
      <c r="X302" s="14">
        <f>'A) Base RI'!R302</f>
        <v>0</v>
      </c>
      <c r="Y302" s="4">
        <f t="shared" si="29"/>
        <v>691.5</v>
      </c>
      <c r="Z302" s="14">
        <f>'A) Base RI'!N302</f>
        <v>0</v>
      </c>
      <c r="AA302" s="14">
        <f>'A) Base RI'!S302+'A) Base RI'!T302</f>
        <v>0</v>
      </c>
      <c r="AB302" s="14">
        <f>'A) Base RI'!U302</f>
        <v>800</v>
      </c>
      <c r="AC302" s="14">
        <f>'A) Base RI'!V302</f>
        <v>0</v>
      </c>
      <c r="AD302" s="14">
        <f>'A) Base RI'!W302</f>
        <v>0</v>
      </c>
      <c r="AE302" s="14">
        <f>'A) Base RI'!Y302</f>
        <v>0</v>
      </c>
      <c r="AF302" s="14">
        <f>'A) Base RI'!Z302</f>
        <v>0</v>
      </c>
      <c r="AG302" s="14">
        <f>'A) Base RI'!AA302</f>
        <v>31846.400000000001</v>
      </c>
      <c r="AH302" s="14">
        <f>'A) Base RI'!AB302</f>
        <v>0</v>
      </c>
      <c r="AI302" s="14">
        <f>'A) Base RI'!AC302</f>
        <v>13567</v>
      </c>
      <c r="AJ302" s="14">
        <f>'A) Base RI'!AD302</f>
        <v>0</v>
      </c>
      <c r="AK302" s="14">
        <f>'A) Base RI'!AE302</f>
        <v>0</v>
      </c>
      <c r="AL302" s="14">
        <f>'A) Base RI'!AF302</f>
        <v>0</v>
      </c>
      <c r="AM302" s="14">
        <f>'A) Base RI'!AG302</f>
        <v>0</v>
      </c>
      <c r="AN302" s="14">
        <f>'A) Base RI'!AH302</f>
        <v>0</v>
      </c>
      <c r="AO302" s="14">
        <f>'A) Base RI'!AI302</f>
        <v>0</v>
      </c>
      <c r="AP302" s="14">
        <f>'A) Base RI'!AJ302</f>
        <v>0</v>
      </c>
      <c r="AQ302" s="14">
        <f>'A) Base RI'!AK302</f>
        <v>0</v>
      </c>
      <c r="AR302" s="14">
        <f>'A) Base RI'!AN302</f>
        <v>216</v>
      </c>
    </row>
    <row r="303" spans="1:44" x14ac:dyDescent="0.25">
      <c r="A303" s="12">
        <f>'A) Base RI'!A303</f>
        <v>5912</v>
      </c>
      <c r="B303" s="42" t="str">
        <f>'A) Base RI'!B303</f>
        <v>Démoret</v>
      </c>
      <c r="C303" s="14">
        <f>'A) Base RI'!C303+'A) Base RI'!D303</f>
        <v>236272.8</v>
      </c>
      <c r="D303" s="14">
        <f>'A) Base RI'!AO303</f>
        <v>-64.2</v>
      </c>
      <c r="E303" s="41">
        <f>'A) Base RI'!AP303</f>
        <v>0</v>
      </c>
      <c r="F303" s="41">
        <f>'A) Base RI'!AQ303</f>
        <v>0</v>
      </c>
      <c r="G303" s="4">
        <f t="shared" si="24"/>
        <v>236208.59999999998</v>
      </c>
      <c r="H303" s="14">
        <f>'A) Base RI'!E303</f>
        <v>0</v>
      </c>
      <c r="I303" s="14">
        <f>'A) Base RI'!F303</f>
        <v>800</v>
      </c>
      <c r="J303" s="14">
        <f>'A) Base RI'!G303+'A) Base RI'!H303</f>
        <v>2617.1999999999998</v>
      </c>
      <c r="K303" s="14">
        <f>'A) Base RI'!I303</f>
        <v>0</v>
      </c>
      <c r="L303" s="14">
        <f>'A) Base RI'!J303</f>
        <v>530.30999999999995</v>
      </c>
      <c r="M303" s="14">
        <f>'A) Base RI'!K303</f>
        <v>0</v>
      </c>
      <c r="N303" s="14">
        <f>'A) Base RI'!Q303</f>
        <v>0</v>
      </c>
      <c r="O303" s="14">
        <f t="shared" si="25"/>
        <v>14718.7</v>
      </c>
      <c r="P303" s="14">
        <f>'A) Base RI'!L303</f>
        <v>14718.7</v>
      </c>
      <c r="Q303" s="44">
        <f>'A) Base RI'!AR303</f>
        <v>1</v>
      </c>
      <c r="R303" s="4">
        <f t="shared" si="26"/>
        <v>254874.81</v>
      </c>
      <c r="S303" s="43">
        <f>'A) Base RI'!AM303</f>
        <v>81</v>
      </c>
      <c r="T303" s="4">
        <f t="shared" si="27"/>
        <v>239356.11</v>
      </c>
      <c r="U303" s="4">
        <f t="shared" si="28"/>
        <v>3146.6025925925924</v>
      </c>
      <c r="V303" s="14">
        <f>'A) Base RI'!O303</f>
        <v>100384.8</v>
      </c>
      <c r="W303" s="14">
        <f>'A) Base RI'!P303</f>
        <v>0</v>
      </c>
      <c r="X303" s="14">
        <f>'A) Base RI'!R303</f>
        <v>0</v>
      </c>
      <c r="Y303" s="4">
        <f t="shared" si="29"/>
        <v>100384.8</v>
      </c>
      <c r="Z303" s="14">
        <f>'A) Base RI'!N303</f>
        <v>0</v>
      </c>
      <c r="AA303" s="14">
        <f>'A) Base RI'!S303+'A) Base RI'!T303</f>
        <v>0</v>
      </c>
      <c r="AB303" s="14">
        <f>'A) Base RI'!U303</f>
        <v>1200</v>
      </c>
      <c r="AC303" s="14">
        <f>'A) Base RI'!V303</f>
        <v>0</v>
      </c>
      <c r="AD303" s="14">
        <f>'A) Base RI'!W303</f>
        <v>0</v>
      </c>
      <c r="AE303" s="14">
        <f>'A) Base RI'!Y303</f>
        <v>5000</v>
      </c>
      <c r="AF303" s="14">
        <f>'A) Base RI'!Z303</f>
        <v>0</v>
      </c>
      <c r="AG303" s="14">
        <f>'A) Base RI'!AA303</f>
        <v>14928</v>
      </c>
      <c r="AH303" s="14">
        <f>'A) Base RI'!AB303</f>
        <v>0</v>
      </c>
      <c r="AI303" s="14">
        <f>'A) Base RI'!AC303</f>
        <v>7050</v>
      </c>
      <c r="AJ303" s="14">
        <f>'A) Base RI'!AD303</f>
        <v>4200</v>
      </c>
      <c r="AK303" s="14">
        <f>'A) Base RI'!AE303</f>
        <v>0</v>
      </c>
      <c r="AL303" s="14">
        <f>'A) Base RI'!AF303</f>
        <v>0</v>
      </c>
      <c r="AM303" s="14">
        <f>'A) Base RI'!AG303</f>
        <v>0</v>
      </c>
      <c r="AN303" s="14">
        <f>'A) Base RI'!AH303</f>
        <v>0</v>
      </c>
      <c r="AO303" s="14">
        <f>'A) Base RI'!AI303</f>
        <v>0</v>
      </c>
      <c r="AP303" s="14">
        <f>'A) Base RI'!AJ303</f>
        <v>0</v>
      </c>
      <c r="AQ303" s="14">
        <f>'A) Base RI'!AK303</f>
        <v>0</v>
      </c>
      <c r="AR303" s="14">
        <f>'A) Base RI'!AN303</f>
        <v>123</v>
      </c>
    </row>
    <row r="304" spans="1:44" x14ac:dyDescent="0.25">
      <c r="A304" s="12">
        <f>'A) Base RI'!A304</f>
        <v>5913</v>
      </c>
      <c r="B304" s="42" t="str">
        <f>'A) Base RI'!B304</f>
        <v>Donneloye</v>
      </c>
      <c r="C304" s="14">
        <f>'A) Base RI'!C304+'A) Base RI'!D304</f>
        <v>1542517.2399999998</v>
      </c>
      <c r="D304" s="14">
        <f>'A) Base RI'!AO304</f>
        <v>-10697.47</v>
      </c>
      <c r="E304" s="41">
        <f>'A) Base RI'!AP304</f>
        <v>0</v>
      </c>
      <c r="F304" s="41">
        <f>'A) Base RI'!AQ304</f>
        <v>-16.489999999999998</v>
      </c>
      <c r="G304" s="4">
        <f t="shared" si="24"/>
        <v>1531803.2799999998</v>
      </c>
      <c r="H304" s="14">
        <f>'A) Base RI'!E304</f>
        <v>0</v>
      </c>
      <c r="I304" s="14">
        <f>'A) Base RI'!F304</f>
        <v>0</v>
      </c>
      <c r="J304" s="14">
        <f>'A) Base RI'!G304+'A) Base RI'!H304</f>
        <v>48098</v>
      </c>
      <c r="K304" s="14">
        <f>'A) Base RI'!I304</f>
        <v>0</v>
      </c>
      <c r="L304" s="14">
        <f>'A) Base RI'!J304</f>
        <v>9154.9</v>
      </c>
      <c r="M304" s="14">
        <f>'A) Base RI'!K304</f>
        <v>1518.5</v>
      </c>
      <c r="N304" s="14">
        <f>'A) Base RI'!Q304</f>
        <v>4248.55</v>
      </c>
      <c r="O304" s="14">
        <f t="shared" si="25"/>
        <v>92662.2</v>
      </c>
      <c r="P304" s="14">
        <f>'A) Base RI'!L304</f>
        <v>92662.2</v>
      </c>
      <c r="Q304" s="44">
        <f>'A) Base RI'!AR304</f>
        <v>1</v>
      </c>
      <c r="R304" s="4">
        <f t="shared" si="26"/>
        <v>1687485.4299999997</v>
      </c>
      <c r="S304" s="43">
        <f>'A) Base RI'!AM304</f>
        <v>73</v>
      </c>
      <c r="T304" s="4">
        <f t="shared" si="27"/>
        <v>1593304.7299999997</v>
      </c>
      <c r="U304" s="4">
        <f t="shared" si="28"/>
        <v>23116.238767123283</v>
      </c>
      <c r="V304" s="14">
        <f>'A) Base RI'!O304</f>
        <v>543.79999999999995</v>
      </c>
      <c r="W304" s="14">
        <f>'A) Base RI'!P304</f>
        <v>60358.75</v>
      </c>
      <c r="X304" s="14">
        <f>'A) Base RI'!R304</f>
        <v>59792.6</v>
      </c>
      <c r="Y304" s="4">
        <f t="shared" si="29"/>
        <v>120695.15</v>
      </c>
      <c r="Z304" s="14">
        <f>'A) Base RI'!N304</f>
        <v>11064.15</v>
      </c>
      <c r="AA304" s="14">
        <f>'A) Base RI'!S304+'A) Base RI'!T304</f>
        <v>300</v>
      </c>
      <c r="AB304" s="14">
        <f>'A) Base RI'!U304</f>
        <v>5496.5</v>
      </c>
      <c r="AC304" s="14">
        <f>'A) Base RI'!V304</f>
        <v>88</v>
      </c>
      <c r="AD304" s="14">
        <f>'A) Base RI'!W304</f>
        <v>0</v>
      </c>
      <c r="AE304" s="14">
        <f>'A) Base RI'!Y304</f>
        <v>8835</v>
      </c>
      <c r="AF304" s="14">
        <f>'A) Base RI'!Z304</f>
        <v>0</v>
      </c>
      <c r="AG304" s="14">
        <f>'A) Base RI'!AA304</f>
        <v>66471.75</v>
      </c>
      <c r="AH304" s="14">
        <f>'A) Base RI'!AB304</f>
        <v>0</v>
      </c>
      <c r="AI304" s="14">
        <f>'A) Base RI'!AC304</f>
        <v>34487.5</v>
      </c>
      <c r="AJ304" s="14">
        <f>'A) Base RI'!AD304</f>
        <v>41254.75</v>
      </c>
      <c r="AK304" s="14">
        <f>'A) Base RI'!AE304</f>
        <v>0</v>
      </c>
      <c r="AL304" s="14">
        <f>'A) Base RI'!AF304</f>
        <v>0</v>
      </c>
      <c r="AM304" s="14">
        <f>'A) Base RI'!AG304</f>
        <v>0</v>
      </c>
      <c r="AN304" s="14">
        <f>'A) Base RI'!AH304</f>
        <v>21349.599999999999</v>
      </c>
      <c r="AO304" s="14">
        <f>'A) Base RI'!AI304</f>
        <v>0</v>
      </c>
      <c r="AP304" s="14">
        <f>'A) Base RI'!AJ304</f>
        <v>0</v>
      </c>
      <c r="AQ304" s="14">
        <f>'A) Base RI'!AK304</f>
        <v>0</v>
      </c>
      <c r="AR304" s="14">
        <f>'A) Base RI'!AN304</f>
        <v>765</v>
      </c>
    </row>
    <row r="305" spans="1:44" x14ac:dyDescent="0.25">
      <c r="A305" s="12">
        <f>'A) Base RI'!A305</f>
        <v>5914</v>
      </c>
      <c r="B305" s="42" t="str">
        <f>'A) Base RI'!B305</f>
        <v>Ependes</v>
      </c>
      <c r="C305" s="14">
        <f>'A) Base RI'!C305+'A) Base RI'!D305</f>
        <v>580068.41999999993</v>
      </c>
      <c r="D305" s="14">
        <f>'A) Base RI'!AO305</f>
        <v>-15283.42</v>
      </c>
      <c r="E305" s="41">
        <f>'A) Base RI'!AP305</f>
        <v>0</v>
      </c>
      <c r="F305" s="41">
        <f>'A) Base RI'!AQ305</f>
        <v>0</v>
      </c>
      <c r="G305" s="4">
        <f t="shared" si="24"/>
        <v>564784.99999999988</v>
      </c>
      <c r="H305" s="14">
        <f>'A) Base RI'!E305</f>
        <v>0</v>
      </c>
      <c r="I305" s="14">
        <f>'A) Base RI'!F305</f>
        <v>2070</v>
      </c>
      <c r="J305" s="14">
        <f>'A) Base RI'!G305+'A) Base RI'!H305</f>
        <v>30948.95</v>
      </c>
      <c r="K305" s="14">
        <f>'A) Base RI'!I305</f>
        <v>0</v>
      </c>
      <c r="L305" s="14">
        <f>'A) Base RI'!J305</f>
        <v>5017.58</v>
      </c>
      <c r="M305" s="14">
        <f>'A) Base RI'!K305</f>
        <v>4447.5</v>
      </c>
      <c r="N305" s="14">
        <f>'A) Base RI'!Q305</f>
        <v>6210.75</v>
      </c>
      <c r="O305" s="14">
        <f t="shared" si="25"/>
        <v>42792.15</v>
      </c>
      <c r="P305" s="14">
        <f>'A) Base RI'!L305</f>
        <v>42792.15</v>
      </c>
      <c r="Q305" s="44">
        <f>'A) Base RI'!AR305</f>
        <v>1</v>
      </c>
      <c r="R305" s="4">
        <f t="shared" si="26"/>
        <v>656271.92999999982</v>
      </c>
      <c r="S305" s="43">
        <f>'A) Base RI'!AM305</f>
        <v>75</v>
      </c>
      <c r="T305" s="4">
        <f t="shared" si="27"/>
        <v>606962.2799999998</v>
      </c>
      <c r="U305" s="4">
        <f t="shared" si="28"/>
        <v>8750.2923999999985</v>
      </c>
      <c r="V305" s="14">
        <f>'A) Base RI'!O305</f>
        <v>0</v>
      </c>
      <c r="W305" s="14">
        <f>'A) Base RI'!P305</f>
        <v>8941.9</v>
      </c>
      <c r="X305" s="14">
        <f>'A) Base RI'!R305</f>
        <v>7594.5</v>
      </c>
      <c r="Y305" s="4">
        <f t="shared" si="29"/>
        <v>16536.400000000001</v>
      </c>
      <c r="Z305" s="14">
        <f>'A) Base RI'!N305</f>
        <v>0</v>
      </c>
      <c r="AA305" s="14">
        <f>'A) Base RI'!S305+'A) Base RI'!T305</f>
        <v>1126</v>
      </c>
      <c r="AB305" s="14">
        <f>'A) Base RI'!U305</f>
        <v>1340</v>
      </c>
      <c r="AC305" s="14">
        <f>'A) Base RI'!V305</f>
        <v>0</v>
      </c>
      <c r="AD305" s="14">
        <f>'A) Base RI'!W305</f>
        <v>0</v>
      </c>
      <c r="AE305" s="14">
        <f>'A) Base RI'!Y305</f>
        <v>9730</v>
      </c>
      <c r="AF305" s="14">
        <f>'A) Base RI'!Z305</f>
        <v>0</v>
      </c>
      <c r="AG305" s="14">
        <f>'A) Base RI'!AA305</f>
        <v>81168.149999999994</v>
      </c>
      <c r="AH305" s="14">
        <f>'A) Base RI'!AB305</f>
        <v>0</v>
      </c>
      <c r="AI305" s="14">
        <f>'A) Base RI'!AC305</f>
        <v>31063.25</v>
      </c>
      <c r="AJ305" s="14">
        <f>'A) Base RI'!AD305</f>
        <v>2147.5</v>
      </c>
      <c r="AK305" s="14">
        <f>'A) Base RI'!AE305</f>
        <v>0</v>
      </c>
      <c r="AL305" s="14">
        <f>'A) Base RI'!AF305</f>
        <v>0</v>
      </c>
      <c r="AM305" s="14">
        <f>'A) Base RI'!AG305</f>
        <v>0</v>
      </c>
      <c r="AN305" s="14">
        <f>'A) Base RI'!AH305</f>
        <v>0</v>
      </c>
      <c r="AO305" s="14">
        <f>'A) Base RI'!AI305</f>
        <v>0</v>
      </c>
      <c r="AP305" s="14">
        <f>'A) Base RI'!AJ305</f>
        <v>0</v>
      </c>
      <c r="AQ305" s="14">
        <f>'A) Base RI'!AK305</f>
        <v>0</v>
      </c>
      <c r="AR305" s="14">
        <f>'A) Base RI'!AN305</f>
        <v>345</v>
      </c>
    </row>
    <row r="306" spans="1:44" x14ac:dyDescent="0.25">
      <c r="A306" s="12">
        <f>'A) Base RI'!A306</f>
        <v>5915</v>
      </c>
      <c r="B306" s="42" t="str">
        <f>'A) Base RI'!B306</f>
        <v>Essert-Pittet</v>
      </c>
      <c r="C306" s="14">
        <f>'A) Base RI'!C306+'A) Base RI'!D306</f>
        <v>346716.75999999995</v>
      </c>
      <c r="D306" s="14">
        <f>'A) Base RI'!AO306</f>
        <v>-1418.15</v>
      </c>
      <c r="E306" s="41">
        <f>'A) Base RI'!AP306</f>
        <v>0</v>
      </c>
      <c r="F306" s="41">
        <f>'A) Base RI'!AQ306</f>
        <v>-264.42</v>
      </c>
      <c r="G306" s="4">
        <f t="shared" si="24"/>
        <v>345034.18999999994</v>
      </c>
      <c r="H306" s="14">
        <f>'A) Base RI'!E306</f>
        <v>0</v>
      </c>
      <c r="I306" s="14">
        <f>'A) Base RI'!F306</f>
        <v>0</v>
      </c>
      <c r="J306" s="14">
        <f>'A) Base RI'!G306+'A) Base RI'!H306</f>
        <v>6019.95</v>
      </c>
      <c r="K306" s="14">
        <f>'A) Base RI'!I306</f>
        <v>0</v>
      </c>
      <c r="L306" s="14">
        <f>'A) Base RI'!J306</f>
        <v>16528.63</v>
      </c>
      <c r="M306" s="14">
        <f>'A) Base RI'!K306</f>
        <v>0</v>
      </c>
      <c r="N306" s="14">
        <f>'A) Base RI'!Q306</f>
        <v>0</v>
      </c>
      <c r="O306" s="14">
        <f t="shared" si="25"/>
        <v>21045.176470588238</v>
      </c>
      <c r="P306" s="14">
        <f>'A) Base RI'!L306</f>
        <v>17888.400000000001</v>
      </c>
      <c r="Q306" s="44">
        <f>'A) Base RI'!AR306</f>
        <v>0.85</v>
      </c>
      <c r="R306" s="4">
        <f t="shared" si="26"/>
        <v>388627.94647058821</v>
      </c>
      <c r="S306" s="43">
        <f>'A) Base RI'!AM306</f>
        <v>75</v>
      </c>
      <c r="T306" s="4">
        <f t="shared" si="27"/>
        <v>367582.76999999996</v>
      </c>
      <c r="U306" s="4">
        <f t="shared" si="28"/>
        <v>5181.7059529411763</v>
      </c>
      <c r="V306" s="14">
        <f>'A) Base RI'!O306</f>
        <v>0</v>
      </c>
      <c r="W306" s="14">
        <f>'A) Base RI'!P306</f>
        <v>6985</v>
      </c>
      <c r="X306" s="14">
        <f>'A) Base RI'!R306</f>
        <v>6854.15</v>
      </c>
      <c r="Y306" s="4">
        <f t="shared" si="29"/>
        <v>13839.15</v>
      </c>
      <c r="Z306" s="14">
        <f>'A) Base RI'!N306</f>
        <v>0</v>
      </c>
      <c r="AA306" s="14">
        <f>'A) Base RI'!S306+'A) Base RI'!T306</f>
        <v>0</v>
      </c>
      <c r="AB306" s="14">
        <f>'A) Base RI'!U306</f>
        <v>2050</v>
      </c>
      <c r="AC306" s="14">
        <f>'A) Base RI'!V306</f>
        <v>0</v>
      </c>
      <c r="AD306" s="14">
        <f>'A) Base RI'!W306</f>
        <v>0</v>
      </c>
      <c r="AE306" s="14">
        <f>'A) Base RI'!Y306</f>
        <v>0</v>
      </c>
      <c r="AF306" s="14">
        <f>'A) Base RI'!Z306</f>
        <v>0</v>
      </c>
      <c r="AG306" s="14">
        <f>'A) Base RI'!AA306</f>
        <v>39456</v>
      </c>
      <c r="AH306" s="14">
        <f>'A) Base RI'!AB306</f>
        <v>0</v>
      </c>
      <c r="AI306" s="14">
        <f>'A) Base RI'!AC306</f>
        <v>2400</v>
      </c>
      <c r="AJ306" s="14">
        <f>'A) Base RI'!AD306</f>
        <v>0</v>
      </c>
      <c r="AK306" s="14">
        <f>'A) Base RI'!AE306</f>
        <v>0</v>
      </c>
      <c r="AL306" s="14">
        <f>'A) Base RI'!AF306</f>
        <v>0</v>
      </c>
      <c r="AM306" s="14">
        <f>'A) Base RI'!AG306</f>
        <v>0</v>
      </c>
      <c r="AN306" s="14">
        <f>'A) Base RI'!AH306</f>
        <v>0</v>
      </c>
      <c r="AO306" s="14">
        <f>'A) Base RI'!AI306</f>
        <v>0</v>
      </c>
      <c r="AP306" s="14">
        <f>'A) Base RI'!AJ306</f>
        <v>0</v>
      </c>
      <c r="AQ306" s="14">
        <f>'A) Base RI'!AK306</f>
        <v>0</v>
      </c>
      <c r="AR306" s="14">
        <f>'A) Base RI'!AN306</f>
        <v>164</v>
      </c>
    </row>
    <row r="307" spans="1:44" x14ac:dyDescent="0.25">
      <c r="A307" s="12">
        <f>'A) Base RI'!A307</f>
        <v>5919</v>
      </c>
      <c r="B307" s="42" t="str">
        <f>'A) Base RI'!B307</f>
        <v>Mathod</v>
      </c>
      <c r="C307" s="14">
        <f>'A) Base RI'!C307+'A) Base RI'!D307</f>
        <v>1045014.61</v>
      </c>
      <c r="D307" s="14">
        <f>'A) Base RI'!AO307</f>
        <v>-4933.58</v>
      </c>
      <c r="E307" s="41">
        <f>'A) Base RI'!AP307</f>
        <v>0</v>
      </c>
      <c r="F307" s="41">
        <f>'A) Base RI'!AQ307</f>
        <v>-27.96</v>
      </c>
      <c r="G307" s="4">
        <f t="shared" si="24"/>
        <v>1040053.0700000001</v>
      </c>
      <c r="H307" s="14">
        <f>'A) Base RI'!E307</f>
        <v>0</v>
      </c>
      <c r="I307" s="14">
        <f>'A) Base RI'!F307</f>
        <v>3100</v>
      </c>
      <c r="J307" s="14">
        <f>'A) Base RI'!G307+'A) Base RI'!H307</f>
        <v>53154.7</v>
      </c>
      <c r="K307" s="14">
        <f>'A) Base RI'!I307</f>
        <v>0</v>
      </c>
      <c r="L307" s="14">
        <f>'A) Base RI'!J307</f>
        <v>17554.25</v>
      </c>
      <c r="M307" s="14">
        <f>'A) Base RI'!K307</f>
        <v>1569</v>
      </c>
      <c r="N307" s="14">
        <f>'A) Base RI'!Q307</f>
        <v>1887.92</v>
      </c>
      <c r="O307" s="14">
        <f t="shared" si="25"/>
        <v>85974.625</v>
      </c>
      <c r="P307" s="14">
        <f>'A) Base RI'!L307</f>
        <v>103169.55</v>
      </c>
      <c r="Q307" s="44">
        <f>'A) Base RI'!AR307</f>
        <v>1.2</v>
      </c>
      <c r="R307" s="4">
        <f t="shared" si="26"/>
        <v>1203293.5649999999</v>
      </c>
      <c r="S307" s="43">
        <f>'A) Base RI'!AM307</f>
        <v>74</v>
      </c>
      <c r="T307" s="4">
        <f t="shared" si="27"/>
        <v>1112649.94</v>
      </c>
      <c r="U307" s="4">
        <f t="shared" si="28"/>
        <v>16260.723851351351</v>
      </c>
      <c r="V307" s="14">
        <f>'A) Base RI'!O307</f>
        <v>2564.1</v>
      </c>
      <c r="W307" s="14">
        <f>'A) Base RI'!P307</f>
        <v>965.9</v>
      </c>
      <c r="X307" s="14">
        <f>'A) Base RI'!R307</f>
        <v>1015.3</v>
      </c>
      <c r="Y307" s="4">
        <f t="shared" si="29"/>
        <v>4545.3</v>
      </c>
      <c r="Z307" s="14">
        <f>'A) Base RI'!N307</f>
        <v>13044.25</v>
      </c>
      <c r="AA307" s="14">
        <f>'A) Base RI'!S307+'A) Base RI'!T307</f>
        <v>2152.5</v>
      </c>
      <c r="AB307" s="14">
        <f>'A) Base RI'!U307</f>
        <v>3350</v>
      </c>
      <c r="AC307" s="14">
        <f>'A) Base RI'!V307</f>
        <v>0</v>
      </c>
      <c r="AD307" s="14">
        <f>'A) Base RI'!W307</f>
        <v>0</v>
      </c>
      <c r="AE307" s="14">
        <f>'A) Base RI'!Y307</f>
        <v>9379.6</v>
      </c>
      <c r="AF307" s="14">
        <f>'A) Base RI'!Z307</f>
        <v>0</v>
      </c>
      <c r="AG307" s="14">
        <f>'A) Base RI'!AA307</f>
        <v>92517.7</v>
      </c>
      <c r="AH307" s="14">
        <f>'A) Base RI'!AB307</f>
        <v>0</v>
      </c>
      <c r="AI307" s="14">
        <f>'A) Base RI'!AC307</f>
        <v>39964.75</v>
      </c>
      <c r="AJ307" s="14">
        <f>'A) Base RI'!AD307</f>
        <v>11473.6</v>
      </c>
      <c r="AK307" s="14">
        <f>'A) Base RI'!AE307</f>
        <v>0</v>
      </c>
      <c r="AL307" s="14">
        <f>'A) Base RI'!AF307</f>
        <v>0</v>
      </c>
      <c r="AM307" s="14">
        <f>'A) Base RI'!AG307</f>
        <v>0</v>
      </c>
      <c r="AN307" s="14">
        <f>'A) Base RI'!AH307</f>
        <v>0</v>
      </c>
      <c r="AO307" s="14">
        <f>'A) Base RI'!AI307</f>
        <v>0</v>
      </c>
      <c r="AP307" s="14">
        <f>'A) Base RI'!AJ307</f>
        <v>0</v>
      </c>
      <c r="AQ307" s="14">
        <f>'A) Base RI'!AK307</f>
        <v>0</v>
      </c>
      <c r="AR307" s="14">
        <f>'A) Base RI'!AN307</f>
        <v>581</v>
      </c>
    </row>
    <row r="308" spans="1:44" x14ac:dyDescent="0.25">
      <c r="A308" s="12">
        <f>'A) Base RI'!A308</f>
        <v>5921</v>
      </c>
      <c r="B308" s="42" t="str">
        <f>'A) Base RI'!B308</f>
        <v>Molondin</v>
      </c>
      <c r="C308" s="14">
        <f>'A) Base RI'!C308+'A) Base RI'!D308</f>
        <v>330968.90000000002</v>
      </c>
      <c r="D308" s="14">
        <f>'A) Base RI'!AO308</f>
        <v>-2702.45</v>
      </c>
      <c r="E308" s="41">
        <f>'A) Base RI'!AP308</f>
        <v>0</v>
      </c>
      <c r="F308" s="41">
        <f>'A) Base RI'!AQ308</f>
        <v>0</v>
      </c>
      <c r="G308" s="4">
        <f t="shared" si="24"/>
        <v>328266.45</v>
      </c>
      <c r="H308" s="14">
        <f>'A) Base RI'!E308</f>
        <v>0</v>
      </c>
      <c r="I308" s="14">
        <f>'A) Base RI'!F308</f>
        <v>1450</v>
      </c>
      <c r="J308" s="14">
        <f>'A) Base RI'!G308+'A) Base RI'!H308</f>
        <v>21756.350000000002</v>
      </c>
      <c r="K308" s="14">
        <f>'A) Base RI'!I308</f>
        <v>0</v>
      </c>
      <c r="L308" s="14">
        <f>'A) Base RI'!J308</f>
        <v>22129.89</v>
      </c>
      <c r="M308" s="14">
        <f>'A) Base RI'!K308</f>
        <v>0</v>
      </c>
      <c r="N308" s="14">
        <f>'A) Base RI'!Q308</f>
        <v>0</v>
      </c>
      <c r="O308" s="14">
        <f t="shared" si="25"/>
        <v>25898.55</v>
      </c>
      <c r="P308" s="14">
        <f>'A) Base RI'!L308</f>
        <v>25898.55</v>
      </c>
      <c r="Q308" s="44">
        <f>'A) Base RI'!AR308</f>
        <v>1</v>
      </c>
      <c r="R308" s="4">
        <f t="shared" si="26"/>
        <v>399501.24</v>
      </c>
      <c r="S308" s="43">
        <f>'A) Base RI'!AM308</f>
        <v>81</v>
      </c>
      <c r="T308" s="4">
        <f t="shared" si="27"/>
        <v>372152.69</v>
      </c>
      <c r="U308" s="4">
        <f t="shared" si="28"/>
        <v>4932.1140740740739</v>
      </c>
      <c r="V308" s="14">
        <f>'A) Base RI'!O308</f>
        <v>39567.800000000003</v>
      </c>
      <c r="W308" s="14">
        <f>'A) Base RI'!P308</f>
        <v>6905.85</v>
      </c>
      <c r="X308" s="14">
        <f>'A) Base RI'!R308</f>
        <v>14626.75</v>
      </c>
      <c r="Y308" s="4">
        <f t="shared" si="29"/>
        <v>61100.4</v>
      </c>
      <c r="Z308" s="14">
        <f>'A) Base RI'!N308</f>
        <v>5539.15</v>
      </c>
      <c r="AA308" s="14">
        <f>'A) Base RI'!S308+'A) Base RI'!T308</f>
        <v>450</v>
      </c>
      <c r="AB308" s="14">
        <f>'A) Base RI'!U308</f>
        <v>1462.5</v>
      </c>
      <c r="AC308" s="14">
        <f>'A) Base RI'!V308</f>
        <v>424</v>
      </c>
      <c r="AD308" s="14">
        <f>'A) Base RI'!W308</f>
        <v>0</v>
      </c>
      <c r="AE308" s="14">
        <f>'A) Base RI'!Y308</f>
        <v>0</v>
      </c>
      <c r="AF308" s="14">
        <f>'A) Base RI'!Z308</f>
        <v>0</v>
      </c>
      <c r="AG308" s="14">
        <f>'A) Base RI'!AA308</f>
        <v>38700</v>
      </c>
      <c r="AH308" s="14">
        <f>'A) Base RI'!AB308</f>
        <v>0</v>
      </c>
      <c r="AI308" s="14">
        <f>'A) Base RI'!AC308</f>
        <v>9000</v>
      </c>
      <c r="AJ308" s="14">
        <f>'A) Base RI'!AD308</f>
        <v>0</v>
      </c>
      <c r="AK308" s="14">
        <f>'A) Base RI'!AE308</f>
        <v>0</v>
      </c>
      <c r="AL308" s="14">
        <f>'A) Base RI'!AF308</f>
        <v>0</v>
      </c>
      <c r="AM308" s="14">
        <f>'A) Base RI'!AG308</f>
        <v>0</v>
      </c>
      <c r="AN308" s="14">
        <f>'A) Base RI'!AH308</f>
        <v>0</v>
      </c>
      <c r="AO308" s="14">
        <f>'A) Base RI'!AI308</f>
        <v>0</v>
      </c>
      <c r="AP308" s="14">
        <f>'A) Base RI'!AJ308</f>
        <v>0</v>
      </c>
      <c r="AQ308" s="14">
        <f>'A) Base RI'!AK308</f>
        <v>0</v>
      </c>
      <c r="AR308" s="14">
        <f>'A) Base RI'!AN308</f>
        <v>224</v>
      </c>
    </row>
    <row r="309" spans="1:44" x14ac:dyDescent="0.25">
      <c r="A309" s="12">
        <f>'A) Base RI'!A309</f>
        <v>5922</v>
      </c>
      <c r="B309" s="42" t="str">
        <f>'A) Base RI'!B309</f>
        <v>Montagny-près-Yverdon</v>
      </c>
      <c r="C309" s="14">
        <f>'A) Base RI'!C309+'A) Base RI'!D309</f>
        <v>1730517.88</v>
      </c>
      <c r="D309" s="14">
        <f>'A) Base RI'!AO309</f>
        <v>-19282.41</v>
      </c>
      <c r="E309" s="41">
        <f>'A) Base RI'!AP309</f>
        <v>0</v>
      </c>
      <c r="F309" s="41">
        <f>'A) Base RI'!AQ309</f>
        <v>-44.15</v>
      </c>
      <c r="G309" s="4">
        <f t="shared" si="24"/>
        <v>1711191.32</v>
      </c>
      <c r="H309" s="14">
        <f>'A) Base RI'!E309</f>
        <v>0</v>
      </c>
      <c r="I309" s="14">
        <f>'A) Base RI'!F309</f>
        <v>0</v>
      </c>
      <c r="J309" s="14">
        <f>'A) Base RI'!G309+'A) Base RI'!H309</f>
        <v>1246361.5999999999</v>
      </c>
      <c r="K309" s="14">
        <f>'A) Base RI'!I309</f>
        <v>-12624.05</v>
      </c>
      <c r="L309" s="14">
        <f>'A) Base RI'!J309</f>
        <v>40055.81</v>
      </c>
      <c r="M309" s="14">
        <f>'A) Base RI'!K309</f>
        <v>28510</v>
      </c>
      <c r="N309" s="14">
        <f>'A) Base RI'!Q309</f>
        <v>3335.64</v>
      </c>
      <c r="O309" s="14">
        <f t="shared" si="25"/>
        <v>293894.6875</v>
      </c>
      <c r="P309" s="14">
        <f>'A) Base RI'!L309</f>
        <v>235115.75</v>
      </c>
      <c r="Q309" s="44">
        <f>'A) Base RI'!AR309</f>
        <v>0.8</v>
      </c>
      <c r="R309" s="4">
        <f t="shared" si="26"/>
        <v>3310725.0075000003</v>
      </c>
      <c r="S309" s="43">
        <f>'A) Base RI'!AM309</f>
        <v>61</v>
      </c>
      <c r="T309" s="4">
        <f t="shared" si="27"/>
        <v>2988320.3200000003</v>
      </c>
      <c r="U309" s="4">
        <f t="shared" si="28"/>
        <v>54274.18045081968</v>
      </c>
      <c r="V309" s="14">
        <f>'A) Base RI'!O309</f>
        <v>0</v>
      </c>
      <c r="W309" s="14">
        <f>'A) Base RI'!P309</f>
        <v>54031.25</v>
      </c>
      <c r="X309" s="14">
        <f>'A) Base RI'!R309</f>
        <v>38872.400000000001</v>
      </c>
      <c r="Y309" s="4">
        <f t="shared" si="29"/>
        <v>92903.65</v>
      </c>
      <c r="Z309" s="14">
        <f>'A) Base RI'!N309</f>
        <v>175609.5</v>
      </c>
      <c r="AA309" s="14">
        <f>'A) Base RI'!S309+'A) Base RI'!T309</f>
        <v>66642.600000000006</v>
      </c>
      <c r="AB309" s="14">
        <f>'A) Base RI'!U309</f>
        <v>1480</v>
      </c>
      <c r="AC309" s="14">
        <f>'A) Base RI'!V309</f>
        <v>77.400000000000006</v>
      </c>
      <c r="AD309" s="14">
        <f>'A) Base RI'!W309</f>
        <v>0</v>
      </c>
      <c r="AE309" s="14">
        <f>'A) Base RI'!Y309</f>
        <v>15250.1</v>
      </c>
      <c r="AF309" s="14">
        <f>'A) Base RI'!Z309</f>
        <v>0</v>
      </c>
      <c r="AG309" s="14">
        <f>'A) Base RI'!AA309</f>
        <v>113830.5</v>
      </c>
      <c r="AH309" s="14">
        <f>'A) Base RI'!AB309</f>
        <v>0</v>
      </c>
      <c r="AI309" s="14">
        <f>'A) Base RI'!AC309</f>
        <v>114888.25</v>
      </c>
      <c r="AJ309" s="14">
        <f>'A) Base RI'!AD309</f>
        <v>17946.5</v>
      </c>
      <c r="AK309" s="14">
        <f>'A) Base RI'!AE309</f>
        <v>0</v>
      </c>
      <c r="AL309" s="14">
        <f>'A) Base RI'!AF309</f>
        <v>0</v>
      </c>
      <c r="AM309" s="14">
        <f>'A) Base RI'!AG309</f>
        <v>3196.15</v>
      </c>
      <c r="AN309" s="14">
        <f>'A) Base RI'!AH309</f>
        <v>96156.75</v>
      </c>
      <c r="AO309" s="14">
        <f>'A) Base RI'!AI309</f>
        <v>0</v>
      </c>
      <c r="AP309" s="14">
        <f>'A) Base RI'!AJ309</f>
        <v>0</v>
      </c>
      <c r="AQ309" s="14">
        <f>'A) Base RI'!AK309</f>
        <v>0</v>
      </c>
      <c r="AR309" s="14">
        <f>'A) Base RI'!AN309</f>
        <v>713</v>
      </c>
    </row>
    <row r="310" spans="1:44" x14ac:dyDescent="0.25">
      <c r="A310" s="12">
        <f>'A) Base RI'!A310</f>
        <v>5923</v>
      </c>
      <c r="B310" s="42" t="str">
        <f>'A) Base RI'!B310</f>
        <v>Oppens</v>
      </c>
      <c r="C310" s="14">
        <f>'A) Base RI'!C310+'A) Base RI'!D310</f>
        <v>351216.23</v>
      </c>
      <c r="D310" s="14">
        <f>'A) Base RI'!AO310</f>
        <v>-85.57</v>
      </c>
      <c r="E310" s="41">
        <f>'A) Base RI'!AP310</f>
        <v>0</v>
      </c>
      <c r="F310" s="41">
        <f>'A) Base RI'!AQ310</f>
        <v>0</v>
      </c>
      <c r="G310" s="4">
        <f t="shared" si="24"/>
        <v>351130.66</v>
      </c>
      <c r="H310" s="14">
        <f>'A) Base RI'!E310</f>
        <v>0</v>
      </c>
      <c r="I310" s="14">
        <f>'A) Base RI'!F310</f>
        <v>0</v>
      </c>
      <c r="J310" s="14">
        <f>'A) Base RI'!G310+'A) Base RI'!H310</f>
        <v>6134</v>
      </c>
      <c r="K310" s="14">
        <f>'A) Base RI'!I310</f>
        <v>0</v>
      </c>
      <c r="L310" s="14">
        <f>'A) Base RI'!J310</f>
        <v>17865.66</v>
      </c>
      <c r="M310" s="14">
        <f>'A) Base RI'!K310</f>
        <v>0</v>
      </c>
      <c r="N310" s="14">
        <f>'A) Base RI'!Q310</f>
        <v>0</v>
      </c>
      <c r="O310" s="14">
        <f t="shared" si="25"/>
        <v>21942</v>
      </c>
      <c r="P310" s="14">
        <f>'A) Base RI'!L310</f>
        <v>21942</v>
      </c>
      <c r="Q310" s="44">
        <f>'A) Base RI'!AR310</f>
        <v>1</v>
      </c>
      <c r="R310" s="4">
        <f t="shared" si="26"/>
        <v>397072.31999999995</v>
      </c>
      <c r="S310" s="43">
        <f>'A) Base RI'!AM310</f>
        <v>81</v>
      </c>
      <c r="T310" s="4">
        <f t="shared" si="27"/>
        <v>375130.31999999995</v>
      </c>
      <c r="U310" s="4">
        <f t="shared" si="28"/>
        <v>4902.1274074074072</v>
      </c>
      <c r="V310" s="14">
        <f>'A) Base RI'!O310</f>
        <v>237.6</v>
      </c>
      <c r="W310" s="14">
        <f>'A) Base RI'!P310</f>
        <v>20081.5</v>
      </c>
      <c r="X310" s="14">
        <f>'A) Base RI'!R310</f>
        <v>24727.65</v>
      </c>
      <c r="Y310" s="4">
        <f t="shared" si="29"/>
        <v>45046.75</v>
      </c>
      <c r="Z310" s="14">
        <f>'A) Base RI'!N310</f>
        <v>15199.8</v>
      </c>
      <c r="AA310" s="14">
        <f>'A) Base RI'!S310+'A) Base RI'!T310</f>
        <v>0</v>
      </c>
      <c r="AB310" s="14">
        <f>'A) Base RI'!U310</f>
        <v>1589.5</v>
      </c>
      <c r="AC310" s="14">
        <f>'A) Base RI'!V310</f>
        <v>0</v>
      </c>
      <c r="AD310" s="14">
        <f>'A) Base RI'!W310</f>
        <v>0</v>
      </c>
      <c r="AE310" s="14">
        <f>'A) Base RI'!Y310</f>
        <v>2800</v>
      </c>
      <c r="AF310" s="14">
        <f>'A) Base RI'!Z310</f>
        <v>0</v>
      </c>
      <c r="AG310" s="14">
        <f>'A) Base RI'!AA310</f>
        <v>44170</v>
      </c>
      <c r="AH310" s="14">
        <f>'A) Base RI'!AB310</f>
        <v>0</v>
      </c>
      <c r="AI310" s="14">
        <f>'A) Base RI'!AC310</f>
        <v>12507</v>
      </c>
      <c r="AJ310" s="14">
        <f>'A) Base RI'!AD310</f>
        <v>7818.2</v>
      </c>
      <c r="AK310" s="14">
        <f>'A) Base RI'!AE310</f>
        <v>0</v>
      </c>
      <c r="AL310" s="14">
        <f>'A) Base RI'!AF310</f>
        <v>0</v>
      </c>
      <c r="AM310" s="14">
        <f>'A) Base RI'!AG310</f>
        <v>0</v>
      </c>
      <c r="AN310" s="14">
        <f>'A) Base RI'!AH310</f>
        <v>0</v>
      </c>
      <c r="AO310" s="14">
        <f>'A) Base RI'!AI310</f>
        <v>0</v>
      </c>
      <c r="AP310" s="14">
        <f>'A) Base RI'!AJ310</f>
        <v>0</v>
      </c>
      <c r="AQ310" s="14">
        <f>'A) Base RI'!AK310</f>
        <v>0</v>
      </c>
      <c r="AR310" s="14">
        <f>'A) Base RI'!AN310</f>
        <v>182</v>
      </c>
    </row>
    <row r="311" spans="1:44" x14ac:dyDescent="0.25">
      <c r="A311" s="12">
        <f>'A) Base RI'!A311</f>
        <v>5924</v>
      </c>
      <c r="B311" s="42" t="str">
        <f>'A) Base RI'!B311</f>
        <v>Orges</v>
      </c>
      <c r="C311" s="14">
        <f>'A) Base RI'!C311+'A) Base RI'!D311</f>
        <v>548446.17000000004</v>
      </c>
      <c r="D311" s="14">
        <f>'A) Base RI'!AO311</f>
        <v>-715.45</v>
      </c>
      <c r="E311" s="41">
        <f>'A) Base RI'!AP311</f>
        <v>0</v>
      </c>
      <c r="F311" s="41">
        <f>'A) Base RI'!AQ311</f>
        <v>-15.04</v>
      </c>
      <c r="G311" s="4">
        <f t="shared" si="24"/>
        <v>547715.68000000005</v>
      </c>
      <c r="H311" s="14">
        <f>'A) Base RI'!E311</f>
        <v>0</v>
      </c>
      <c r="I311" s="14">
        <f>'A) Base RI'!F311</f>
        <v>0</v>
      </c>
      <c r="J311" s="14">
        <f>'A) Base RI'!G311+'A) Base RI'!H311</f>
        <v>61003.5</v>
      </c>
      <c r="K311" s="14">
        <f>'A) Base RI'!I311</f>
        <v>0</v>
      </c>
      <c r="L311" s="14">
        <f>'A) Base RI'!J311</f>
        <v>11394.76</v>
      </c>
      <c r="M311" s="14">
        <f>'A) Base RI'!K311</f>
        <v>0</v>
      </c>
      <c r="N311" s="14">
        <f>'A) Base RI'!Q311</f>
        <v>4847.07</v>
      </c>
      <c r="O311" s="14">
        <f t="shared" si="25"/>
        <v>41250.300000000003</v>
      </c>
      <c r="P311" s="14">
        <f>'A) Base RI'!L311</f>
        <v>41250.300000000003</v>
      </c>
      <c r="Q311" s="44">
        <f>'A) Base RI'!AR311</f>
        <v>1</v>
      </c>
      <c r="R311" s="4">
        <f t="shared" si="26"/>
        <v>666211.31000000006</v>
      </c>
      <c r="S311" s="43">
        <f>'A) Base RI'!AM311</f>
        <v>74</v>
      </c>
      <c r="T311" s="4">
        <f t="shared" si="27"/>
        <v>624961.01</v>
      </c>
      <c r="U311" s="4">
        <f t="shared" si="28"/>
        <v>9002.8555405405405</v>
      </c>
      <c r="V311" s="14">
        <f>'A) Base RI'!O311</f>
        <v>0</v>
      </c>
      <c r="W311" s="14">
        <f>'A) Base RI'!P311</f>
        <v>31483.65</v>
      </c>
      <c r="X311" s="14">
        <f>'A) Base RI'!R311</f>
        <v>44305.8</v>
      </c>
      <c r="Y311" s="4">
        <f t="shared" si="29"/>
        <v>75789.450000000012</v>
      </c>
      <c r="Z311" s="14">
        <f>'A) Base RI'!N311</f>
        <v>22835.85</v>
      </c>
      <c r="AA311" s="14">
        <f>'A) Base RI'!S311+'A) Base RI'!T311</f>
        <v>1170</v>
      </c>
      <c r="AB311" s="14">
        <f>'A) Base RI'!U311</f>
        <v>2750</v>
      </c>
      <c r="AC311" s="14">
        <f>'A) Base RI'!V311</f>
        <v>0</v>
      </c>
      <c r="AD311" s="14">
        <f>'A) Base RI'!W311</f>
        <v>0</v>
      </c>
      <c r="AE311" s="14">
        <f>'A) Base RI'!Y311</f>
        <v>12678</v>
      </c>
      <c r="AF311" s="14">
        <f>'A) Base RI'!Z311</f>
        <v>0</v>
      </c>
      <c r="AG311" s="14">
        <f>'A) Base RI'!AA311</f>
        <v>17648.2</v>
      </c>
      <c r="AH311" s="14">
        <f>'A) Base RI'!AB311</f>
        <v>0</v>
      </c>
      <c r="AI311" s="14">
        <f>'A) Base RI'!AC311</f>
        <v>12740</v>
      </c>
      <c r="AJ311" s="14">
        <f>'A) Base RI'!AD311</f>
        <v>6339</v>
      </c>
      <c r="AK311" s="14">
        <f>'A) Base RI'!AE311</f>
        <v>0</v>
      </c>
      <c r="AL311" s="14">
        <f>'A) Base RI'!AF311</f>
        <v>0</v>
      </c>
      <c r="AM311" s="14">
        <f>'A) Base RI'!AG311</f>
        <v>3319.8</v>
      </c>
      <c r="AN311" s="14">
        <f>'A) Base RI'!AH311</f>
        <v>0</v>
      </c>
      <c r="AO311" s="14">
        <f>'A) Base RI'!AI311</f>
        <v>0</v>
      </c>
      <c r="AP311" s="14">
        <f>'A) Base RI'!AJ311</f>
        <v>0</v>
      </c>
      <c r="AQ311" s="14">
        <f>'A) Base RI'!AK311</f>
        <v>0</v>
      </c>
      <c r="AR311" s="14">
        <f>'A) Base RI'!AN311</f>
        <v>275</v>
      </c>
    </row>
    <row r="312" spans="1:44" x14ac:dyDescent="0.25">
      <c r="A312" s="12">
        <f>'A) Base RI'!A312</f>
        <v>5925</v>
      </c>
      <c r="B312" s="42" t="str">
        <f>'A) Base RI'!B312</f>
        <v>Orzens</v>
      </c>
      <c r="C312" s="14">
        <f>'A) Base RI'!C312+'A) Base RI'!D312</f>
        <v>368047.9</v>
      </c>
      <c r="D312" s="14">
        <f>'A) Base RI'!AO312</f>
        <v>-923.15</v>
      </c>
      <c r="E312" s="41">
        <f>'A) Base RI'!AP312</f>
        <v>-3982.45</v>
      </c>
      <c r="F312" s="41">
        <f>'A) Base RI'!AQ312</f>
        <v>-9</v>
      </c>
      <c r="G312" s="4">
        <f t="shared" si="24"/>
        <v>363133.3</v>
      </c>
      <c r="H312" s="14">
        <f>'A) Base RI'!E312</f>
        <v>0</v>
      </c>
      <c r="I312" s="14">
        <f>'A) Base RI'!F312</f>
        <v>1170</v>
      </c>
      <c r="J312" s="14">
        <f>'A) Base RI'!G312+'A) Base RI'!H312</f>
        <v>2802.8</v>
      </c>
      <c r="K312" s="14">
        <f>'A) Base RI'!I312</f>
        <v>0</v>
      </c>
      <c r="L312" s="14">
        <f>'A) Base RI'!J312</f>
        <v>5831.67</v>
      </c>
      <c r="M312" s="14">
        <f>'A) Base RI'!K312</f>
        <v>0</v>
      </c>
      <c r="N312" s="14">
        <f>'A) Base RI'!Q312</f>
        <v>0</v>
      </c>
      <c r="O312" s="14">
        <f t="shared" si="25"/>
        <v>26308.7</v>
      </c>
      <c r="P312" s="14">
        <f>'A) Base RI'!L312</f>
        <v>26308.7</v>
      </c>
      <c r="Q312" s="44">
        <f>'A) Base RI'!AR312</f>
        <v>1</v>
      </c>
      <c r="R312" s="4">
        <f t="shared" si="26"/>
        <v>399246.47</v>
      </c>
      <c r="S312" s="43">
        <f>'A) Base RI'!AM312</f>
        <v>79</v>
      </c>
      <c r="T312" s="4">
        <f t="shared" si="27"/>
        <v>371767.76999999996</v>
      </c>
      <c r="U312" s="4">
        <f t="shared" si="28"/>
        <v>5053.7527848101263</v>
      </c>
      <c r="V312" s="14">
        <f>'A) Base RI'!O312</f>
        <v>0</v>
      </c>
      <c r="W312" s="14">
        <f>'A) Base RI'!P312</f>
        <v>5206.7</v>
      </c>
      <c r="X312" s="14">
        <f>'A) Base RI'!R312</f>
        <v>0</v>
      </c>
      <c r="Y312" s="4">
        <f t="shared" si="29"/>
        <v>5206.7</v>
      </c>
      <c r="Z312" s="14">
        <f>'A) Base RI'!N312</f>
        <v>5230.1000000000004</v>
      </c>
      <c r="AA312" s="14">
        <f>'A) Base RI'!S312+'A) Base RI'!T312</f>
        <v>40</v>
      </c>
      <c r="AB312" s="14">
        <f>'A) Base RI'!U312</f>
        <v>1720</v>
      </c>
      <c r="AC312" s="14">
        <f>'A) Base RI'!V312</f>
        <v>0</v>
      </c>
      <c r="AD312" s="14">
        <f>'A) Base RI'!W312</f>
        <v>0</v>
      </c>
      <c r="AE312" s="14">
        <f>'A) Base RI'!Y312</f>
        <v>2800</v>
      </c>
      <c r="AF312" s="14">
        <f>'A) Base RI'!Z312</f>
        <v>0</v>
      </c>
      <c r="AG312" s="14">
        <f>'A) Base RI'!AA312</f>
        <v>37993.5</v>
      </c>
      <c r="AH312" s="14">
        <f>'A) Base RI'!AB312</f>
        <v>0</v>
      </c>
      <c r="AI312" s="14">
        <f>'A) Base RI'!AC312</f>
        <v>13612.8</v>
      </c>
      <c r="AJ312" s="14">
        <f>'A) Base RI'!AD312</f>
        <v>1503.5</v>
      </c>
      <c r="AK312" s="14">
        <f>'A) Base RI'!AE312</f>
        <v>0</v>
      </c>
      <c r="AL312" s="14">
        <f>'A) Base RI'!AF312</f>
        <v>0</v>
      </c>
      <c r="AM312" s="14">
        <f>'A) Base RI'!AG312</f>
        <v>0</v>
      </c>
      <c r="AN312" s="14">
        <f>'A) Base RI'!AH312</f>
        <v>0</v>
      </c>
      <c r="AO312" s="14">
        <f>'A) Base RI'!AI312</f>
        <v>0</v>
      </c>
      <c r="AP312" s="14">
        <f>'A) Base RI'!AJ312</f>
        <v>0</v>
      </c>
      <c r="AQ312" s="14">
        <f>'A) Base RI'!AK312</f>
        <v>0</v>
      </c>
      <c r="AR312" s="14">
        <f>'A) Base RI'!AN312</f>
        <v>211</v>
      </c>
    </row>
    <row r="313" spans="1:44" x14ac:dyDescent="0.25">
      <c r="A313" s="12">
        <f>'A) Base RI'!A313</f>
        <v>5926</v>
      </c>
      <c r="B313" s="42" t="str">
        <f>'A) Base RI'!B313</f>
        <v>Pomy</v>
      </c>
      <c r="C313" s="14">
        <f>'A) Base RI'!C313+'A) Base RI'!D313</f>
        <v>1334457.6300000001</v>
      </c>
      <c r="D313" s="14">
        <f>'A) Base RI'!AO313</f>
        <v>-9018.7900000000009</v>
      </c>
      <c r="E313" s="41">
        <f>'A) Base RI'!AP313</f>
        <v>0</v>
      </c>
      <c r="F313" s="41">
        <f>'A) Base RI'!AQ313</f>
        <v>-74.27</v>
      </c>
      <c r="G313" s="4">
        <f t="shared" si="24"/>
        <v>1325364.57</v>
      </c>
      <c r="H313" s="14">
        <f>'A) Base RI'!E313</f>
        <v>0</v>
      </c>
      <c r="I313" s="14">
        <f>'A) Base RI'!F313</f>
        <v>0</v>
      </c>
      <c r="J313" s="14">
        <f>'A) Base RI'!G313+'A) Base RI'!H313</f>
        <v>41807.1</v>
      </c>
      <c r="K313" s="14">
        <f>'A) Base RI'!I313</f>
        <v>0</v>
      </c>
      <c r="L313" s="14">
        <f>'A) Base RI'!J313</f>
        <v>17363.099999999999</v>
      </c>
      <c r="M313" s="14">
        <f>'A) Base RI'!K313</f>
        <v>0</v>
      </c>
      <c r="N313" s="14">
        <f>'A) Base RI'!Q313</f>
        <v>1405.39</v>
      </c>
      <c r="O313" s="14">
        <f t="shared" si="25"/>
        <v>107127.8</v>
      </c>
      <c r="P313" s="14">
        <f>'A) Base RI'!L313</f>
        <v>107127.8</v>
      </c>
      <c r="Q313" s="44">
        <f>'A) Base RI'!AR313</f>
        <v>1</v>
      </c>
      <c r="R313" s="4">
        <f t="shared" si="26"/>
        <v>1493067.9600000002</v>
      </c>
      <c r="S313" s="43">
        <f>'A) Base RI'!AM313</f>
        <v>71</v>
      </c>
      <c r="T313" s="4">
        <f t="shared" si="27"/>
        <v>1385940.1600000001</v>
      </c>
      <c r="U313" s="4">
        <f t="shared" si="28"/>
        <v>21029.126197183101</v>
      </c>
      <c r="V313" s="14">
        <f>'A) Base RI'!O313</f>
        <v>679.1</v>
      </c>
      <c r="W313" s="14">
        <f>'A) Base RI'!P313</f>
        <v>45814.15</v>
      </c>
      <c r="X313" s="14">
        <f>'A) Base RI'!R313</f>
        <v>50367.05</v>
      </c>
      <c r="Y313" s="4">
        <f t="shared" si="29"/>
        <v>96860.3</v>
      </c>
      <c r="Z313" s="14">
        <f>'A) Base RI'!N313</f>
        <v>7530.45</v>
      </c>
      <c r="AA313" s="14">
        <f>'A) Base RI'!S313+'A) Base RI'!T313</f>
        <v>620</v>
      </c>
      <c r="AB313" s="14">
        <f>'A) Base RI'!U313</f>
        <v>4800</v>
      </c>
      <c r="AC313" s="14">
        <f>'A) Base RI'!V313</f>
        <v>0</v>
      </c>
      <c r="AD313" s="14">
        <f>'A) Base RI'!W313</f>
        <v>0</v>
      </c>
      <c r="AE313" s="14">
        <f>'A) Base RI'!Y313</f>
        <v>39524</v>
      </c>
      <c r="AF313" s="14">
        <f>'A) Base RI'!Z313</f>
        <v>0</v>
      </c>
      <c r="AG313" s="14">
        <f>'A) Base RI'!AA313</f>
        <v>46011.65</v>
      </c>
      <c r="AH313" s="14">
        <f>'A) Base RI'!AB313</f>
        <v>0</v>
      </c>
      <c r="AI313" s="14">
        <f>'A) Base RI'!AC313</f>
        <v>25577.9</v>
      </c>
      <c r="AJ313" s="14">
        <f>'A) Base RI'!AD313</f>
        <v>23000</v>
      </c>
      <c r="AK313" s="14">
        <f>'A) Base RI'!AE313</f>
        <v>5445.2</v>
      </c>
      <c r="AL313" s="14">
        <f>'A) Base RI'!AF313</f>
        <v>0</v>
      </c>
      <c r="AM313" s="14">
        <f>'A) Base RI'!AG313</f>
        <v>0</v>
      </c>
      <c r="AN313" s="14">
        <f>'A) Base RI'!AH313</f>
        <v>0</v>
      </c>
      <c r="AO313" s="14">
        <f>'A) Base RI'!AI313</f>
        <v>0</v>
      </c>
      <c r="AP313" s="14">
        <f>'A) Base RI'!AJ313</f>
        <v>0</v>
      </c>
      <c r="AQ313" s="14">
        <f>'A) Base RI'!AK313</f>
        <v>0</v>
      </c>
      <c r="AR313" s="14">
        <f>'A) Base RI'!AN313</f>
        <v>730</v>
      </c>
    </row>
    <row r="314" spans="1:44" x14ac:dyDescent="0.25">
      <c r="A314" s="12">
        <f>'A) Base RI'!A314</f>
        <v>5928</v>
      </c>
      <c r="B314" s="42" t="str">
        <f>'A) Base RI'!B314</f>
        <v>Rovray</v>
      </c>
      <c r="C314" s="14">
        <f>'A) Base RI'!C314+'A) Base RI'!D314</f>
        <v>339062.72</v>
      </c>
      <c r="D314" s="14">
        <f>'A) Base RI'!AO314</f>
        <v>-30.93</v>
      </c>
      <c r="E314" s="41">
        <f>'A) Base RI'!AP314</f>
        <v>0</v>
      </c>
      <c r="F314" s="41">
        <f>'A) Base RI'!AQ314</f>
        <v>-0.53</v>
      </c>
      <c r="G314" s="4">
        <f t="shared" si="24"/>
        <v>339031.25999999995</v>
      </c>
      <c r="H314" s="14">
        <f>'A) Base RI'!E314</f>
        <v>0</v>
      </c>
      <c r="I314" s="14">
        <f>'A) Base RI'!F314</f>
        <v>0</v>
      </c>
      <c r="J314" s="14">
        <f>'A) Base RI'!G314+'A) Base RI'!H314</f>
        <v>4163.4500000000007</v>
      </c>
      <c r="K314" s="14">
        <f>'A) Base RI'!I314</f>
        <v>0</v>
      </c>
      <c r="L314" s="14">
        <f>'A) Base RI'!J314</f>
        <v>4613.42</v>
      </c>
      <c r="M314" s="14">
        <f>'A) Base RI'!K314</f>
        <v>0</v>
      </c>
      <c r="N314" s="14">
        <f>'A) Base RI'!Q314</f>
        <v>0</v>
      </c>
      <c r="O314" s="14">
        <f t="shared" si="25"/>
        <v>19477.8</v>
      </c>
      <c r="P314" s="14">
        <f>'A) Base RI'!L314</f>
        <v>19477.8</v>
      </c>
      <c r="Q314" s="44">
        <f>'A) Base RI'!AR314</f>
        <v>1</v>
      </c>
      <c r="R314" s="4">
        <f t="shared" si="26"/>
        <v>367285.92999999993</v>
      </c>
      <c r="S314" s="43">
        <f>'A) Base RI'!AM314</f>
        <v>75</v>
      </c>
      <c r="T314" s="4">
        <f t="shared" si="27"/>
        <v>347808.12999999995</v>
      </c>
      <c r="U314" s="4">
        <f t="shared" si="28"/>
        <v>4897.1457333333328</v>
      </c>
      <c r="V314" s="14">
        <f>'A) Base RI'!O314</f>
        <v>27518.1</v>
      </c>
      <c r="W314" s="14">
        <f>'A) Base RI'!P314</f>
        <v>0</v>
      </c>
      <c r="X314" s="14">
        <f>'A) Base RI'!R314</f>
        <v>0</v>
      </c>
      <c r="Y314" s="4">
        <f t="shared" si="29"/>
        <v>27518.1</v>
      </c>
      <c r="Z314" s="14">
        <f>'A) Base RI'!N314</f>
        <v>0</v>
      </c>
      <c r="AA314" s="14">
        <f>'A) Base RI'!S314+'A) Base RI'!T314</f>
        <v>0</v>
      </c>
      <c r="AB314" s="14">
        <f>'A) Base RI'!U314</f>
        <v>1170</v>
      </c>
      <c r="AC314" s="14">
        <f>'A) Base RI'!V314</f>
        <v>0</v>
      </c>
      <c r="AD314" s="14">
        <f>'A) Base RI'!W314</f>
        <v>0</v>
      </c>
      <c r="AE314" s="14">
        <f>'A) Base RI'!Y314</f>
        <v>0</v>
      </c>
      <c r="AF314" s="14">
        <f>'A) Base RI'!Z314</f>
        <v>0</v>
      </c>
      <c r="AG314" s="14">
        <f>'A) Base RI'!AA314</f>
        <v>29741.65</v>
      </c>
      <c r="AH314" s="14">
        <f>'A) Base RI'!AB314</f>
        <v>0</v>
      </c>
      <c r="AI314" s="14">
        <f>'A) Base RI'!AC314</f>
        <v>7996.45</v>
      </c>
      <c r="AJ314" s="14">
        <f>'A) Base RI'!AD314</f>
        <v>0</v>
      </c>
      <c r="AK314" s="14">
        <f>'A) Base RI'!AE314</f>
        <v>0</v>
      </c>
      <c r="AL314" s="14">
        <f>'A) Base RI'!AF314</f>
        <v>0</v>
      </c>
      <c r="AM314" s="14">
        <f>'A) Base RI'!AG314</f>
        <v>0</v>
      </c>
      <c r="AN314" s="14">
        <f>'A) Base RI'!AH314</f>
        <v>0</v>
      </c>
      <c r="AO314" s="14">
        <f>'A) Base RI'!AI314</f>
        <v>0</v>
      </c>
      <c r="AP314" s="14">
        <f>'A) Base RI'!AJ314</f>
        <v>0</v>
      </c>
      <c r="AQ314" s="14">
        <f>'A) Base RI'!AK314</f>
        <v>0</v>
      </c>
      <c r="AR314" s="14">
        <f>'A) Base RI'!AN314</f>
        <v>176</v>
      </c>
    </row>
    <row r="315" spans="1:44" x14ac:dyDescent="0.25">
      <c r="A315" s="12">
        <f>'A) Base RI'!A315</f>
        <v>5929</v>
      </c>
      <c r="B315" s="42" t="str">
        <f>'A) Base RI'!B315</f>
        <v>Suchy</v>
      </c>
      <c r="C315" s="14">
        <f>'A) Base RI'!C315+'A) Base RI'!D315</f>
        <v>950307.41</v>
      </c>
      <c r="D315" s="14">
        <f>'A) Base RI'!AO315</f>
        <v>-7804.95</v>
      </c>
      <c r="E315" s="41">
        <f>'A) Base RI'!AP315</f>
        <v>0</v>
      </c>
      <c r="F315" s="41">
        <f>'A) Base RI'!AQ315</f>
        <v>-220.58</v>
      </c>
      <c r="G315" s="4">
        <f t="shared" si="24"/>
        <v>942281.88000000012</v>
      </c>
      <c r="H315" s="14">
        <f>'A) Base RI'!E315</f>
        <v>0</v>
      </c>
      <c r="I315" s="14">
        <f>'A) Base RI'!F315</f>
        <v>0</v>
      </c>
      <c r="J315" s="14">
        <f>'A) Base RI'!G315+'A) Base RI'!H315</f>
        <v>27876.25</v>
      </c>
      <c r="K315" s="14">
        <f>'A) Base RI'!I315</f>
        <v>39925.85</v>
      </c>
      <c r="L315" s="14">
        <f>'A) Base RI'!J315</f>
        <v>-3166.46</v>
      </c>
      <c r="M315" s="14">
        <f>'A) Base RI'!K315</f>
        <v>0</v>
      </c>
      <c r="N315" s="14">
        <f>'A) Base RI'!Q315</f>
        <v>0</v>
      </c>
      <c r="O315" s="14">
        <f t="shared" si="25"/>
        <v>86788.583333333343</v>
      </c>
      <c r="P315" s="14">
        <f>'A) Base RI'!L315</f>
        <v>52073.15</v>
      </c>
      <c r="Q315" s="44">
        <f>'A) Base RI'!AR315</f>
        <v>0.6</v>
      </c>
      <c r="R315" s="4">
        <f t="shared" si="26"/>
        <v>1093706.1033333335</v>
      </c>
      <c r="S315" s="43">
        <f>'A) Base RI'!AM315</f>
        <v>68</v>
      </c>
      <c r="T315" s="4">
        <f t="shared" si="27"/>
        <v>1006917.5200000001</v>
      </c>
      <c r="U315" s="4">
        <f t="shared" si="28"/>
        <v>16083.913284313729</v>
      </c>
      <c r="V315" s="14">
        <f>'A) Base RI'!O315</f>
        <v>0</v>
      </c>
      <c r="W315" s="14">
        <f>'A) Base RI'!P315</f>
        <v>17156.150000000001</v>
      </c>
      <c r="X315" s="14">
        <f>'A) Base RI'!R315</f>
        <v>14080.55</v>
      </c>
      <c r="Y315" s="4">
        <f t="shared" si="29"/>
        <v>31236.7</v>
      </c>
      <c r="Z315" s="14">
        <f>'A) Base RI'!N315</f>
        <v>8492.6</v>
      </c>
      <c r="AA315" s="14">
        <f>'A) Base RI'!S315+'A) Base RI'!T315</f>
        <v>93.75</v>
      </c>
      <c r="AB315" s="14">
        <f>'A) Base RI'!U315</f>
        <v>2130</v>
      </c>
      <c r="AC315" s="14">
        <f>'A) Base RI'!V315</f>
        <v>0</v>
      </c>
      <c r="AD315" s="14">
        <f>'A) Base RI'!W315</f>
        <v>0</v>
      </c>
      <c r="AE315" s="14">
        <f>'A) Base RI'!Y315</f>
        <v>16122.65</v>
      </c>
      <c r="AF315" s="14">
        <f>'A) Base RI'!Z315</f>
        <v>0</v>
      </c>
      <c r="AG315" s="14">
        <f>'A) Base RI'!AA315</f>
        <v>188013.1</v>
      </c>
      <c r="AH315" s="14">
        <f>'A) Base RI'!AB315</f>
        <v>0</v>
      </c>
      <c r="AI315" s="14">
        <f>'A) Base RI'!AC315</f>
        <v>39858.85</v>
      </c>
      <c r="AJ315" s="14">
        <f>'A) Base RI'!AD315</f>
        <v>0</v>
      </c>
      <c r="AK315" s="14">
        <f>'A) Base RI'!AE315</f>
        <v>0</v>
      </c>
      <c r="AL315" s="14">
        <f>'A) Base RI'!AF315</f>
        <v>0</v>
      </c>
      <c r="AM315" s="14">
        <f>'A) Base RI'!AG315</f>
        <v>0</v>
      </c>
      <c r="AN315" s="14">
        <f>'A) Base RI'!AH315</f>
        <v>11328.75</v>
      </c>
      <c r="AO315" s="14">
        <f>'A) Base RI'!AI315</f>
        <v>0</v>
      </c>
      <c r="AP315" s="14">
        <f>'A) Base RI'!AJ315</f>
        <v>0</v>
      </c>
      <c r="AQ315" s="14">
        <f>'A) Base RI'!AK315</f>
        <v>0</v>
      </c>
      <c r="AR315" s="14">
        <f>'A) Base RI'!AN315</f>
        <v>542</v>
      </c>
    </row>
    <row r="316" spans="1:44" x14ac:dyDescent="0.25">
      <c r="A316" s="12">
        <f>'A) Base RI'!A316</f>
        <v>5930</v>
      </c>
      <c r="B316" s="42" t="str">
        <f>'A) Base RI'!B316</f>
        <v>Suscévaz</v>
      </c>
      <c r="C316" s="14">
        <f>'A) Base RI'!C316+'A) Base RI'!D316</f>
        <v>315495.13</v>
      </c>
      <c r="D316" s="14">
        <f>'A) Base RI'!AO316</f>
        <v>-51.83</v>
      </c>
      <c r="E316" s="41">
        <f>'A) Base RI'!AP316</f>
        <v>0</v>
      </c>
      <c r="F316" s="41">
        <f>'A) Base RI'!AQ316</f>
        <v>-312.61</v>
      </c>
      <c r="G316" s="4">
        <f t="shared" si="24"/>
        <v>315130.69</v>
      </c>
      <c r="H316" s="14">
        <f>'A) Base RI'!E316</f>
        <v>0</v>
      </c>
      <c r="I316" s="14">
        <f>'A) Base RI'!F316</f>
        <v>0</v>
      </c>
      <c r="J316" s="14">
        <f>'A) Base RI'!G316+'A) Base RI'!H316</f>
        <v>200.85000000000002</v>
      </c>
      <c r="K316" s="14">
        <f>'A) Base RI'!I316</f>
        <v>0</v>
      </c>
      <c r="L316" s="14">
        <f>'A) Base RI'!J316</f>
        <v>2155.39</v>
      </c>
      <c r="M316" s="14">
        <f>'A) Base RI'!K316</f>
        <v>0</v>
      </c>
      <c r="N316" s="14">
        <f>'A) Base RI'!Q316</f>
        <v>0</v>
      </c>
      <c r="O316" s="14">
        <f t="shared" si="25"/>
        <v>26246.6</v>
      </c>
      <c r="P316" s="14">
        <f>'A) Base RI'!L316</f>
        <v>26246.6</v>
      </c>
      <c r="Q316" s="44">
        <f>'A) Base RI'!AR316</f>
        <v>1</v>
      </c>
      <c r="R316" s="4">
        <f t="shared" si="26"/>
        <v>343733.52999999997</v>
      </c>
      <c r="S316" s="43">
        <f>'A) Base RI'!AM316</f>
        <v>66</v>
      </c>
      <c r="T316" s="4">
        <f t="shared" si="27"/>
        <v>317486.93</v>
      </c>
      <c r="U316" s="4">
        <f t="shared" si="28"/>
        <v>5208.083787878787</v>
      </c>
      <c r="V316" s="14">
        <f>'A) Base RI'!O316</f>
        <v>75.3</v>
      </c>
      <c r="W316" s="14">
        <f>'A) Base RI'!P316</f>
        <v>4649.6499999999996</v>
      </c>
      <c r="X316" s="14">
        <f>'A) Base RI'!R316</f>
        <v>0</v>
      </c>
      <c r="Y316" s="4">
        <f t="shared" si="29"/>
        <v>4724.95</v>
      </c>
      <c r="Z316" s="14">
        <f>'A) Base RI'!N316</f>
        <v>7873.25</v>
      </c>
      <c r="AA316" s="14">
        <f>'A) Base RI'!S316+'A) Base RI'!T316</f>
        <v>50</v>
      </c>
      <c r="AB316" s="14">
        <f>'A) Base RI'!U316</f>
        <v>320</v>
      </c>
      <c r="AC316" s="14">
        <f>'A) Base RI'!V316</f>
        <v>0</v>
      </c>
      <c r="AD316" s="14">
        <f>'A) Base RI'!W316</f>
        <v>0</v>
      </c>
      <c r="AE316" s="14">
        <f>'A) Base RI'!Y316</f>
        <v>11750</v>
      </c>
      <c r="AF316" s="14">
        <f>'A) Base RI'!Z316</f>
        <v>0</v>
      </c>
      <c r="AG316" s="14">
        <f>'A) Base RI'!AA316</f>
        <v>17418.7</v>
      </c>
      <c r="AH316" s="14">
        <f>'A) Base RI'!AB316</f>
        <v>0</v>
      </c>
      <c r="AI316" s="14">
        <f>'A) Base RI'!AC316</f>
        <v>6718.25</v>
      </c>
      <c r="AJ316" s="14">
        <f>'A) Base RI'!AD316</f>
        <v>5821.5</v>
      </c>
      <c r="AK316" s="14">
        <f>'A) Base RI'!AE316</f>
        <v>0</v>
      </c>
      <c r="AL316" s="14">
        <f>'A) Base RI'!AF316</f>
        <v>0</v>
      </c>
      <c r="AM316" s="14">
        <f>'A) Base RI'!AG316</f>
        <v>0</v>
      </c>
      <c r="AN316" s="14">
        <f>'A) Base RI'!AH316</f>
        <v>0</v>
      </c>
      <c r="AO316" s="14">
        <f>'A) Base RI'!AI316</f>
        <v>0</v>
      </c>
      <c r="AP316" s="14">
        <f>'A) Base RI'!AJ316</f>
        <v>0</v>
      </c>
      <c r="AQ316" s="14">
        <f>'A) Base RI'!AK316</f>
        <v>0</v>
      </c>
      <c r="AR316" s="14">
        <f>'A) Base RI'!AN316</f>
        <v>199</v>
      </c>
    </row>
    <row r="317" spans="1:44" x14ac:dyDescent="0.25">
      <c r="A317" s="12">
        <f>'A) Base RI'!A317</f>
        <v>5931</v>
      </c>
      <c r="B317" s="42" t="str">
        <f>'A) Base RI'!B317</f>
        <v>Treycovagnes</v>
      </c>
      <c r="C317" s="14">
        <f>'A) Base RI'!C317+'A) Base RI'!D317</f>
        <v>982762.15999999992</v>
      </c>
      <c r="D317" s="14">
        <f>'A) Base RI'!AO317</f>
        <v>-7355.87</v>
      </c>
      <c r="E317" s="41">
        <f>'A) Base RI'!AP317</f>
        <v>0</v>
      </c>
      <c r="F317" s="41">
        <f>'A) Base RI'!AQ317</f>
        <v>-0.72</v>
      </c>
      <c r="G317" s="4">
        <f t="shared" si="24"/>
        <v>975405.57</v>
      </c>
      <c r="H317" s="14">
        <f>'A) Base RI'!E317</f>
        <v>0</v>
      </c>
      <c r="I317" s="14">
        <f>'A) Base RI'!F317</f>
        <v>0</v>
      </c>
      <c r="J317" s="14">
        <f>'A) Base RI'!G317+'A) Base RI'!H317</f>
        <v>11550.55</v>
      </c>
      <c r="K317" s="14">
        <f>'A) Base RI'!I317</f>
        <v>0</v>
      </c>
      <c r="L317" s="14">
        <f>'A) Base RI'!J317</f>
        <v>15062.89</v>
      </c>
      <c r="M317" s="14">
        <f>'A) Base RI'!K317</f>
        <v>94.5</v>
      </c>
      <c r="N317" s="14">
        <f>'A) Base RI'!Q317</f>
        <v>219.5</v>
      </c>
      <c r="O317" s="14">
        <f t="shared" si="25"/>
        <v>69666.7</v>
      </c>
      <c r="P317" s="14">
        <f>'A) Base RI'!L317</f>
        <v>69666.7</v>
      </c>
      <c r="Q317" s="44">
        <f>'A) Base RI'!AR317</f>
        <v>1</v>
      </c>
      <c r="R317" s="4">
        <f t="shared" si="26"/>
        <v>1071999.71</v>
      </c>
      <c r="S317" s="43">
        <f>'A) Base RI'!AM317</f>
        <v>77</v>
      </c>
      <c r="T317" s="4">
        <f t="shared" si="27"/>
        <v>1002238.51</v>
      </c>
      <c r="U317" s="4">
        <f t="shared" si="28"/>
        <v>13922.074155844155</v>
      </c>
      <c r="V317" s="14">
        <f>'A) Base RI'!O317</f>
        <v>4332.1000000000004</v>
      </c>
      <c r="W317" s="14">
        <f>'A) Base RI'!P317</f>
        <v>39723.800000000003</v>
      </c>
      <c r="X317" s="14">
        <f>'A) Base RI'!R317</f>
        <v>31537.1</v>
      </c>
      <c r="Y317" s="4">
        <f t="shared" si="29"/>
        <v>75593</v>
      </c>
      <c r="Z317" s="14">
        <f>'A) Base RI'!N317</f>
        <v>12599.25</v>
      </c>
      <c r="AA317" s="14">
        <f>'A) Base RI'!S317+'A) Base RI'!T317</f>
        <v>350</v>
      </c>
      <c r="AB317" s="14">
        <f>'A) Base RI'!U317</f>
        <v>4100</v>
      </c>
      <c r="AC317" s="14">
        <f>'A) Base RI'!V317</f>
        <v>0</v>
      </c>
      <c r="AD317" s="14">
        <f>'A) Base RI'!W317</f>
        <v>0</v>
      </c>
      <c r="AE317" s="14">
        <f>'A) Base RI'!Y317</f>
        <v>2000</v>
      </c>
      <c r="AF317" s="14">
        <f>'A) Base RI'!Z317</f>
        <v>0</v>
      </c>
      <c r="AG317" s="14">
        <f>'A) Base RI'!AA317</f>
        <v>35302.85</v>
      </c>
      <c r="AH317" s="14">
        <f>'A) Base RI'!AB317</f>
        <v>0</v>
      </c>
      <c r="AI317" s="14">
        <f>'A) Base RI'!AC317</f>
        <v>26775.9</v>
      </c>
      <c r="AJ317" s="14">
        <f>'A) Base RI'!AD317</f>
        <v>500</v>
      </c>
      <c r="AK317" s="14">
        <f>'A) Base RI'!AE317</f>
        <v>0</v>
      </c>
      <c r="AL317" s="14">
        <f>'A) Base RI'!AF317</f>
        <v>0</v>
      </c>
      <c r="AM317" s="14">
        <f>'A) Base RI'!AG317</f>
        <v>0</v>
      </c>
      <c r="AN317" s="14">
        <f>'A) Base RI'!AH317</f>
        <v>13024.05</v>
      </c>
      <c r="AO317" s="14">
        <f>'A) Base RI'!AI317</f>
        <v>0</v>
      </c>
      <c r="AP317" s="14">
        <f>'A) Base RI'!AJ317</f>
        <v>0</v>
      </c>
      <c r="AQ317" s="14">
        <f>'A) Base RI'!AK317</f>
        <v>0</v>
      </c>
      <c r="AR317" s="14">
        <f>'A) Base RI'!AN317</f>
        <v>462</v>
      </c>
    </row>
    <row r="318" spans="1:44" x14ac:dyDescent="0.25">
      <c r="A318" s="12">
        <f>'A) Base RI'!A318</f>
        <v>5932</v>
      </c>
      <c r="B318" s="42" t="str">
        <f>'A) Base RI'!B318</f>
        <v>Ursins</v>
      </c>
      <c r="C318" s="14">
        <f>'A) Base RI'!C318+'A) Base RI'!D318</f>
        <v>366674.35</v>
      </c>
      <c r="D318" s="14">
        <f>'A) Base RI'!AO318</f>
        <v>-1074.07</v>
      </c>
      <c r="E318" s="41">
        <f>'A) Base RI'!AP318</f>
        <v>0</v>
      </c>
      <c r="F318" s="41">
        <f>'A) Base RI'!AQ318</f>
        <v>0</v>
      </c>
      <c r="G318" s="4">
        <f t="shared" si="24"/>
        <v>365600.27999999997</v>
      </c>
      <c r="H318" s="14">
        <f>'A) Base RI'!E318</f>
        <v>0</v>
      </c>
      <c r="I318" s="14">
        <f>'A) Base RI'!F318</f>
        <v>1220</v>
      </c>
      <c r="J318" s="14">
        <f>'A) Base RI'!G318+'A) Base RI'!H318</f>
        <v>1297.7</v>
      </c>
      <c r="K318" s="14">
        <f>'A) Base RI'!I318</f>
        <v>24715.45</v>
      </c>
      <c r="L318" s="14">
        <f>'A) Base RI'!J318</f>
        <v>2928.81</v>
      </c>
      <c r="M318" s="14">
        <f>'A) Base RI'!K318</f>
        <v>50</v>
      </c>
      <c r="N318" s="14">
        <f>'A) Base RI'!Q318</f>
        <v>0</v>
      </c>
      <c r="O318" s="14">
        <f t="shared" si="25"/>
        <v>27673.7</v>
      </c>
      <c r="P318" s="14">
        <f>'A) Base RI'!L318</f>
        <v>27673.7</v>
      </c>
      <c r="Q318" s="44">
        <f>'A) Base RI'!AR318</f>
        <v>1</v>
      </c>
      <c r="R318" s="4">
        <f t="shared" si="26"/>
        <v>423485.94</v>
      </c>
      <c r="S318" s="43">
        <f>'A) Base RI'!AM318</f>
        <v>78</v>
      </c>
      <c r="T318" s="4">
        <f t="shared" si="27"/>
        <v>394542.24</v>
      </c>
      <c r="U318" s="4">
        <f t="shared" si="28"/>
        <v>5429.3069230769233</v>
      </c>
      <c r="V318" s="14">
        <f>'A) Base RI'!O318</f>
        <v>0</v>
      </c>
      <c r="W318" s="14">
        <f>'A) Base RI'!P318</f>
        <v>561</v>
      </c>
      <c r="X318" s="14">
        <f>'A) Base RI'!R318</f>
        <v>0</v>
      </c>
      <c r="Y318" s="4">
        <f t="shared" si="29"/>
        <v>561</v>
      </c>
      <c r="Z318" s="14">
        <f>'A) Base RI'!N318</f>
        <v>0</v>
      </c>
      <c r="AA318" s="14">
        <f>'A) Base RI'!S318+'A) Base RI'!T318</f>
        <v>370</v>
      </c>
      <c r="AB318" s="14">
        <f>'A) Base RI'!U318</f>
        <v>1850</v>
      </c>
      <c r="AC318" s="14">
        <f>'A) Base RI'!V318</f>
        <v>0</v>
      </c>
      <c r="AD318" s="14">
        <f>'A) Base RI'!W318</f>
        <v>0</v>
      </c>
      <c r="AE318" s="14">
        <f>'A) Base RI'!Y318</f>
        <v>16475</v>
      </c>
      <c r="AF318" s="14">
        <f>'A) Base RI'!Z318</f>
        <v>0</v>
      </c>
      <c r="AG318" s="14">
        <f>'A) Base RI'!AA318</f>
        <v>13293.4</v>
      </c>
      <c r="AH318" s="14">
        <f>'A) Base RI'!AB318</f>
        <v>0</v>
      </c>
      <c r="AI318" s="14">
        <f>'A) Base RI'!AC318</f>
        <v>8608.4</v>
      </c>
      <c r="AJ318" s="14">
        <f>'A) Base RI'!AD318</f>
        <v>16046.65</v>
      </c>
      <c r="AK318" s="14">
        <f>'A) Base RI'!AE318</f>
        <v>0</v>
      </c>
      <c r="AL318" s="14">
        <f>'A) Base RI'!AF318</f>
        <v>0</v>
      </c>
      <c r="AM318" s="14">
        <f>'A) Base RI'!AG318</f>
        <v>0</v>
      </c>
      <c r="AN318" s="14">
        <f>'A) Base RI'!AH318</f>
        <v>0</v>
      </c>
      <c r="AO318" s="14">
        <f>'A) Base RI'!AI318</f>
        <v>0</v>
      </c>
      <c r="AP318" s="14">
        <f>'A) Base RI'!AJ318</f>
        <v>0</v>
      </c>
      <c r="AQ318" s="14">
        <f>'A) Base RI'!AK318</f>
        <v>0</v>
      </c>
      <c r="AR318" s="14">
        <f>'A) Base RI'!AN318</f>
        <v>207</v>
      </c>
    </row>
    <row r="319" spans="1:44" x14ac:dyDescent="0.25">
      <c r="A319" s="12">
        <f>'A) Base RI'!A319</f>
        <v>5933</v>
      </c>
      <c r="B319" s="42" t="str">
        <f>'A) Base RI'!B319</f>
        <v>Valeyres-sous-Montagny</v>
      </c>
      <c r="C319" s="14">
        <f>'A) Base RI'!C319+'A) Base RI'!D319</f>
        <v>1139156.03</v>
      </c>
      <c r="D319" s="14">
        <f>'A) Base RI'!AO319</f>
        <v>-28404.55</v>
      </c>
      <c r="E319" s="41">
        <f>'A) Base RI'!AP319</f>
        <v>-14603</v>
      </c>
      <c r="F319" s="41">
        <f>'A) Base RI'!AQ319</f>
        <v>0</v>
      </c>
      <c r="G319" s="4">
        <f t="shared" si="24"/>
        <v>1096148.48</v>
      </c>
      <c r="H319" s="14">
        <f>'A) Base RI'!E319</f>
        <v>0</v>
      </c>
      <c r="I319" s="14">
        <f>'A) Base RI'!F319</f>
        <v>0</v>
      </c>
      <c r="J319" s="14">
        <f>'A) Base RI'!G319+'A) Base RI'!H319</f>
        <v>12536.5</v>
      </c>
      <c r="K319" s="14">
        <f>'A) Base RI'!I319</f>
        <v>0</v>
      </c>
      <c r="L319" s="14">
        <f>'A) Base RI'!J319</f>
        <v>21006.32</v>
      </c>
      <c r="M319" s="14">
        <f>'A) Base RI'!K319</f>
        <v>1764.5</v>
      </c>
      <c r="N319" s="14">
        <f>'A) Base RI'!Q319</f>
        <v>7070.37</v>
      </c>
      <c r="O319" s="14">
        <f t="shared" si="25"/>
        <v>97423.75</v>
      </c>
      <c r="P319" s="14">
        <f>'A) Base RI'!L319</f>
        <v>97423.75</v>
      </c>
      <c r="Q319" s="44">
        <f>'A) Base RI'!AR319</f>
        <v>1</v>
      </c>
      <c r="R319" s="4">
        <f t="shared" si="26"/>
        <v>1235949.9200000002</v>
      </c>
      <c r="S319" s="43">
        <f>'A) Base RI'!AM319</f>
        <v>72</v>
      </c>
      <c r="T319" s="4">
        <f t="shared" si="27"/>
        <v>1136761.6700000002</v>
      </c>
      <c r="U319" s="4">
        <f t="shared" si="28"/>
        <v>17165.971111111114</v>
      </c>
      <c r="V319" s="14">
        <f>'A) Base RI'!O319</f>
        <v>0</v>
      </c>
      <c r="W319" s="14">
        <f>'A) Base RI'!P319</f>
        <v>65006.15</v>
      </c>
      <c r="X319" s="14">
        <f>'A) Base RI'!R319</f>
        <v>34157.449999999997</v>
      </c>
      <c r="Y319" s="4">
        <f t="shared" si="29"/>
        <v>99163.6</v>
      </c>
      <c r="Z319" s="14">
        <f>'A) Base RI'!N319</f>
        <v>8149.15</v>
      </c>
      <c r="AA319" s="14">
        <f>'A) Base RI'!S319+'A) Base RI'!T319</f>
        <v>562.5</v>
      </c>
      <c r="AB319" s="14">
        <f>'A) Base RI'!U319</f>
        <v>3840</v>
      </c>
      <c r="AC319" s="14">
        <f>'A) Base RI'!V319</f>
        <v>0</v>
      </c>
      <c r="AD319" s="14">
        <f>'A) Base RI'!W319</f>
        <v>0</v>
      </c>
      <c r="AE319" s="14">
        <f>'A) Base RI'!Y319</f>
        <v>6214</v>
      </c>
      <c r="AF319" s="14">
        <f>'A) Base RI'!Z319</f>
        <v>0</v>
      </c>
      <c r="AG319" s="14">
        <f>'A) Base RI'!AA319</f>
        <v>71332.55</v>
      </c>
      <c r="AH319" s="14">
        <f>'A) Base RI'!AB319</f>
        <v>0</v>
      </c>
      <c r="AI319" s="14">
        <f>'A) Base RI'!AC319</f>
        <v>29944</v>
      </c>
      <c r="AJ319" s="14">
        <f>'A) Base RI'!AD319</f>
        <v>2436</v>
      </c>
      <c r="AK319" s="14">
        <f>'A) Base RI'!AE319</f>
        <v>0</v>
      </c>
      <c r="AL319" s="14">
        <f>'A) Base RI'!AF319</f>
        <v>0</v>
      </c>
      <c r="AM319" s="14">
        <f>'A) Base RI'!AG319</f>
        <v>0</v>
      </c>
      <c r="AN319" s="14">
        <f>'A) Base RI'!AH319</f>
        <v>0</v>
      </c>
      <c r="AO319" s="14">
        <f>'A) Base RI'!AI319</f>
        <v>0</v>
      </c>
      <c r="AP319" s="14">
        <f>'A) Base RI'!AJ319</f>
        <v>0</v>
      </c>
      <c r="AQ319" s="14">
        <f>'A) Base RI'!AK319</f>
        <v>0</v>
      </c>
      <c r="AR319" s="14">
        <f>'A) Base RI'!AN319</f>
        <v>661</v>
      </c>
    </row>
    <row r="320" spans="1:44" x14ac:dyDescent="0.25">
      <c r="A320" s="12">
        <f>'A) Base RI'!A320</f>
        <v>5934</v>
      </c>
      <c r="B320" s="42" t="str">
        <f>'A) Base RI'!B320</f>
        <v>Valeyres-sous-Ursins</v>
      </c>
      <c r="C320" s="14">
        <f>'A) Base RI'!C320+'A) Base RI'!D320</f>
        <v>497235.79000000004</v>
      </c>
      <c r="D320" s="14">
        <f>'A) Base RI'!AO320</f>
        <v>-4364.79</v>
      </c>
      <c r="E320" s="41">
        <f>'A) Base RI'!AP320</f>
        <v>0</v>
      </c>
      <c r="F320" s="41">
        <f>'A) Base RI'!AQ320</f>
        <v>0</v>
      </c>
      <c r="G320" s="4">
        <f t="shared" si="24"/>
        <v>492871.00000000006</v>
      </c>
      <c r="H320" s="14">
        <f>'A) Base RI'!E320</f>
        <v>0</v>
      </c>
      <c r="I320" s="14">
        <f>'A) Base RI'!F320</f>
        <v>1290</v>
      </c>
      <c r="J320" s="14">
        <f>'A) Base RI'!G320+'A) Base RI'!H320</f>
        <v>838.55</v>
      </c>
      <c r="K320" s="14">
        <f>'A) Base RI'!I320</f>
        <v>0</v>
      </c>
      <c r="L320" s="14">
        <f>'A) Base RI'!J320</f>
        <v>1358.36</v>
      </c>
      <c r="M320" s="14">
        <f>'A) Base RI'!K320</f>
        <v>95</v>
      </c>
      <c r="N320" s="14">
        <f>'A) Base RI'!Q320</f>
        <v>0</v>
      </c>
      <c r="O320" s="14">
        <f t="shared" si="25"/>
        <v>25139.1</v>
      </c>
      <c r="P320" s="14">
        <f>'A) Base RI'!L320</f>
        <v>25139.1</v>
      </c>
      <c r="Q320" s="44">
        <f>'A) Base RI'!AR320</f>
        <v>1</v>
      </c>
      <c r="R320" s="4">
        <f t="shared" si="26"/>
        <v>521592.01</v>
      </c>
      <c r="S320" s="43">
        <f>'A) Base RI'!AM320</f>
        <v>79</v>
      </c>
      <c r="T320" s="4">
        <f t="shared" si="27"/>
        <v>495067.91000000003</v>
      </c>
      <c r="U320" s="4">
        <f t="shared" si="28"/>
        <v>6602.430506329114</v>
      </c>
      <c r="V320" s="14">
        <f>'A) Base RI'!O320</f>
        <v>27.5</v>
      </c>
      <c r="W320" s="14">
        <f>'A) Base RI'!P320</f>
        <v>14084.9</v>
      </c>
      <c r="X320" s="14">
        <f>'A) Base RI'!R320</f>
        <v>22803.95</v>
      </c>
      <c r="Y320" s="4">
        <f t="shared" si="29"/>
        <v>36916.35</v>
      </c>
      <c r="Z320" s="14">
        <f>'A) Base RI'!N320</f>
        <v>11606.85</v>
      </c>
      <c r="AA320" s="14">
        <f>'A) Base RI'!S320+'A) Base RI'!T320</f>
        <v>0</v>
      </c>
      <c r="AB320" s="14">
        <f>'A) Base RI'!U320</f>
        <v>1020</v>
      </c>
      <c r="AC320" s="14">
        <f>'A) Base RI'!V320</f>
        <v>0</v>
      </c>
      <c r="AD320" s="14">
        <f>'A) Base RI'!W320</f>
        <v>0</v>
      </c>
      <c r="AE320" s="14">
        <f>'A) Base RI'!Y320</f>
        <v>3080.95</v>
      </c>
      <c r="AF320" s="14">
        <f>'A) Base RI'!Z320</f>
        <v>0</v>
      </c>
      <c r="AG320" s="14">
        <f>'A) Base RI'!AA320</f>
        <v>27750</v>
      </c>
      <c r="AH320" s="14">
        <f>'A) Base RI'!AB320</f>
        <v>0</v>
      </c>
      <c r="AI320" s="14">
        <f>'A) Base RI'!AC320</f>
        <v>10928.35</v>
      </c>
      <c r="AJ320" s="14">
        <f>'A) Base RI'!AD320</f>
        <v>484</v>
      </c>
      <c r="AK320" s="14">
        <f>'A) Base RI'!AE320</f>
        <v>0</v>
      </c>
      <c r="AL320" s="14">
        <f>'A) Base RI'!AF320</f>
        <v>0</v>
      </c>
      <c r="AM320" s="14">
        <f>'A) Base RI'!AG320</f>
        <v>0</v>
      </c>
      <c r="AN320" s="14">
        <f>'A) Base RI'!AH320</f>
        <v>0</v>
      </c>
      <c r="AO320" s="14">
        <f>'A) Base RI'!AI320</f>
        <v>0</v>
      </c>
      <c r="AP320" s="14">
        <f>'A) Base RI'!AJ320</f>
        <v>0</v>
      </c>
      <c r="AQ320" s="14">
        <f>'A) Base RI'!AK320</f>
        <v>0</v>
      </c>
      <c r="AR320" s="14">
        <f>'A) Base RI'!AN320</f>
        <v>245</v>
      </c>
    </row>
    <row r="321" spans="1:44" x14ac:dyDescent="0.25">
      <c r="A321" s="12">
        <f>'A) Base RI'!A321</f>
        <v>5935</v>
      </c>
      <c r="B321" s="42" t="str">
        <f>'A) Base RI'!B321</f>
        <v>Villars-Epeney</v>
      </c>
      <c r="C321" s="14">
        <f>'A) Base RI'!C321+'A) Base RI'!D321</f>
        <v>414122.05</v>
      </c>
      <c r="D321" s="14">
        <f>'A) Base RI'!AO321</f>
        <v>-12458.46</v>
      </c>
      <c r="E321" s="41">
        <f>'A) Base RI'!AP321</f>
        <v>0</v>
      </c>
      <c r="F321" s="41">
        <f>'A) Base RI'!AQ321</f>
        <v>-115.1</v>
      </c>
      <c r="G321" s="4">
        <f t="shared" si="24"/>
        <v>401548.49</v>
      </c>
      <c r="H321" s="14">
        <f>'A) Base RI'!E321</f>
        <v>0</v>
      </c>
      <c r="I321" s="14">
        <f>'A) Base RI'!F321</f>
        <v>0</v>
      </c>
      <c r="J321" s="14">
        <f>'A) Base RI'!G321+'A) Base RI'!H321</f>
        <v>19680.95</v>
      </c>
      <c r="K321" s="14">
        <f>'A) Base RI'!I321</f>
        <v>0</v>
      </c>
      <c r="L321" s="14">
        <f>'A) Base RI'!J321</f>
        <v>-142.63</v>
      </c>
      <c r="M321" s="14">
        <f>'A) Base RI'!K321</f>
        <v>0</v>
      </c>
      <c r="N321" s="14">
        <f>'A) Base RI'!Q321</f>
        <v>12421.09</v>
      </c>
      <c r="O321" s="14">
        <f t="shared" si="25"/>
        <v>17267.95</v>
      </c>
      <c r="P321" s="14">
        <f>'A) Base RI'!L321</f>
        <v>17267.95</v>
      </c>
      <c r="Q321" s="44">
        <f>'A) Base RI'!AR321</f>
        <v>1</v>
      </c>
      <c r="R321" s="4">
        <f t="shared" si="26"/>
        <v>450775.85000000003</v>
      </c>
      <c r="S321" s="43">
        <f>'A) Base RI'!AM321</f>
        <v>60</v>
      </c>
      <c r="T321" s="4">
        <f t="shared" si="27"/>
        <v>433507.9</v>
      </c>
      <c r="U321" s="4">
        <f t="shared" si="28"/>
        <v>7512.9308333333338</v>
      </c>
      <c r="V321" s="14">
        <f>'A) Base RI'!O321</f>
        <v>0</v>
      </c>
      <c r="W321" s="14">
        <f>'A) Base RI'!P321</f>
        <v>1540</v>
      </c>
      <c r="X321" s="14">
        <f>'A) Base RI'!R321</f>
        <v>0</v>
      </c>
      <c r="Y321" s="4">
        <f t="shared" si="29"/>
        <v>1540</v>
      </c>
      <c r="Z321" s="14">
        <f>'A) Base RI'!N321</f>
        <v>0</v>
      </c>
      <c r="AA321" s="14">
        <f>'A) Base RI'!S321+'A) Base RI'!T321</f>
        <v>0</v>
      </c>
      <c r="AB321" s="14">
        <f>'A) Base RI'!U321</f>
        <v>140</v>
      </c>
      <c r="AC321" s="14">
        <f>'A) Base RI'!V321</f>
        <v>0</v>
      </c>
      <c r="AD321" s="14">
        <f>'A) Base RI'!W321</f>
        <v>0</v>
      </c>
      <c r="AE321" s="14">
        <f>'A) Base RI'!Y321</f>
        <v>0</v>
      </c>
      <c r="AF321" s="14">
        <f>'A) Base RI'!Z321</f>
        <v>1225</v>
      </c>
      <c r="AG321" s="14">
        <f>'A) Base RI'!AA321</f>
        <v>5698</v>
      </c>
      <c r="AH321" s="14">
        <f>'A) Base RI'!AB321</f>
        <v>0</v>
      </c>
      <c r="AI321" s="14">
        <f>'A) Base RI'!AC321</f>
        <v>5104</v>
      </c>
      <c r="AJ321" s="14">
        <f>'A) Base RI'!AD321</f>
        <v>2050</v>
      </c>
      <c r="AK321" s="14">
        <f>'A) Base RI'!AE321</f>
        <v>0</v>
      </c>
      <c r="AL321" s="14">
        <f>'A) Base RI'!AF321</f>
        <v>0</v>
      </c>
      <c r="AM321" s="14">
        <f>'A) Base RI'!AG321</f>
        <v>0</v>
      </c>
      <c r="AN321" s="14">
        <f>'A) Base RI'!AH321</f>
        <v>0</v>
      </c>
      <c r="AO321" s="14">
        <f>'A) Base RI'!AI321</f>
        <v>0</v>
      </c>
      <c r="AP321" s="14">
        <f>'A) Base RI'!AJ321</f>
        <v>0</v>
      </c>
      <c r="AQ321" s="14">
        <f>'A) Base RI'!AK321</f>
        <v>0</v>
      </c>
      <c r="AR321" s="14">
        <f>'A) Base RI'!AN321</f>
        <v>90</v>
      </c>
    </row>
    <row r="322" spans="1:44" x14ac:dyDescent="0.25">
      <c r="A322" s="12">
        <f>'A) Base RI'!A322</f>
        <v>5937</v>
      </c>
      <c r="B322" s="42" t="str">
        <f>'A) Base RI'!B322</f>
        <v>Vugelles-La Mothe</v>
      </c>
      <c r="C322" s="14">
        <f>'A) Base RI'!C322+'A) Base RI'!D322</f>
        <v>134680.65</v>
      </c>
      <c r="D322" s="14">
        <f>'A) Base RI'!AO322</f>
        <v>-5795.97</v>
      </c>
      <c r="E322" s="41">
        <f>'A) Base RI'!AP322</f>
        <v>0</v>
      </c>
      <c r="F322" s="41">
        <f>'A) Base RI'!AQ322</f>
        <v>-2.09</v>
      </c>
      <c r="G322" s="4">
        <f t="shared" si="24"/>
        <v>128882.59</v>
      </c>
      <c r="H322" s="14">
        <f>'A) Base RI'!E322</f>
        <v>0</v>
      </c>
      <c r="I322" s="14">
        <f>'A) Base RI'!F322</f>
        <v>0</v>
      </c>
      <c r="J322" s="14">
        <f>'A) Base RI'!G322+'A) Base RI'!H322</f>
        <v>-314.25</v>
      </c>
      <c r="K322" s="14">
        <f>'A) Base RI'!I322</f>
        <v>0</v>
      </c>
      <c r="L322" s="14">
        <f>'A) Base RI'!J322</f>
        <v>5563.94</v>
      </c>
      <c r="M322" s="14">
        <f>'A) Base RI'!K322</f>
        <v>0</v>
      </c>
      <c r="N322" s="14">
        <f>'A) Base RI'!Q322</f>
        <v>353.47</v>
      </c>
      <c r="O322" s="14">
        <f t="shared" si="25"/>
        <v>14542.714285714286</v>
      </c>
      <c r="P322" s="14">
        <f>'A) Base RI'!L322</f>
        <v>10179.9</v>
      </c>
      <c r="Q322" s="44">
        <f>'A) Base RI'!AR322</f>
        <v>0.7</v>
      </c>
      <c r="R322" s="4">
        <f t="shared" si="26"/>
        <v>149028.46428571429</v>
      </c>
      <c r="S322" s="43">
        <f>'A) Base RI'!AM322</f>
        <v>70</v>
      </c>
      <c r="T322" s="4">
        <f t="shared" si="27"/>
        <v>134485.75</v>
      </c>
      <c r="U322" s="4">
        <f t="shared" si="28"/>
        <v>2128.9780612244899</v>
      </c>
      <c r="V322" s="14">
        <f>'A) Base RI'!O322</f>
        <v>0</v>
      </c>
      <c r="W322" s="14">
        <f>'A) Base RI'!P322</f>
        <v>0</v>
      </c>
      <c r="X322" s="14">
        <f>'A) Base RI'!R322</f>
        <v>0</v>
      </c>
      <c r="Y322" s="4">
        <f t="shared" si="29"/>
        <v>0</v>
      </c>
      <c r="Z322" s="14">
        <f>'A) Base RI'!N322</f>
        <v>0</v>
      </c>
      <c r="AA322" s="14">
        <f>'A) Base RI'!S322+'A) Base RI'!T322</f>
        <v>0</v>
      </c>
      <c r="AB322" s="14">
        <f>'A) Base RI'!U322</f>
        <v>1400</v>
      </c>
      <c r="AC322" s="14">
        <f>'A) Base RI'!V322</f>
        <v>0</v>
      </c>
      <c r="AD322" s="14">
        <f>'A) Base RI'!W322</f>
        <v>0</v>
      </c>
      <c r="AE322" s="14">
        <f>'A) Base RI'!Y322</f>
        <v>0</v>
      </c>
      <c r="AF322" s="14">
        <f>'A) Base RI'!Z322</f>
        <v>0</v>
      </c>
      <c r="AG322" s="14">
        <f>'A) Base RI'!AA322</f>
        <v>14700</v>
      </c>
      <c r="AH322" s="14">
        <f>'A) Base RI'!AB322</f>
        <v>0</v>
      </c>
      <c r="AI322" s="14">
        <f>'A) Base RI'!AC322</f>
        <v>5336</v>
      </c>
      <c r="AJ322" s="14">
        <f>'A) Base RI'!AD322</f>
        <v>0</v>
      </c>
      <c r="AK322" s="14">
        <f>'A) Base RI'!AE322</f>
        <v>0</v>
      </c>
      <c r="AL322" s="14">
        <f>'A) Base RI'!AF322</f>
        <v>0</v>
      </c>
      <c r="AM322" s="14">
        <f>'A) Base RI'!AG322</f>
        <v>0</v>
      </c>
      <c r="AN322" s="14">
        <f>'A) Base RI'!AH322</f>
        <v>0</v>
      </c>
      <c r="AO322" s="14">
        <f>'A) Base RI'!AI322</f>
        <v>0</v>
      </c>
      <c r="AP322" s="14">
        <f>'A) Base RI'!AJ322</f>
        <v>0</v>
      </c>
      <c r="AQ322" s="14">
        <f>'A) Base RI'!AK322</f>
        <v>0</v>
      </c>
      <c r="AR322" s="14">
        <f>'A) Base RI'!AN322</f>
        <v>135</v>
      </c>
    </row>
    <row r="323" spans="1:44" x14ac:dyDescent="0.25">
      <c r="A323" s="12">
        <f>'A) Base RI'!A323</f>
        <v>5938</v>
      </c>
      <c r="B323" s="42" t="str">
        <f>'A) Base RI'!B323</f>
        <v>Yverdon-les-Bains</v>
      </c>
      <c r="C323" s="14">
        <f>'A) Base RI'!C323+'A) Base RI'!D323</f>
        <v>47707399.470000006</v>
      </c>
      <c r="D323" s="14">
        <f>'A) Base RI'!AO323</f>
        <v>-1257159.72</v>
      </c>
      <c r="E323" s="41">
        <f>'A) Base RI'!AP323</f>
        <v>0</v>
      </c>
      <c r="F323" s="41">
        <f>'A) Base RI'!AQ323</f>
        <v>-32443.69</v>
      </c>
      <c r="G323" s="4">
        <f t="shared" si="24"/>
        <v>46417796.06000001</v>
      </c>
      <c r="H323" s="14">
        <f>'A) Base RI'!E323</f>
        <v>0</v>
      </c>
      <c r="I323" s="14">
        <f>'A) Base RI'!F323</f>
        <v>0</v>
      </c>
      <c r="J323" s="14">
        <f>'A) Base RI'!G323+'A) Base RI'!H323</f>
        <v>5845187.2999999998</v>
      </c>
      <c r="K323" s="14">
        <f>'A) Base RI'!I323</f>
        <v>54045.85</v>
      </c>
      <c r="L323" s="14">
        <f>'A) Base RI'!J323</f>
        <v>1978267.83</v>
      </c>
      <c r="M323" s="14">
        <f>'A) Base RI'!K323</f>
        <v>482717</v>
      </c>
      <c r="N323" s="14">
        <f>'A) Base RI'!Q323</f>
        <v>420276.52</v>
      </c>
      <c r="O323" s="14">
        <f t="shared" si="25"/>
        <v>3809221.55</v>
      </c>
      <c r="P323" s="14">
        <f>'A) Base RI'!L323</f>
        <v>3809221.55</v>
      </c>
      <c r="Q323" s="44">
        <f>'A) Base RI'!AR323</f>
        <v>1</v>
      </c>
      <c r="R323" s="4">
        <f t="shared" si="26"/>
        <v>59007512.110000007</v>
      </c>
      <c r="S323" s="43">
        <f>'A) Base RI'!AM323</f>
        <v>76.5</v>
      </c>
      <c r="T323" s="4">
        <f t="shared" si="27"/>
        <v>54715573.56000001</v>
      </c>
      <c r="U323" s="4">
        <f t="shared" si="28"/>
        <v>771340.02758169943</v>
      </c>
      <c r="V323" s="14">
        <f>'A) Base RI'!O323</f>
        <v>1090768.3999999999</v>
      </c>
      <c r="W323" s="14">
        <f>'A) Base RI'!P323</f>
        <v>2050380.1</v>
      </c>
      <c r="X323" s="14">
        <f>'A) Base RI'!R323</f>
        <v>692489.6</v>
      </c>
      <c r="Y323" s="4">
        <f t="shared" si="29"/>
        <v>3833638.1</v>
      </c>
      <c r="Z323" s="14">
        <f>'A) Base RI'!N323</f>
        <v>3351601.5</v>
      </c>
      <c r="AA323" s="14">
        <f>'A) Base RI'!S323+'A) Base RI'!T323</f>
        <v>3850</v>
      </c>
      <c r="AB323" s="14">
        <f>'A) Base RI'!U323</f>
        <v>55125</v>
      </c>
      <c r="AC323" s="14">
        <f>'A) Base RI'!V323</f>
        <v>0</v>
      </c>
      <c r="AD323" s="14">
        <f>'A) Base RI'!W323</f>
        <v>0</v>
      </c>
      <c r="AE323" s="14">
        <f>'A) Base RI'!Y323</f>
        <v>916717</v>
      </c>
      <c r="AF323" s="14">
        <f>'A) Base RI'!Z323</f>
        <v>0</v>
      </c>
      <c r="AG323" s="14">
        <f>'A) Base RI'!AA323</f>
        <v>4280052</v>
      </c>
      <c r="AH323" s="14">
        <f>'A) Base RI'!AB323</f>
        <v>1153249</v>
      </c>
      <c r="AI323" s="14">
        <f>'A) Base RI'!AC323</f>
        <v>99363</v>
      </c>
      <c r="AJ323" s="14">
        <f>'A) Base RI'!AD323</f>
        <v>168730</v>
      </c>
      <c r="AK323" s="14">
        <f>'A) Base RI'!AE323</f>
        <v>0</v>
      </c>
      <c r="AL323" s="14">
        <f>'A) Base RI'!AF323</f>
        <v>0</v>
      </c>
      <c r="AM323" s="14">
        <f>'A) Base RI'!AG323</f>
        <v>244451</v>
      </c>
      <c r="AN323" s="14">
        <f>'A) Base RI'!AH323</f>
        <v>887566</v>
      </c>
      <c r="AO323" s="14">
        <f>'A) Base RI'!AI323</f>
        <v>812335</v>
      </c>
      <c r="AP323" s="14">
        <f>'A) Base RI'!AJ323</f>
        <v>760758</v>
      </c>
      <c r="AQ323" s="14">
        <f>'A) Base RI'!AK323</f>
        <v>0</v>
      </c>
      <c r="AR323" s="14">
        <f>'A) Base RI'!AN323</f>
        <v>29308</v>
      </c>
    </row>
    <row r="324" spans="1:44" x14ac:dyDescent="0.25">
      <c r="A324" s="12">
        <f>'A) Base RI'!A324</f>
        <v>5939</v>
      </c>
      <c r="B324" s="42" t="str">
        <f>'A) Base RI'!B324</f>
        <v>Yvonand</v>
      </c>
      <c r="C324" s="14">
        <f>'A) Base RI'!C324+'A) Base RI'!D324</f>
        <v>5395526.2299999995</v>
      </c>
      <c r="D324" s="14">
        <f>'A) Base RI'!AO324</f>
        <v>-72468.94</v>
      </c>
      <c r="E324" s="41">
        <f>'A) Base RI'!AP324</f>
        <v>0</v>
      </c>
      <c r="F324" s="41">
        <f>'A) Base RI'!AQ324</f>
        <v>-732.21</v>
      </c>
      <c r="G324" s="4">
        <f t="shared" si="24"/>
        <v>5322325.0799999991</v>
      </c>
      <c r="H324" s="14">
        <f>'A) Base RI'!E324</f>
        <v>0</v>
      </c>
      <c r="I324" s="14">
        <f>'A) Base RI'!F324</f>
        <v>0</v>
      </c>
      <c r="J324" s="14">
        <f>'A) Base RI'!G324+'A) Base RI'!H324</f>
        <v>458502.65</v>
      </c>
      <c r="K324" s="14">
        <f>'A) Base RI'!I324</f>
        <v>0</v>
      </c>
      <c r="L324" s="14">
        <f>'A) Base RI'!J324</f>
        <v>187787.51</v>
      </c>
      <c r="M324" s="14">
        <f>'A) Base RI'!K324</f>
        <v>12870.5</v>
      </c>
      <c r="N324" s="14">
        <f>'A) Base RI'!Q324</f>
        <v>0</v>
      </c>
      <c r="O324" s="14">
        <f t="shared" si="25"/>
        <v>458687.55</v>
      </c>
      <c r="P324" s="14">
        <f>'A) Base RI'!L324</f>
        <v>458687.55</v>
      </c>
      <c r="Q324" s="44">
        <f>'A) Base RI'!AR324</f>
        <v>1</v>
      </c>
      <c r="R324" s="4">
        <f t="shared" si="26"/>
        <v>6440173.2899999991</v>
      </c>
      <c r="S324" s="43">
        <f>'A) Base RI'!AM324</f>
        <v>73</v>
      </c>
      <c r="T324" s="4">
        <f t="shared" si="27"/>
        <v>5968615.2399999993</v>
      </c>
      <c r="U324" s="4">
        <f t="shared" si="28"/>
        <v>88221.551917808203</v>
      </c>
      <c r="V324" s="14">
        <f>'A) Base RI'!O324</f>
        <v>92200.5</v>
      </c>
      <c r="W324" s="14">
        <f>'A) Base RI'!P324</f>
        <v>252725.4</v>
      </c>
      <c r="X324" s="14">
        <f>'A) Base RI'!R324</f>
        <v>100263.95</v>
      </c>
      <c r="Y324" s="4">
        <f t="shared" si="29"/>
        <v>445189.85000000003</v>
      </c>
      <c r="Z324" s="14">
        <f>'A) Base RI'!N324</f>
        <v>187954.15</v>
      </c>
      <c r="AA324" s="14">
        <f>'A) Base RI'!S324+'A) Base RI'!T324</f>
        <v>1830</v>
      </c>
      <c r="AB324" s="14">
        <f>'A) Base RI'!U324</f>
        <v>20550</v>
      </c>
      <c r="AC324" s="14">
        <f>'A) Base RI'!V324</f>
        <v>461</v>
      </c>
      <c r="AD324" s="14">
        <f>'A) Base RI'!W324</f>
        <v>0</v>
      </c>
      <c r="AE324" s="14">
        <f>'A) Base RI'!Y324</f>
        <v>217186.4</v>
      </c>
      <c r="AF324" s="14">
        <f>'A) Base RI'!Z324</f>
        <v>0</v>
      </c>
      <c r="AG324" s="14">
        <f>'A) Base RI'!AA324</f>
        <v>649628.9</v>
      </c>
      <c r="AH324" s="14">
        <f>'A) Base RI'!AB324</f>
        <v>0</v>
      </c>
      <c r="AI324" s="14">
        <f>'A) Base RI'!AC324</f>
        <v>0</v>
      </c>
      <c r="AJ324" s="14">
        <f>'A) Base RI'!AD324</f>
        <v>117216</v>
      </c>
      <c r="AK324" s="14">
        <f>'A) Base RI'!AE324</f>
        <v>0</v>
      </c>
      <c r="AL324" s="14">
        <f>'A) Base RI'!AF324</f>
        <v>0</v>
      </c>
      <c r="AM324" s="14">
        <f>'A) Base RI'!AG324</f>
        <v>9751.9500000000007</v>
      </c>
      <c r="AN324" s="14">
        <f>'A) Base RI'!AH324</f>
        <v>0</v>
      </c>
      <c r="AO324" s="14">
        <f>'A) Base RI'!AI324</f>
        <v>0</v>
      </c>
      <c r="AP324" s="14">
        <f>'A) Base RI'!AJ324</f>
        <v>0</v>
      </c>
      <c r="AQ324" s="14">
        <f>'A) Base RI'!AK324</f>
        <v>0</v>
      </c>
      <c r="AR324" s="14">
        <f>'A) Base RI'!AN324</f>
        <v>3152</v>
      </c>
    </row>
    <row r="325" spans="1:44" x14ac:dyDescent="0.25">
      <c r="A325" s="11"/>
      <c r="B325" s="34">
        <f>COUNTA(B7:B324)</f>
        <v>318</v>
      </c>
      <c r="C325" s="15">
        <f t="shared" ref="C325:H325" si="30">SUM(C7:C324)</f>
        <v>1792883105.4599993</v>
      </c>
      <c r="D325" s="15">
        <f>SUM(D7:D324)</f>
        <v>-35132717.890000008</v>
      </c>
      <c r="E325" s="15">
        <f>SUM(E7:E324)</f>
        <v>-87182.15</v>
      </c>
      <c r="F325" s="15">
        <f>SUM(F7:F324)</f>
        <v>-1317067.7100000002</v>
      </c>
      <c r="G325" s="49">
        <f t="shared" si="30"/>
        <v>1756346137.7100015</v>
      </c>
      <c r="H325" s="15">
        <f t="shared" si="30"/>
        <v>682404</v>
      </c>
      <c r="I325" s="15">
        <f t="shared" ref="I325:V325" si="31">SUM(I7:I324)</f>
        <v>106137.85</v>
      </c>
      <c r="J325" s="15">
        <f t="shared" si="31"/>
        <v>318291645.25999999</v>
      </c>
      <c r="K325" s="15">
        <f t="shared" si="31"/>
        <v>53700410.380000003</v>
      </c>
      <c r="L325" s="15">
        <f t="shared" si="31"/>
        <v>84543437.860000089</v>
      </c>
      <c r="M325" s="15">
        <f t="shared" si="31"/>
        <v>14511793.299999997</v>
      </c>
      <c r="N325" s="15">
        <f t="shared" si="31"/>
        <v>11801586.810000006</v>
      </c>
      <c r="O325" s="15">
        <f>SUM(O7:O324)</f>
        <v>147434146.40761051</v>
      </c>
      <c r="P325" s="15">
        <f>SUM(P7:P324)</f>
        <v>171092252.88000005</v>
      </c>
      <c r="Q325" s="45"/>
      <c r="R325" s="49">
        <f t="shared" si="31"/>
        <v>2387417699.5776119</v>
      </c>
      <c r="S325" s="26">
        <f>R325/U325</f>
        <v>67.867142987392413</v>
      </c>
      <c r="T325" s="49">
        <f t="shared" si="31"/>
        <v>2225365622.0200014</v>
      </c>
      <c r="U325" s="49">
        <f t="shared" si="31"/>
        <v>35177813.511629909</v>
      </c>
      <c r="V325" s="15">
        <f t="shared" si="31"/>
        <v>80728122.999999911</v>
      </c>
      <c r="W325" s="15">
        <f t="shared" ref="W325:AD325" si="32">SUM(W7:W324)</f>
        <v>79976846.030000061</v>
      </c>
      <c r="X325" s="15">
        <f t="shared" si="32"/>
        <v>63250321.100000001</v>
      </c>
      <c r="Y325" s="49">
        <f t="shared" si="32"/>
        <v>223955290.13000003</v>
      </c>
      <c r="Z325" s="15">
        <f>SUM(Z7:Z324)</f>
        <v>66364349.699999996</v>
      </c>
      <c r="AA325" s="15">
        <f t="shared" si="32"/>
        <v>820018.20000000007</v>
      </c>
      <c r="AB325" s="15">
        <f t="shared" si="32"/>
        <v>3145642.05</v>
      </c>
      <c r="AC325" s="15">
        <f t="shared" si="32"/>
        <v>6276500.9700000007</v>
      </c>
      <c r="AD325" s="15">
        <f t="shared" si="32"/>
        <v>429492.02</v>
      </c>
      <c r="AE325" s="15">
        <f>SUM(AE7:AE324)</f>
        <v>24999413.449999999</v>
      </c>
      <c r="AF325" s="15">
        <f t="shared" ref="AF325:AQ325" si="33">SUM(AF7:AF324)</f>
        <v>2103564.2500000005</v>
      </c>
      <c r="AG325" s="15">
        <f t="shared" si="33"/>
        <v>97773540.480000034</v>
      </c>
      <c r="AH325" s="15">
        <f t="shared" si="33"/>
        <v>9663444.3699999992</v>
      </c>
      <c r="AI325" s="15">
        <f t="shared" si="33"/>
        <v>77753222.010000005</v>
      </c>
      <c r="AJ325" s="15">
        <f t="shared" si="33"/>
        <v>24263295.379999992</v>
      </c>
      <c r="AK325" s="15">
        <f t="shared" si="33"/>
        <v>1550934.88</v>
      </c>
      <c r="AL325" s="15">
        <f t="shared" si="33"/>
        <v>122609.54999999999</v>
      </c>
      <c r="AM325" s="15">
        <f t="shared" si="33"/>
        <v>12409593.169999998</v>
      </c>
      <c r="AN325" s="15">
        <f t="shared" si="33"/>
        <v>21951552.000000004</v>
      </c>
      <c r="AO325" s="15">
        <f t="shared" si="33"/>
        <v>10645376.99</v>
      </c>
      <c r="AP325" s="15">
        <f t="shared" si="33"/>
        <v>4075446.08</v>
      </c>
      <c r="AQ325" s="15">
        <f t="shared" si="33"/>
        <v>2592818.2699999996</v>
      </c>
      <c r="AR325" s="15">
        <f>SUM(AR7:AR324)</f>
        <v>767496</v>
      </c>
    </row>
    <row r="326" spans="1:44" x14ac:dyDescent="0.25">
      <c r="Z326" s="16"/>
    </row>
    <row r="327" spans="1:44" x14ac:dyDescent="0.25">
      <c r="C327" s="8"/>
      <c r="I327" s="8"/>
      <c r="J327" s="8"/>
      <c r="K327" s="8"/>
      <c r="L327" s="8"/>
      <c r="M327" s="8"/>
      <c r="N327" s="8"/>
      <c r="R327" s="8"/>
      <c r="U327" s="8"/>
      <c r="V327" s="8"/>
      <c r="W327" s="8"/>
      <c r="X327" s="8"/>
      <c r="Y327" s="8"/>
      <c r="Z327" s="8"/>
      <c r="AA327" s="8"/>
      <c r="AB327" s="8"/>
      <c r="AC327" s="8"/>
      <c r="AD327" s="8"/>
    </row>
    <row r="328" spans="1:44" x14ac:dyDescent="0.25">
      <c r="C328" s="8"/>
      <c r="J328" s="8"/>
    </row>
    <row r="329" spans="1:44" x14ac:dyDescent="0.25">
      <c r="C329" s="8"/>
      <c r="G329" s="8"/>
      <c r="J329" s="46"/>
    </row>
    <row r="330" spans="1:44" x14ac:dyDescent="0.25">
      <c r="G330" s="8"/>
    </row>
    <row r="331" spans="1:44" x14ac:dyDescent="0.25">
      <c r="G331" s="8"/>
    </row>
    <row r="332" spans="1:44" x14ac:dyDescent="0.25">
      <c r="G332" s="8"/>
    </row>
    <row r="333" spans="1:44" x14ac:dyDescent="0.25">
      <c r="G333" s="46"/>
    </row>
  </sheetData>
  <sheetProtection password="B9E0" sheet="1" objects="1" scenarios="1"/>
  <mergeCells count="44">
    <mergeCell ref="A4:A6"/>
    <mergeCell ref="B4:B6"/>
    <mergeCell ref="N4:N6"/>
    <mergeCell ref="C4:C5"/>
    <mergeCell ref="H4:H5"/>
    <mergeCell ref="I4:I5"/>
    <mergeCell ref="J4:J5"/>
    <mergeCell ref="G4:G5"/>
    <mergeCell ref="K4:K5"/>
    <mergeCell ref="L4:L5"/>
    <mergeCell ref="M4:M5"/>
    <mergeCell ref="D4:D6"/>
    <mergeCell ref="E4:E6"/>
    <mergeCell ref="F4:F6"/>
    <mergeCell ref="AR4:AR5"/>
    <mergeCell ref="S4:S5"/>
    <mergeCell ref="AI4:AI6"/>
    <mergeCell ref="AK4:AK6"/>
    <mergeCell ref="AJ4:AJ6"/>
    <mergeCell ref="AE4:AE5"/>
    <mergeCell ref="AF4:AF5"/>
    <mergeCell ref="W4:W5"/>
    <mergeCell ref="AG4:AG5"/>
    <mergeCell ref="AH4:AH5"/>
    <mergeCell ref="AO4:AO6"/>
    <mergeCell ref="AM4:AM5"/>
    <mergeCell ref="Y4:Y6"/>
    <mergeCell ref="T4:T6"/>
    <mergeCell ref="Q4:Q6"/>
    <mergeCell ref="O4:O6"/>
    <mergeCell ref="AP4:AP6"/>
    <mergeCell ref="AQ4:AQ6"/>
    <mergeCell ref="V4:V5"/>
    <mergeCell ref="AA4:AA5"/>
    <mergeCell ref="AB4:AB5"/>
    <mergeCell ref="AC4:AC5"/>
    <mergeCell ref="U4:U5"/>
    <mergeCell ref="Z4:Z5"/>
    <mergeCell ref="X4:X5"/>
    <mergeCell ref="AL4:AL6"/>
    <mergeCell ref="AN4:AN6"/>
    <mergeCell ref="AD4:AD5"/>
    <mergeCell ref="P4:P5"/>
    <mergeCell ref="R4:R6"/>
  </mergeCells>
  <phoneticPr fontId="0" type="noConversion"/>
  <pageMargins left="0" right="0" top="0" bottom="0" header="0.51181102362204722" footer="0.51181102362204722"/>
  <pageSetup paperSize="8" scale="70"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41"/>
  <sheetViews>
    <sheetView workbookViewId="0"/>
  </sheetViews>
  <sheetFormatPr baseColWidth="10" defaultColWidth="11" defaultRowHeight="15" x14ac:dyDescent="0.25"/>
  <cols>
    <col min="1" max="1" width="7.25" style="18" customWidth="1"/>
    <col min="2" max="2" width="17.375" style="18" bestFit="1" customWidth="1"/>
    <col min="3" max="3" width="18" style="8" customWidth="1"/>
    <col min="4" max="4" width="9.875" style="8" bestFit="1" customWidth="1"/>
    <col min="5" max="5" width="10.75" style="8" bestFit="1" customWidth="1"/>
    <col min="6" max="6" width="11.25" style="8" bestFit="1" customWidth="1"/>
    <col min="7" max="7" width="13" style="38" bestFit="1" customWidth="1"/>
    <col min="8" max="8" width="12.25" style="8" bestFit="1" customWidth="1"/>
    <col min="9" max="16384" width="11" style="18"/>
  </cols>
  <sheetData>
    <row r="1" spans="1:8" ht="21" x14ac:dyDescent="0.25">
      <c r="A1" s="65" t="s">
        <v>495</v>
      </c>
      <c r="B1" s="53"/>
      <c r="C1" s="55"/>
      <c r="D1" s="55"/>
      <c r="E1" s="55"/>
      <c r="F1" s="55"/>
      <c r="G1" s="67"/>
      <c r="H1" s="55"/>
    </row>
    <row r="3" spans="1:8" ht="60" x14ac:dyDescent="0.25">
      <c r="A3" s="497" t="s">
        <v>51</v>
      </c>
      <c r="B3" s="497" t="s">
        <v>121</v>
      </c>
      <c r="C3" s="71" t="s">
        <v>484</v>
      </c>
      <c r="D3" s="71" t="s">
        <v>228</v>
      </c>
      <c r="E3" s="500" t="s">
        <v>172</v>
      </c>
      <c r="F3" s="500" t="s">
        <v>416</v>
      </c>
      <c r="G3" s="503" t="s">
        <v>332</v>
      </c>
      <c r="H3" s="500" t="s">
        <v>479</v>
      </c>
    </row>
    <row r="4" spans="1:8" x14ac:dyDescent="0.25">
      <c r="A4" s="499"/>
      <c r="B4" s="498"/>
      <c r="C4" s="304">
        <f>Paramètres!B11</f>
        <v>0.5</v>
      </c>
      <c r="D4" s="304">
        <f>Paramètres!B12</f>
        <v>0.3</v>
      </c>
      <c r="E4" s="502"/>
      <c r="F4" s="501"/>
      <c r="G4" s="504"/>
      <c r="H4" s="502"/>
    </row>
    <row r="5" spans="1:8" x14ac:dyDescent="0.25">
      <c r="A5" s="57">
        <f>'A) Base RI'!A7</f>
        <v>5401</v>
      </c>
      <c r="B5" s="123" t="str">
        <f>'A) Base RI'!B7</f>
        <v>Aigle</v>
      </c>
      <c r="C5" s="101">
        <f>'B) D RI'!Y7</f>
        <v>1088961.8</v>
      </c>
      <c r="D5" s="69">
        <f>'B) D RI'!Z7</f>
        <v>1028213.05</v>
      </c>
      <c r="E5" s="69">
        <f>C5+D5</f>
        <v>2117174.85</v>
      </c>
      <c r="F5" s="69">
        <f>'B) D RI'!U7</f>
        <v>260845.44622222218</v>
      </c>
      <c r="G5" s="305">
        <f>E5/F5</f>
        <v>8.1165873534028048</v>
      </c>
      <c r="H5" s="148">
        <f>(C5*$C$4)+(D5*$D$4)</f>
        <v>852944.81499999994</v>
      </c>
    </row>
    <row r="6" spans="1:8" x14ac:dyDescent="0.25">
      <c r="A6" s="61">
        <f>'A) Base RI'!A8</f>
        <v>5402</v>
      </c>
      <c r="B6" s="124" t="str">
        <f>'A) Base RI'!B8</f>
        <v>Bex</v>
      </c>
      <c r="C6" s="52">
        <f>'B) D RI'!Y8</f>
        <v>1727273.95</v>
      </c>
      <c r="D6" s="14">
        <f>'B) D RI'!Z8</f>
        <v>184714.75</v>
      </c>
      <c r="E6" s="14">
        <f t="shared" ref="E6:E68" si="0">C6+D6</f>
        <v>1911988.7</v>
      </c>
      <c r="F6" s="14">
        <f>'B) D RI'!U8</f>
        <v>175890.90239436619</v>
      </c>
      <c r="G6" s="306">
        <f t="shared" ref="G6:G60" si="1">E6/F6</f>
        <v>10.870310368373215</v>
      </c>
      <c r="H6" s="75">
        <f t="shared" ref="H6:H61" si="2">(C6*$C$4)+(D6*$D$4)</f>
        <v>919051.4</v>
      </c>
    </row>
    <row r="7" spans="1:8" x14ac:dyDescent="0.25">
      <c r="A7" s="61">
        <f>'A) Base RI'!A9</f>
        <v>5403</v>
      </c>
      <c r="B7" s="124" t="str">
        <f>'A) Base RI'!B9</f>
        <v>Chessel</v>
      </c>
      <c r="C7" s="52">
        <f>'B) D RI'!Y9</f>
        <v>26458.25</v>
      </c>
      <c r="D7" s="14">
        <f>'B) D RI'!Z9</f>
        <v>6667.2</v>
      </c>
      <c r="E7" s="14">
        <f t="shared" si="0"/>
        <v>33125.449999999997</v>
      </c>
      <c r="F7" s="14">
        <f>'B) D RI'!U9</f>
        <v>8284.5784210526326</v>
      </c>
      <c r="G7" s="306">
        <f t="shared" si="1"/>
        <v>3.9984472735295928</v>
      </c>
      <c r="H7" s="75">
        <f t="shared" si="2"/>
        <v>15229.285</v>
      </c>
    </row>
    <row r="8" spans="1:8" x14ac:dyDescent="0.25">
      <c r="A8" s="61">
        <f>'A) Base RI'!A10</f>
        <v>5404</v>
      </c>
      <c r="B8" s="124" t="str">
        <f>'A) Base RI'!B10</f>
        <v>Corbeyrier</v>
      </c>
      <c r="C8" s="52">
        <f>'B) D RI'!Y10</f>
        <v>88078.5</v>
      </c>
      <c r="D8" s="14">
        <f>'B) D RI'!Z10</f>
        <v>11807.3</v>
      </c>
      <c r="E8" s="14">
        <f t="shared" si="0"/>
        <v>99885.8</v>
      </c>
      <c r="F8" s="14">
        <f>'B) D RI'!U10</f>
        <v>9966.1885714285709</v>
      </c>
      <c r="G8" s="306">
        <f t="shared" si="1"/>
        <v>10.022467394040307</v>
      </c>
      <c r="H8" s="75">
        <f t="shared" si="2"/>
        <v>47581.440000000002</v>
      </c>
    </row>
    <row r="9" spans="1:8" x14ac:dyDescent="0.25">
      <c r="A9" s="61">
        <f>'A) Base RI'!A11</f>
        <v>5405</v>
      </c>
      <c r="B9" s="124" t="str">
        <f>'A) Base RI'!B11</f>
        <v>Gryon</v>
      </c>
      <c r="C9" s="52">
        <f>'B) D RI'!Y11</f>
        <v>684706.45</v>
      </c>
      <c r="D9" s="14">
        <f>'B) D RI'!Z11</f>
        <v>0</v>
      </c>
      <c r="E9" s="14">
        <f t="shared" si="0"/>
        <v>684706.45</v>
      </c>
      <c r="F9" s="14">
        <f>'B) D RI'!U11</f>
        <v>72189.140533333324</v>
      </c>
      <c r="G9" s="306">
        <f t="shared" si="1"/>
        <v>9.4848954419098099</v>
      </c>
      <c r="H9" s="75">
        <f t="shared" si="2"/>
        <v>342353.22499999998</v>
      </c>
    </row>
    <row r="10" spans="1:8" x14ac:dyDescent="0.25">
      <c r="A10" s="61">
        <f>'A) Base RI'!A12</f>
        <v>5406</v>
      </c>
      <c r="B10" s="124" t="str">
        <f>'A) Base RI'!B12</f>
        <v>Lavey-Morcles</v>
      </c>
      <c r="C10" s="52">
        <f>'B) D RI'!Y12</f>
        <v>84143.15</v>
      </c>
      <c r="D10" s="14">
        <f>'B) D RI'!Z12</f>
        <v>0</v>
      </c>
      <c r="E10" s="14">
        <f t="shared" si="0"/>
        <v>84143.15</v>
      </c>
      <c r="F10" s="14">
        <f>'B) D RI'!U12</f>
        <v>19831.448851570964</v>
      </c>
      <c r="G10" s="306">
        <f t="shared" si="1"/>
        <v>4.2429149090301852</v>
      </c>
      <c r="H10" s="75">
        <f t="shared" si="2"/>
        <v>42071.574999999997</v>
      </c>
    </row>
    <row r="11" spans="1:8" x14ac:dyDescent="0.25">
      <c r="A11" s="61">
        <f>'A) Base RI'!A13</f>
        <v>5407</v>
      </c>
      <c r="B11" s="124" t="str">
        <f>'A) Base RI'!B13</f>
        <v>Leysin</v>
      </c>
      <c r="C11" s="52">
        <f>'B) D RI'!Y13</f>
        <v>768821.3</v>
      </c>
      <c r="D11" s="14">
        <f>'B) D RI'!Z13</f>
        <v>27734</v>
      </c>
      <c r="E11" s="14">
        <f t="shared" si="0"/>
        <v>796555.3</v>
      </c>
      <c r="F11" s="14">
        <f>'B) D RI'!U13</f>
        <v>102799.09089743589</v>
      </c>
      <c r="G11" s="306">
        <f t="shared" si="1"/>
        <v>7.7486609370381938</v>
      </c>
      <c r="H11" s="75">
        <f t="shared" si="2"/>
        <v>392730.85000000003</v>
      </c>
    </row>
    <row r="12" spans="1:8" x14ac:dyDescent="0.25">
      <c r="A12" s="61">
        <f>'A) Base RI'!A14</f>
        <v>5408</v>
      </c>
      <c r="B12" s="124" t="str">
        <f>'A) Base RI'!B14</f>
        <v>Noville</v>
      </c>
      <c r="C12" s="52">
        <f>'B) D RI'!Y14</f>
        <v>243106.25</v>
      </c>
      <c r="D12" s="14">
        <f>'B) D RI'!Z14</f>
        <v>71128.55</v>
      </c>
      <c r="E12" s="14">
        <f t="shared" si="0"/>
        <v>314234.8</v>
      </c>
      <c r="F12" s="14">
        <f>'B) D RI'!U14</f>
        <v>34745.229256900217</v>
      </c>
      <c r="G12" s="306">
        <f t="shared" si="1"/>
        <v>9.0439696821857822</v>
      </c>
      <c r="H12" s="75">
        <f t="shared" si="2"/>
        <v>142891.69</v>
      </c>
    </row>
    <row r="13" spans="1:8" x14ac:dyDescent="0.25">
      <c r="A13" s="61">
        <f>'A) Base RI'!A15</f>
        <v>5409</v>
      </c>
      <c r="B13" s="124" t="str">
        <f>'A) Base RI'!B15</f>
        <v>Ollon</v>
      </c>
      <c r="C13" s="52">
        <f>'B) D RI'!Y15</f>
        <v>19051671</v>
      </c>
      <c r="D13" s="14">
        <f>'B) D RI'!Z15</f>
        <v>49965.8</v>
      </c>
      <c r="E13" s="14">
        <f t="shared" si="0"/>
        <v>19101636.800000001</v>
      </c>
      <c r="F13" s="14">
        <f>'B) D RI'!U15</f>
        <v>592476.91795248864</v>
      </c>
      <c r="G13" s="306">
        <f t="shared" si="1"/>
        <v>32.240305438416726</v>
      </c>
      <c r="H13" s="75">
        <f t="shared" si="2"/>
        <v>9540825.2400000002</v>
      </c>
    </row>
    <row r="14" spans="1:8" x14ac:dyDescent="0.25">
      <c r="A14" s="61">
        <f>'A) Base RI'!A16</f>
        <v>5410</v>
      </c>
      <c r="B14" s="124" t="str">
        <f>'A) Base RI'!B16</f>
        <v>Ormont-Dessous</v>
      </c>
      <c r="C14" s="52">
        <f>'B) D RI'!Y16</f>
        <v>327509.80000000005</v>
      </c>
      <c r="D14" s="14">
        <f>'B) D RI'!Z16</f>
        <v>0</v>
      </c>
      <c r="E14" s="14">
        <f t="shared" si="0"/>
        <v>327509.80000000005</v>
      </c>
      <c r="F14" s="14">
        <f>'B) D RI'!U16</f>
        <v>35234.198174097655</v>
      </c>
      <c r="G14" s="306">
        <f t="shared" si="1"/>
        <v>9.2952250078665948</v>
      </c>
      <c r="H14" s="75">
        <f t="shared" si="2"/>
        <v>163754.90000000002</v>
      </c>
    </row>
    <row r="15" spans="1:8" x14ac:dyDescent="0.25">
      <c r="A15" s="61">
        <f>'A) Base RI'!A17</f>
        <v>5411</v>
      </c>
      <c r="B15" s="124" t="str">
        <f>'A) Base RI'!B17</f>
        <v>Ormont-Dessus</v>
      </c>
      <c r="C15" s="52">
        <f>'B) D RI'!Y17</f>
        <v>512606.95</v>
      </c>
      <c r="D15" s="14">
        <f>'B) D RI'!Z17</f>
        <v>4683.3</v>
      </c>
      <c r="E15" s="14">
        <f t="shared" si="0"/>
        <v>517290.25</v>
      </c>
      <c r="F15" s="14">
        <f>'B) D RI'!U17</f>
        <v>71790.213859649128</v>
      </c>
      <c r="G15" s="306">
        <f t="shared" si="1"/>
        <v>7.2055816829200383</v>
      </c>
      <c r="H15" s="75">
        <f t="shared" si="2"/>
        <v>257708.465</v>
      </c>
    </row>
    <row r="16" spans="1:8" x14ac:dyDescent="0.25">
      <c r="A16" s="61">
        <f>'A) Base RI'!A18</f>
        <v>5412</v>
      </c>
      <c r="B16" s="124" t="str">
        <f>'A) Base RI'!B18</f>
        <v>Rennaz</v>
      </c>
      <c r="C16" s="52">
        <f>'B) D RI'!Y18</f>
        <v>128335.34999999999</v>
      </c>
      <c r="D16" s="14">
        <f>'B) D RI'!Z18</f>
        <v>92887.85</v>
      </c>
      <c r="E16" s="14">
        <f t="shared" si="0"/>
        <v>221223.2</v>
      </c>
      <c r="F16" s="14">
        <f>'B) D RI'!U18</f>
        <v>26501.739703703701</v>
      </c>
      <c r="G16" s="306">
        <f t="shared" si="1"/>
        <v>8.347497276530996</v>
      </c>
      <c r="H16" s="75">
        <f t="shared" si="2"/>
        <v>92034.03</v>
      </c>
    </row>
    <row r="17" spans="1:8" x14ac:dyDescent="0.25">
      <c r="A17" s="61">
        <f>'A) Base RI'!A19</f>
        <v>5413</v>
      </c>
      <c r="B17" s="124" t="str">
        <f>'A) Base RI'!B19</f>
        <v>Roche</v>
      </c>
      <c r="C17" s="52">
        <f>'B) D RI'!Y19</f>
        <v>216291.84999999998</v>
      </c>
      <c r="D17" s="14">
        <f>'B) D RI'!Z19</f>
        <v>208419.15</v>
      </c>
      <c r="E17" s="14">
        <f t="shared" si="0"/>
        <v>424711</v>
      </c>
      <c r="F17" s="14">
        <f>'B) D RI'!U19</f>
        <v>34861.221617647054</v>
      </c>
      <c r="G17" s="306">
        <f t="shared" si="1"/>
        <v>12.182906401220535</v>
      </c>
      <c r="H17" s="75">
        <f t="shared" si="2"/>
        <v>170671.66999999998</v>
      </c>
    </row>
    <row r="18" spans="1:8" x14ac:dyDescent="0.25">
      <c r="A18" s="61">
        <f>'A) Base RI'!A20</f>
        <v>5414</v>
      </c>
      <c r="B18" s="124" t="str">
        <f>'A) Base RI'!B20</f>
        <v>Villeneuve</v>
      </c>
      <c r="C18" s="52">
        <f>'B) D RI'!Y20</f>
        <v>1384403.5</v>
      </c>
      <c r="D18" s="14">
        <f>'B) D RI'!Z20</f>
        <v>772343.75</v>
      </c>
      <c r="E18" s="14">
        <f t="shared" si="0"/>
        <v>2156747.25</v>
      </c>
      <c r="F18" s="14">
        <f>'B) D RI'!U20</f>
        <v>168009.32057971013</v>
      </c>
      <c r="G18" s="306">
        <f t="shared" si="1"/>
        <v>12.8370690540157</v>
      </c>
      <c r="H18" s="75">
        <f t="shared" si="2"/>
        <v>923904.875</v>
      </c>
    </row>
    <row r="19" spans="1:8" x14ac:dyDescent="0.25">
      <c r="A19" s="61">
        <f>'A) Base RI'!A21</f>
        <v>5415</v>
      </c>
      <c r="B19" s="124" t="str">
        <f>'A) Base RI'!B21</f>
        <v>Yvorne</v>
      </c>
      <c r="C19" s="52">
        <f>'B) D RI'!Y21</f>
        <v>129055.7</v>
      </c>
      <c r="D19" s="14">
        <f>'B) D RI'!Z21</f>
        <v>38421.300000000003</v>
      </c>
      <c r="E19" s="14">
        <f t="shared" si="0"/>
        <v>167477</v>
      </c>
      <c r="F19" s="14">
        <f>'B) D RI'!U21</f>
        <v>43055.973722627736</v>
      </c>
      <c r="G19" s="306">
        <f t="shared" si="1"/>
        <v>3.8897506087984199</v>
      </c>
      <c r="H19" s="75">
        <f t="shared" si="2"/>
        <v>76054.240000000005</v>
      </c>
    </row>
    <row r="20" spans="1:8" x14ac:dyDescent="0.25">
      <c r="A20" s="61">
        <f>'A) Base RI'!A22</f>
        <v>5421</v>
      </c>
      <c r="B20" s="124" t="str">
        <f>'A) Base RI'!B22</f>
        <v>Apples</v>
      </c>
      <c r="C20" s="52">
        <f>'B) D RI'!Y22</f>
        <v>592923.05000000005</v>
      </c>
      <c r="D20" s="14">
        <f>'B) D RI'!Z22</f>
        <v>21306.2</v>
      </c>
      <c r="E20" s="14">
        <f t="shared" si="0"/>
        <v>614229.25</v>
      </c>
      <c r="F20" s="14">
        <f>'B) D RI'!U22</f>
        <v>57391.691408450701</v>
      </c>
      <c r="G20" s="306">
        <f t="shared" si="1"/>
        <v>10.702407176477763</v>
      </c>
      <c r="H20" s="75">
        <f t="shared" si="2"/>
        <v>302853.38500000001</v>
      </c>
    </row>
    <row r="21" spans="1:8" x14ac:dyDescent="0.25">
      <c r="A21" s="61">
        <f>'A) Base RI'!A23</f>
        <v>5422</v>
      </c>
      <c r="B21" s="124" t="str">
        <f>'A) Base RI'!B23</f>
        <v>Aubonne</v>
      </c>
      <c r="C21" s="52">
        <f>'B) D RI'!Y23</f>
        <v>1153010.2000000002</v>
      </c>
      <c r="D21" s="14">
        <f>'B) D RI'!Z23</f>
        <v>474225</v>
      </c>
      <c r="E21" s="14">
        <f t="shared" si="0"/>
        <v>1627235.2000000002</v>
      </c>
      <c r="F21" s="14">
        <f>'B) D RI'!U23</f>
        <v>231550.9032352941</v>
      </c>
      <c r="G21" s="306">
        <f t="shared" si="1"/>
        <v>7.0275484883186117</v>
      </c>
      <c r="H21" s="75">
        <f t="shared" si="2"/>
        <v>718772.60000000009</v>
      </c>
    </row>
    <row r="22" spans="1:8" x14ac:dyDescent="0.25">
      <c r="A22" s="61">
        <f>'A) Base RI'!A24</f>
        <v>5423</v>
      </c>
      <c r="B22" s="124" t="str">
        <f>'A) Base RI'!B24</f>
        <v>Ballens</v>
      </c>
      <c r="C22" s="52">
        <f>'B) D RI'!Y24</f>
        <v>102954.4</v>
      </c>
      <c r="D22" s="14">
        <f>'B) D RI'!Z24</f>
        <v>13307.25</v>
      </c>
      <c r="E22" s="14">
        <f t="shared" si="0"/>
        <v>116261.65</v>
      </c>
      <c r="F22" s="14">
        <f>'B) D RI'!U24</f>
        <v>19761.871884057968</v>
      </c>
      <c r="G22" s="306">
        <f t="shared" si="1"/>
        <v>5.883129426306474</v>
      </c>
      <c r="H22" s="75">
        <f t="shared" si="2"/>
        <v>55469.375</v>
      </c>
    </row>
    <row r="23" spans="1:8" x14ac:dyDescent="0.25">
      <c r="A23" s="61">
        <f>'A) Base RI'!A25</f>
        <v>5424</v>
      </c>
      <c r="B23" s="124" t="str">
        <f>'A) Base RI'!B25</f>
        <v>Berolle</v>
      </c>
      <c r="C23" s="52">
        <f>'B) D RI'!Y25</f>
        <v>51983.1</v>
      </c>
      <c r="D23" s="14">
        <f>'B) D RI'!Z25</f>
        <v>0</v>
      </c>
      <c r="E23" s="14">
        <f t="shared" si="0"/>
        <v>51983.1</v>
      </c>
      <c r="F23" s="14">
        <f>'B) D RI'!U25</f>
        <v>9360.1262337662338</v>
      </c>
      <c r="G23" s="306">
        <f t="shared" si="1"/>
        <v>5.5536751002858598</v>
      </c>
      <c r="H23" s="75">
        <f t="shared" si="2"/>
        <v>25991.55</v>
      </c>
    </row>
    <row r="24" spans="1:8" x14ac:dyDescent="0.25">
      <c r="A24" s="61">
        <f>'A) Base RI'!A26</f>
        <v>5425</v>
      </c>
      <c r="B24" s="124" t="str">
        <f>'A) Base RI'!B26</f>
        <v>Bière</v>
      </c>
      <c r="C24" s="52">
        <f>'B) D RI'!Y26</f>
        <v>206811.45</v>
      </c>
      <c r="D24" s="14">
        <f>'B) D RI'!Z26</f>
        <v>37180.1</v>
      </c>
      <c r="E24" s="14">
        <f t="shared" si="0"/>
        <v>243991.55000000002</v>
      </c>
      <c r="F24" s="14">
        <f>'B) D RI'!U26</f>
        <v>40787.403970588231</v>
      </c>
      <c r="G24" s="306">
        <f t="shared" si="1"/>
        <v>5.982031859049969</v>
      </c>
      <c r="H24" s="75">
        <f t="shared" si="2"/>
        <v>114559.755</v>
      </c>
    </row>
    <row r="25" spans="1:8" x14ac:dyDescent="0.25">
      <c r="A25" s="61">
        <f>'A) Base RI'!A27</f>
        <v>5426</v>
      </c>
      <c r="B25" s="124" t="str">
        <f>'A) Base RI'!B27</f>
        <v>Bougy-Villars</v>
      </c>
      <c r="C25" s="52">
        <f>'B) D RI'!Y27</f>
        <v>238675.25</v>
      </c>
      <c r="D25" s="14">
        <f>'B) D RI'!Z27</f>
        <v>15206.55</v>
      </c>
      <c r="E25" s="14">
        <f t="shared" si="0"/>
        <v>253881.8</v>
      </c>
      <c r="F25" s="14">
        <f>'B) D RI'!U27</f>
        <v>42113.452258064506</v>
      </c>
      <c r="G25" s="306">
        <f t="shared" si="1"/>
        <v>6.0285202562889619</v>
      </c>
      <c r="H25" s="75">
        <f t="shared" si="2"/>
        <v>123899.59</v>
      </c>
    </row>
    <row r="26" spans="1:8" x14ac:dyDescent="0.25">
      <c r="A26" s="61">
        <f>'A) Base RI'!A28</f>
        <v>5427</v>
      </c>
      <c r="B26" s="124" t="str">
        <f>'A) Base RI'!B28</f>
        <v>Féchy</v>
      </c>
      <c r="C26" s="52">
        <f>'B) D RI'!Y28</f>
        <v>239657.59999999998</v>
      </c>
      <c r="D26" s="14">
        <f>'B) D RI'!Z28</f>
        <v>8714.9</v>
      </c>
      <c r="E26" s="14">
        <f t="shared" si="0"/>
        <v>248372.49999999997</v>
      </c>
      <c r="F26" s="14">
        <f>'B) D RI'!U28</f>
        <v>64357.078870192301</v>
      </c>
      <c r="G26" s="306">
        <f t="shared" si="1"/>
        <v>3.8592879658345782</v>
      </c>
      <c r="H26" s="75">
        <f t="shared" si="2"/>
        <v>122443.26999999999</v>
      </c>
    </row>
    <row r="27" spans="1:8" x14ac:dyDescent="0.25">
      <c r="A27" s="61">
        <f>'A) Base RI'!A29</f>
        <v>5428</v>
      </c>
      <c r="B27" s="124" t="str">
        <f>'A) Base RI'!B29</f>
        <v>Gimel</v>
      </c>
      <c r="C27" s="52">
        <f>'B) D RI'!Y29</f>
        <v>404764.10000000003</v>
      </c>
      <c r="D27" s="14">
        <f>'B) D RI'!Z29</f>
        <v>225987.15</v>
      </c>
      <c r="E27" s="14">
        <f t="shared" si="0"/>
        <v>630751.25</v>
      </c>
      <c r="F27" s="14">
        <f>'B) D RI'!U29</f>
        <v>57546.053752913758</v>
      </c>
      <c r="G27" s="306">
        <f t="shared" si="1"/>
        <v>10.960808063542721</v>
      </c>
      <c r="H27" s="75">
        <f t="shared" si="2"/>
        <v>270178.19500000001</v>
      </c>
    </row>
    <row r="28" spans="1:8" x14ac:dyDescent="0.25">
      <c r="A28" s="61">
        <f>'A) Base RI'!A30</f>
        <v>5429</v>
      </c>
      <c r="B28" s="124" t="str">
        <f>'A) Base RI'!B30</f>
        <v>Longirod</v>
      </c>
      <c r="C28" s="52">
        <f>'B) D RI'!Y30</f>
        <v>69037.55</v>
      </c>
      <c r="D28" s="14">
        <f>'B) D RI'!Z30</f>
        <v>0</v>
      </c>
      <c r="E28" s="14">
        <f t="shared" si="0"/>
        <v>69037.55</v>
      </c>
      <c r="F28" s="14">
        <f>'B) D RI'!U30</f>
        <v>13645.142716049384</v>
      </c>
      <c r="G28" s="306">
        <f t="shared" si="1"/>
        <v>5.059496367069741</v>
      </c>
      <c r="H28" s="75">
        <f t="shared" si="2"/>
        <v>34518.775000000001</v>
      </c>
    </row>
    <row r="29" spans="1:8" x14ac:dyDescent="0.25">
      <c r="A29" s="61">
        <f>'A) Base RI'!A31</f>
        <v>5430</v>
      </c>
      <c r="B29" s="124" t="str">
        <f>'A) Base RI'!B31</f>
        <v>Marchissy</v>
      </c>
      <c r="C29" s="52">
        <f>'B) D RI'!Y31</f>
        <v>187349.2</v>
      </c>
      <c r="D29" s="14">
        <f>'B) D RI'!Z31</f>
        <v>14332.65</v>
      </c>
      <c r="E29" s="14">
        <f t="shared" si="0"/>
        <v>201681.85</v>
      </c>
      <c r="F29" s="14">
        <f>'B) D RI'!U31</f>
        <v>12901.686543209877</v>
      </c>
      <c r="G29" s="306">
        <f t="shared" si="1"/>
        <v>15.632208186467267</v>
      </c>
      <c r="H29" s="75">
        <f t="shared" si="2"/>
        <v>97974.395000000004</v>
      </c>
    </row>
    <row r="30" spans="1:8" x14ac:dyDescent="0.25">
      <c r="A30" s="61">
        <f>'A) Base RI'!A32</f>
        <v>5431</v>
      </c>
      <c r="B30" s="124" t="str">
        <f>'A) Base RI'!B32</f>
        <v>Mollens</v>
      </c>
      <c r="C30" s="52">
        <f>'B) D RI'!Y32</f>
        <v>37411.599999999999</v>
      </c>
      <c r="D30" s="14">
        <f>'B) D RI'!Z32</f>
        <v>0</v>
      </c>
      <c r="E30" s="14">
        <f t="shared" si="0"/>
        <v>37411.599999999999</v>
      </c>
      <c r="F30" s="14">
        <f>'B) D RI'!U32</f>
        <v>8965.3154054054066</v>
      </c>
      <c r="G30" s="306">
        <f t="shared" si="1"/>
        <v>4.1729262505860794</v>
      </c>
      <c r="H30" s="75">
        <f t="shared" si="2"/>
        <v>18705.8</v>
      </c>
    </row>
    <row r="31" spans="1:8" x14ac:dyDescent="0.25">
      <c r="A31" s="61">
        <f>'A) Base RI'!A33</f>
        <v>5432</v>
      </c>
      <c r="B31" s="124" t="str">
        <f>'A) Base RI'!B33</f>
        <v>Montherod</v>
      </c>
      <c r="C31" s="52">
        <f>'B) D RI'!Y33</f>
        <v>162139.75</v>
      </c>
      <c r="D31" s="14">
        <f>'B) D RI'!Z33</f>
        <v>14943.5</v>
      </c>
      <c r="E31" s="14">
        <f t="shared" si="0"/>
        <v>177083.25</v>
      </c>
      <c r="F31" s="14">
        <f>'B) D RI'!U33</f>
        <v>18938.674054054052</v>
      </c>
      <c r="G31" s="306">
        <f t="shared" si="1"/>
        <v>9.3503510063363269</v>
      </c>
      <c r="H31" s="75">
        <f t="shared" si="2"/>
        <v>85552.925000000003</v>
      </c>
    </row>
    <row r="32" spans="1:8" x14ac:dyDescent="0.25">
      <c r="A32" s="61">
        <f>'A) Base RI'!A34</f>
        <v>5434</v>
      </c>
      <c r="B32" s="124" t="str">
        <f>'A) Base RI'!B34</f>
        <v>Saint-George</v>
      </c>
      <c r="C32" s="52">
        <f>'B) D RI'!Y34</f>
        <v>250674.19999999998</v>
      </c>
      <c r="D32" s="14">
        <f>'B) D RI'!Z34</f>
        <v>34403.599999999999</v>
      </c>
      <c r="E32" s="14">
        <f t="shared" si="0"/>
        <v>285077.8</v>
      </c>
      <c r="F32" s="14">
        <f>'B) D RI'!U34</f>
        <v>33015.772116788328</v>
      </c>
      <c r="G32" s="306">
        <f t="shared" si="1"/>
        <v>8.6345943687635156</v>
      </c>
      <c r="H32" s="75">
        <f t="shared" si="2"/>
        <v>135658.18</v>
      </c>
    </row>
    <row r="33" spans="1:8" x14ac:dyDescent="0.25">
      <c r="A33" s="61">
        <f>'A) Base RI'!A35</f>
        <v>5435</v>
      </c>
      <c r="B33" s="124" t="str">
        <f>'A) Base RI'!B35</f>
        <v>Saint-Livres</v>
      </c>
      <c r="C33" s="52">
        <f>'B) D RI'!Y35</f>
        <v>29734.05</v>
      </c>
      <c r="D33" s="14">
        <f>'B) D RI'!Z35</f>
        <v>0</v>
      </c>
      <c r="E33" s="14">
        <f t="shared" si="0"/>
        <v>29734.05</v>
      </c>
      <c r="F33" s="14">
        <f>'B) D RI'!U35</f>
        <v>24335.25550724638</v>
      </c>
      <c r="G33" s="306">
        <f t="shared" si="1"/>
        <v>1.2218507420703268</v>
      </c>
      <c r="H33" s="75">
        <f t="shared" si="2"/>
        <v>14867.025</v>
      </c>
    </row>
    <row r="34" spans="1:8" x14ac:dyDescent="0.25">
      <c r="A34" s="61">
        <f>'A) Base RI'!A36</f>
        <v>5436</v>
      </c>
      <c r="B34" s="124" t="str">
        <f>'A) Base RI'!B36</f>
        <v>Saint-Oyens</v>
      </c>
      <c r="C34" s="52">
        <f>'B) D RI'!Y36</f>
        <v>77147.950000000012</v>
      </c>
      <c r="D34" s="14">
        <f>'B) D RI'!Z36</f>
        <v>0</v>
      </c>
      <c r="E34" s="14">
        <f t="shared" si="0"/>
        <v>77147.950000000012</v>
      </c>
      <c r="F34" s="14">
        <f>'B) D RI'!U36</f>
        <v>9937.7678395061721</v>
      </c>
      <c r="G34" s="306">
        <f t="shared" si="1"/>
        <v>7.763106488894759</v>
      </c>
      <c r="H34" s="75">
        <f t="shared" si="2"/>
        <v>38573.975000000006</v>
      </c>
    </row>
    <row r="35" spans="1:8" x14ac:dyDescent="0.25">
      <c r="A35" s="61">
        <f>'A) Base RI'!A37</f>
        <v>5437</v>
      </c>
      <c r="B35" s="124" t="str">
        <f>'A) Base RI'!B37</f>
        <v>Saubraz</v>
      </c>
      <c r="C35" s="52">
        <f>'B) D RI'!Y37</f>
        <v>248414.15</v>
      </c>
      <c r="D35" s="14">
        <f>'B) D RI'!Z37</f>
        <v>0</v>
      </c>
      <c r="E35" s="14">
        <f t="shared" si="0"/>
        <v>248414.15</v>
      </c>
      <c r="F35" s="14">
        <f>'B) D RI'!U37</f>
        <v>9144.65614457831</v>
      </c>
      <c r="G35" s="306">
        <f t="shared" si="1"/>
        <v>27.164952522274984</v>
      </c>
      <c r="H35" s="75">
        <f t="shared" si="2"/>
        <v>124207.075</v>
      </c>
    </row>
    <row r="36" spans="1:8" x14ac:dyDescent="0.25">
      <c r="A36" s="61">
        <f>'A) Base RI'!A38</f>
        <v>5451</v>
      </c>
      <c r="B36" s="124" t="str">
        <f>'A) Base RI'!B38</f>
        <v>Avenches</v>
      </c>
      <c r="C36" s="52">
        <f>'B) D RI'!Y38</f>
        <v>525809.64999999991</v>
      </c>
      <c r="D36" s="14">
        <f>'B) D RI'!Z38</f>
        <v>596347.94999999995</v>
      </c>
      <c r="E36" s="14">
        <f t="shared" si="0"/>
        <v>1122157.5999999999</v>
      </c>
      <c r="F36" s="14">
        <f>'B) D RI'!U38</f>
        <v>102028.81651960785</v>
      </c>
      <c r="G36" s="306">
        <f t="shared" si="1"/>
        <v>10.998437875483384</v>
      </c>
      <c r="H36" s="75">
        <f t="shared" si="2"/>
        <v>441809.20999999996</v>
      </c>
    </row>
    <row r="37" spans="1:8" x14ac:dyDescent="0.25">
      <c r="A37" s="61">
        <f>'A) Base RI'!A39</f>
        <v>5456</v>
      </c>
      <c r="B37" s="124" t="str">
        <f>'A) Base RI'!B39</f>
        <v>Cudrefin</v>
      </c>
      <c r="C37" s="52">
        <f>'B) D RI'!Y39</f>
        <v>768228.55</v>
      </c>
      <c r="D37" s="14">
        <f>'B) D RI'!Z39</f>
        <v>0</v>
      </c>
      <c r="E37" s="14">
        <f t="shared" si="0"/>
        <v>768228.55</v>
      </c>
      <c r="F37" s="14">
        <f>'B) D RI'!U39</f>
        <v>45272.368813559326</v>
      </c>
      <c r="G37" s="306">
        <f t="shared" si="1"/>
        <v>16.969038071847287</v>
      </c>
      <c r="H37" s="75">
        <f t="shared" si="2"/>
        <v>384114.27500000002</v>
      </c>
    </row>
    <row r="38" spans="1:8" x14ac:dyDescent="0.25">
      <c r="A38" s="61">
        <f>'A) Base RI'!A40</f>
        <v>5458</v>
      </c>
      <c r="B38" s="124" t="str">
        <f>'A) Base RI'!B40</f>
        <v>Faoug</v>
      </c>
      <c r="C38" s="52">
        <f>'B) D RI'!Y40</f>
        <v>180410.9</v>
      </c>
      <c r="D38" s="14">
        <f>'B) D RI'!Z40</f>
        <v>0</v>
      </c>
      <c r="E38" s="14">
        <f t="shared" si="0"/>
        <v>180410.9</v>
      </c>
      <c r="F38" s="14">
        <f>'B) D RI'!U40</f>
        <v>28143.986721311474</v>
      </c>
      <c r="G38" s="306">
        <f t="shared" si="1"/>
        <v>6.4102823024496178</v>
      </c>
      <c r="H38" s="75">
        <f t="shared" si="2"/>
        <v>90205.45</v>
      </c>
    </row>
    <row r="39" spans="1:8" x14ac:dyDescent="0.25">
      <c r="A39" s="61">
        <f>'A) Base RI'!A41</f>
        <v>5464</v>
      </c>
      <c r="B39" s="124" t="str">
        <f>'A) Base RI'!B41</f>
        <v>Vully-les-Lacs</v>
      </c>
      <c r="C39" s="52">
        <f>'B) D RI'!Y41</f>
        <v>744761.7</v>
      </c>
      <c r="D39" s="14">
        <f>'B) D RI'!Z41</f>
        <v>0</v>
      </c>
      <c r="E39" s="14">
        <f t="shared" si="0"/>
        <v>744761.7</v>
      </c>
      <c r="F39" s="14">
        <f>'B) D RI'!U41</f>
        <v>96865.968557213928</v>
      </c>
      <c r="G39" s="306">
        <f t="shared" si="1"/>
        <v>7.6885794990023371</v>
      </c>
      <c r="H39" s="75">
        <f t="shared" si="2"/>
        <v>372380.85</v>
      </c>
    </row>
    <row r="40" spans="1:8" x14ac:dyDescent="0.25">
      <c r="A40" s="61">
        <f>'A) Base RI'!A42</f>
        <v>5471</v>
      </c>
      <c r="B40" s="124" t="str">
        <f>'A) Base RI'!B42</f>
        <v>Bettens</v>
      </c>
      <c r="C40" s="52">
        <f>'B) D RI'!Y42</f>
        <v>125861.09999999999</v>
      </c>
      <c r="D40" s="14">
        <f>'B) D RI'!Z42</f>
        <v>2335.65</v>
      </c>
      <c r="E40" s="14">
        <f t="shared" si="0"/>
        <v>128196.74999999999</v>
      </c>
      <c r="F40" s="14">
        <f>'B) D RI'!U42</f>
        <v>18168.257063492067</v>
      </c>
      <c r="G40" s="306">
        <f t="shared" si="1"/>
        <v>7.0560841115355544</v>
      </c>
      <c r="H40" s="75">
        <f t="shared" si="2"/>
        <v>63631.244999999995</v>
      </c>
    </row>
    <row r="41" spans="1:8" x14ac:dyDescent="0.25">
      <c r="A41" s="61">
        <f>'A) Base RI'!A43</f>
        <v>5472</v>
      </c>
      <c r="B41" s="124" t="str">
        <f>'A) Base RI'!B43</f>
        <v>Bournens</v>
      </c>
      <c r="C41" s="52">
        <f>'B) D RI'!Y43</f>
        <v>101901.6</v>
      </c>
      <c r="D41" s="14">
        <f>'B) D RI'!Z43</f>
        <v>0</v>
      </c>
      <c r="E41" s="14">
        <f t="shared" si="0"/>
        <v>101901.6</v>
      </c>
      <c r="F41" s="14">
        <f>'B) D RI'!U43</f>
        <v>13213.617875</v>
      </c>
      <c r="G41" s="306">
        <f t="shared" si="1"/>
        <v>7.7118621836943353</v>
      </c>
      <c r="H41" s="75">
        <f t="shared" si="2"/>
        <v>50950.8</v>
      </c>
    </row>
    <row r="42" spans="1:8" x14ac:dyDescent="0.25">
      <c r="A42" s="61">
        <f>'A) Base RI'!A44</f>
        <v>5473</v>
      </c>
      <c r="B42" s="124" t="str">
        <f>'A) Base RI'!B44</f>
        <v>Boussens</v>
      </c>
      <c r="C42" s="52">
        <f>'B) D RI'!Y44</f>
        <v>39565.350000000006</v>
      </c>
      <c r="D42" s="14">
        <f>'B) D RI'!Z44</f>
        <v>0</v>
      </c>
      <c r="E42" s="14">
        <f t="shared" si="0"/>
        <v>39565.350000000006</v>
      </c>
      <c r="F42" s="14">
        <f>'B) D RI'!U44</f>
        <v>33007.750579710155</v>
      </c>
      <c r="G42" s="306">
        <f t="shared" si="1"/>
        <v>1.1986684734681921</v>
      </c>
      <c r="H42" s="75">
        <f t="shared" si="2"/>
        <v>19782.675000000003</v>
      </c>
    </row>
    <row r="43" spans="1:8" x14ac:dyDescent="0.25">
      <c r="A43" s="61">
        <f>'A) Base RI'!A45</f>
        <v>5474</v>
      </c>
      <c r="B43" s="124" t="str">
        <f>'A) Base RI'!B45</f>
        <v>La Chaux (Cossonay)</v>
      </c>
      <c r="C43" s="52">
        <f>'B) D RI'!Y45</f>
        <v>-14762.7</v>
      </c>
      <c r="D43" s="14">
        <f>'B) D RI'!Z45</f>
        <v>0</v>
      </c>
      <c r="E43" s="14">
        <f t="shared" si="0"/>
        <v>-14762.7</v>
      </c>
      <c r="F43" s="14">
        <f>'B) D RI'!U45</f>
        <v>12690.44829004329</v>
      </c>
      <c r="G43" s="306">
        <f t="shared" si="1"/>
        <v>-1.1632922385872344</v>
      </c>
      <c r="H43" s="75">
        <f t="shared" si="2"/>
        <v>-7381.35</v>
      </c>
    </row>
    <row r="44" spans="1:8" x14ac:dyDescent="0.25">
      <c r="A44" s="61">
        <f>'A) Base RI'!A46</f>
        <v>5475</v>
      </c>
      <c r="B44" s="124" t="str">
        <f>'A) Base RI'!B46</f>
        <v>Chavannes-le-Veyron</v>
      </c>
      <c r="C44" s="52">
        <f>'B) D RI'!Y46</f>
        <v>3649.25</v>
      </c>
      <c r="D44" s="14">
        <f>'B) D RI'!Z46</f>
        <v>0</v>
      </c>
      <c r="E44" s="14">
        <f t="shared" si="0"/>
        <v>3649.25</v>
      </c>
      <c r="F44" s="14">
        <f>'B) D RI'!U46</f>
        <v>2750.1545454545449</v>
      </c>
      <c r="G44" s="306">
        <f t="shared" si="1"/>
        <v>1.3269254289841566</v>
      </c>
      <c r="H44" s="75">
        <f t="shared" si="2"/>
        <v>1824.625</v>
      </c>
    </row>
    <row r="45" spans="1:8" x14ac:dyDescent="0.25">
      <c r="A45" s="61">
        <f>'A) Base RI'!A47</f>
        <v>5476</v>
      </c>
      <c r="B45" s="124" t="str">
        <f>'A) Base RI'!B47</f>
        <v>Chevilly</v>
      </c>
      <c r="C45" s="52">
        <f>'B) D RI'!Y47</f>
        <v>75294.25</v>
      </c>
      <c r="D45" s="14">
        <f>'B) D RI'!Z47</f>
        <v>2996.05</v>
      </c>
      <c r="E45" s="14">
        <f t="shared" si="0"/>
        <v>78290.3</v>
      </c>
      <c r="F45" s="14">
        <f>'B) D RI'!U47</f>
        <v>7887.6179729729729</v>
      </c>
      <c r="G45" s="306">
        <f t="shared" si="1"/>
        <v>9.9257215889845014</v>
      </c>
      <c r="H45" s="75">
        <f t="shared" si="2"/>
        <v>38545.94</v>
      </c>
    </row>
    <row r="46" spans="1:8" x14ac:dyDescent="0.25">
      <c r="A46" s="61">
        <f>'A) Base RI'!A48</f>
        <v>5477</v>
      </c>
      <c r="B46" s="124" t="str">
        <f>'A) Base RI'!B48</f>
        <v>Cossonay</v>
      </c>
      <c r="C46" s="52">
        <f>'B) D RI'!Y48</f>
        <v>727366.2</v>
      </c>
      <c r="D46" s="14">
        <f>'B) D RI'!Z48</f>
        <v>78698.25</v>
      </c>
      <c r="E46" s="14">
        <f t="shared" si="0"/>
        <v>806064.45</v>
      </c>
      <c r="F46" s="14">
        <f>'B) D RI'!U48</f>
        <v>120589.74256854257</v>
      </c>
      <c r="G46" s="306">
        <f t="shared" si="1"/>
        <v>6.6843533523743712</v>
      </c>
      <c r="H46" s="75">
        <f t="shared" si="2"/>
        <v>387292.57499999995</v>
      </c>
    </row>
    <row r="47" spans="1:8" x14ac:dyDescent="0.25">
      <c r="A47" s="61">
        <f>'A) Base RI'!A49</f>
        <v>5478</v>
      </c>
      <c r="B47" s="124" t="str">
        <f>'A) Base RI'!B49</f>
        <v>Cottens</v>
      </c>
      <c r="C47" s="52">
        <f>'B) D RI'!Y49</f>
        <v>27472.85</v>
      </c>
      <c r="D47" s="14">
        <f>'B) D RI'!Z49</f>
        <v>0</v>
      </c>
      <c r="E47" s="14">
        <f t="shared" si="0"/>
        <v>27472.85</v>
      </c>
      <c r="F47" s="14">
        <f>'B) D RI'!U49</f>
        <v>15464.23347222222</v>
      </c>
      <c r="G47" s="306">
        <f t="shared" si="1"/>
        <v>1.7765413364554004</v>
      </c>
      <c r="H47" s="75">
        <f t="shared" si="2"/>
        <v>13736.424999999999</v>
      </c>
    </row>
    <row r="48" spans="1:8" x14ac:dyDescent="0.25">
      <c r="A48" s="61">
        <f>'A) Base RI'!A50</f>
        <v>5479</v>
      </c>
      <c r="B48" s="124" t="str">
        <f>'A) Base RI'!B50</f>
        <v>Cuarnens</v>
      </c>
      <c r="C48" s="52">
        <f>'B) D RI'!Y50</f>
        <v>15178.750000000002</v>
      </c>
      <c r="D48" s="14">
        <f>'B) D RI'!Z50</f>
        <v>1482.8</v>
      </c>
      <c r="E48" s="14">
        <f t="shared" si="0"/>
        <v>16661.550000000003</v>
      </c>
      <c r="F48" s="14">
        <f>'B) D RI'!U50</f>
        <v>11805.525064935064</v>
      </c>
      <c r="G48" s="306">
        <f t="shared" si="1"/>
        <v>1.4113349392216676</v>
      </c>
      <c r="H48" s="75">
        <f t="shared" si="2"/>
        <v>8034.2150000000011</v>
      </c>
    </row>
    <row r="49" spans="1:8" x14ac:dyDescent="0.25">
      <c r="A49" s="61">
        <f>'A) Base RI'!A51</f>
        <v>5480</v>
      </c>
      <c r="B49" s="124" t="str">
        <f>'A) Base RI'!B51</f>
        <v>Daillens</v>
      </c>
      <c r="C49" s="52">
        <f>'B) D RI'!Y51</f>
        <v>254516.5</v>
      </c>
      <c r="D49" s="14">
        <f>'B) D RI'!Z51</f>
        <v>161064.79999999999</v>
      </c>
      <c r="E49" s="14">
        <f t="shared" si="0"/>
        <v>415581.3</v>
      </c>
      <c r="F49" s="14">
        <f>'B) D RI'!U51</f>
        <v>42113.849718309852</v>
      </c>
      <c r="G49" s="306">
        <f t="shared" si="1"/>
        <v>9.8680434769020309</v>
      </c>
      <c r="H49" s="75">
        <f t="shared" si="2"/>
        <v>175577.69</v>
      </c>
    </row>
    <row r="50" spans="1:8" x14ac:dyDescent="0.25">
      <c r="A50" s="61">
        <f>'A) Base RI'!A52</f>
        <v>5481</v>
      </c>
      <c r="B50" s="124" t="str">
        <f>'A) Base RI'!B52</f>
        <v>Dizy</v>
      </c>
      <c r="C50" s="52">
        <f>'B) D RI'!Y52</f>
        <v>23713.4</v>
      </c>
      <c r="D50" s="14">
        <f>'B) D RI'!Z52</f>
        <v>0</v>
      </c>
      <c r="E50" s="14">
        <f t="shared" si="0"/>
        <v>23713.4</v>
      </c>
      <c r="F50" s="14">
        <f>'B) D RI'!U52</f>
        <v>8240.9954054054051</v>
      </c>
      <c r="G50" s="306">
        <f t="shared" si="1"/>
        <v>2.8774922000861682</v>
      </c>
      <c r="H50" s="75">
        <f t="shared" si="2"/>
        <v>11856.7</v>
      </c>
    </row>
    <row r="51" spans="1:8" x14ac:dyDescent="0.25">
      <c r="A51" s="61">
        <f>'A) Base RI'!A53</f>
        <v>5482</v>
      </c>
      <c r="B51" s="124" t="str">
        <f>'A) Base RI'!B53</f>
        <v>Eclépens</v>
      </c>
      <c r="C51" s="52">
        <f>'B) D RI'!Y53</f>
        <v>172037.35</v>
      </c>
      <c r="D51" s="14">
        <f>'B) D RI'!Z53</f>
        <v>152417.95000000001</v>
      </c>
      <c r="E51" s="14">
        <f t="shared" si="0"/>
        <v>324455.30000000005</v>
      </c>
      <c r="F51" s="14">
        <f>'B) D RI'!U53</f>
        <v>64551.928043478263</v>
      </c>
      <c r="G51" s="306">
        <f t="shared" si="1"/>
        <v>5.026268150836124</v>
      </c>
      <c r="H51" s="75">
        <f t="shared" si="2"/>
        <v>131744.06</v>
      </c>
    </row>
    <row r="52" spans="1:8" x14ac:dyDescent="0.25">
      <c r="A52" s="61">
        <f>'A) Base RI'!A54</f>
        <v>5483</v>
      </c>
      <c r="B52" s="124" t="str">
        <f>'A) Base RI'!B54</f>
        <v>Ferreyres</v>
      </c>
      <c r="C52" s="52">
        <f>'B) D RI'!Y54</f>
        <v>26547.8</v>
      </c>
      <c r="D52" s="14">
        <f>'B) D RI'!Z54</f>
        <v>171.95</v>
      </c>
      <c r="E52" s="14">
        <f t="shared" si="0"/>
        <v>26719.75</v>
      </c>
      <c r="F52" s="14">
        <f>'B) D RI'!U54</f>
        <v>9097.5578947368413</v>
      </c>
      <c r="G52" s="306">
        <f t="shared" si="1"/>
        <v>2.9370244530631706</v>
      </c>
      <c r="H52" s="75">
        <f t="shared" si="2"/>
        <v>13325.484999999999</v>
      </c>
    </row>
    <row r="53" spans="1:8" x14ac:dyDescent="0.25">
      <c r="A53" s="61">
        <f>'A) Base RI'!A55</f>
        <v>5484</v>
      </c>
      <c r="B53" s="124" t="str">
        <f>'A) Base RI'!B55</f>
        <v>Gollion</v>
      </c>
      <c r="C53" s="52">
        <f>'B) D RI'!Y55</f>
        <v>239751.59999999998</v>
      </c>
      <c r="D53" s="14">
        <f>'B) D RI'!Z55</f>
        <v>9736.2999999999993</v>
      </c>
      <c r="E53" s="14">
        <f t="shared" si="0"/>
        <v>249487.89999999997</v>
      </c>
      <c r="F53" s="14">
        <f>'B) D RI'!U55</f>
        <v>23163.007162162161</v>
      </c>
      <c r="G53" s="306">
        <f t="shared" si="1"/>
        <v>10.77096329735415</v>
      </c>
      <c r="H53" s="75">
        <f t="shared" si="2"/>
        <v>122796.68999999999</v>
      </c>
    </row>
    <row r="54" spans="1:8" x14ac:dyDescent="0.25">
      <c r="A54" s="61">
        <f>'A) Base RI'!A56</f>
        <v>5485</v>
      </c>
      <c r="B54" s="124" t="str">
        <f>'A) Base RI'!B56</f>
        <v>Grancy</v>
      </c>
      <c r="C54" s="52">
        <f>'B) D RI'!Y56</f>
        <v>59395.25</v>
      </c>
      <c r="D54" s="14">
        <f>'B) D RI'!Z56</f>
        <v>7836.4</v>
      </c>
      <c r="E54" s="14">
        <f t="shared" si="0"/>
        <v>67231.649999999994</v>
      </c>
      <c r="F54" s="14">
        <f>'B) D RI'!U56</f>
        <v>17298.355857142858</v>
      </c>
      <c r="G54" s="306">
        <f t="shared" si="1"/>
        <v>3.8865919140077478</v>
      </c>
      <c r="H54" s="75">
        <f t="shared" si="2"/>
        <v>32048.544999999998</v>
      </c>
    </row>
    <row r="55" spans="1:8" x14ac:dyDescent="0.25">
      <c r="A55" s="61">
        <f>'A) Base RI'!A57</f>
        <v>5486</v>
      </c>
      <c r="B55" s="124" t="str">
        <f>'A) Base RI'!B57</f>
        <v>L'Isle</v>
      </c>
      <c r="C55" s="52">
        <f>'B) D RI'!Y57</f>
        <v>502118.7</v>
      </c>
      <c r="D55" s="14">
        <f>'B) D RI'!Z57</f>
        <v>55291.35</v>
      </c>
      <c r="E55" s="14">
        <f t="shared" si="0"/>
        <v>557410.05000000005</v>
      </c>
      <c r="F55" s="14">
        <f>'B) D RI'!U57</f>
        <v>27212.445657894736</v>
      </c>
      <c r="G55" s="306">
        <f t="shared" si="1"/>
        <v>20.483644028455306</v>
      </c>
      <c r="H55" s="75">
        <f t="shared" si="2"/>
        <v>267646.755</v>
      </c>
    </row>
    <row r="56" spans="1:8" x14ac:dyDescent="0.25">
      <c r="A56" s="61">
        <f>'A) Base RI'!A58</f>
        <v>5487</v>
      </c>
      <c r="B56" s="124" t="str">
        <f>'A) Base RI'!B58</f>
        <v>Lussery-Villars</v>
      </c>
      <c r="C56" s="52">
        <f>'B) D RI'!Y58</f>
        <v>47019.7</v>
      </c>
      <c r="D56" s="14">
        <f>'B) D RI'!Z58</f>
        <v>0</v>
      </c>
      <c r="E56" s="14">
        <f t="shared" si="0"/>
        <v>47019.7</v>
      </c>
      <c r="F56" s="14">
        <f>'B) D RI'!U58</f>
        <v>11872.69955882353</v>
      </c>
      <c r="G56" s="306">
        <f t="shared" si="1"/>
        <v>3.9603208829668386</v>
      </c>
      <c r="H56" s="75">
        <f t="shared" si="2"/>
        <v>23509.85</v>
      </c>
    </row>
    <row r="57" spans="1:8" x14ac:dyDescent="0.25">
      <c r="A57" s="61">
        <f>'A) Base RI'!A59</f>
        <v>5488</v>
      </c>
      <c r="B57" s="124" t="str">
        <f>'A) Base RI'!B59</f>
        <v>Mauraz</v>
      </c>
      <c r="C57" s="52">
        <f>'B) D RI'!Y59</f>
        <v>0</v>
      </c>
      <c r="D57" s="14">
        <f>'B) D RI'!Z59</f>
        <v>0</v>
      </c>
      <c r="E57" s="14">
        <f t="shared" si="0"/>
        <v>0</v>
      </c>
      <c r="F57" s="14">
        <f>'B) D RI'!U59</f>
        <v>1417.5255405405405</v>
      </c>
      <c r="G57" s="306">
        <f t="shared" si="1"/>
        <v>0</v>
      </c>
      <c r="H57" s="75">
        <f t="shared" si="2"/>
        <v>0</v>
      </c>
    </row>
    <row r="58" spans="1:8" x14ac:dyDescent="0.25">
      <c r="A58" s="61">
        <f>'A) Base RI'!A60</f>
        <v>5489</v>
      </c>
      <c r="B58" s="124" t="str">
        <f>'A) Base RI'!B60</f>
        <v>Mex</v>
      </c>
      <c r="C58" s="52">
        <f>'B) D RI'!Y60</f>
        <v>128993</v>
      </c>
      <c r="D58" s="14">
        <f>'B) D RI'!Z60</f>
        <v>17897.2</v>
      </c>
      <c r="E58" s="14">
        <f t="shared" si="0"/>
        <v>146890.20000000001</v>
      </c>
      <c r="F58" s="14">
        <f>'B) D RI'!U60</f>
        <v>37121.285573770496</v>
      </c>
      <c r="G58" s="306">
        <f t="shared" si="1"/>
        <v>3.9570342925782467</v>
      </c>
      <c r="H58" s="75">
        <f t="shared" si="2"/>
        <v>69865.66</v>
      </c>
    </row>
    <row r="59" spans="1:8" x14ac:dyDescent="0.25">
      <c r="A59" s="61">
        <f>'A) Base RI'!A61</f>
        <v>5490</v>
      </c>
      <c r="B59" s="124" t="str">
        <f>'A) Base RI'!B61</f>
        <v>Moiry</v>
      </c>
      <c r="C59" s="52">
        <f>'B) D RI'!Y61</f>
        <v>51567.100000000006</v>
      </c>
      <c r="D59" s="14">
        <f>'B) D RI'!Z61</f>
        <v>0</v>
      </c>
      <c r="E59" s="14">
        <f t="shared" si="0"/>
        <v>51567.100000000006</v>
      </c>
      <c r="F59" s="14">
        <f>'B) D RI'!U61</f>
        <v>7321.727037037037</v>
      </c>
      <c r="G59" s="306">
        <f t="shared" si="1"/>
        <v>7.0430241033498326</v>
      </c>
      <c r="H59" s="75">
        <f t="shared" si="2"/>
        <v>25783.550000000003</v>
      </c>
    </row>
    <row r="60" spans="1:8" x14ac:dyDescent="0.25">
      <c r="A60" s="61">
        <f>'A) Base RI'!A62</f>
        <v>5491</v>
      </c>
      <c r="B60" s="124" t="str">
        <f>'A) Base RI'!B62</f>
        <v>Mont-la-Ville</v>
      </c>
      <c r="C60" s="52">
        <f>'B) D RI'!Y62</f>
        <v>77234.95</v>
      </c>
      <c r="D60" s="14">
        <f>'B) D RI'!Z62</f>
        <v>0</v>
      </c>
      <c r="E60" s="14">
        <f t="shared" si="0"/>
        <v>77234.95</v>
      </c>
      <c r="F60" s="14">
        <f>'B) D RI'!U62</f>
        <v>8599.6809210526335</v>
      </c>
      <c r="G60" s="306">
        <f t="shared" si="1"/>
        <v>8.9811413596664167</v>
      </c>
      <c r="H60" s="75">
        <f t="shared" si="2"/>
        <v>38617.474999999999</v>
      </c>
    </row>
    <row r="61" spans="1:8" x14ac:dyDescent="0.25">
      <c r="A61" s="61">
        <f>'A) Base RI'!A63</f>
        <v>5492</v>
      </c>
      <c r="B61" s="124" t="str">
        <f>'A) Base RI'!B63</f>
        <v>Montricher</v>
      </c>
      <c r="C61" s="52">
        <f>'B) D RI'!Y63</f>
        <v>124538.85</v>
      </c>
      <c r="D61" s="14">
        <f>'B) D RI'!Z63</f>
        <v>2115.35</v>
      </c>
      <c r="E61" s="14">
        <f t="shared" si="0"/>
        <v>126654.20000000001</v>
      </c>
      <c r="F61" s="14">
        <f>'B) D RI'!U63</f>
        <v>187025.79406249998</v>
      </c>
      <c r="G61" s="306">
        <f t="shared" ref="G61:G115" si="3">E61/F61</f>
        <v>0.6772017765510725</v>
      </c>
      <c r="H61" s="75">
        <f t="shared" si="2"/>
        <v>62904.030000000006</v>
      </c>
    </row>
    <row r="62" spans="1:8" x14ac:dyDescent="0.25">
      <c r="A62" s="61">
        <f>'A) Base RI'!A64</f>
        <v>5493</v>
      </c>
      <c r="B62" s="124" t="str">
        <f>'A) Base RI'!B64</f>
        <v>Orny</v>
      </c>
      <c r="C62" s="52">
        <f>'B) D RI'!Y64</f>
        <v>17460.849999999999</v>
      </c>
      <c r="D62" s="14">
        <f>'B) D RI'!Z64</f>
        <v>60612.05</v>
      </c>
      <c r="E62" s="14">
        <f t="shared" si="0"/>
        <v>78072.899999999994</v>
      </c>
      <c r="F62" s="14">
        <f>'B) D RI'!U64</f>
        <v>10614.324773445733</v>
      </c>
      <c r="G62" s="306">
        <f t="shared" si="3"/>
        <v>7.3554278455204223</v>
      </c>
      <c r="H62" s="75">
        <f t="shared" ref="H62:H116" si="4">(C62*$C$4)+(D62*$D$4)</f>
        <v>26914.04</v>
      </c>
    </row>
    <row r="63" spans="1:8" x14ac:dyDescent="0.25">
      <c r="A63" s="61">
        <f>'A) Base RI'!A65</f>
        <v>5494</v>
      </c>
      <c r="B63" s="124" t="str">
        <f>'A) Base RI'!B65</f>
        <v>Pampigny</v>
      </c>
      <c r="C63" s="52">
        <f>'B) D RI'!Y65</f>
        <v>157725.70000000001</v>
      </c>
      <c r="D63" s="14">
        <f>'B) D RI'!Z65</f>
        <v>20551.3</v>
      </c>
      <c r="E63" s="14">
        <f t="shared" si="0"/>
        <v>178277</v>
      </c>
      <c r="F63" s="14">
        <f>'B) D RI'!U65</f>
        <v>33982.091568253971</v>
      </c>
      <c r="G63" s="306">
        <f t="shared" si="3"/>
        <v>5.2462044498328098</v>
      </c>
      <c r="H63" s="75">
        <f t="shared" si="4"/>
        <v>85028.24</v>
      </c>
    </row>
    <row r="64" spans="1:8" x14ac:dyDescent="0.25">
      <c r="A64" s="61">
        <f>'A) Base RI'!A66</f>
        <v>5495</v>
      </c>
      <c r="B64" s="124" t="str">
        <f>'A) Base RI'!B66</f>
        <v>Penthalaz</v>
      </c>
      <c r="C64" s="52">
        <f>'B) D RI'!Y66</f>
        <v>326812</v>
      </c>
      <c r="D64" s="14">
        <f>'B) D RI'!Z66</f>
        <v>212709.05</v>
      </c>
      <c r="E64" s="14">
        <f t="shared" si="0"/>
        <v>539521.05000000005</v>
      </c>
      <c r="F64" s="14">
        <f>'B) D RI'!U66</f>
        <v>96162.321351351362</v>
      </c>
      <c r="G64" s="306">
        <f t="shared" si="3"/>
        <v>5.6105243968553404</v>
      </c>
      <c r="H64" s="75">
        <f t="shared" si="4"/>
        <v>227218.715</v>
      </c>
    </row>
    <row r="65" spans="1:8" x14ac:dyDescent="0.25">
      <c r="A65" s="61">
        <f>'A) Base RI'!A67</f>
        <v>5496</v>
      </c>
      <c r="B65" s="124" t="str">
        <f>'A) Base RI'!B67</f>
        <v>Penthaz</v>
      </c>
      <c r="C65" s="52">
        <f>'B) D RI'!Y67</f>
        <v>157867.79999999999</v>
      </c>
      <c r="D65" s="14">
        <f>'B) D RI'!Z67</f>
        <v>91874.9</v>
      </c>
      <c r="E65" s="14">
        <f t="shared" si="0"/>
        <v>249742.69999999998</v>
      </c>
      <c r="F65" s="14">
        <f>'B) D RI'!U67</f>
        <v>56906.521408450702</v>
      </c>
      <c r="G65" s="306">
        <f t="shared" si="3"/>
        <v>4.3886481517197922</v>
      </c>
      <c r="H65" s="75">
        <f t="shared" si="4"/>
        <v>106496.37</v>
      </c>
    </row>
    <row r="66" spans="1:8" x14ac:dyDescent="0.25">
      <c r="A66" s="61">
        <f>'A) Base RI'!A68</f>
        <v>5497</v>
      </c>
      <c r="B66" s="124" t="str">
        <f>'A) Base RI'!B68</f>
        <v>Pompaples</v>
      </c>
      <c r="C66" s="52">
        <f>'B) D RI'!Y68</f>
        <v>79879</v>
      </c>
      <c r="D66" s="14">
        <f>'B) D RI'!Z68</f>
        <v>249012.55</v>
      </c>
      <c r="E66" s="14">
        <f t="shared" si="0"/>
        <v>328891.55</v>
      </c>
      <c r="F66" s="14">
        <f>'B) D RI'!U68</f>
        <v>22227.212272727276</v>
      </c>
      <c r="G66" s="306">
        <f t="shared" si="3"/>
        <v>14.7967970955831</v>
      </c>
      <c r="H66" s="75">
        <f t="shared" si="4"/>
        <v>114643.265</v>
      </c>
    </row>
    <row r="67" spans="1:8" x14ac:dyDescent="0.25">
      <c r="A67" s="61">
        <f>'A) Base RI'!A69</f>
        <v>5498</v>
      </c>
      <c r="B67" s="124" t="str">
        <f>'A) Base RI'!B69</f>
        <v>La Sarraz</v>
      </c>
      <c r="C67" s="52">
        <f>'B) D RI'!Y69</f>
        <v>242092.44999999998</v>
      </c>
      <c r="D67" s="14">
        <f>'B) D RI'!Z69</f>
        <v>66079.600000000006</v>
      </c>
      <c r="E67" s="14">
        <f t="shared" si="0"/>
        <v>308172.05</v>
      </c>
      <c r="F67" s="14">
        <f>'B) D RI'!U69</f>
        <v>72104.13</v>
      </c>
      <c r="G67" s="306">
        <f t="shared" si="3"/>
        <v>4.2739861087014015</v>
      </c>
      <c r="H67" s="75">
        <f t="shared" si="4"/>
        <v>140870.10499999998</v>
      </c>
    </row>
    <row r="68" spans="1:8" x14ac:dyDescent="0.25">
      <c r="A68" s="61">
        <f>'A) Base RI'!A70</f>
        <v>5499</v>
      </c>
      <c r="B68" s="124" t="str">
        <f>'A) Base RI'!B70</f>
        <v>Senarclens</v>
      </c>
      <c r="C68" s="52">
        <f>'B) D RI'!Y70</f>
        <v>110516.70000000001</v>
      </c>
      <c r="D68" s="14">
        <f>'B) D RI'!Z70</f>
        <v>15828.05</v>
      </c>
      <c r="E68" s="14">
        <f t="shared" si="0"/>
        <v>126344.75000000001</v>
      </c>
      <c r="F68" s="14">
        <f>'B) D RI'!U70</f>
        <v>21697.695620437953</v>
      </c>
      <c r="G68" s="306">
        <f t="shared" si="3"/>
        <v>5.8229570646659221</v>
      </c>
      <c r="H68" s="75">
        <f t="shared" si="4"/>
        <v>60006.765000000007</v>
      </c>
    </row>
    <row r="69" spans="1:8" x14ac:dyDescent="0.25">
      <c r="A69" s="61">
        <f>'A) Base RI'!A71</f>
        <v>5500</v>
      </c>
      <c r="B69" s="124" t="str">
        <f>'A) Base RI'!B71</f>
        <v>Sévery</v>
      </c>
      <c r="C69" s="52">
        <f>'B) D RI'!Y71</f>
        <v>38812.400000000001</v>
      </c>
      <c r="D69" s="14">
        <f>'B) D RI'!Z71</f>
        <v>5291.4</v>
      </c>
      <c r="E69" s="14">
        <f t="shared" ref="E69:E132" si="5">C69+D69</f>
        <v>44103.8</v>
      </c>
      <c r="F69" s="14">
        <f>'B) D RI'!U71</f>
        <v>6767.1525657894736</v>
      </c>
      <c r="G69" s="306">
        <f t="shared" si="3"/>
        <v>6.517334960491576</v>
      </c>
      <c r="H69" s="75">
        <f t="shared" si="4"/>
        <v>20993.62</v>
      </c>
    </row>
    <row r="70" spans="1:8" x14ac:dyDescent="0.25">
      <c r="A70" s="61">
        <f>'A) Base RI'!A72</f>
        <v>5501</v>
      </c>
      <c r="B70" s="124" t="str">
        <f>'A) Base RI'!B72</f>
        <v>Sullens</v>
      </c>
      <c r="C70" s="52">
        <f>'B) D RI'!Y72</f>
        <v>211229.8</v>
      </c>
      <c r="D70" s="14">
        <f>'B) D RI'!Z72</f>
        <v>8687.9</v>
      </c>
      <c r="E70" s="14">
        <f t="shared" si="5"/>
        <v>219917.69999999998</v>
      </c>
      <c r="F70" s="14">
        <f>'B) D RI'!U72</f>
        <v>35887.851857142865</v>
      </c>
      <c r="G70" s="306">
        <f t="shared" si="3"/>
        <v>6.1279148408050821</v>
      </c>
      <c r="H70" s="75">
        <f t="shared" si="4"/>
        <v>108221.26999999999</v>
      </c>
    </row>
    <row r="71" spans="1:8" x14ac:dyDescent="0.25">
      <c r="A71" s="61">
        <f>'A) Base RI'!A73</f>
        <v>5503</v>
      </c>
      <c r="B71" s="124" t="str">
        <f>'A) Base RI'!B73</f>
        <v>Vufflens-la-Ville</v>
      </c>
      <c r="C71" s="52">
        <f>'B) D RI'!Y73</f>
        <v>600791.30000000005</v>
      </c>
      <c r="D71" s="14">
        <f>'B) D RI'!Z73</f>
        <v>56414.15</v>
      </c>
      <c r="E71" s="14">
        <f t="shared" si="5"/>
        <v>657205.45000000007</v>
      </c>
      <c r="F71" s="14">
        <f>'B) D RI'!U73</f>
        <v>61379.446318407958</v>
      </c>
      <c r="G71" s="306">
        <f t="shared" si="3"/>
        <v>10.707256083587403</v>
      </c>
      <c r="H71" s="75">
        <f t="shared" si="4"/>
        <v>317319.89500000002</v>
      </c>
    </row>
    <row r="72" spans="1:8" x14ac:dyDescent="0.25">
      <c r="A72" s="61">
        <f>'A) Base RI'!A74</f>
        <v>5511</v>
      </c>
      <c r="B72" s="124" t="str">
        <f>'A) Base RI'!B74</f>
        <v>Assens</v>
      </c>
      <c r="C72" s="52">
        <f>'B) D RI'!Y74</f>
        <v>147215.54999999999</v>
      </c>
      <c r="D72" s="14">
        <f>'B) D RI'!Z74</f>
        <v>9736.75</v>
      </c>
      <c r="E72" s="14">
        <f t="shared" si="5"/>
        <v>156952.29999999999</v>
      </c>
      <c r="F72" s="14">
        <f>'B) D RI'!U74</f>
        <v>41422.612571428566</v>
      </c>
      <c r="G72" s="306">
        <f t="shared" si="3"/>
        <v>3.7890487889761579</v>
      </c>
      <c r="H72" s="75">
        <f t="shared" si="4"/>
        <v>76528.799999999988</v>
      </c>
    </row>
    <row r="73" spans="1:8" x14ac:dyDescent="0.25">
      <c r="A73" s="61">
        <f>'A) Base RI'!A75</f>
        <v>5512</v>
      </c>
      <c r="B73" s="124" t="str">
        <f>'A) Base RI'!B75</f>
        <v>Bercher</v>
      </c>
      <c r="C73" s="52">
        <f>'B) D RI'!Y75</f>
        <v>151044.75</v>
      </c>
      <c r="D73" s="14">
        <f>'B) D RI'!Z75</f>
        <v>13337.05</v>
      </c>
      <c r="E73" s="14">
        <f t="shared" si="5"/>
        <v>164381.79999999999</v>
      </c>
      <c r="F73" s="14">
        <f>'B) D RI'!U75</f>
        <v>32079.191772151898</v>
      </c>
      <c r="G73" s="306">
        <f t="shared" si="3"/>
        <v>5.1242500486779914</v>
      </c>
      <c r="H73" s="75">
        <f t="shared" si="4"/>
        <v>79523.490000000005</v>
      </c>
    </row>
    <row r="74" spans="1:8" x14ac:dyDescent="0.25">
      <c r="A74" s="61">
        <f>'A) Base RI'!A76</f>
        <v>5513</v>
      </c>
      <c r="B74" s="124" t="str">
        <f>'A) Base RI'!B76</f>
        <v>Bioley-Orjulaz</v>
      </c>
      <c r="C74" s="52">
        <f>'B) D RI'!Y76</f>
        <v>128423.09999999999</v>
      </c>
      <c r="D74" s="14">
        <f>'B) D RI'!Z76</f>
        <v>33909.300000000003</v>
      </c>
      <c r="E74" s="14">
        <f t="shared" si="5"/>
        <v>162332.4</v>
      </c>
      <c r="F74" s="14">
        <f>'B) D RI'!U76</f>
        <v>24024.471515151512</v>
      </c>
      <c r="G74" s="306">
        <f t="shared" si="3"/>
        <v>6.7569602893292293</v>
      </c>
      <c r="H74" s="75">
        <f t="shared" si="4"/>
        <v>74384.34</v>
      </c>
    </row>
    <row r="75" spans="1:8" x14ac:dyDescent="0.25">
      <c r="A75" s="61">
        <f>'A) Base RI'!A77</f>
        <v>5514</v>
      </c>
      <c r="B75" s="124" t="str">
        <f>'A) Base RI'!B77</f>
        <v>Bottens</v>
      </c>
      <c r="C75" s="52">
        <f>'B) D RI'!Y77</f>
        <v>295533.3</v>
      </c>
      <c r="D75" s="14">
        <f>'B) D RI'!Z77</f>
        <v>10310.85</v>
      </c>
      <c r="E75" s="14">
        <f t="shared" si="5"/>
        <v>305844.14999999997</v>
      </c>
      <c r="F75" s="14">
        <f>'B) D RI'!U77</f>
        <v>38346.680434782604</v>
      </c>
      <c r="G75" s="306">
        <f t="shared" si="3"/>
        <v>7.9757659993583712</v>
      </c>
      <c r="H75" s="75">
        <f t="shared" si="4"/>
        <v>150859.905</v>
      </c>
    </row>
    <row r="76" spans="1:8" x14ac:dyDescent="0.25">
      <c r="A76" s="61">
        <f>'A) Base RI'!A78</f>
        <v>5515</v>
      </c>
      <c r="B76" s="124" t="str">
        <f>'A) Base RI'!B78</f>
        <v>Bretigny-sur-Morrens</v>
      </c>
      <c r="C76" s="52">
        <f>'B) D RI'!Y78</f>
        <v>123537.8</v>
      </c>
      <c r="D76" s="14">
        <f>'B) D RI'!Z78</f>
        <v>13053.7</v>
      </c>
      <c r="E76" s="14">
        <f t="shared" si="5"/>
        <v>136591.5</v>
      </c>
      <c r="F76" s="14">
        <f>'B) D RI'!U78</f>
        <v>24345.34643835617</v>
      </c>
      <c r="G76" s="306">
        <f t="shared" si="3"/>
        <v>5.6105794323304297</v>
      </c>
      <c r="H76" s="75">
        <f t="shared" si="4"/>
        <v>65685.009999999995</v>
      </c>
    </row>
    <row r="77" spans="1:8" x14ac:dyDescent="0.25">
      <c r="A77" s="61">
        <f>'A) Base RI'!A79</f>
        <v>5516</v>
      </c>
      <c r="B77" s="124" t="str">
        <f>'A) Base RI'!B79</f>
        <v>Cugy</v>
      </c>
      <c r="C77" s="52">
        <f>'B) D RI'!Y79</f>
        <v>583045.5</v>
      </c>
      <c r="D77" s="14">
        <f>'B) D RI'!Z79</f>
        <v>101673.55</v>
      </c>
      <c r="E77" s="14">
        <f t="shared" si="5"/>
        <v>684719.05</v>
      </c>
      <c r="F77" s="14">
        <f>'B) D RI'!U79</f>
        <v>104935.17701492537</v>
      </c>
      <c r="G77" s="306">
        <f t="shared" si="3"/>
        <v>6.5251621951579644</v>
      </c>
      <c r="H77" s="75">
        <f t="shared" si="4"/>
        <v>322024.815</v>
      </c>
    </row>
    <row r="78" spans="1:8" x14ac:dyDescent="0.25">
      <c r="A78" s="61">
        <f>'A) Base RI'!A80</f>
        <v>5518</v>
      </c>
      <c r="B78" s="124" t="str">
        <f>'A) Base RI'!B80</f>
        <v>Echallens</v>
      </c>
      <c r="C78" s="52">
        <f>'B) D RI'!Y80</f>
        <v>580167.75</v>
      </c>
      <c r="D78" s="14">
        <f>'B) D RI'!Z80</f>
        <v>189303.95</v>
      </c>
      <c r="E78" s="14">
        <f t="shared" si="5"/>
        <v>769471.7</v>
      </c>
      <c r="F78" s="14">
        <f>'B) D RI'!U80</f>
        <v>181423.1631081081</v>
      </c>
      <c r="G78" s="306">
        <f t="shared" si="3"/>
        <v>4.2413090303219994</v>
      </c>
      <c r="H78" s="75">
        <f t="shared" si="4"/>
        <v>346875.06</v>
      </c>
    </row>
    <row r="79" spans="1:8" x14ac:dyDescent="0.25">
      <c r="A79" s="61">
        <f>'A) Base RI'!A81</f>
        <v>5520</v>
      </c>
      <c r="B79" s="124" t="str">
        <f>'A) Base RI'!B81</f>
        <v>Essertines-sur-Yverdon</v>
      </c>
      <c r="C79" s="52">
        <f>'B) D RI'!Y81</f>
        <v>83846.2</v>
      </c>
      <c r="D79" s="14">
        <f>'B) D RI'!Z81</f>
        <v>8440.5</v>
      </c>
      <c r="E79" s="14">
        <f t="shared" si="5"/>
        <v>92286.7</v>
      </c>
      <c r="F79" s="14">
        <f>'B) D RI'!U81</f>
        <v>28021.579589041095</v>
      </c>
      <c r="G79" s="306">
        <f t="shared" si="3"/>
        <v>3.2934153375169548</v>
      </c>
      <c r="H79" s="75">
        <f t="shared" si="4"/>
        <v>44455.25</v>
      </c>
    </row>
    <row r="80" spans="1:8" x14ac:dyDescent="0.25">
      <c r="A80" s="61">
        <f>'A) Base RI'!A82</f>
        <v>5521</v>
      </c>
      <c r="B80" s="124" t="str">
        <f>'A) Base RI'!B82</f>
        <v>Etagnières</v>
      </c>
      <c r="C80" s="52">
        <f>'B) D RI'!Y82</f>
        <v>46597.45</v>
      </c>
      <c r="D80" s="14">
        <f>'B) D RI'!Z82</f>
        <v>60233.95</v>
      </c>
      <c r="E80" s="14">
        <f t="shared" si="5"/>
        <v>106831.4</v>
      </c>
      <c r="F80" s="14">
        <f>'B) D RI'!U82</f>
        <v>42327.784109589047</v>
      </c>
      <c r="G80" s="306">
        <f t="shared" si="3"/>
        <v>2.523907221871275</v>
      </c>
      <c r="H80" s="75">
        <f t="shared" si="4"/>
        <v>41368.909999999996</v>
      </c>
    </row>
    <row r="81" spans="1:8" x14ac:dyDescent="0.25">
      <c r="A81" s="61">
        <f>'A) Base RI'!A83</f>
        <v>5522</v>
      </c>
      <c r="B81" s="124" t="str">
        <f>'A) Base RI'!B83</f>
        <v>Fey</v>
      </c>
      <c r="C81" s="52">
        <f>'B) D RI'!Y83</f>
        <v>68702.7</v>
      </c>
      <c r="D81" s="14">
        <f>'B) D RI'!Z83</f>
        <v>7678.25</v>
      </c>
      <c r="E81" s="14">
        <f t="shared" si="5"/>
        <v>76380.95</v>
      </c>
      <c r="F81" s="14">
        <f>'B) D RI'!U83</f>
        <v>18218.5124</v>
      </c>
      <c r="G81" s="306">
        <f t="shared" si="3"/>
        <v>4.1924910400478144</v>
      </c>
      <c r="H81" s="75">
        <f t="shared" si="4"/>
        <v>36654.824999999997</v>
      </c>
    </row>
    <row r="82" spans="1:8" x14ac:dyDescent="0.25">
      <c r="A82" s="61">
        <f>'A) Base RI'!A84</f>
        <v>5523</v>
      </c>
      <c r="B82" s="124" t="str">
        <f>'A) Base RI'!B84</f>
        <v>Froideville</v>
      </c>
      <c r="C82" s="52">
        <f>'B) D RI'!Y84</f>
        <v>524159.55000000005</v>
      </c>
      <c r="D82" s="14">
        <f>'B) D RI'!Z84</f>
        <v>0</v>
      </c>
      <c r="E82" s="14">
        <f t="shared" si="5"/>
        <v>524159.55000000005</v>
      </c>
      <c r="F82" s="14">
        <f>'B) D RI'!U84</f>
        <v>77819.657763157898</v>
      </c>
      <c r="G82" s="306">
        <f t="shared" si="3"/>
        <v>6.7355674011734408</v>
      </c>
      <c r="H82" s="75">
        <f t="shared" si="4"/>
        <v>262079.77500000002</v>
      </c>
    </row>
    <row r="83" spans="1:8" x14ac:dyDescent="0.25">
      <c r="A83" s="61">
        <f>'A) Base RI'!A85</f>
        <v>5527</v>
      </c>
      <c r="B83" s="124" t="str">
        <f>'A) Base RI'!B85</f>
        <v>Morrens</v>
      </c>
      <c r="C83" s="52">
        <f>'B) D RI'!Y85</f>
        <v>247356.25</v>
      </c>
      <c r="D83" s="14">
        <f>'B) D RI'!Z85</f>
        <v>13054.25</v>
      </c>
      <c r="E83" s="14">
        <f t="shared" si="5"/>
        <v>260410.5</v>
      </c>
      <c r="F83" s="14">
        <f>'B) D RI'!U85</f>
        <v>36998.677183098589</v>
      </c>
      <c r="G83" s="306">
        <f t="shared" si="3"/>
        <v>7.0383732561919388</v>
      </c>
      <c r="H83" s="75">
        <f t="shared" si="4"/>
        <v>127594.4</v>
      </c>
    </row>
    <row r="84" spans="1:8" x14ac:dyDescent="0.25">
      <c r="A84" s="61">
        <f>'A) Base RI'!A86</f>
        <v>5529</v>
      </c>
      <c r="B84" s="124" t="str">
        <f>'A) Base RI'!B86</f>
        <v>Oulens-sous-Echallens</v>
      </c>
      <c r="C84" s="52">
        <f>'B) D RI'!Y86</f>
        <v>166696.75</v>
      </c>
      <c r="D84" s="14">
        <f>'B) D RI'!Z86</f>
        <v>611.79999999999995</v>
      </c>
      <c r="E84" s="14">
        <f t="shared" si="5"/>
        <v>167308.54999999999</v>
      </c>
      <c r="F84" s="14">
        <f>'B) D RI'!U86</f>
        <v>16830.940140845072</v>
      </c>
      <c r="G84" s="306">
        <f t="shared" si="3"/>
        <v>9.9405350265596937</v>
      </c>
      <c r="H84" s="75">
        <f t="shared" si="4"/>
        <v>83531.914999999994</v>
      </c>
    </row>
    <row r="85" spans="1:8" x14ac:dyDescent="0.25">
      <c r="A85" s="61">
        <f>'A) Base RI'!A87</f>
        <v>5530</v>
      </c>
      <c r="B85" s="124" t="str">
        <f>'A) Base RI'!B87</f>
        <v>Pailly</v>
      </c>
      <c r="C85" s="52">
        <f>'B) D RI'!Y87</f>
        <v>47809.700000000004</v>
      </c>
      <c r="D85" s="14">
        <f>'B) D RI'!Z87</f>
        <v>3638.2</v>
      </c>
      <c r="E85" s="14">
        <f t="shared" si="5"/>
        <v>51447.9</v>
      </c>
      <c r="F85" s="14">
        <f>'B) D RI'!U87</f>
        <v>15988.116172043008</v>
      </c>
      <c r="G85" s="306">
        <f t="shared" si="3"/>
        <v>3.2178837985905027</v>
      </c>
      <c r="H85" s="75">
        <f t="shared" si="4"/>
        <v>24996.31</v>
      </c>
    </row>
    <row r="86" spans="1:8" x14ac:dyDescent="0.25">
      <c r="A86" s="61">
        <f>'A) Base RI'!A88</f>
        <v>5531</v>
      </c>
      <c r="B86" s="124" t="str">
        <f>'A) Base RI'!B88</f>
        <v>Penthéréaz</v>
      </c>
      <c r="C86" s="52">
        <f>'B) D RI'!Y88</f>
        <v>40358.6</v>
      </c>
      <c r="D86" s="14">
        <f>'B) D RI'!Z88</f>
        <v>47848.7</v>
      </c>
      <c r="E86" s="14">
        <f t="shared" si="5"/>
        <v>88207.299999999988</v>
      </c>
      <c r="F86" s="14">
        <f>'B) D RI'!U88</f>
        <v>11628.696923076923</v>
      </c>
      <c r="G86" s="306">
        <f t="shared" si="3"/>
        <v>7.585312488878639</v>
      </c>
      <c r="H86" s="75">
        <f t="shared" si="4"/>
        <v>34533.909999999996</v>
      </c>
    </row>
    <row r="87" spans="1:8" x14ac:dyDescent="0.25">
      <c r="A87" s="61">
        <f>'A) Base RI'!A89</f>
        <v>5533</v>
      </c>
      <c r="B87" s="124" t="str">
        <f>'A) Base RI'!B89</f>
        <v>Poliez-Pittet</v>
      </c>
      <c r="C87" s="52">
        <f>'B) D RI'!Y89</f>
        <v>78168.399999999994</v>
      </c>
      <c r="D87" s="14">
        <f>'B) D RI'!Z89</f>
        <v>5273.9</v>
      </c>
      <c r="E87" s="14">
        <f t="shared" si="5"/>
        <v>83442.299999999988</v>
      </c>
      <c r="F87" s="14">
        <f>'B) D RI'!U89</f>
        <v>21286.915727699528</v>
      </c>
      <c r="G87" s="306">
        <f t="shared" si="3"/>
        <v>3.9198868012344774</v>
      </c>
      <c r="H87" s="75">
        <f t="shared" si="4"/>
        <v>40666.369999999995</v>
      </c>
    </row>
    <row r="88" spans="1:8" x14ac:dyDescent="0.25">
      <c r="A88" s="61">
        <f>'A) Base RI'!A90</f>
        <v>5534</v>
      </c>
      <c r="B88" s="124" t="str">
        <f>'A) Base RI'!B90</f>
        <v>Rueyres</v>
      </c>
      <c r="C88" s="52">
        <f>'B) D RI'!Y90</f>
        <v>89081</v>
      </c>
      <c r="D88" s="14">
        <f>'B) D RI'!Z90</f>
        <v>24554.6</v>
      </c>
      <c r="E88" s="14">
        <f t="shared" si="5"/>
        <v>113635.6</v>
      </c>
      <c r="F88" s="14">
        <f>'B) D RI'!U90</f>
        <v>8123.1504109589041</v>
      </c>
      <c r="G88" s="306">
        <f t="shared" si="3"/>
        <v>13.989104503924333</v>
      </c>
      <c r="H88" s="75">
        <f t="shared" si="4"/>
        <v>51906.879999999997</v>
      </c>
    </row>
    <row r="89" spans="1:8" x14ac:dyDescent="0.25">
      <c r="A89" s="61">
        <f>'A) Base RI'!A91</f>
        <v>5535</v>
      </c>
      <c r="B89" s="124" t="str">
        <f>'A) Base RI'!B91</f>
        <v>Saint-Barthélemy</v>
      </c>
      <c r="C89" s="52">
        <f>'B) D RI'!Y91</f>
        <v>14698.2</v>
      </c>
      <c r="D89" s="14">
        <f>'B) D RI'!Z91</f>
        <v>24150.85</v>
      </c>
      <c r="E89" s="14">
        <f t="shared" si="5"/>
        <v>38849.050000000003</v>
      </c>
      <c r="F89" s="14">
        <f>'B) D RI'!U91</f>
        <v>21652.779733333333</v>
      </c>
      <c r="G89" s="306">
        <f t="shared" si="3"/>
        <v>1.7941830323149643</v>
      </c>
      <c r="H89" s="75">
        <f t="shared" si="4"/>
        <v>14594.355</v>
      </c>
    </row>
    <row r="90" spans="1:8" x14ac:dyDescent="0.25">
      <c r="A90" s="61">
        <f>'A) Base RI'!A92</f>
        <v>5537</v>
      </c>
      <c r="B90" s="124" t="str">
        <f>'A) Base RI'!B92</f>
        <v>Villars-le-Terroir</v>
      </c>
      <c r="C90" s="52">
        <f>'B) D RI'!Y92</f>
        <v>113377.79999999999</v>
      </c>
      <c r="D90" s="14">
        <f>'B) D RI'!Z92</f>
        <v>0</v>
      </c>
      <c r="E90" s="14">
        <f t="shared" si="5"/>
        <v>113377.79999999999</v>
      </c>
      <c r="F90" s="14">
        <f>'B) D RI'!U92</f>
        <v>28181.728767123288</v>
      </c>
      <c r="G90" s="306">
        <f t="shared" si="3"/>
        <v>4.0230959902029202</v>
      </c>
      <c r="H90" s="75">
        <f t="shared" si="4"/>
        <v>56688.899999999994</v>
      </c>
    </row>
    <row r="91" spans="1:8" x14ac:dyDescent="0.25">
      <c r="A91" s="61">
        <f>'A) Base RI'!A93</f>
        <v>5539</v>
      </c>
      <c r="B91" s="124" t="str">
        <f>'A) Base RI'!B93</f>
        <v>Vuarrens</v>
      </c>
      <c r="C91" s="52">
        <f>'B) D RI'!Y93</f>
        <v>97519.65</v>
      </c>
      <c r="D91" s="14">
        <f>'B) D RI'!Z93</f>
        <v>25545.599999999999</v>
      </c>
      <c r="E91" s="14">
        <f t="shared" si="5"/>
        <v>123065.25</v>
      </c>
      <c r="F91" s="14">
        <f>'B) D RI'!U93</f>
        <v>22756.172933333331</v>
      </c>
      <c r="G91" s="306">
        <f t="shared" si="3"/>
        <v>5.4079941456119602</v>
      </c>
      <c r="H91" s="75">
        <f t="shared" si="4"/>
        <v>56423.504999999997</v>
      </c>
    </row>
    <row r="92" spans="1:8" x14ac:dyDescent="0.25">
      <c r="A92" s="61">
        <f>'A) Base RI'!A94</f>
        <v>5540</v>
      </c>
      <c r="B92" s="124" t="str">
        <f>'A) Base RI'!B94</f>
        <v>Montilliez</v>
      </c>
      <c r="C92" s="52">
        <f>'B) D RI'!Y94</f>
        <v>205034.8</v>
      </c>
      <c r="D92" s="14">
        <f>'B) D RI'!Z94</f>
        <v>5316.15</v>
      </c>
      <c r="E92" s="14">
        <f t="shared" si="5"/>
        <v>210350.94999999998</v>
      </c>
      <c r="F92" s="14">
        <f>'B) D RI'!U94</f>
        <v>47199.265101351346</v>
      </c>
      <c r="G92" s="306">
        <f>E92/F92</f>
        <v>4.4566573133779048</v>
      </c>
      <c r="H92" s="75">
        <f>(C92*$C$4)+(D92*$D$4)</f>
        <v>104112.245</v>
      </c>
    </row>
    <row r="93" spans="1:8" x14ac:dyDescent="0.25">
      <c r="A93" s="61">
        <f>'A) Base RI'!A95</f>
        <v>5541</v>
      </c>
      <c r="B93" s="124" t="str">
        <f>'A) Base RI'!B95</f>
        <v>Goumoëns</v>
      </c>
      <c r="C93" s="52">
        <f>'B) D RI'!Y95</f>
        <v>122251.79999999999</v>
      </c>
      <c r="D93" s="14">
        <f>'B) D RI'!Z95</f>
        <v>11381.55</v>
      </c>
      <c r="E93" s="14">
        <f t="shared" si="5"/>
        <v>133633.34999999998</v>
      </c>
      <c r="F93" s="14">
        <f>'B) D RI'!U95</f>
        <v>35607.690389610398</v>
      </c>
      <c r="G93" s="306">
        <f>E93/F93</f>
        <v>3.7529350693015315</v>
      </c>
      <c r="H93" s="75">
        <f>(C93*$C$4)+(D93*$D$4)</f>
        <v>64540.364999999991</v>
      </c>
    </row>
    <row r="94" spans="1:8" x14ac:dyDescent="0.25">
      <c r="A94" s="61">
        <f>'A) Base RI'!A96</f>
        <v>5551</v>
      </c>
      <c r="B94" s="124" t="str">
        <f>'A) Base RI'!B96</f>
        <v>Bonvillars</v>
      </c>
      <c r="C94" s="52">
        <f>'B) D RI'!Y96</f>
        <v>37188.65</v>
      </c>
      <c r="D94" s="14">
        <f>'B) D RI'!Z96</f>
        <v>7693.2</v>
      </c>
      <c r="E94" s="14">
        <f t="shared" si="5"/>
        <v>44881.85</v>
      </c>
      <c r="F94" s="14">
        <f>'B) D RI'!U96</f>
        <v>15988.430935064936</v>
      </c>
      <c r="G94" s="306">
        <f>E94/F94</f>
        <v>2.8071453779474771</v>
      </c>
      <c r="H94" s="75">
        <f>(C94*$C$4)+(D94*$D$4)</f>
        <v>20902.285</v>
      </c>
    </row>
    <row r="95" spans="1:8" x14ac:dyDescent="0.25">
      <c r="A95" s="61">
        <f>'A) Base RI'!A97</f>
        <v>5552</v>
      </c>
      <c r="B95" s="124" t="str">
        <f>'A) Base RI'!B97</f>
        <v>Bullet</v>
      </c>
      <c r="C95" s="52">
        <f>'B) D RI'!Y97</f>
        <v>199850.44999999998</v>
      </c>
      <c r="D95" s="14">
        <f>'B) D RI'!Z97</f>
        <v>49622.3</v>
      </c>
      <c r="E95" s="14">
        <f t="shared" si="5"/>
        <v>249472.75</v>
      </c>
      <c r="F95" s="14">
        <f>'B) D RI'!U97</f>
        <v>15525.607571428574</v>
      </c>
      <c r="G95" s="306">
        <f t="shared" si="3"/>
        <v>16.068469388540972</v>
      </c>
      <c r="H95" s="75">
        <f t="shared" si="4"/>
        <v>114811.91499999999</v>
      </c>
    </row>
    <row r="96" spans="1:8" x14ac:dyDescent="0.25">
      <c r="A96" s="61">
        <f>'A) Base RI'!A98</f>
        <v>5553</v>
      </c>
      <c r="B96" s="124" t="str">
        <f>'A) Base RI'!B98</f>
        <v>Champagne</v>
      </c>
      <c r="C96" s="52">
        <f>'B) D RI'!Y98</f>
        <v>235436</v>
      </c>
      <c r="D96" s="14">
        <f>'B) D RI'!Z98</f>
        <v>111459.85</v>
      </c>
      <c r="E96" s="14">
        <f t="shared" si="5"/>
        <v>346895.85</v>
      </c>
      <c r="F96" s="14">
        <f>'B) D RI'!U98</f>
        <v>55334.370317460314</v>
      </c>
      <c r="G96" s="306">
        <f t="shared" si="3"/>
        <v>6.2690846215437963</v>
      </c>
      <c r="H96" s="75">
        <f t="shared" si="4"/>
        <v>151155.95500000002</v>
      </c>
    </row>
    <row r="97" spans="1:8" x14ac:dyDescent="0.25">
      <c r="A97" s="61">
        <f>'A) Base RI'!A99</f>
        <v>5554</v>
      </c>
      <c r="B97" s="124" t="str">
        <f>'A) Base RI'!B99</f>
        <v>Concise</v>
      </c>
      <c r="C97" s="52">
        <f>'B) D RI'!Y99</f>
        <v>282716.09999999998</v>
      </c>
      <c r="D97" s="14">
        <f>'B) D RI'!Z99</f>
        <v>0</v>
      </c>
      <c r="E97" s="14">
        <f t="shared" si="5"/>
        <v>282716.09999999998</v>
      </c>
      <c r="F97" s="14">
        <f>'B) D RI'!U99</f>
        <v>29691.100933333331</v>
      </c>
      <c r="G97" s="306">
        <f t="shared" si="3"/>
        <v>9.521913674901926</v>
      </c>
      <c r="H97" s="75">
        <f t="shared" si="4"/>
        <v>141358.04999999999</v>
      </c>
    </row>
    <row r="98" spans="1:8" x14ac:dyDescent="0.25">
      <c r="A98" s="61">
        <f>'A) Base RI'!A100</f>
        <v>5555</v>
      </c>
      <c r="B98" s="124" t="str">
        <f>'A) Base RI'!B100</f>
        <v>Corcelles-près-Concise</v>
      </c>
      <c r="C98" s="52">
        <f>'B) D RI'!Y100</f>
        <v>67054.100000000006</v>
      </c>
      <c r="D98" s="14">
        <f>'B) D RI'!Z100</f>
        <v>10192.85</v>
      </c>
      <c r="E98" s="14">
        <f t="shared" si="5"/>
        <v>77246.950000000012</v>
      </c>
      <c r="F98" s="14">
        <f>'B) D RI'!U100</f>
        <v>9762.6867605633779</v>
      </c>
      <c r="G98" s="306">
        <f t="shared" si="3"/>
        <v>7.9124683495982921</v>
      </c>
      <c r="H98" s="75">
        <f t="shared" si="4"/>
        <v>36584.905000000006</v>
      </c>
    </row>
    <row r="99" spans="1:8" x14ac:dyDescent="0.25">
      <c r="A99" s="61">
        <f>'A) Base RI'!A101</f>
        <v>5556</v>
      </c>
      <c r="B99" s="124" t="str">
        <f>'A) Base RI'!B101</f>
        <v>Fiez</v>
      </c>
      <c r="C99" s="52">
        <f>'B) D RI'!Y101</f>
        <v>41025.25</v>
      </c>
      <c r="D99" s="14">
        <f>'B) D RI'!Z101</f>
        <v>11298.6</v>
      </c>
      <c r="E99" s="14">
        <f t="shared" si="5"/>
        <v>52323.85</v>
      </c>
      <c r="F99" s="14">
        <f>'B) D RI'!U101</f>
        <v>10799.932053140095</v>
      </c>
      <c r="G99" s="306">
        <f t="shared" si="3"/>
        <v>4.8448314065815596</v>
      </c>
      <c r="H99" s="75">
        <f t="shared" si="4"/>
        <v>23902.205000000002</v>
      </c>
    </row>
    <row r="100" spans="1:8" x14ac:dyDescent="0.25">
      <c r="A100" s="61">
        <f>'A) Base RI'!A102</f>
        <v>5557</v>
      </c>
      <c r="B100" s="124" t="str">
        <f>'A) Base RI'!B102</f>
        <v>Fontaines-sur-Grandson</v>
      </c>
      <c r="C100" s="52">
        <f>'B) D RI'!Y102</f>
        <v>16738.3</v>
      </c>
      <c r="D100" s="14">
        <f>'B) D RI'!Z102</f>
        <v>1075.8499999999999</v>
      </c>
      <c r="E100" s="14">
        <f t="shared" si="5"/>
        <v>17814.149999999998</v>
      </c>
      <c r="F100" s="14">
        <f>'B) D RI'!U102</f>
        <v>4200.6523188405799</v>
      </c>
      <c r="G100" s="306">
        <f t="shared" si="3"/>
        <v>4.2408056291878191</v>
      </c>
      <c r="H100" s="75">
        <f t="shared" si="4"/>
        <v>8691.9049999999988</v>
      </c>
    </row>
    <row r="101" spans="1:8" x14ac:dyDescent="0.25">
      <c r="A101" s="61">
        <f>'A) Base RI'!A103</f>
        <v>5559</v>
      </c>
      <c r="B101" s="124" t="str">
        <f>'A) Base RI'!B103</f>
        <v>Giez</v>
      </c>
      <c r="C101" s="52">
        <f>'B) D RI'!Y103</f>
        <v>4171.5</v>
      </c>
      <c r="D101" s="14">
        <f>'B) D RI'!Z103</f>
        <v>24437.05</v>
      </c>
      <c r="E101" s="14">
        <f t="shared" si="5"/>
        <v>28608.55</v>
      </c>
      <c r="F101" s="14">
        <f>'B) D RI'!U103</f>
        <v>17998.483636363639</v>
      </c>
      <c r="G101" s="306">
        <f t="shared" si="3"/>
        <v>1.5894977920362177</v>
      </c>
      <c r="H101" s="75">
        <f t="shared" si="4"/>
        <v>9416.8649999999998</v>
      </c>
    </row>
    <row r="102" spans="1:8" x14ac:dyDescent="0.25">
      <c r="A102" s="61">
        <f>'A) Base RI'!A104</f>
        <v>5560</v>
      </c>
      <c r="B102" s="124" t="str">
        <f>'A) Base RI'!B104</f>
        <v>Grandevent</v>
      </c>
      <c r="C102" s="52">
        <f>'B) D RI'!Y104</f>
        <v>31220.25</v>
      </c>
      <c r="D102" s="14">
        <f>'B) D RI'!Z104</f>
        <v>0</v>
      </c>
      <c r="E102" s="14">
        <f t="shared" si="5"/>
        <v>31220.25</v>
      </c>
      <c r="F102" s="14">
        <f>'B) D RI'!U104</f>
        <v>6396.1444117647052</v>
      </c>
      <c r="G102" s="306">
        <f t="shared" si="3"/>
        <v>4.8811046139882714</v>
      </c>
      <c r="H102" s="75">
        <f t="shared" si="4"/>
        <v>15610.125</v>
      </c>
    </row>
    <row r="103" spans="1:8" x14ac:dyDescent="0.25">
      <c r="A103" s="61">
        <f>'A) Base RI'!A105</f>
        <v>5561</v>
      </c>
      <c r="B103" s="124" t="str">
        <f>'A) Base RI'!B105</f>
        <v>Grandson</v>
      </c>
      <c r="C103" s="52">
        <f>'B) D RI'!Y105</f>
        <v>702159.95</v>
      </c>
      <c r="D103" s="14">
        <f>'B) D RI'!Z105</f>
        <v>327346.25</v>
      </c>
      <c r="E103" s="14">
        <f t="shared" si="5"/>
        <v>1029506.2</v>
      </c>
      <c r="F103" s="14">
        <f>'B) D RI'!U105</f>
        <v>106507.86840579711</v>
      </c>
      <c r="G103" s="306">
        <f t="shared" si="3"/>
        <v>9.6660107408925011</v>
      </c>
      <c r="H103" s="75">
        <f t="shared" si="4"/>
        <v>449283.85</v>
      </c>
    </row>
    <row r="104" spans="1:8" x14ac:dyDescent="0.25">
      <c r="A104" s="61">
        <f>'A) Base RI'!A106</f>
        <v>5562</v>
      </c>
      <c r="B104" s="124" t="str">
        <f>'A) Base RI'!B106</f>
        <v>Mauborget</v>
      </c>
      <c r="C104" s="52">
        <f>'B) D RI'!Y106</f>
        <v>9603.5</v>
      </c>
      <c r="D104" s="14">
        <f>'B) D RI'!Z106</f>
        <v>0</v>
      </c>
      <c r="E104" s="14">
        <f t="shared" si="5"/>
        <v>9603.5</v>
      </c>
      <c r="F104" s="14">
        <f>'B) D RI'!U106</f>
        <v>3916.9319285714282</v>
      </c>
      <c r="G104" s="306">
        <f t="shared" si="3"/>
        <v>2.451791395696417</v>
      </c>
      <c r="H104" s="75">
        <f t="shared" si="4"/>
        <v>4801.75</v>
      </c>
    </row>
    <row r="105" spans="1:8" x14ac:dyDescent="0.25">
      <c r="A105" s="61">
        <f>'A) Base RI'!A107</f>
        <v>5563</v>
      </c>
      <c r="B105" s="124" t="str">
        <f>'A) Base RI'!B107</f>
        <v>Mutrux</v>
      </c>
      <c r="C105" s="52">
        <f>'B) D RI'!Y107</f>
        <v>12571.7</v>
      </c>
      <c r="D105" s="14">
        <f>'B) D RI'!Z107</f>
        <v>0</v>
      </c>
      <c r="E105" s="14">
        <f t="shared" si="5"/>
        <v>12571.7</v>
      </c>
      <c r="F105" s="14">
        <f>'B) D RI'!U107</f>
        <v>4102.2142675159239</v>
      </c>
      <c r="G105" s="306">
        <f t="shared" si="3"/>
        <v>3.0646132015948386</v>
      </c>
      <c r="H105" s="75">
        <f t="shared" si="4"/>
        <v>6285.85</v>
      </c>
    </row>
    <row r="106" spans="1:8" x14ac:dyDescent="0.25">
      <c r="A106" s="61">
        <f>'A) Base RI'!A108</f>
        <v>5564</v>
      </c>
      <c r="B106" s="124" t="str">
        <f>'A) Base RI'!B108</f>
        <v>Novalles</v>
      </c>
      <c r="C106" s="52">
        <f>'B) D RI'!Y108</f>
        <v>0</v>
      </c>
      <c r="D106" s="14">
        <f>'B) D RI'!Z108</f>
        <v>0</v>
      </c>
      <c r="E106" s="14">
        <f t="shared" si="5"/>
        <v>0</v>
      </c>
      <c r="F106" s="14">
        <f>'B) D RI'!U108</f>
        <v>2120.1975328947365</v>
      </c>
      <c r="G106" s="306">
        <f t="shared" si="3"/>
        <v>0</v>
      </c>
      <c r="H106" s="75">
        <f t="shared" si="4"/>
        <v>0</v>
      </c>
    </row>
    <row r="107" spans="1:8" x14ac:dyDescent="0.25">
      <c r="A107" s="61">
        <f>'A) Base RI'!A109</f>
        <v>5565</v>
      </c>
      <c r="B107" s="124" t="str">
        <f>'A) Base RI'!B109</f>
        <v>Onnens</v>
      </c>
      <c r="C107" s="52">
        <f>'B) D RI'!Y109</f>
        <v>51078.55</v>
      </c>
      <c r="D107" s="14">
        <f>'B) D RI'!Z109</f>
        <v>55616.3</v>
      </c>
      <c r="E107" s="14">
        <f t="shared" si="5"/>
        <v>106694.85</v>
      </c>
      <c r="F107" s="14">
        <f>'B) D RI'!U109</f>
        <v>22453.434769230771</v>
      </c>
      <c r="G107" s="306">
        <f t="shared" si="3"/>
        <v>4.7518275531817551</v>
      </c>
      <c r="H107" s="75">
        <f t="shared" si="4"/>
        <v>42224.165000000001</v>
      </c>
    </row>
    <row r="108" spans="1:8" x14ac:dyDescent="0.25">
      <c r="A108" s="61">
        <f>'A) Base RI'!A110</f>
        <v>5566</v>
      </c>
      <c r="B108" s="124" t="str">
        <f>'A) Base RI'!B110</f>
        <v>Provence</v>
      </c>
      <c r="C108" s="52">
        <f>'B) D RI'!Y110</f>
        <v>4851.55</v>
      </c>
      <c r="D108" s="14">
        <f>'B) D RI'!Z110</f>
        <v>59855.6</v>
      </c>
      <c r="E108" s="14">
        <f t="shared" si="5"/>
        <v>64707.15</v>
      </c>
      <c r="F108" s="14">
        <f>'B) D RI'!U110</f>
        <v>7814.1319753086409</v>
      </c>
      <c r="G108" s="306">
        <f t="shared" si="3"/>
        <v>8.2807854032237813</v>
      </c>
      <c r="H108" s="75">
        <f t="shared" si="4"/>
        <v>20382.455000000002</v>
      </c>
    </row>
    <row r="109" spans="1:8" x14ac:dyDescent="0.25">
      <c r="A109" s="61">
        <f>'A) Base RI'!A111</f>
        <v>5568</v>
      </c>
      <c r="B109" s="124" t="str">
        <f>'A) Base RI'!B111</f>
        <v>Sainte-Croix</v>
      </c>
      <c r="C109" s="52">
        <f>'B) D RI'!Y111</f>
        <v>598893.9</v>
      </c>
      <c r="D109" s="14">
        <f>'B) D RI'!Z111</f>
        <v>2072950.7</v>
      </c>
      <c r="E109" s="14">
        <f t="shared" si="5"/>
        <v>2671844.6</v>
      </c>
      <c r="F109" s="14">
        <f>'B) D RI'!U111</f>
        <v>93435.029714285716</v>
      </c>
      <c r="G109" s="306">
        <f t="shared" si="3"/>
        <v>28.595748384414431</v>
      </c>
      <c r="H109" s="75">
        <f t="shared" si="4"/>
        <v>921332.15999999992</v>
      </c>
    </row>
    <row r="110" spans="1:8" x14ac:dyDescent="0.25">
      <c r="A110" s="61">
        <f>'A) Base RI'!A112</f>
        <v>5571</v>
      </c>
      <c r="B110" s="124" t="str">
        <f>'A) Base RI'!B112</f>
        <v>Tévenon</v>
      </c>
      <c r="C110" s="52">
        <f>'B) D RI'!Y112</f>
        <v>95424.7</v>
      </c>
      <c r="D110" s="14">
        <f>'B) D RI'!Z112</f>
        <v>61436.35</v>
      </c>
      <c r="E110" s="14">
        <f t="shared" si="5"/>
        <v>156861.04999999999</v>
      </c>
      <c r="F110" s="14">
        <f>'B) D RI'!U112</f>
        <v>20766.182465753427</v>
      </c>
      <c r="G110" s="306">
        <f t="shared" si="3"/>
        <v>7.5536777286189967</v>
      </c>
      <c r="H110" s="75">
        <f t="shared" si="4"/>
        <v>66143.255000000005</v>
      </c>
    </row>
    <row r="111" spans="1:8" x14ac:dyDescent="0.25">
      <c r="A111" s="61">
        <f>'A) Base RI'!A113</f>
        <v>5581</v>
      </c>
      <c r="B111" s="124" t="str">
        <f>'A) Base RI'!B113</f>
        <v>Belmont-sur-Lausanne</v>
      </c>
      <c r="C111" s="52">
        <f>'B) D RI'!Y113</f>
        <v>809912.45</v>
      </c>
      <c r="D111" s="14">
        <f>'B) D RI'!Z113</f>
        <v>0</v>
      </c>
      <c r="E111" s="14">
        <f t="shared" si="5"/>
        <v>809912.45</v>
      </c>
      <c r="F111" s="14">
        <f>'B) D RI'!U113</f>
        <v>173034.35179856114</v>
      </c>
      <c r="G111" s="306">
        <f t="shared" si="3"/>
        <v>4.6806454416800651</v>
      </c>
      <c r="H111" s="75">
        <f t="shared" si="4"/>
        <v>404956.22499999998</v>
      </c>
    </row>
    <row r="112" spans="1:8" x14ac:dyDescent="0.25">
      <c r="A112" s="61">
        <f>'A) Base RI'!A114</f>
        <v>5582</v>
      </c>
      <c r="B112" s="124" t="str">
        <f>'A) Base RI'!B114</f>
        <v>Cheseaux-sur-Lausanne</v>
      </c>
      <c r="C112" s="52">
        <f>'B) D RI'!Y114</f>
        <v>760977.05</v>
      </c>
      <c r="D112" s="14">
        <f>'B) D RI'!Z114</f>
        <v>603734.35</v>
      </c>
      <c r="E112" s="14">
        <f t="shared" si="5"/>
        <v>1364711.4</v>
      </c>
      <c r="F112" s="14">
        <f>'B) D RI'!U114</f>
        <v>165346.44872483221</v>
      </c>
      <c r="G112" s="306">
        <f t="shared" si="3"/>
        <v>8.2536480857302106</v>
      </c>
      <c r="H112" s="75">
        <f t="shared" si="4"/>
        <v>561608.83000000007</v>
      </c>
    </row>
    <row r="113" spans="1:8" x14ac:dyDescent="0.25">
      <c r="A113" s="61">
        <f>'A) Base RI'!A115</f>
        <v>5583</v>
      </c>
      <c r="B113" s="124" t="str">
        <f>'A) Base RI'!B115</f>
        <v>Crissier</v>
      </c>
      <c r="C113" s="52">
        <f>'B) D RI'!Y115</f>
        <v>1371078.9500000002</v>
      </c>
      <c r="D113" s="14">
        <f>'B) D RI'!Z115</f>
        <v>1552944.55</v>
      </c>
      <c r="E113" s="14">
        <f t="shared" si="5"/>
        <v>2924023.5</v>
      </c>
      <c r="F113" s="14">
        <f>'B) D RI'!U115</f>
        <v>323925.7196923077</v>
      </c>
      <c r="G113" s="306">
        <f t="shared" si="3"/>
        <v>9.0268333825961307</v>
      </c>
      <c r="H113" s="75">
        <f t="shared" si="4"/>
        <v>1151422.8400000001</v>
      </c>
    </row>
    <row r="114" spans="1:8" x14ac:dyDescent="0.25">
      <c r="A114" s="61">
        <f>'A) Base RI'!A116</f>
        <v>5584</v>
      </c>
      <c r="B114" s="124" t="str">
        <f>'A) Base RI'!B116</f>
        <v>Epalinges</v>
      </c>
      <c r="C114" s="52">
        <f>'B) D RI'!Y116</f>
        <v>3248379.15</v>
      </c>
      <c r="D114" s="14">
        <f>'B) D RI'!Z116</f>
        <v>154161.45000000001</v>
      </c>
      <c r="E114" s="14">
        <f t="shared" si="5"/>
        <v>3402540.6</v>
      </c>
      <c r="F114" s="14">
        <f>'B) D RI'!U116</f>
        <v>455923.60696969699</v>
      </c>
      <c r="G114" s="306">
        <f t="shared" si="3"/>
        <v>7.4629621015130949</v>
      </c>
      <c r="H114" s="75">
        <f t="shared" si="4"/>
        <v>1670438.01</v>
      </c>
    </row>
    <row r="115" spans="1:8" x14ac:dyDescent="0.25">
      <c r="A115" s="61">
        <f>'A) Base RI'!A117</f>
        <v>5585</v>
      </c>
      <c r="B115" s="124" t="str">
        <f>'A) Base RI'!B117</f>
        <v>Jouxtens-Mézery</v>
      </c>
      <c r="C115" s="52">
        <f>'B) D RI'!Y117</f>
        <v>545820.35</v>
      </c>
      <c r="D115" s="14">
        <f>'B) D RI'!Z117</f>
        <v>2778.95</v>
      </c>
      <c r="E115" s="14">
        <f t="shared" si="5"/>
        <v>548599.29999999993</v>
      </c>
      <c r="F115" s="14">
        <f>'B) D RI'!U117</f>
        <v>159177.88018867921</v>
      </c>
      <c r="G115" s="306">
        <f t="shared" si="3"/>
        <v>3.4464543650771429</v>
      </c>
      <c r="H115" s="75">
        <f t="shared" si="4"/>
        <v>273743.86</v>
      </c>
    </row>
    <row r="116" spans="1:8" x14ac:dyDescent="0.25">
      <c r="A116" s="61">
        <f>'A) Base RI'!A118</f>
        <v>5586</v>
      </c>
      <c r="B116" s="124" t="str">
        <f>'A) Base RI'!B118</f>
        <v>Lausanne</v>
      </c>
      <c r="C116" s="52">
        <f>'B) D RI'!Y118</f>
        <v>28187145.850000001</v>
      </c>
      <c r="D116" s="14">
        <f>'B) D RI'!Z118</f>
        <v>10512662.449999999</v>
      </c>
      <c r="E116" s="14">
        <f t="shared" si="5"/>
        <v>38699808.299999997</v>
      </c>
      <c r="F116" s="14">
        <f>'B) D RI'!U118</f>
        <v>5897479.10464135</v>
      </c>
      <c r="G116" s="306">
        <f t="shared" ref="G116:G169" si="6">E116/F116</f>
        <v>6.562093330613588</v>
      </c>
      <c r="H116" s="75">
        <f t="shared" si="4"/>
        <v>17247371.66</v>
      </c>
    </row>
    <row r="117" spans="1:8" x14ac:dyDescent="0.25">
      <c r="A117" s="61">
        <f>'A) Base RI'!A119</f>
        <v>5587</v>
      </c>
      <c r="B117" s="124" t="str">
        <f>'A) Base RI'!B119</f>
        <v>Le Mont-sur-Lausanne</v>
      </c>
      <c r="C117" s="52">
        <f>'B) D RI'!Y119</f>
        <v>2952808.1</v>
      </c>
      <c r="D117" s="14">
        <f>'B) D RI'!Z119</f>
        <v>506518.25</v>
      </c>
      <c r="E117" s="14">
        <f t="shared" si="5"/>
        <v>3459326.35</v>
      </c>
      <c r="F117" s="14">
        <f>'B) D RI'!U119</f>
        <v>380449.00348888891</v>
      </c>
      <c r="G117" s="306">
        <f t="shared" si="6"/>
        <v>9.0927465133997405</v>
      </c>
      <c r="H117" s="75">
        <f t="shared" ref="H117:H170" si="7">(C117*$C$4)+(D117*$D$4)</f>
        <v>1628359.5250000001</v>
      </c>
    </row>
    <row r="118" spans="1:8" x14ac:dyDescent="0.25">
      <c r="A118" s="61">
        <f>'A) Base RI'!A120</f>
        <v>5588</v>
      </c>
      <c r="B118" s="124" t="str">
        <f>'A) Base RI'!B120</f>
        <v>Paudex</v>
      </c>
      <c r="C118" s="52">
        <f>'B) D RI'!Y120</f>
        <v>37524.949999999997</v>
      </c>
      <c r="D118" s="14">
        <f>'B) D RI'!Z120</f>
        <v>18905.45</v>
      </c>
      <c r="E118" s="14">
        <f t="shared" si="5"/>
        <v>56430.399999999994</v>
      </c>
      <c r="F118" s="14">
        <f>'B) D RI'!U120</f>
        <v>152789.79231126595</v>
      </c>
      <c r="G118" s="306">
        <f t="shared" si="6"/>
        <v>0.36933357357433294</v>
      </c>
      <c r="H118" s="75">
        <f t="shared" si="7"/>
        <v>24434.11</v>
      </c>
    </row>
    <row r="119" spans="1:8" x14ac:dyDescent="0.25">
      <c r="A119" s="61">
        <f>'A) Base RI'!A121</f>
        <v>5589</v>
      </c>
      <c r="B119" s="124" t="str">
        <f>'A) Base RI'!B121</f>
        <v>Prilly</v>
      </c>
      <c r="C119" s="52">
        <f>'B) D RI'!Y121</f>
        <v>2618844</v>
      </c>
      <c r="D119" s="14">
        <f>'B) D RI'!Z121</f>
        <v>1442728.6</v>
      </c>
      <c r="E119" s="14">
        <f t="shared" si="5"/>
        <v>4061572.6</v>
      </c>
      <c r="F119" s="14">
        <f>'B) D RI'!U121</f>
        <v>462414.97306122456</v>
      </c>
      <c r="G119" s="306">
        <f t="shared" si="6"/>
        <v>8.7833933514567235</v>
      </c>
      <c r="H119" s="75">
        <f t="shared" si="7"/>
        <v>1742240.58</v>
      </c>
    </row>
    <row r="120" spans="1:8" x14ac:dyDescent="0.25">
      <c r="A120" s="61">
        <f>'A) Base RI'!A122</f>
        <v>5590</v>
      </c>
      <c r="B120" s="124" t="str">
        <f>'A) Base RI'!B122</f>
        <v>Pully</v>
      </c>
      <c r="C120" s="52">
        <f>'B) D RI'!Y122</f>
        <v>11229508.15</v>
      </c>
      <c r="D120" s="14">
        <f>'B) D RI'!Z122</f>
        <v>118526</v>
      </c>
      <c r="E120" s="14">
        <f t="shared" si="5"/>
        <v>11348034.15</v>
      </c>
      <c r="F120" s="14">
        <f>'B) D RI'!U122</f>
        <v>1366683.426371882</v>
      </c>
      <c r="G120" s="306">
        <f t="shared" si="6"/>
        <v>8.3033377964679715</v>
      </c>
      <c r="H120" s="75">
        <f t="shared" si="7"/>
        <v>5650311.875</v>
      </c>
    </row>
    <row r="121" spans="1:8" x14ac:dyDescent="0.25">
      <c r="A121" s="61">
        <f>'A) Base RI'!A123</f>
        <v>5591</v>
      </c>
      <c r="B121" s="124" t="str">
        <f>'A) Base RI'!B123</f>
        <v>Renens</v>
      </c>
      <c r="C121" s="52">
        <f>'B) D RI'!Y123</f>
        <v>1034508.75</v>
      </c>
      <c r="D121" s="14">
        <f>'B) D RI'!Z123</f>
        <v>2177057.7000000002</v>
      </c>
      <c r="E121" s="14">
        <f t="shared" si="5"/>
        <v>3211566.45</v>
      </c>
      <c r="F121" s="14">
        <f>'B) D RI'!U123</f>
        <v>546895.28569608741</v>
      </c>
      <c r="G121" s="306">
        <f t="shared" si="6"/>
        <v>5.8723608229906823</v>
      </c>
      <c r="H121" s="75">
        <f t="shared" si="7"/>
        <v>1170371.6850000001</v>
      </c>
    </row>
    <row r="122" spans="1:8" x14ac:dyDescent="0.25">
      <c r="A122" s="61">
        <f>'A) Base RI'!A124</f>
        <v>5592</v>
      </c>
      <c r="B122" s="124" t="str">
        <f>'A) Base RI'!B124</f>
        <v>Romanel-sur-Lausanne</v>
      </c>
      <c r="C122" s="52">
        <f>'B) D RI'!Y124</f>
        <v>856351.5</v>
      </c>
      <c r="D122" s="14">
        <f>'B) D RI'!Z124</f>
        <v>229362.6</v>
      </c>
      <c r="E122" s="14">
        <f t="shared" si="5"/>
        <v>1085714.1000000001</v>
      </c>
      <c r="F122" s="14">
        <f>'B) D RI'!U124</f>
        <v>110273.83828571429</v>
      </c>
      <c r="G122" s="306">
        <f t="shared" si="6"/>
        <v>9.8456181164834984</v>
      </c>
      <c r="H122" s="75">
        <f t="shared" si="7"/>
        <v>496984.53</v>
      </c>
    </row>
    <row r="123" spans="1:8" x14ac:dyDescent="0.25">
      <c r="A123" s="61">
        <f>'A) Base RI'!A125</f>
        <v>5601</v>
      </c>
      <c r="B123" s="124" t="str">
        <f>'A) Base RI'!B125</f>
        <v>Chexbres</v>
      </c>
      <c r="C123" s="52">
        <f>'B) D RI'!Y125</f>
        <v>619624.1</v>
      </c>
      <c r="D123" s="14">
        <f>'B) D RI'!Z125</f>
        <v>53917.5</v>
      </c>
      <c r="E123" s="14">
        <f t="shared" si="5"/>
        <v>673541.6</v>
      </c>
      <c r="F123" s="14">
        <f>'B) D RI'!U125</f>
        <v>104474.96078125002</v>
      </c>
      <c r="G123" s="306">
        <f t="shared" si="6"/>
        <v>6.4469189072993611</v>
      </c>
      <c r="H123" s="75">
        <f t="shared" si="7"/>
        <v>325987.3</v>
      </c>
    </row>
    <row r="124" spans="1:8" x14ac:dyDescent="0.25">
      <c r="A124" s="61">
        <f>'A) Base RI'!A126</f>
        <v>5604</v>
      </c>
      <c r="B124" s="124" t="str">
        <f>'A) Base RI'!B126</f>
        <v>Forel (Lavaux)</v>
      </c>
      <c r="C124" s="52">
        <f>'B) D RI'!Y126</f>
        <v>278225.75</v>
      </c>
      <c r="D124" s="14">
        <f>'B) D RI'!Z126</f>
        <v>6750.8</v>
      </c>
      <c r="E124" s="14">
        <f t="shared" si="5"/>
        <v>284976.55</v>
      </c>
      <c r="F124" s="14">
        <f>'B) D RI'!U126</f>
        <v>65514.699852941172</v>
      </c>
      <c r="G124" s="306">
        <f t="shared" si="6"/>
        <v>4.3498108155830382</v>
      </c>
      <c r="H124" s="75">
        <f t="shared" si="7"/>
        <v>141138.11499999999</v>
      </c>
    </row>
    <row r="125" spans="1:8" x14ac:dyDescent="0.25">
      <c r="A125" s="61">
        <f>'A) Base RI'!A127</f>
        <v>5606</v>
      </c>
      <c r="B125" s="124" t="str">
        <f>'A) Base RI'!B127</f>
        <v>Lutry</v>
      </c>
      <c r="C125" s="52">
        <f>'B) D RI'!Y127</f>
        <v>7523987.25</v>
      </c>
      <c r="D125" s="14">
        <f>'B) D RI'!Z127</f>
        <v>83906.4</v>
      </c>
      <c r="E125" s="14">
        <f t="shared" si="5"/>
        <v>7607893.6500000004</v>
      </c>
      <c r="F125" s="14">
        <f>'B) D RI'!U127</f>
        <v>742470.65823979594</v>
      </c>
      <c r="G125" s="306">
        <f t="shared" si="6"/>
        <v>10.246726339376602</v>
      </c>
      <c r="H125" s="75">
        <f t="shared" si="7"/>
        <v>3787165.5449999999</v>
      </c>
    </row>
    <row r="126" spans="1:8" x14ac:dyDescent="0.25">
      <c r="A126" s="61">
        <f>'A) Base RI'!A128</f>
        <v>5607</v>
      </c>
      <c r="B126" s="124" t="str">
        <f>'A) Base RI'!B128</f>
        <v>Puidoux</v>
      </c>
      <c r="C126" s="52">
        <f>'B) D RI'!Y128</f>
        <v>431450.95</v>
      </c>
      <c r="D126" s="14">
        <f>'B) D RI'!Z128</f>
        <v>140910.85</v>
      </c>
      <c r="E126" s="14">
        <f t="shared" si="5"/>
        <v>572361.80000000005</v>
      </c>
      <c r="F126" s="14">
        <f>'B) D RI'!U128</f>
        <v>100862.46201406649</v>
      </c>
      <c r="G126" s="306">
        <f t="shared" si="6"/>
        <v>5.6746760744366647</v>
      </c>
      <c r="H126" s="75">
        <f t="shared" si="7"/>
        <v>257998.73</v>
      </c>
    </row>
    <row r="127" spans="1:8" x14ac:dyDescent="0.25">
      <c r="A127" s="61">
        <f>'A) Base RI'!A129</f>
        <v>5609</v>
      </c>
      <c r="B127" s="124" t="str">
        <f>'A) Base RI'!B129</f>
        <v>Rivaz</v>
      </c>
      <c r="C127" s="52">
        <f>'B) D RI'!Y129</f>
        <v>102678.84999999999</v>
      </c>
      <c r="D127" s="14">
        <f>'B) D RI'!Z129</f>
        <v>0</v>
      </c>
      <c r="E127" s="14">
        <f t="shared" si="5"/>
        <v>102678.84999999999</v>
      </c>
      <c r="F127" s="14">
        <f>'B) D RI'!U129</f>
        <v>16122.244409448818</v>
      </c>
      <c r="G127" s="306">
        <f t="shared" si="6"/>
        <v>6.3687689748595204</v>
      </c>
      <c r="H127" s="75">
        <f t="shared" si="7"/>
        <v>51339.424999999996</v>
      </c>
    </row>
    <row r="128" spans="1:8" x14ac:dyDescent="0.25">
      <c r="A128" s="61">
        <f>'A) Base RI'!A130</f>
        <v>5610</v>
      </c>
      <c r="B128" s="124" t="str">
        <f>'A) Base RI'!B130</f>
        <v>St-Saphorin (Lavaux)</v>
      </c>
      <c r="C128" s="52">
        <f>'B) D RI'!Y130</f>
        <v>51923.149999999994</v>
      </c>
      <c r="D128" s="14">
        <f>'B) D RI'!Z130</f>
        <v>0</v>
      </c>
      <c r="E128" s="14">
        <f t="shared" si="5"/>
        <v>51923.149999999994</v>
      </c>
      <c r="F128" s="14">
        <f>'B) D RI'!U130</f>
        <v>20974.487096774192</v>
      </c>
      <c r="G128" s="306">
        <f t="shared" si="6"/>
        <v>2.4755384844659969</v>
      </c>
      <c r="H128" s="75">
        <f t="shared" si="7"/>
        <v>25961.574999999997</v>
      </c>
    </row>
    <row r="129" spans="1:8" x14ac:dyDescent="0.25">
      <c r="A129" s="61">
        <f>'A) Base RI'!A131</f>
        <v>5611</v>
      </c>
      <c r="B129" s="124" t="str">
        <f>'A) Base RI'!B131</f>
        <v>Savigny</v>
      </c>
      <c r="C129" s="52">
        <f>'B) D RI'!Y131</f>
        <v>818641.85000000009</v>
      </c>
      <c r="D129" s="14">
        <f>'B) D RI'!Z131</f>
        <v>93366.8</v>
      </c>
      <c r="E129" s="14">
        <f t="shared" si="5"/>
        <v>912008.65000000014</v>
      </c>
      <c r="F129" s="14">
        <f>'B) D RI'!U131</f>
        <v>130312.40671641791</v>
      </c>
      <c r="G129" s="306">
        <f t="shared" si="6"/>
        <v>6.9986325399137703</v>
      </c>
      <c r="H129" s="75">
        <f t="shared" si="7"/>
        <v>437330.96500000003</v>
      </c>
    </row>
    <row r="130" spans="1:8" x14ac:dyDescent="0.25">
      <c r="A130" s="61">
        <f>'A) Base RI'!A132</f>
        <v>5613</v>
      </c>
      <c r="B130" s="124" t="str">
        <f>'A) Base RI'!B132</f>
        <v>Bourg-en-Lavaux</v>
      </c>
      <c r="C130" s="52">
        <f>'B) D RI'!Y132</f>
        <v>2622464.35</v>
      </c>
      <c r="D130" s="14">
        <f>'B) D RI'!Z132</f>
        <v>39091.699999999997</v>
      </c>
      <c r="E130" s="14">
        <f t="shared" si="5"/>
        <v>2661556.0500000003</v>
      </c>
      <c r="F130" s="14">
        <f>'B) D RI'!U132</f>
        <v>295658.88923497271</v>
      </c>
      <c r="G130" s="306">
        <f t="shared" si="6"/>
        <v>9.0021174634284318</v>
      </c>
      <c r="H130" s="75">
        <f t="shared" si="7"/>
        <v>1322959.6850000001</v>
      </c>
    </row>
    <row r="131" spans="1:8" x14ac:dyDescent="0.25">
      <c r="A131" s="61">
        <f>'A) Base RI'!A133</f>
        <v>5621</v>
      </c>
      <c r="B131" s="124" t="str">
        <f>'A) Base RI'!B133</f>
        <v>Aclens</v>
      </c>
      <c r="C131" s="52">
        <f>'B) D RI'!Y133</f>
        <v>161823.25</v>
      </c>
      <c r="D131" s="14">
        <f>'B) D RI'!Z133</f>
        <v>144149.65</v>
      </c>
      <c r="E131" s="14">
        <f t="shared" si="5"/>
        <v>305972.90000000002</v>
      </c>
      <c r="F131" s="14">
        <f>'B) D RI'!U133</f>
        <v>33759.339076246331</v>
      </c>
      <c r="G131" s="306">
        <f t="shared" si="6"/>
        <v>9.0633557519876913</v>
      </c>
      <c r="H131" s="75">
        <f t="shared" si="7"/>
        <v>124156.51999999999</v>
      </c>
    </row>
    <row r="132" spans="1:8" x14ac:dyDescent="0.25">
      <c r="A132" s="61">
        <f>'A) Base RI'!A134</f>
        <v>5622</v>
      </c>
      <c r="B132" s="124" t="str">
        <f>'A) Base RI'!B134</f>
        <v>Bremblens</v>
      </c>
      <c r="C132" s="52">
        <f>'B) D RI'!Y134</f>
        <v>58060.600000000006</v>
      </c>
      <c r="D132" s="14">
        <f>'B) D RI'!Z134</f>
        <v>28375.7</v>
      </c>
      <c r="E132" s="14">
        <f t="shared" si="5"/>
        <v>86436.3</v>
      </c>
      <c r="F132" s="14">
        <f>'B) D RI'!U134</f>
        <v>28126.288636363635</v>
      </c>
      <c r="G132" s="306">
        <f t="shared" si="6"/>
        <v>3.0731498605276029</v>
      </c>
      <c r="H132" s="75">
        <f t="shared" si="7"/>
        <v>37543.01</v>
      </c>
    </row>
    <row r="133" spans="1:8" x14ac:dyDescent="0.25">
      <c r="A133" s="61">
        <f>'A) Base RI'!A135</f>
        <v>5623</v>
      </c>
      <c r="B133" s="124" t="str">
        <f>'A) Base RI'!B135</f>
        <v>Buchillon</v>
      </c>
      <c r="C133" s="52">
        <f>'B) D RI'!Y135</f>
        <v>613434.25</v>
      </c>
      <c r="D133" s="14">
        <f>'B) D RI'!Z135</f>
        <v>398.45</v>
      </c>
      <c r="E133" s="14">
        <f t="shared" ref="E133:E196" si="8">C133+D133</f>
        <v>613832.69999999995</v>
      </c>
      <c r="F133" s="14">
        <f>'B) D RI'!U135</f>
        <v>86045.549622641513</v>
      </c>
      <c r="G133" s="306">
        <f t="shared" si="6"/>
        <v>7.1338111348234063</v>
      </c>
      <c r="H133" s="75">
        <f t="shared" si="7"/>
        <v>306836.65999999997</v>
      </c>
    </row>
    <row r="134" spans="1:8" x14ac:dyDescent="0.25">
      <c r="A134" s="61">
        <f>'A) Base RI'!A136</f>
        <v>5624</v>
      </c>
      <c r="B134" s="124" t="str">
        <f>'A) Base RI'!B136</f>
        <v>Bussigny</v>
      </c>
      <c r="C134" s="52">
        <f>'B) D RI'!Y136</f>
        <v>4508643.8999999994</v>
      </c>
      <c r="D134" s="14">
        <f>'B) D RI'!Z136</f>
        <v>1218010.7</v>
      </c>
      <c r="E134" s="14">
        <f t="shared" si="8"/>
        <v>5726654.5999999996</v>
      </c>
      <c r="F134" s="14">
        <f>'B) D RI'!U136</f>
        <v>312174.83774193545</v>
      </c>
      <c r="G134" s="306">
        <f t="shared" si="6"/>
        <v>18.344382402575427</v>
      </c>
      <c r="H134" s="75">
        <f t="shared" si="7"/>
        <v>2619725.1599999997</v>
      </c>
    </row>
    <row r="135" spans="1:8" x14ac:dyDescent="0.25">
      <c r="A135" s="61">
        <f>'A) Base RI'!A137</f>
        <v>5625</v>
      </c>
      <c r="B135" s="124" t="str">
        <f>'A) Base RI'!B137</f>
        <v>Bussy-Chardonney</v>
      </c>
      <c r="C135" s="52">
        <f>'B) D RI'!Y137</f>
        <v>103215.7</v>
      </c>
      <c r="D135" s="14">
        <f>'B) D RI'!Z137</f>
        <v>0</v>
      </c>
      <c r="E135" s="14">
        <f t="shared" si="8"/>
        <v>103215.7</v>
      </c>
      <c r="F135" s="14">
        <f>'B) D RI'!U137</f>
        <v>16172.617200854704</v>
      </c>
      <c r="G135" s="306">
        <f t="shared" si="6"/>
        <v>6.3821271917908975</v>
      </c>
      <c r="H135" s="75">
        <f t="shared" si="7"/>
        <v>51607.85</v>
      </c>
    </row>
    <row r="136" spans="1:8" x14ac:dyDescent="0.25">
      <c r="A136" s="61">
        <f>'A) Base RI'!A138</f>
        <v>5627</v>
      </c>
      <c r="B136" s="124" t="str">
        <f>'A) Base RI'!B138</f>
        <v>Chavannes-près-Renens</v>
      </c>
      <c r="C136" s="52">
        <f>'B) D RI'!Y138</f>
        <v>385686.9</v>
      </c>
      <c r="D136" s="14">
        <f>'B) D RI'!Z138</f>
        <v>422979.5</v>
      </c>
      <c r="E136" s="14">
        <f t="shared" si="8"/>
        <v>808666.4</v>
      </c>
      <c r="F136" s="14">
        <f>'B) D RI'!U138</f>
        <v>162511.92244725736</v>
      </c>
      <c r="G136" s="306">
        <f t="shared" si="6"/>
        <v>4.9760435285137294</v>
      </c>
      <c r="H136" s="75">
        <f t="shared" si="7"/>
        <v>319737.3</v>
      </c>
    </row>
    <row r="137" spans="1:8" x14ac:dyDescent="0.25">
      <c r="A137" s="61">
        <f>'A) Base RI'!A139</f>
        <v>5628</v>
      </c>
      <c r="B137" s="124" t="str">
        <f>'A) Base RI'!B139</f>
        <v>Chigny</v>
      </c>
      <c r="C137" s="52">
        <f>'B) D RI'!Y139</f>
        <v>0</v>
      </c>
      <c r="D137" s="14">
        <f>'B) D RI'!Z139</f>
        <v>4636.45</v>
      </c>
      <c r="E137" s="14">
        <f t="shared" si="8"/>
        <v>4636.45</v>
      </c>
      <c r="F137" s="14">
        <f>'B) D RI'!U139</f>
        <v>19064.278346774194</v>
      </c>
      <c r="G137" s="306">
        <f t="shared" si="6"/>
        <v>0.24320091826526016</v>
      </c>
      <c r="H137" s="75">
        <f t="shared" si="7"/>
        <v>1390.9349999999999</v>
      </c>
    </row>
    <row r="138" spans="1:8" x14ac:dyDescent="0.25">
      <c r="A138" s="61">
        <f>'A) Base RI'!A140</f>
        <v>5629</v>
      </c>
      <c r="B138" s="124" t="str">
        <f>'A) Base RI'!B140</f>
        <v>Clarmont</v>
      </c>
      <c r="C138" s="52">
        <f>'B) D RI'!Y140</f>
        <v>21236</v>
      </c>
      <c r="D138" s="14">
        <f>'B) D RI'!Z140</f>
        <v>0</v>
      </c>
      <c r="E138" s="14">
        <f t="shared" si="8"/>
        <v>21236</v>
      </c>
      <c r="F138" s="14">
        <f>'B) D RI'!U140</f>
        <v>7581.8990666666659</v>
      </c>
      <c r="G138" s="306">
        <f t="shared" si="6"/>
        <v>2.8008813904372212</v>
      </c>
      <c r="H138" s="75">
        <f t="shared" si="7"/>
        <v>10618</v>
      </c>
    </row>
    <row r="139" spans="1:8" x14ac:dyDescent="0.25">
      <c r="A139" s="61">
        <f>'A) Base RI'!A141</f>
        <v>5631</v>
      </c>
      <c r="B139" s="124" t="str">
        <f>'A) Base RI'!B141</f>
        <v>Denens</v>
      </c>
      <c r="C139" s="52">
        <f>'B) D RI'!Y141</f>
        <v>548150.44999999995</v>
      </c>
      <c r="D139" s="14">
        <f>'B) D RI'!Z141</f>
        <v>0</v>
      </c>
      <c r="E139" s="14">
        <f t="shared" si="8"/>
        <v>548150.44999999995</v>
      </c>
      <c r="F139" s="14">
        <f>'B) D RI'!U141</f>
        <v>34218.35955882354</v>
      </c>
      <c r="G139" s="306">
        <f t="shared" si="6"/>
        <v>16.019191365900941</v>
      </c>
      <c r="H139" s="75">
        <f t="shared" si="7"/>
        <v>274075.22499999998</v>
      </c>
    </row>
    <row r="140" spans="1:8" x14ac:dyDescent="0.25">
      <c r="A140" s="61">
        <f>'A) Base RI'!A142</f>
        <v>5632</v>
      </c>
      <c r="B140" s="124" t="str">
        <f>'A) Base RI'!B142</f>
        <v>Denges</v>
      </c>
      <c r="C140" s="52">
        <f>'B) D RI'!Y142</f>
        <v>251539.20000000001</v>
      </c>
      <c r="D140" s="14">
        <f>'B) D RI'!Z142</f>
        <v>63740.2</v>
      </c>
      <c r="E140" s="14">
        <f t="shared" si="8"/>
        <v>315279.40000000002</v>
      </c>
      <c r="F140" s="14">
        <f>'B) D RI'!U142</f>
        <v>70599.599193548376</v>
      </c>
      <c r="G140" s="306">
        <f t="shared" si="6"/>
        <v>4.4657392336699173</v>
      </c>
      <c r="H140" s="75">
        <f t="shared" si="7"/>
        <v>144891.66</v>
      </c>
    </row>
    <row r="141" spans="1:8" x14ac:dyDescent="0.25">
      <c r="A141" s="61">
        <f>'A) Base RI'!A143</f>
        <v>5633</v>
      </c>
      <c r="B141" s="124" t="str">
        <f>'A) Base RI'!B143</f>
        <v>Echandens</v>
      </c>
      <c r="C141" s="52">
        <f>'B) D RI'!Y143</f>
        <v>583151.19999999995</v>
      </c>
      <c r="D141" s="14">
        <f>'B) D RI'!Z143</f>
        <v>151361.35</v>
      </c>
      <c r="E141" s="14">
        <f t="shared" si="8"/>
        <v>734512.54999999993</v>
      </c>
      <c r="F141" s="14">
        <f>'B) D RI'!U143</f>
        <v>123013.45645161292</v>
      </c>
      <c r="G141" s="306">
        <f t="shared" si="6"/>
        <v>5.9709935090631232</v>
      </c>
      <c r="H141" s="75">
        <f t="shared" si="7"/>
        <v>336984.005</v>
      </c>
    </row>
    <row r="142" spans="1:8" x14ac:dyDescent="0.25">
      <c r="A142" s="61">
        <f>'A) Base RI'!A144</f>
        <v>5634</v>
      </c>
      <c r="B142" s="124" t="str">
        <f>'A) Base RI'!B144</f>
        <v>Echichens</v>
      </c>
      <c r="C142" s="52">
        <f>'B) D RI'!Y144</f>
        <v>497110.5</v>
      </c>
      <c r="D142" s="14">
        <f>'B) D RI'!Z144</f>
        <v>12832.1</v>
      </c>
      <c r="E142" s="14">
        <f t="shared" si="8"/>
        <v>509942.6</v>
      </c>
      <c r="F142" s="14">
        <f>'B) D RI'!U144</f>
        <v>121660.2017647059</v>
      </c>
      <c r="G142" s="306">
        <f t="shared" si="6"/>
        <v>4.1915317630842228</v>
      </c>
      <c r="H142" s="75">
        <f t="shared" si="7"/>
        <v>252404.88</v>
      </c>
    </row>
    <row r="143" spans="1:8" x14ac:dyDescent="0.25">
      <c r="A143" s="61">
        <f>'A) Base RI'!A145</f>
        <v>5635</v>
      </c>
      <c r="B143" s="124" t="str">
        <f>'A) Base RI'!B145</f>
        <v>Ecublens</v>
      </c>
      <c r="C143" s="52">
        <f>'B) D RI'!Y145</f>
        <v>936681.14999999991</v>
      </c>
      <c r="D143" s="14">
        <f>'B) D RI'!Z145</f>
        <v>1941766.45</v>
      </c>
      <c r="E143" s="14">
        <f t="shared" si="8"/>
        <v>2878447.5999999996</v>
      </c>
      <c r="F143" s="14">
        <f>'B) D RI'!U145</f>
        <v>470087.75038200343</v>
      </c>
      <c r="G143" s="306">
        <f t="shared" si="6"/>
        <v>6.1232133738028933</v>
      </c>
      <c r="H143" s="75">
        <f t="shared" si="7"/>
        <v>1050870.5099999998</v>
      </c>
    </row>
    <row r="144" spans="1:8" x14ac:dyDescent="0.25">
      <c r="A144" s="61">
        <f>'A) Base RI'!A146</f>
        <v>5636</v>
      </c>
      <c r="B144" s="124" t="str">
        <f>'A) Base RI'!B146</f>
        <v>Etoy</v>
      </c>
      <c r="C144" s="52">
        <f>'B) D RI'!Y146</f>
        <v>567404.85</v>
      </c>
      <c r="D144" s="14">
        <f>'B) D RI'!Z146</f>
        <v>581441.30000000005</v>
      </c>
      <c r="E144" s="14">
        <f t="shared" si="8"/>
        <v>1148846.1499999999</v>
      </c>
      <c r="F144" s="14">
        <f>'B) D RI'!U146</f>
        <v>158779.04229508198</v>
      </c>
      <c r="G144" s="306">
        <f t="shared" si="6"/>
        <v>7.2355024529303655</v>
      </c>
      <c r="H144" s="75">
        <f t="shared" si="7"/>
        <v>458134.815</v>
      </c>
    </row>
    <row r="145" spans="1:8" x14ac:dyDescent="0.25">
      <c r="A145" s="61">
        <f>'A) Base RI'!A147</f>
        <v>5637</v>
      </c>
      <c r="B145" s="124" t="str">
        <f>'A) Base RI'!B147</f>
        <v>Lavigny</v>
      </c>
      <c r="C145" s="52">
        <f>'B) D RI'!Y147</f>
        <v>242389</v>
      </c>
      <c r="D145" s="14">
        <f>'B) D RI'!Z147</f>
        <v>254087.65</v>
      </c>
      <c r="E145" s="14">
        <f t="shared" si="8"/>
        <v>496476.65</v>
      </c>
      <c r="F145" s="14">
        <f>'B) D RI'!U147</f>
        <v>31075.388277404931</v>
      </c>
      <c r="G145" s="306">
        <f t="shared" si="6"/>
        <v>15.976522821469963</v>
      </c>
      <c r="H145" s="75">
        <f t="shared" si="7"/>
        <v>197420.79499999998</v>
      </c>
    </row>
    <row r="146" spans="1:8" x14ac:dyDescent="0.25">
      <c r="A146" s="61">
        <f>'A) Base RI'!A148</f>
        <v>5638</v>
      </c>
      <c r="B146" s="124" t="str">
        <f>'A) Base RI'!B148</f>
        <v>Lonay</v>
      </c>
      <c r="C146" s="52">
        <f>'B) D RI'!Y148</f>
        <v>1784079.2</v>
      </c>
      <c r="D146" s="14">
        <f>'B) D RI'!Z148</f>
        <v>129820.9</v>
      </c>
      <c r="E146" s="14">
        <f t="shared" si="8"/>
        <v>1913900.0999999999</v>
      </c>
      <c r="F146" s="14">
        <f>'B) D RI'!U148</f>
        <v>152475.57054545457</v>
      </c>
      <c r="G146" s="306">
        <f t="shared" si="6"/>
        <v>12.552175362606341</v>
      </c>
      <c r="H146" s="75">
        <f t="shared" si="7"/>
        <v>930985.87</v>
      </c>
    </row>
    <row r="147" spans="1:8" x14ac:dyDescent="0.25">
      <c r="A147" s="61">
        <f>'A) Base RI'!A149</f>
        <v>5639</v>
      </c>
      <c r="B147" s="124" t="str">
        <f>'A) Base RI'!B149</f>
        <v>Lully</v>
      </c>
      <c r="C147" s="52">
        <f>'B) D RI'!Y149</f>
        <v>274858.75</v>
      </c>
      <c r="D147" s="14">
        <f>'B) D RI'!Z149</f>
        <v>0</v>
      </c>
      <c r="E147" s="14">
        <f t="shared" si="8"/>
        <v>274858.75</v>
      </c>
      <c r="F147" s="14">
        <f>'B) D RI'!U149</f>
        <v>42318.428360655736</v>
      </c>
      <c r="G147" s="306">
        <f t="shared" si="6"/>
        <v>6.4950131809606972</v>
      </c>
      <c r="H147" s="75">
        <f t="shared" si="7"/>
        <v>137429.375</v>
      </c>
    </row>
    <row r="148" spans="1:8" x14ac:dyDescent="0.25">
      <c r="A148" s="61">
        <f>'A) Base RI'!A150</f>
        <v>5640</v>
      </c>
      <c r="B148" s="124" t="str">
        <f>'A) Base RI'!B150</f>
        <v>Lussy-sur-Morges</v>
      </c>
      <c r="C148" s="52">
        <f>'B) D RI'!Y150</f>
        <v>267844.09999999998</v>
      </c>
      <c r="D148" s="14">
        <f>'B) D RI'!Z150</f>
        <v>18171.5</v>
      </c>
      <c r="E148" s="14">
        <f t="shared" si="8"/>
        <v>286015.59999999998</v>
      </c>
      <c r="F148" s="14">
        <f>'B) D RI'!U150</f>
        <v>45310.844393939391</v>
      </c>
      <c r="G148" s="306">
        <f t="shared" si="6"/>
        <v>6.3122990495020739</v>
      </c>
      <c r="H148" s="75">
        <f t="shared" si="7"/>
        <v>139373.5</v>
      </c>
    </row>
    <row r="149" spans="1:8" x14ac:dyDescent="0.25">
      <c r="A149" s="61">
        <f>'A) Base RI'!A151</f>
        <v>5642</v>
      </c>
      <c r="B149" s="124" t="str">
        <f>'A) Base RI'!B151</f>
        <v>Morges</v>
      </c>
      <c r="C149" s="52">
        <f>'B) D RI'!Y151</f>
        <v>6209505.75</v>
      </c>
      <c r="D149" s="14">
        <f>'B) D RI'!Z151</f>
        <v>1193384.05</v>
      </c>
      <c r="E149" s="14">
        <f t="shared" si="8"/>
        <v>7402889.7999999998</v>
      </c>
      <c r="F149" s="14">
        <f>'B) D RI'!U151</f>
        <v>715380.13065693423</v>
      </c>
      <c r="G149" s="306">
        <f t="shared" si="6"/>
        <v>10.348190399420123</v>
      </c>
      <c r="H149" s="75">
        <f t="shared" si="7"/>
        <v>3462768.09</v>
      </c>
    </row>
    <row r="150" spans="1:8" x14ac:dyDescent="0.25">
      <c r="A150" s="61">
        <f>'A) Base RI'!A152</f>
        <v>5643</v>
      </c>
      <c r="B150" s="124" t="str">
        <f>'A) Base RI'!B152</f>
        <v>Préverenges</v>
      </c>
      <c r="C150" s="52">
        <f>'B) D RI'!Y152</f>
        <v>822280.2</v>
      </c>
      <c r="D150" s="14">
        <f>'B) D RI'!Z152</f>
        <v>160776.25</v>
      </c>
      <c r="E150" s="14">
        <f t="shared" si="8"/>
        <v>983056.45</v>
      </c>
      <c r="F150" s="14">
        <f>'B) D RI'!U152</f>
        <v>249793.53640625</v>
      </c>
      <c r="G150" s="306">
        <f t="shared" si="6"/>
        <v>3.9354759300145097</v>
      </c>
      <c r="H150" s="75">
        <f t="shared" si="7"/>
        <v>459372.97499999998</v>
      </c>
    </row>
    <row r="151" spans="1:8" x14ac:dyDescent="0.25">
      <c r="A151" s="61">
        <f>'A) Base RI'!A153</f>
        <v>5644</v>
      </c>
      <c r="B151" s="124" t="str">
        <f>'A) Base RI'!B153</f>
        <v>Reverolle</v>
      </c>
      <c r="C151" s="52">
        <f>'B) D RI'!Y153</f>
        <v>97652.6</v>
      </c>
      <c r="D151" s="14">
        <f>'B) D RI'!Z153</f>
        <v>7214.6</v>
      </c>
      <c r="E151" s="14">
        <f t="shared" si="8"/>
        <v>104867.20000000001</v>
      </c>
      <c r="F151" s="14">
        <f>'B) D RI'!U153</f>
        <v>15594.857631578949</v>
      </c>
      <c r="G151" s="306">
        <f t="shared" si="6"/>
        <v>6.724473058840128</v>
      </c>
      <c r="H151" s="75">
        <f t="shared" si="7"/>
        <v>50990.68</v>
      </c>
    </row>
    <row r="152" spans="1:8" x14ac:dyDescent="0.25">
      <c r="A152" s="61">
        <f>'A) Base RI'!A154</f>
        <v>5645</v>
      </c>
      <c r="B152" s="124" t="str">
        <f>'A) Base RI'!B154</f>
        <v>Romanel-sur-Morges</v>
      </c>
      <c r="C152" s="52">
        <f>'B) D RI'!Y154</f>
        <v>42298.25</v>
      </c>
      <c r="D152" s="14">
        <f>'B) D RI'!Z154</f>
        <v>51663.6</v>
      </c>
      <c r="E152" s="14">
        <f t="shared" si="8"/>
        <v>93961.85</v>
      </c>
      <c r="F152" s="14">
        <f>'B) D RI'!U154</f>
        <v>25378.60526785714</v>
      </c>
      <c r="G152" s="306">
        <f t="shared" si="6"/>
        <v>3.7024040134705851</v>
      </c>
      <c r="H152" s="75">
        <f t="shared" si="7"/>
        <v>36648.205000000002</v>
      </c>
    </row>
    <row r="153" spans="1:8" x14ac:dyDescent="0.25">
      <c r="A153" s="61">
        <f>'A) Base RI'!A155</f>
        <v>5646</v>
      </c>
      <c r="B153" s="124" t="str">
        <f>'A) Base RI'!B155</f>
        <v>Saint-Prex</v>
      </c>
      <c r="C153" s="52">
        <f>'B) D RI'!Y155</f>
        <v>2938287.1999999997</v>
      </c>
      <c r="D153" s="14">
        <f>'B) D RI'!Z155</f>
        <v>493653.25</v>
      </c>
      <c r="E153" s="14">
        <f t="shared" si="8"/>
        <v>3431940.4499999997</v>
      </c>
      <c r="F153" s="14">
        <f>'B) D RI'!U155</f>
        <v>307317.64145454549</v>
      </c>
      <c r="G153" s="306">
        <f t="shared" si="6"/>
        <v>11.16740462329628</v>
      </c>
      <c r="H153" s="75">
        <f t="shared" si="7"/>
        <v>1617239.575</v>
      </c>
    </row>
    <row r="154" spans="1:8" x14ac:dyDescent="0.25">
      <c r="A154" s="61">
        <f>'A) Base RI'!A156</f>
        <v>5648</v>
      </c>
      <c r="B154" s="124" t="str">
        <f>'A) Base RI'!B156</f>
        <v>Saint-Sulpice</v>
      </c>
      <c r="C154" s="52">
        <f>'B) D RI'!Y156</f>
        <v>2581252.23</v>
      </c>
      <c r="D154" s="14">
        <f>'B) D RI'!Z156</f>
        <v>71491.8</v>
      </c>
      <c r="E154" s="14">
        <f t="shared" si="8"/>
        <v>2652744.0299999998</v>
      </c>
      <c r="F154" s="14">
        <f>'B) D RI'!U156</f>
        <v>307335.61263636366</v>
      </c>
      <c r="G154" s="306">
        <f t="shared" si="6"/>
        <v>8.6314241530437261</v>
      </c>
      <c r="H154" s="75">
        <f t="shared" si="7"/>
        <v>1312073.655</v>
      </c>
    </row>
    <row r="155" spans="1:8" x14ac:dyDescent="0.25">
      <c r="A155" s="61">
        <f>'A) Base RI'!A157</f>
        <v>5649</v>
      </c>
      <c r="B155" s="124" t="str">
        <f>'A) Base RI'!B157</f>
        <v>Tolochenaz</v>
      </c>
      <c r="C155" s="52">
        <f>'B) D RI'!Y157</f>
        <v>388528.75</v>
      </c>
      <c r="D155" s="14">
        <f>'B) D RI'!Z157</f>
        <v>438479.5</v>
      </c>
      <c r="E155" s="14">
        <f t="shared" si="8"/>
        <v>827008.25</v>
      </c>
      <c r="F155" s="14">
        <f>'B) D RI'!U157</f>
        <v>109360.12415384616</v>
      </c>
      <c r="G155" s="306">
        <f t="shared" si="6"/>
        <v>7.5622468097839519</v>
      </c>
      <c r="H155" s="75">
        <f t="shared" si="7"/>
        <v>325808.22499999998</v>
      </c>
    </row>
    <row r="156" spans="1:8" x14ac:dyDescent="0.25">
      <c r="A156" s="61">
        <f>'A) Base RI'!A158</f>
        <v>5650</v>
      </c>
      <c r="B156" s="124" t="str">
        <f>'A) Base RI'!B158</f>
        <v>Vaux-sur-Morges</v>
      </c>
      <c r="C156" s="52">
        <f>'B) D RI'!Y158</f>
        <v>71154.3</v>
      </c>
      <c r="D156" s="14">
        <f>'B) D RI'!Z158</f>
        <v>0</v>
      </c>
      <c r="E156" s="14">
        <f t="shared" si="8"/>
        <v>71154.3</v>
      </c>
      <c r="F156" s="14">
        <f>'B) D RI'!U158</f>
        <v>185061.46846153846</v>
      </c>
      <c r="G156" s="306">
        <f t="shared" si="6"/>
        <v>0.38449008641033283</v>
      </c>
      <c r="H156" s="75">
        <f t="shared" si="7"/>
        <v>35577.15</v>
      </c>
    </row>
    <row r="157" spans="1:8" x14ac:dyDescent="0.25">
      <c r="A157" s="61">
        <f>'A) Base RI'!A159</f>
        <v>5651</v>
      </c>
      <c r="B157" s="124" t="str">
        <f>'A) Base RI'!B159</f>
        <v>Villars-Sainte-Croix</v>
      </c>
      <c r="C157" s="52">
        <f>'B) D RI'!Y159</f>
        <v>449627.65</v>
      </c>
      <c r="D157" s="14">
        <f>'B) D RI'!Z159</f>
        <v>128413.05</v>
      </c>
      <c r="E157" s="14">
        <f t="shared" si="8"/>
        <v>578040.70000000007</v>
      </c>
      <c r="F157" s="14">
        <f>'B) D RI'!U159</f>
        <v>37823.297796610175</v>
      </c>
      <c r="G157" s="306">
        <f t="shared" si="6"/>
        <v>15.282662635826684</v>
      </c>
      <c r="H157" s="75">
        <f t="shared" si="7"/>
        <v>263337.74</v>
      </c>
    </row>
    <row r="158" spans="1:8" x14ac:dyDescent="0.25">
      <c r="A158" s="61">
        <f>'A) Base RI'!A160</f>
        <v>5652</v>
      </c>
      <c r="B158" s="124" t="str">
        <f>'A) Base RI'!B160</f>
        <v>Villars-sous-Yens</v>
      </c>
      <c r="C158" s="52">
        <f>'B) D RI'!Y160</f>
        <v>55316.85</v>
      </c>
      <c r="D158" s="14">
        <f>'B) D RI'!Z160</f>
        <v>2164.85</v>
      </c>
      <c r="E158" s="14">
        <f t="shared" si="8"/>
        <v>57481.7</v>
      </c>
      <c r="F158" s="14">
        <f>'B) D RI'!U160</f>
        <v>23640.281403508772</v>
      </c>
      <c r="G158" s="306">
        <f t="shared" si="6"/>
        <v>2.4315150492019257</v>
      </c>
      <c r="H158" s="75">
        <f t="shared" si="7"/>
        <v>28307.879999999997</v>
      </c>
    </row>
    <row r="159" spans="1:8" x14ac:dyDescent="0.25">
      <c r="A159" s="61">
        <f>'A) Base RI'!A161</f>
        <v>5653</v>
      </c>
      <c r="B159" s="124" t="str">
        <f>'A) Base RI'!B161</f>
        <v>Vufflens-le-Château</v>
      </c>
      <c r="C159" s="52">
        <f>'B) D RI'!Y161</f>
        <v>165635.29999999999</v>
      </c>
      <c r="D159" s="14">
        <f>'B) D RI'!Z161</f>
        <v>1822.2</v>
      </c>
      <c r="E159" s="14">
        <f t="shared" si="8"/>
        <v>167457.5</v>
      </c>
      <c r="F159" s="14">
        <f>'B) D RI'!U161</f>
        <v>59809.956818181818</v>
      </c>
      <c r="G159" s="306">
        <f t="shared" si="6"/>
        <v>2.7998264655007086</v>
      </c>
      <c r="H159" s="75">
        <f t="shared" si="7"/>
        <v>83364.31</v>
      </c>
    </row>
    <row r="160" spans="1:8" x14ac:dyDescent="0.25">
      <c r="A160" s="61">
        <f>'A) Base RI'!A162</f>
        <v>5654</v>
      </c>
      <c r="B160" s="124" t="str">
        <f>'A) Base RI'!B162</f>
        <v>Vullierens</v>
      </c>
      <c r="C160" s="52">
        <f>'B) D RI'!Y162</f>
        <v>135068.20000000001</v>
      </c>
      <c r="D160" s="14">
        <f>'B) D RI'!Z162</f>
        <v>0</v>
      </c>
      <c r="E160" s="14">
        <f t="shared" si="8"/>
        <v>135068.20000000001</v>
      </c>
      <c r="F160" s="14">
        <f>'B) D RI'!U162</f>
        <v>16948.890394736845</v>
      </c>
      <c r="G160" s="306">
        <f t="shared" si="6"/>
        <v>7.9691470564906632</v>
      </c>
      <c r="H160" s="75">
        <f t="shared" si="7"/>
        <v>67534.100000000006</v>
      </c>
    </row>
    <row r="161" spans="1:8" x14ac:dyDescent="0.25">
      <c r="A161" s="61">
        <f>'A) Base RI'!A163</f>
        <v>5655</v>
      </c>
      <c r="B161" s="124" t="str">
        <f>'A) Base RI'!B163</f>
        <v>Yens</v>
      </c>
      <c r="C161" s="52">
        <f>'B) D RI'!Y163</f>
        <v>801378.35000000009</v>
      </c>
      <c r="D161" s="14">
        <f>'B) D RI'!Z163</f>
        <v>51970.45</v>
      </c>
      <c r="E161" s="14">
        <f t="shared" si="8"/>
        <v>853348.8</v>
      </c>
      <c r="F161" s="14">
        <f>'B) D RI'!U163</f>
        <v>68107.282191780832</v>
      </c>
      <c r="G161" s="306">
        <f t="shared" si="6"/>
        <v>12.529479558398558</v>
      </c>
      <c r="H161" s="75">
        <f t="shared" si="7"/>
        <v>416280.31000000006</v>
      </c>
    </row>
    <row r="162" spans="1:8" x14ac:dyDescent="0.25">
      <c r="A162" s="61">
        <f>'A) Base RI'!A164</f>
        <v>5661</v>
      </c>
      <c r="B162" s="124" t="str">
        <f>'A) Base RI'!B164</f>
        <v>Boulens</v>
      </c>
      <c r="C162" s="52">
        <f>'B) D RI'!Y164</f>
        <v>29541</v>
      </c>
      <c r="D162" s="14">
        <f>'B) D RI'!Z164</f>
        <v>13789.55</v>
      </c>
      <c r="E162" s="14">
        <f t="shared" si="8"/>
        <v>43330.55</v>
      </c>
      <c r="F162" s="14">
        <f>'B) D RI'!U164</f>
        <v>7277.4751898734185</v>
      </c>
      <c r="G162" s="306">
        <f t="shared" si="6"/>
        <v>5.9540635824213197</v>
      </c>
      <c r="H162" s="75">
        <f t="shared" si="7"/>
        <v>18907.364999999998</v>
      </c>
    </row>
    <row r="163" spans="1:8" x14ac:dyDescent="0.25">
      <c r="A163" s="61">
        <f>'A) Base RI'!A165</f>
        <v>5662</v>
      </c>
      <c r="B163" s="124" t="str">
        <f>'A) Base RI'!B165</f>
        <v>Brenles</v>
      </c>
      <c r="C163" s="52">
        <f>'B) D RI'!Y165</f>
        <v>17176.099999999999</v>
      </c>
      <c r="D163" s="14">
        <f>'B) D RI'!Z165</f>
        <v>0</v>
      </c>
      <c r="E163" s="14">
        <f t="shared" si="8"/>
        <v>17176.099999999999</v>
      </c>
      <c r="F163" s="14">
        <f>'B) D RI'!U165</f>
        <v>4680.0413390313388</v>
      </c>
      <c r="G163" s="306">
        <f t="shared" si="6"/>
        <v>3.6700744193757608</v>
      </c>
      <c r="H163" s="75">
        <f t="shared" si="7"/>
        <v>8588.0499999999993</v>
      </c>
    </row>
    <row r="164" spans="1:8" x14ac:dyDescent="0.25">
      <c r="A164" s="61">
        <f>'A) Base RI'!A166</f>
        <v>5663</v>
      </c>
      <c r="B164" s="124" t="str">
        <f>'A) Base RI'!B166</f>
        <v>Bussy-sur-Moudon</v>
      </c>
      <c r="C164" s="52">
        <f>'B) D RI'!Y166</f>
        <v>61527.3</v>
      </c>
      <c r="D164" s="14">
        <f>'B) D RI'!Z166</f>
        <v>0</v>
      </c>
      <c r="E164" s="14">
        <f t="shared" si="8"/>
        <v>61527.3</v>
      </c>
      <c r="F164" s="14">
        <f>'B) D RI'!U166</f>
        <v>4999.1039999999994</v>
      </c>
      <c r="G164" s="306">
        <f t="shared" si="6"/>
        <v>12.307665533663634</v>
      </c>
      <c r="H164" s="75">
        <f t="shared" si="7"/>
        <v>30763.65</v>
      </c>
    </row>
    <row r="165" spans="1:8" x14ac:dyDescent="0.25">
      <c r="A165" s="61">
        <f>'A) Base RI'!A167</f>
        <v>5665</v>
      </c>
      <c r="B165" s="124" t="str">
        <f>'A) Base RI'!B167</f>
        <v>Chavannes-sur-Moudon</v>
      </c>
      <c r="C165" s="52">
        <f>'B) D RI'!Y167</f>
        <v>0</v>
      </c>
      <c r="D165" s="14">
        <f>'B) D RI'!Z167</f>
        <v>0</v>
      </c>
      <c r="E165" s="14">
        <f t="shared" si="8"/>
        <v>0</v>
      </c>
      <c r="F165" s="14">
        <f>'B) D RI'!U167</f>
        <v>4834.5158333333329</v>
      </c>
      <c r="G165" s="306">
        <f t="shared" si="6"/>
        <v>0</v>
      </c>
      <c r="H165" s="75">
        <f t="shared" si="7"/>
        <v>0</v>
      </c>
    </row>
    <row r="166" spans="1:8" x14ac:dyDescent="0.25">
      <c r="A166" s="61">
        <f>'A) Base RI'!A168</f>
        <v>5666</v>
      </c>
      <c r="B166" s="124" t="str">
        <f>'A) Base RI'!B168</f>
        <v>Chesalles-sur-Moudon</v>
      </c>
      <c r="C166" s="52">
        <f>'B) D RI'!Y168</f>
        <v>4778.1499999999996</v>
      </c>
      <c r="D166" s="14">
        <f>'B) D RI'!Z168</f>
        <v>0</v>
      </c>
      <c r="E166" s="14">
        <f t="shared" si="8"/>
        <v>4778.1499999999996</v>
      </c>
      <c r="F166" s="14">
        <f>'B) D RI'!U168</f>
        <v>3561.2682666666665</v>
      </c>
      <c r="G166" s="306">
        <f t="shared" si="6"/>
        <v>1.3416989797492369</v>
      </c>
      <c r="H166" s="75">
        <f t="shared" si="7"/>
        <v>2389.0749999999998</v>
      </c>
    </row>
    <row r="167" spans="1:8" x14ac:dyDescent="0.25">
      <c r="A167" s="61">
        <f>'A) Base RI'!A169</f>
        <v>5668</v>
      </c>
      <c r="B167" s="124" t="str">
        <f>'A) Base RI'!B169</f>
        <v>Cremin</v>
      </c>
      <c r="C167" s="52">
        <f>'B) D RI'!Y169</f>
        <v>0</v>
      </c>
      <c r="D167" s="14">
        <f>'B) D RI'!Z169</f>
        <v>0</v>
      </c>
      <c r="E167" s="14">
        <f t="shared" si="8"/>
        <v>0</v>
      </c>
      <c r="F167" s="14">
        <f>'B) D RI'!U169</f>
        <v>902.96818181818162</v>
      </c>
      <c r="G167" s="306">
        <f t="shared" si="6"/>
        <v>0</v>
      </c>
      <c r="H167" s="75">
        <f t="shared" si="7"/>
        <v>0</v>
      </c>
    </row>
    <row r="168" spans="1:8" x14ac:dyDescent="0.25">
      <c r="A168" s="61">
        <f>'A) Base RI'!A170</f>
        <v>5669</v>
      </c>
      <c r="B168" s="124" t="str">
        <f>'A) Base RI'!B170</f>
        <v>Curtilles</v>
      </c>
      <c r="C168" s="52">
        <f>'B) D RI'!Y170</f>
        <v>86095.05</v>
      </c>
      <c r="D168" s="14">
        <f>'B) D RI'!Z170</f>
        <v>0</v>
      </c>
      <c r="E168" s="14">
        <f t="shared" si="8"/>
        <v>86095.05</v>
      </c>
      <c r="F168" s="14">
        <f>'B) D RI'!U170</f>
        <v>8707.7998611111107</v>
      </c>
      <c r="G168" s="306">
        <f t="shared" si="6"/>
        <v>9.8871186032305438</v>
      </c>
      <c r="H168" s="75">
        <f t="shared" si="7"/>
        <v>43047.525000000001</v>
      </c>
    </row>
    <row r="169" spans="1:8" x14ac:dyDescent="0.25">
      <c r="A169" s="61">
        <f>'A) Base RI'!A171</f>
        <v>5671</v>
      </c>
      <c r="B169" s="124" t="str">
        <f>'A) Base RI'!B171</f>
        <v>Dompierre</v>
      </c>
      <c r="C169" s="52">
        <f>'B) D RI'!Y171</f>
        <v>61708.299999999996</v>
      </c>
      <c r="D169" s="14">
        <f>'B) D RI'!Z171</f>
        <v>0</v>
      </c>
      <c r="E169" s="14">
        <f t="shared" si="8"/>
        <v>61708.299999999996</v>
      </c>
      <c r="F169" s="14">
        <f>'B) D RI'!U171</f>
        <v>6226.6947500000006</v>
      </c>
      <c r="G169" s="306">
        <f t="shared" si="6"/>
        <v>9.9102818553936647</v>
      </c>
      <c r="H169" s="75">
        <f t="shared" si="7"/>
        <v>30854.149999999998</v>
      </c>
    </row>
    <row r="170" spans="1:8" x14ac:dyDescent="0.25">
      <c r="A170" s="61">
        <f>'A) Base RI'!A172</f>
        <v>5672</v>
      </c>
      <c r="B170" s="124" t="str">
        <f>'A) Base RI'!B172</f>
        <v>Forel-sur-Lucens</v>
      </c>
      <c r="C170" s="52">
        <f>'B) D RI'!Y172</f>
        <v>0</v>
      </c>
      <c r="D170" s="14">
        <f>'B) D RI'!Z172</f>
        <v>0</v>
      </c>
      <c r="E170" s="14">
        <f t="shared" si="8"/>
        <v>0</v>
      </c>
      <c r="F170" s="14">
        <f>'B) D RI'!U172</f>
        <v>4324.9200666666666</v>
      </c>
      <c r="G170" s="306">
        <f t="shared" ref="G170:G225" si="9">E170/F170</f>
        <v>0</v>
      </c>
      <c r="H170" s="75">
        <f t="shared" si="7"/>
        <v>0</v>
      </c>
    </row>
    <row r="171" spans="1:8" x14ac:dyDescent="0.25">
      <c r="A171" s="61">
        <f>'A) Base RI'!A173</f>
        <v>5673</v>
      </c>
      <c r="B171" s="124" t="str">
        <f>'A) Base RI'!B173</f>
        <v>Hermenches</v>
      </c>
      <c r="C171" s="52">
        <f>'B) D RI'!Y173</f>
        <v>56615.4</v>
      </c>
      <c r="D171" s="14">
        <f>'B) D RI'!Z173</f>
        <v>7878.25</v>
      </c>
      <c r="E171" s="14">
        <f t="shared" si="8"/>
        <v>64493.65</v>
      </c>
      <c r="F171" s="14">
        <f>'B) D RI'!U173</f>
        <v>8854.2944888888887</v>
      </c>
      <c r="G171" s="306">
        <f t="shared" si="9"/>
        <v>7.2838835528829593</v>
      </c>
      <c r="H171" s="75">
        <f t="shared" ref="H171:H226" si="10">(C171*$C$4)+(D171*$D$4)</f>
        <v>30671.174999999999</v>
      </c>
    </row>
    <row r="172" spans="1:8" x14ac:dyDescent="0.25">
      <c r="A172" s="61">
        <f>'A) Base RI'!A174</f>
        <v>5674</v>
      </c>
      <c r="B172" s="124" t="str">
        <f>'A) Base RI'!B174</f>
        <v>Lovatens</v>
      </c>
      <c r="C172" s="52">
        <f>'B) D RI'!Y174</f>
        <v>2197</v>
      </c>
      <c r="D172" s="14">
        <f>'B) D RI'!Z174</f>
        <v>0</v>
      </c>
      <c r="E172" s="14">
        <f t="shared" si="8"/>
        <v>2197</v>
      </c>
      <c r="F172" s="14">
        <f>'B) D RI'!U174</f>
        <v>3347.4317333333333</v>
      </c>
      <c r="G172" s="306">
        <f t="shared" si="9"/>
        <v>0.65632406424379952</v>
      </c>
      <c r="H172" s="75">
        <f t="shared" si="10"/>
        <v>1098.5</v>
      </c>
    </row>
    <row r="173" spans="1:8" x14ac:dyDescent="0.25">
      <c r="A173" s="61">
        <f>'A) Base RI'!A175</f>
        <v>5675</v>
      </c>
      <c r="B173" s="124" t="str">
        <f>'A) Base RI'!B175</f>
        <v>Lucens</v>
      </c>
      <c r="C173" s="52">
        <f>'B) D RI'!Y175</f>
        <v>858119.34999999986</v>
      </c>
      <c r="D173" s="14">
        <f>'B) D RI'!Z175</f>
        <v>35023.699999999997</v>
      </c>
      <c r="E173" s="14">
        <f t="shared" si="8"/>
        <v>893143.04999999981</v>
      </c>
      <c r="F173" s="14">
        <f>'B) D RI'!U175</f>
        <v>76574.855468319569</v>
      </c>
      <c r="G173" s="306">
        <f t="shared" si="9"/>
        <v>11.663659624790407</v>
      </c>
      <c r="H173" s="75">
        <f t="shared" si="10"/>
        <v>439566.78499999992</v>
      </c>
    </row>
    <row r="174" spans="1:8" x14ac:dyDescent="0.25">
      <c r="A174" s="61">
        <f>'A) Base RI'!A176</f>
        <v>5678</v>
      </c>
      <c r="B174" s="124" t="str">
        <f>'A) Base RI'!B176</f>
        <v>Moudon</v>
      </c>
      <c r="C174" s="52">
        <f>'B) D RI'!Y176</f>
        <v>718129.5</v>
      </c>
      <c r="D174" s="14">
        <f>'B) D RI'!Z176</f>
        <v>114233.35</v>
      </c>
      <c r="E174" s="14">
        <f t="shared" si="8"/>
        <v>832362.85</v>
      </c>
      <c r="F174" s="14">
        <f>'B) D RI'!U176</f>
        <v>122060.45639999998</v>
      </c>
      <c r="G174" s="306">
        <f t="shared" si="9"/>
        <v>6.8192670628093781</v>
      </c>
      <c r="H174" s="75">
        <f t="shared" si="10"/>
        <v>393334.755</v>
      </c>
    </row>
    <row r="175" spans="1:8" x14ac:dyDescent="0.25">
      <c r="A175" s="61">
        <f>'A) Base RI'!A177</f>
        <v>5680</v>
      </c>
      <c r="B175" s="124" t="str">
        <f>'A) Base RI'!B177</f>
        <v>Ogens</v>
      </c>
      <c r="C175" s="52">
        <f>'B) D RI'!Y177</f>
        <v>13301.599999999999</v>
      </c>
      <c r="D175" s="14">
        <f>'B) D RI'!Z177</f>
        <v>0</v>
      </c>
      <c r="E175" s="14">
        <f t="shared" si="8"/>
        <v>13301.599999999999</v>
      </c>
      <c r="F175" s="14">
        <f>'B) D RI'!U177</f>
        <v>8163.3689316239324</v>
      </c>
      <c r="G175" s="306">
        <f t="shared" si="9"/>
        <v>1.6294253158731027</v>
      </c>
      <c r="H175" s="75">
        <f t="shared" si="10"/>
        <v>6650.7999999999993</v>
      </c>
    </row>
    <row r="176" spans="1:8" x14ac:dyDescent="0.25">
      <c r="A176" s="61">
        <f>'A) Base RI'!A178</f>
        <v>5683</v>
      </c>
      <c r="B176" s="124" t="str">
        <f>'A) Base RI'!B178</f>
        <v>Prévonloup</v>
      </c>
      <c r="C176" s="52">
        <f>'B) D RI'!Y178</f>
        <v>15317.1</v>
      </c>
      <c r="D176" s="14">
        <f>'B) D RI'!Z178</f>
        <v>0</v>
      </c>
      <c r="E176" s="14">
        <f t="shared" si="8"/>
        <v>15317.1</v>
      </c>
      <c r="F176" s="14">
        <f>'B) D RI'!U178</f>
        <v>3618.5018918918922</v>
      </c>
      <c r="G176" s="306">
        <f t="shared" si="9"/>
        <v>4.2329948850715207</v>
      </c>
      <c r="H176" s="75">
        <f t="shared" si="10"/>
        <v>7658.55</v>
      </c>
    </row>
    <row r="177" spans="1:8" x14ac:dyDescent="0.25">
      <c r="A177" s="61">
        <f>'A) Base RI'!A179</f>
        <v>5684</v>
      </c>
      <c r="B177" s="124" t="str">
        <f>'A) Base RI'!B179</f>
        <v>Rossenges</v>
      </c>
      <c r="C177" s="52">
        <f>'B) D RI'!Y179</f>
        <v>0</v>
      </c>
      <c r="D177" s="14">
        <f>'B) D RI'!Z179</f>
        <v>0</v>
      </c>
      <c r="E177" s="14">
        <f t="shared" si="8"/>
        <v>0</v>
      </c>
      <c r="F177" s="14">
        <f>'B) D RI'!U179</f>
        <v>2611.7396666666664</v>
      </c>
      <c r="G177" s="306">
        <f t="shared" si="9"/>
        <v>0</v>
      </c>
      <c r="H177" s="75">
        <f t="shared" si="10"/>
        <v>0</v>
      </c>
    </row>
    <row r="178" spans="1:8" x14ac:dyDescent="0.25">
      <c r="A178" s="61">
        <f>'A) Base RI'!A180</f>
        <v>5686</v>
      </c>
      <c r="B178" s="124" t="str">
        <f>'A) Base RI'!B180</f>
        <v>Sarzens</v>
      </c>
      <c r="C178" s="52">
        <f>'B) D RI'!Y180</f>
        <v>17643.649999999998</v>
      </c>
      <c r="D178" s="14">
        <f>'B) D RI'!Z180</f>
        <v>0</v>
      </c>
      <c r="E178" s="14">
        <f t="shared" si="8"/>
        <v>17643.649999999998</v>
      </c>
      <c r="F178" s="14">
        <f>'B) D RI'!U180</f>
        <v>1857.3194594594593</v>
      </c>
      <c r="G178" s="306">
        <f t="shared" si="9"/>
        <v>9.4995235796080433</v>
      </c>
      <c r="H178" s="75">
        <f t="shared" si="10"/>
        <v>8821.8249999999989</v>
      </c>
    </row>
    <row r="179" spans="1:8" x14ac:dyDescent="0.25">
      <c r="A179" s="61">
        <f>'A) Base RI'!A181</f>
        <v>5688</v>
      </c>
      <c r="B179" s="124" t="str">
        <f>'A) Base RI'!B181</f>
        <v>Syens</v>
      </c>
      <c r="C179" s="52">
        <f>'B) D RI'!Y181</f>
        <v>28273.25</v>
      </c>
      <c r="D179" s="14">
        <f>'B) D RI'!Z181</f>
        <v>0</v>
      </c>
      <c r="E179" s="14">
        <f t="shared" si="8"/>
        <v>28273.25</v>
      </c>
      <c r="F179" s="14">
        <f>'B) D RI'!U181</f>
        <v>5385.636772486775</v>
      </c>
      <c r="G179" s="306">
        <f t="shared" si="9"/>
        <v>5.2497506227002848</v>
      </c>
      <c r="H179" s="75">
        <f t="shared" si="10"/>
        <v>14136.625</v>
      </c>
    </row>
    <row r="180" spans="1:8" x14ac:dyDescent="0.25">
      <c r="A180" s="61">
        <f>'A) Base RI'!A182</f>
        <v>5690</v>
      </c>
      <c r="B180" s="124" t="str">
        <f>'A) Base RI'!B182</f>
        <v>Villars-le-Comte</v>
      </c>
      <c r="C180" s="52">
        <f>'B) D RI'!Y182</f>
        <v>13423.25</v>
      </c>
      <c r="D180" s="14">
        <f>'B) D RI'!Z182</f>
        <v>0</v>
      </c>
      <c r="E180" s="14">
        <f t="shared" si="8"/>
        <v>13423.25</v>
      </c>
      <c r="F180" s="14">
        <f>'B) D RI'!U182</f>
        <v>3468.3659210526316</v>
      </c>
      <c r="G180" s="306">
        <f t="shared" si="9"/>
        <v>3.8701942948182673</v>
      </c>
      <c r="H180" s="75">
        <f t="shared" si="10"/>
        <v>6711.625</v>
      </c>
    </row>
    <row r="181" spans="1:8" x14ac:dyDescent="0.25">
      <c r="A181" s="61">
        <f>'A) Base RI'!A183</f>
        <v>5692</v>
      </c>
      <c r="B181" s="124" t="str">
        <f>'A) Base RI'!B183</f>
        <v>Vucherens</v>
      </c>
      <c r="C181" s="52">
        <f>'B) D RI'!Y183</f>
        <v>77355.850000000006</v>
      </c>
      <c r="D181" s="14">
        <f>'B) D RI'!Z183</f>
        <v>6328.2</v>
      </c>
      <c r="E181" s="14">
        <f t="shared" si="8"/>
        <v>83684.05</v>
      </c>
      <c r="F181" s="14">
        <f>'B) D RI'!U183</f>
        <v>15125.888354430383</v>
      </c>
      <c r="G181" s="306">
        <f t="shared" si="9"/>
        <v>5.5325048049484575</v>
      </c>
      <c r="H181" s="75">
        <f t="shared" si="10"/>
        <v>40576.385000000002</v>
      </c>
    </row>
    <row r="182" spans="1:8" x14ac:dyDescent="0.25">
      <c r="A182" s="61">
        <f>'A) Base RI'!A184</f>
        <v>5693</v>
      </c>
      <c r="B182" s="124" t="str">
        <f>'A) Base RI'!B184</f>
        <v>Montanaire</v>
      </c>
      <c r="C182" s="52">
        <f>'B) D RI'!Y184</f>
        <v>379462.35</v>
      </c>
      <c r="D182" s="14">
        <f>'B) D RI'!Z184</f>
        <v>7935.7</v>
      </c>
      <c r="E182" s="14">
        <f t="shared" si="8"/>
        <v>387398.05</v>
      </c>
      <c r="F182" s="14">
        <f>'B) D RI'!U184</f>
        <v>62987.795555555575</v>
      </c>
      <c r="G182" s="306">
        <f>E182/F182</f>
        <v>6.1503668541362559</v>
      </c>
      <c r="H182" s="75">
        <f>(C182*$C$4)+(D182*$D$4)</f>
        <v>192111.88499999998</v>
      </c>
    </row>
    <row r="183" spans="1:8" x14ac:dyDescent="0.25">
      <c r="A183" s="61">
        <f>'A) Base RI'!A185</f>
        <v>5701</v>
      </c>
      <c r="B183" s="124" t="str">
        <f>'A) Base RI'!B185</f>
        <v>Arnex-sur-Nyon</v>
      </c>
      <c r="C183" s="52">
        <f>'B) D RI'!Y185</f>
        <v>47592.800000000003</v>
      </c>
      <c r="D183" s="14">
        <f>'B) D RI'!Z185</f>
        <v>0</v>
      </c>
      <c r="E183" s="14">
        <f t="shared" si="8"/>
        <v>47592.800000000003</v>
      </c>
      <c r="F183" s="14">
        <f>'B) D RI'!U185</f>
        <v>14386.456307692306</v>
      </c>
      <c r="G183" s="306">
        <f>E183/F183</f>
        <v>3.3081669997185181</v>
      </c>
      <c r="H183" s="75">
        <f>(C183*$C$4)+(D183*$D$4)</f>
        <v>23796.400000000001</v>
      </c>
    </row>
    <row r="184" spans="1:8" x14ac:dyDescent="0.25">
      <c r="A184" s="61">
        <f>'A) Base RI'!A186</f>
        <v>5702</v>
      </c>
      <c r="B184" s="124" t="str">
        <f>'A) Base RI'!B186</f>
        <v>Arzier-Le Muids</v>
      </c>
      <c r="C184" s="52">
        <f>'B) D RI'!Y186</f>
        <v>837291.3</v>
      </c>
      <c r="D184" s="14">
        <f>'B) D RI'!Z186</f>
        <v>70134.7</v>
      </c>
      <c r="E184" s="14">
        <f t="shared" si="8"/>
        <v>907426</v>
      </c>
      <c r="F184" s="14">
        <f>'B) D RI'!U186</f>
        <v>137336.67807291666</v>
      </c>
      <c r="G184" s="306">
        <f t="shared" si="9"/>
        <v>6.6073099534140249</v>
      </c>
      <c r="H184" s="75">
        <f t="shared" si="10"/>
        <v>439686.06</v>
      </c>
    </row>
    <row r="185" spans="1:8" x14ac:dyDescent="0.25">
      <c r="A185" s="61">
        <f>'A) Base RI'!A187</f>
        <v>5703</v>
      </c>
      <c r="B185" s="124" t="str">
        <f>'A) Base RI'!B187</f>
        <v>Bassins</v>
      </c>
      <c r="C185" s="52">
        <f>'B) D RI'!Y187</f>
        <v>210354.7</v>
      </c>
      <c r="D185" s="14">
        <f>'B) D RI'!Z187</f>
        <v>36530.300000000003</v>
      </c>
      <c r="E185" s="14">
        <f t="shared" si="8"/>
        <v>246885</v>
      </c>
      <c r="F185" s="14">
        <f>'B) D RI'!U187</f>
        <v>51617.647746478862</v>
      </c>
      <c r="G185" s="306">
        <f t="shared" si="9"/>
        <v>4.7829572012382426</v>
      </c>
      <c r="H185" s="75">
        <f t="shared" si="10"/>
        <v>116136.44</v>
      </c>
    </row>
    <row r="186" spans="1:8" x14ac:dyDescent="0.25">
      <c r="A186" s="61">
        <f>'A) Base RI'!A188</f>
        <v>5704</v>
      </c>
      <c r="B186" s="124" t="str">
        <f>'A) Base RI'!B188</f>
        <v>Begnins</v>
      </c>
      <c r="C186" s="52">
        <f>'B) D RI'!Y188</f>
        <v>3897851.05</v>
      </c>
      <c r="D186" s="14">
        <f>'B) D RI'!Z188</f>
        <v>56321.9</v>
      </c>
      <c r="E186" s="14">
        <f t="shared" si="8"/>
        <v>3954172.9499999997</v>
      </c>
      <c r="F186" s="14">
        <f>'B) D RI'!U188</f>
        <v>109192.54039800997</v>
      </c>
      <c r="G186" s="306">
        <f t="shared" si="9"/>
        <v>36.21284874943769</v>
      </c>
      <c r="H186" s="75">
        <f t="shared" si="10"/>
        <v>1965822.095</v>
      </c>
    </row>
    <row r="187" spans="1:8" x14ac:dyDescent="0.25">
      <c r="A187" s="61">
        <f>'A) Base RI'!A189</f>
        <v>5705</v>
      </c>
      <c r="B187" s="124" t="str">
        <f>'A) Base RI'!B189</f>
        <v>Bogis-Bossey</v>
      </c>
      <c r="C187" s="52">
        <f>'B) D RI'!Y189</f>
        <v>341150.7</v>
      </c>
      <c r="D187" s="14">
        <f>'B) D RI'!Z189</f>
        <v>33949.199999999997</v>
      </c>
      <c r="E187" s="14">
        <f t="shared" si="8"/>
        <v>375099.9</v>
      </c>
      <c r="F187" s="14">
        <f>'B) D RI'!U189</f>
        <v>49393.857499999991</v>
      </c>
      <c r="G187" s="306">
        <f t="shared" si="9"/>
        <v>7.5940596459792618</v>
      </c>
      <c r="H187" s="75">
        <f t="shared" si="10"/>
        <v>180760.11000000002</v>
      </c>
    </row>
    <row r="188" spans="1:8" x14ac:dyDescent="0.25">
      <c r="A188" s="61">
        <f>'A) Base RI'!A190</f>
        <v>5706</v>
      </c>
      <c r="B188" s="124" t="str">
        <f>'A) Base RI'!B190</f>
        <v>Borex</v>
      </c>
      <c r="C188" s="52">
        <f>'B) D RI'!Y190</f>
        <v>755375.9</v>
      </c>
      <c r="D188" s="14">
        <f>'B) D RI'!Z190</f>
        <v>3897.65</v>
      </c>
      <c r="E188" s="14">
        <f t="shared" si="8"/>
        <v>759273.55</v>
      </c>
      <c r="F188" s="14">
        <f>'B) D RI'!U190</f>
        <v>61064.931696969696</v>
      </c>
      <c r="G188" s="306">
        <f t="shared" si="9"/>
        <v>12.433872091560506</v>
      </c>
      <c r="H188" s="75">
        <f t="shared" si="10"/>
        <v>378857.245</v>
      </c>
    </row>
    <row r="189" spans="1:8" x14ac:dyDescent="0.25">
      <c r="A189" s="61">
        <f>'A) Base RI'!A191</f>
        <v>5707</v>
      </c>
      <c r="B189" s="124" t="str">
        <f>'A) Base RI'!B191</f>
        <v>Chavannes-de-Bogis</v>
      </c>
      <c r="C189" s="52">
        <f>'B) D RI'!Y191</f>
        <v>108981.6</v>
      </c>
      <c r="D189" s="14">
        <f>'B) D RI'!Z191</f>
        <v>442946.25</v>
      </c>
      <c r="E189" s="14">
        <f t="shared" si="8"/>
        <v>551927.85</v>
      </c>
      <c r="F189" s="14">
        <f>'B) D RI'!U191</f>
        <v>90099.169661016946</v>
      </c>
      <c r="G189" s="306">
        <f t="shared" si="9"/>
        <v>6.1257817588834191</v>
      </c>
      <c r="H189" s="75">
        <f t="shared" si="10"/>
        <v>187374.67499999999</v>
      </c>
    </row>
    <row r="190" spans="1:8" x14ac:dyDescent="0.25">
      <c r="A190" s="61">
        <f>'A) Base RI'!A192</f>
        <v>5708</v>
      </c>
      <c r="B190" s="124" t="str">
        <f>'A) Base RI'!B192</f>
        <v>Chavannes-des-Bois</v>
      </c>
      <c r="C190" s="52">
        <f>'B) D RI'!Y192</f>
        <v>434075.45</v>
      </c>
      <c r="D190" s="14">
        <f>'B) D RI'!Z192</f>
        <v>1204.9000000000001</v>
      </c>
      <c r="E190" s="14">
        <f t="shared" si="8"/>
        <v>435280.35000000003</v>
      </c>
      <c r="F190" s="14">
        <f>'B) D RI'!U192</f>
        <v>61956.418196721308</v>
      </c>
      <c r="G190" s="306">
        <f t="shared" si="9"/>
        <v>7.0255893201882156</v>
      </c>
      <c r="H190" s="75">
        <f t="shared" si="10"/>
        <v>217399.19500000001</v>
      </c>
    </row>
    <row r="191" spans="1:8" x14ac:dyDescent="0.25">
      <c r="A191" s="61">
        <f>'A) Base RI'!A193</f>
        <v>5709</v>
      </c>
      <c r="B191" s="124" t="str">
        <f>'A) Base RI'!B193</f>
        <v>Chéserex</v>
      </c>
      <c r="C191" s="52">
        <f>'B) D RI'!Y193</f>
        <v>131631.79999999999</v>
      </c>
      <c r="D191" s="14">
        <f>'B) D RI'!Z193</f>
        <v>21812.15</v>
      </c>
      <c r="E191" s="14">
        <f t="shared" si="8"/>
        <v>153443.94999999998</v>
      </c>
      <c r="F191" s="14">
        <f>'B) D RI'!U193</f>
        <v>139220.21615384615</v>
      </c>
      <c r="G191" s="306">
        <f t="shared" si="9"/>
        <v>1.1021671581836636</v>
      </c>
      <c r="H191" s="75">
        <f t="shared" si="10"/>
        <v>72359.544999999998</v>
      </c>
    </row>
    <row r="192" spans="1:8" x14ac:dyDescent="0.25">
      <c r="A192" s="61">
        <f>'A) Base RI'!A194</f>
        <v>5710</v>
      </c>
      <c r="B192" s="124" t="str">
        <f>'A) Base RI'!B194</f>
        <v>Coinsins</v>
      </c>
      <c r="C192" s="52">
        <f>'B) D RI'!Y194</f>
        <v>243952.35</v>
      </c>
      <c r="D192" s="14">
        <f>'B) D RI'!Z194</f>
        <v>36713.75</v>
      </c>
      <c r="E192" s="14">
        <f t="shared" si="8"/>
        <v>280666.09999999998</v>
      </c>
      <c r="F192" s="14">
        <f>'B) D RI'!U194</f>
        <v>112738.70512195122</v>
      </c>
      <c r="G192" s="306">
        <f t="shared" si="9"/>
        <v>2.4895274404331595</v>
      </c>
      <c r="H192" s="75">
        <f t="shared" si="10"/>
        <v>132990.29999999999</v>
      </c>
    </row>
    <row r="193" spans="1:8" x14ac:dyDescent="0.25">
      <c r="A193" s="61">
        <f>'A) Base RI'!A195</f>
        <v>5711</v>
      </c>
      <c r="B193" s="124" t="str">
        <f>'A) Base RI'!B195</f>
        <v>Commugny</v>
      </c>
      <c r="C193" s="52">
        <f>'B) D RI'!Y195</f>
        <v>948502.5</v>
      </c>
      <c r="D193" s="14">
        <f>'B) D RI'!Z195</f>
        <v>28572</v>
      </c>
      <c r="E193" s="14">
        <f t="shared" si="8"/>
        <v>977074.5</v>
      </c>
      <c r="F193" s="14">
        <f>'B) D RI'!U195</f>
        <v>236913.245596817</v>
      </c>
      <c r="G193" s="306">
        <f t="shared" si="9"/>
        <v>4.1241868834248381</v>
      </c>
      <c r="H193" s="75">
        <f t="shared" si="10"/>
        <v>482822.85</v>
      </c>
    </row>
    <row r="194" spans="1:8" x14ac:dyDescent="0.25">
      <c r="A194" s="61">
        <f>'A) Base RI'!A196</f>
        <v>5712</v>
      </c>
      <c r="B194" s="124" t="str">
        <f>'A) Base RI'!B196</f>
        <v>Coppet</v>
      </c>
      <c r="C194" s="52">
        <f>'B) D RI'!Y196</f>
        <v>2322163.6</v>
      </c>
      <c r="D194" s="14">
        <f>'B) D RI'!Z196</f>
        <v>128277.75</v>
      </c>
      <c r="E194" s="14">
        <f t="shared" si="8"/>
        <v>2450441.35</v>
      </c>
      <c r="F194" s="14">
        <f>'B) D RI'!U196</f>
        <v>309642.37182389939</v>
      </c>
      <c r="G194" s="306">
        <f t="shared" si="9"/>
        <v>7.9137791626064065</v>
      </c>
      <c r="H194" s="75">
        <f t="shared" si="10"/>
        <v>1199565.125</v>
      </c>
    </row>
    <row r="195" spans="1:8" x14ac:dyDescent="0.25">
      <c r="A195" s="61">
        <f>'A) Base RI'!A197</f>
        <v>5713</v>
      </c>
      <c r="B195" s="124" t="str">
        <f>'A) Base RI'!B197</f>
        <v>Crans-près-Céligny</v>
      </c>
      <c r="C195" s="52">
        <f>'B) D RI'!Y197</f>
        <v>1278889.8</v>
      </c>
      <c r="D195" s="14">
        <f>'B) D RI'!Z197</f>
        <v>26999.9</v>
      </c>
      <c r="E195" s="14">
        <f t="shared" si="8"/>
        <v>1305889.7</v>
      </c>
      <c r="F195" s="14">
        <f>'B) D RI'!U197</f>
        <v>259331.62150943396</v>
      </c>
      <c r="G195" s="306">
        <f t="shared" si="9"/>
        <v>5.0355976351788412</v>
      </c>
      <c r="H195" s="75">
        <f t="shared" si="10"/>
        <v>647544.87</v>
      </c>
    </row>
    <row r="196" spans="1:8" x14ac:dyDescent="0.25">
      <c r="A196" s="61">
        <f>'A) Base RI'!A198</f>
        <v>5714</v>
      </c>
      <c r="B196" s="124" t="str">
        <f>'A) Base RI'!B198</f>
        <v>Crassier</v>
      </c>
      <c r="C196" s="52">
        <f>'B) D RI'!Y198</f>
        <v>289040.5</v>
      </c>
      <c r="D196" s="14">
        <f>'B) D RI'!Z198</f>
        <v>96901.1</v>
      </c>
      <c r="E196" s="14">
        <f t="shared" si="8"/>
        <v>385941.6</v>
      </c>
      <c r="F196" s="14">
        <f>'B) D RI'!U198</f>
        <v>74990.560937499991</v>
      </c>
      <c r="G196" s="306">
        <f t="shared" si="9"/>
        <v>5.1465357129633755</v>
      </c>
      <c r="H196" s="75">
        <f t="shared" si="10"/>
        <v>173590.58000000002</v>
      </c>
    </row>
    <row r="197" spans="1:8" x14ac:dyDescent="0.25">
      <c r="A197" s="61">
        <f>'A) Base RI'!A199</f>
        <v>5715</v>
      </c>
      <c r="B197" s="124" t="str">
        <f>'A) Base RI'!B199</f>
        <v>Duillier</v>
      </c>
      <c r="C197" s="52">
        <f>'B) D RI'!Y199</f>
        <v>582671.30000000005</v>
      </c>
      <c r="D197" s="14">
        <f>'B) D RI'!Z199</f>
        <v>53425.599999999999</v>
      </c>
      <c r="E197" s="14">
        <f t="shared" ref="E197:E260" si="11">C197+D197</f>
        <v>636096.9</v>
      </c>
      <c r="F197" s="14">
        <f>'B) D RI'!U199</f>
        <v>58313.27166666666</v>
      </c>
      <c r="G197" s="306">
        <f t="shared" si="9"/>
        <v>10.908269795529396</v>
      </c>
      <c r="H197" s="75">
        <f t="shared" si="10"/>
        <v>307363.33</v>
      </c>
    </row>
    <row r="198" spans="1:8" x14ac:dyDescent="0.25">
      <c r="A198" s="61">
        <f>'A) Base RI'!A200</f>
        <v>5716</v>
      </c>
      <c r="B198" s="124" t="str">
        <f>'A) Base RI'!B200</f>
        <v>Eysins</v>
      </c>
      <c r="C198" s="52">
        <f>'B) D RI'!Y200</f>
        <v>381699.30000000005</v>
      </c>
      <c r="D198" s="14">
        <f>'B) D RI'!Z200</f>
        <v>624361.69999999995</v>
      </c>
      <c r="E198" s="14">
        <f t="shared" si="11"/>
        <v>1006061</v>
      </c>
      <c r="F198" s="14">
        <f>'B) D RI'!U200</f>
        <v>124360.51655737706</v>
      </c>
      <c r="G198" s="306">
        <f t="shared" si="9"/>
        <v>8.0898747275291889</v>
      </c>
      <c r="H198" s="75">
        <f t="shared" si="10"/>
        <v>378158.16000000003</v>
      </c>
    </row>
    <row r="199" spans="1:8" x14ac:dyDescent="0.25">
      <c r="A199" s="61">
        <f>'A) Base RI'!A201</f>
        <v>5717</v>
      </c>
      <c r="B199" s="124" t="str">
        <f>'A) Base RI'!B201</f>
        <v>Founex</v>
      </c>
      <c r="C199" s="52">
        <f>'B) D RI'!Y201</f>
        <v>2267924.2999999998</v>
      </c>
      <c r="D199" s="14">
        <f>'B) D RI'!Z201</f>
        <v>194155.35</v>
      </c>
      <c r="E199" s="14">
        <f t="shared" si="11"/>
        <v>2462079.65</v>
      </c>
      <c r="F199" s="14">
        <f>'B) D RI'!U201</f>
        <v>345595.68736842106</v>
      </c>
      <c r="G199" s="306">
        <f t="shared" si="9"/>
        <v>7.1241619614752558</v>
      </c>
      <c r="H199" s="75">
        <f t="shared" si="10"/>
        <v>1192208.7549999999</v>
      </c>
    </row>
    <row r="200" spans="1:8" x14ac:dyDescent="0.25">
      <c r="A200" s="61">
        <f>'A) Base RI'!A202</f>
        <v>5718</v>
      </c>
      <c r="B200" s="124" t="str">
        <f>'A) Base RI'!B202</f>
        <v>Genolier</v>
      </c>
      <c r="C200" s="52">
        <f>'B) D RI'!Y202</f>
        <v>848843.4</v>
      </c>
      <c r="D200" s="14">
        <f>'B) D RI'!Z202</f>
        <v>484928.65</v>
      </c>
      <c r="E200" s="14">
        <f t="shared" si="11"/>
        <v>1333772.05</v>
      </c>
      <c r="F200" s="14">
        <f>'B) D RI'!U202</f>
        <v>147563.83054545455</v>
      </c>
      <c r="G200" s="306">
        <f t="shared" si="9"/>
        <v>9.0386109188806536</v>
      </c>
      <c r="H200" s="75">
        <f t="shared" si="10"/>
        <v>569900.29500000004</v>
      </c>
    </row>
    <row r="201" spans="1:8" x14ac:dyDescent="0.25">
      <c r="A201" s="61">
        <f>'A) Base RI'!A203</f>
        <v>5719</v>
      </c>
      <c r="B201" s="124" t="str">
        <f>'A) Base RI'!B203</f>
        <v>Gingins</v>
      </c>
      <c r="C201" s="52">
        <f>'B) D RI'!Y203</f>
        <v>636320.65</v>
      </c>
      <c r="D201" s="14">
        <f>'B) D RI'!Z203</f>
        <v>74054.5</v>
      </c>
      <c r="E201" s="14">
        <f t="shared" si="11"/>
        <v>710375.15</v>
      </c>
      <c r="F201" s="14">
        <f>'B) D RI'!U203</f>
        <v>96514.726140350875</v>
      </c>
      <c r="G201" s="306">
        <f t="shared" si="9"/>
        <v>7.3602773214833421</v>
      </c>
      <c r="H201" s="75">
        <f t="shared" si="10"/>
        <v>340376.67499999999</v>
      </c>
    </row>
    <row r="202" spans="1:8" x14ac:dyDescent="0.25">
      <c r="A202" s="61">
        <f>'A) Base RI'!A204</f>
        <v>5720</v>
      </c>
      <c r="B202" s="124" t="str">
        <f>'A) Base RI'!B204</f>
        <v>Givrins</v>
      </c>
      <c r="C202" s="52">
        <f>'B) D RI'!Y204</f>
        <v>799043.5</v>
      </c>
      <c r="D202" s="14">
        <f>'B) D RI'!Z204</f>
        <v>28321.7</v>
      </c>
      <c r="E202" s="14">
        <f t="shared" si="11"/>
        <v>827365.2</v>
      </c>
      <c r="F202" s="14">
        <f>'B) D RI'!U204</f>
        <v>81037.865428051009</v>
      </c>
      <c r="G202" s="306">
        <f t="shared" si="9"/>
        <v>10.209612452521609</v>
      </c>
      <c r="H202" s="75">
        <f t="shared" si="10"/>
        <v>408018.26</v>
      </c>
    </row>
    <row r="203" spans="1:8" x14ac:dyDescent="0.25">
      <c r="A203" s="61">
        <f>'A) Base RI'!A205</f>
        <v>5721</v>
      </c>
      <c r="B203" s="124" t="str">
        <f>'A) Base RI'!B205</f>
        <v>Gland</v>
      </c>
      <c r="C203" s="52">
        <f>'B) D RI'!Y205</f>
        <v>7404303.9000000004</v>
      </c>
      <c r="D203" s="14">
        <f>'B) D RI'!Z205</f>
        <v>2016933</v>
      </c>
      <c r="E203" s="14">
        <f t="shared" si="11"/>
        <v>9421236.9000000004</v>
      </c>
      <c r="F203" s="14">
        <f>'B) D RI'!U205</f>
        <v>556574.85335272714</v>
      </c>
      <c r="G203" s="306">
        <f t="shared" si="9"/>
        <v>16.927169532090463</v>
      </c>
      <c r="H203" s="75">
        <f t="shared" si="10"/>
        <v>4307231.8500000006</v>
      </c>
    </row>
    <row r="204" spans="1:8" x14ac:dyDescent="0.25">
      <c r="A204" s="61">
        <f>'A) Base RI'!A206</f>
        <v>5722</v>
      </c>
      <c r="B204" s="124" t="str">
        <f>'A) Base RI'!B206</f>
        <v>Grens</v>
      </c>
      <c r="C204" s="52">
        <f>'B) D RI'!Y206</f>
        <v>32272.699999999997</v>
      </c>
      <c r="D204" s="14">
        <f>'B) D RI'!Z206</f>
        <v>15153.55</v>
      </c>
      <c r="E204" s="14">
        <f t="shared" si="11"/>
        <v>47426.25</v>
      </c>
      <c r="F204" s="14">
        <f>'B) D RI'!U206</f>
        <v>25010.62</v>
      </c>
      <c r="G204" s="306">
        <f t="shared" si="9"/>
        <v>1.8962444753468728</v>
      </c>
      <c r="H204" s="75">
        <f t="shared" si="10"/>
        <v>20682.414999999997</v>
      </c>
    </row>
    <row r="205" spans="1:8" x14ac:dyDescent="0.25">
      <c r="A205" s="61">
        <f>'A) Base RI'!A207</f>
        <v>5723</v>
      </c>
      <c r="B205" s="124" t="str">
        <f>'A) Base RI'!B207</f>
        <v>Mies</v>
      </c>
      <c r="C205" s="52">
        <f>'B) D RI'!Y207</f>
        <v>954569.10000000009</v>
      </c>
      <c r="D205" s="14">
        <f>'B) D RI'!Z207</f>
        <v>218003.45</v>
      </c>
      <c r="E205" s="14">
        <f t="shared" si="11"/>
        <v>1172572.55</v>
      </c>
      <c r="F205" s="14">
        <f>'B) D RI'!U207</f>
        <v>265838.70510204078</v>
      </c>
      <c r="G205" s="306">
        <f t="shared" si="9"/>
        <v>4.4108420914475728</v>
      </c>
      <c r="H205" s="75">
        <f t="shared" si="10"/>
        <v>542685.58500000008</v>
      </c>
    </row>
    <row r="206" spans="1:8" x14ac:dyDescent="0.25">
      <c r="A206" s="61">
        <f>'A) Base RI'!A208</f>
        <v>5724</v>
      </c>
      <c r="B206" s="124" t="str">
        <f>'A) Base RI'!B208</f>
        <v>Nyon</v>
      </c>
      <c r="C206" s="52">
        <f>'B) D RI'!Y208</f>
        <v>5470718.9000000004</v>
      </c>
      <c r="D206" s="14">
        <f>'B) D RI'!Z208</f>
        <v>4891000</v>
      </c>
      <c r="E206" s="14">
        <f t="shared" si="11"/>
        <v>10361718.9</v>
      </c>
      <c r="F206" s="14">
        <f>'B) D RI'!U208</f>
        <v>1373447.3453593946</v>
      </c>
      <c r="G206" s="306">
        <f t="shared" si="9"/>
        <v>7.5443146291775856</v>
      </c>
      <c r="H206" s="75">
        <f t="shared" si="10"/>
        <v>4202659.45</v>
      </c>
    </row>
    <row r="207" spans="1:8" x14ac:dyDescent="0.25">
      <c r="A207" s="61">
        <f>'A) Base RI'!A209</f>
        <v>5725</v>
      </c>
      <c r="B207" s="124" t="str">
        <f>'A) Base RI'!B209</f>
        <v>Prangins</v>
      </c>
      <c r="C207" s="52">
        <f>'B) D RI'!Y209</f>
        <v>1775302.35</v>
      </c>
      <c r="D207" s="14">
        <f>'B) D RI'!Z209</f>
        <v>996592</v>
      </c>
      <c r="E207" s="14">
        <f t="shared" si="11"/>
        <v>2771894.35</v>
      </c>
      <c r="F207" s="14">
        <f>'B) D RI'!U209</f>
        <v>279071.20818877552</v>
      </c>
      <c r="G207" s="306">
        <f t="shared" si="9"/>
        <v>9.9325701421874157</v>
      </c>
      <c r="H207" s="75">
        <f t="shared" si="10"/>
        <v>1186628.7749999999</v>
      </c>
    </row>
    <row r="208" spans="1:8" x14ac:dyDescent="0.25">
      <c r="A208" s="61">
        <f>'A) Base RI'!A210</f>
        <v>5726</v>
      </c>
      <c r="B208" s="124" t="str">
        <f>'A) Base RI'!B210</f>
        <v>La Rippe</v>
      </c>
      <c r="C208" s="52">
        <f>'B) D RI'!Y210</f>
        <v>385695.85</v>
      </c>
      <c r="D208" s="14">
        <f>'B) D RI'!Z210</f>
        <v>22371.45</v>
      </c>
      <c r="E208" s="14">
        <f t="shared" si="11"/>
        <v>408067.3</v>
      </c>
      <c r="F208" s="14">
        <f>'B) D RI'!U210</f>
        <v>60430.074769230778</v>
      </c>
      <c r="G208" s="306">
        <f t="shared" si="9"/>
        <v>6.7527187672416362</v>
      </c>
      <c r="H208" s="75">
        <f t="shared" si="10"/>
        <v>199559.36</v>
      </c>
    </row>
    <row r="209" spans="1:8" x14ac:dyDescent="0.25">
      <c r="A209" s="61">
        <f>'A) Base RI'!A211</f>
        <v>5727</v>
      </c>
      <c r="B209" s="124" t="str">
        <f>'A) Base RI'!B211</f>
        <v>Saint-Cergue</v>
      </c>
      <c r="C209" s="52">
        <f>'B) D RI'!Y211</f>
        <v>611478.94999999995</v>
      </c>
      <c r="D209" s="14">
        <f>'B) D RI'!Z211</f>
        <v>157271.15</v>
      </c>
      <c r="E209" s="14">
        <f t="shared" si="11"/>
        <v>768750.1</v>
      </c>
      <c r="F209" s="14">
        <f>'B) D RI'!U211</f>
        <v>92384.571565656559</v>
      </c>
      <c r="G209" s="306">
        <f t="shared" si="9"/>
        <v>8.3211957036966808</v>
      </c>
      <c r="H209" s="75">
        <f t="shared" si="10"/>
        <v>352920.81999999995</v>
      </c>
    </row>
    <row r="210" spans="1:8" x14ac:dyDescent="0.25">
      <c r="A210" s="61">
        <f>'A) Base RI'!A212</f>
        <v>5728</v>
      </c>
      <c r="B210" s="124" t="str">
        <f>'A) Base RI'!B212</f>
        <v>Signy-Avenex</v>
      </c>
      <c r="C210" s="52">
        <f>'B) D RI'!Y212</f>
        <v>197771.2</v>
      </c>
      <c r="D210" s="14">
        <f>'B) D RI'!Z212</f>
        <v>181412</v>
      </c>
      <c r="E210" s="14">
        <f t="shared" si="11"/>
        <v>379183.2</v>
      </c>
      <c r="F210" s="14">
        <f>'B) D RI'!U212</f>
        <v>31185.312142857143</v>
      </c>
      <c r="G210" s="306">
        <f t="shared" si="9"/>
        <v>12.159031734651091</v>
      </c>
      <c r="H210" s="75">
        <f t="shared" si="10"/>
        <v>153309.20000000001</v>
      </c>
    </row>
    <row r="211" spans="1:8" x14ac:dyDescent="0.25">
      <c r="A211" s="61">
        <f>'A) Base RI'!A213</f>
        <v>5729</v>
      </c>
      <c r="B211" s="124" t="str">
        <f>'A) Base RI'!B213</f>
        <v>Tannay</v>
      </c>
      <c r="C211" s="52">
        <f>'B) D RI'!Y213</f>
        <v>549622.30000000005</v>
      </c>
      <c r="D211" s="14">
        <f>'B) D RI'!Z213</f>
        <v>25348.799999999999</v>
      </c>
      <c r="E211" s="14">
        <f t="shared" si="11"/>
        <v>574971.10000000009</v>
      </c>
      <c r="F211" s="14">
        <f>'B) D RI'!U213</f>
        <v>138438.0717486339</v>
      </c>
      <c r="G211" s="306">
        <f t="shared" si="9"/>
        <v>4.1532729597967251</v>
      </c>
      <c r="H211" s="75">
        <f t="shared" si="10"/>
        <v>282415.79000000004</v>
      </c>
    </row>
    <row r="212" spans="1:8" x14ac:dyDescent="0.25">
      <c r="A212" s="61">
        <f>'A) Base RI'!A214</f>
        <v>5730</v>
      </c>
      <c r="B212" s="124" t="str">
        <f>'A) Base RI'!B214</f>
        <v>Trélex</v>
      </c>
      <c r="C212" s="52">
        <f>'B) D RI'!Y214</f>
        <v>332630.95</v>
      </c>
      <c r="D212" s="14">
        <f>'B) D RI'!Z214</f>
        <v>10359.65</v>
      </c>
      <c r="E212" s="14">
        <f t="shared" si="11"/>
        <v>342990.60000000003</v>
      </c>
      <c r="F212" s="14">
        <f>'B) D RI'!U214</f>
        <v>149022.17830188677</v>
      </c>
      <c r="G212" s="306">
        <f t="shared" si="9"/>
        <v>2.3016077466346996</v>
      </c>
      <c r="H212" s="75">
        <f t="shared" si="10"/>
        <v>169423.37</v>
      </c>
    </row>
    <row r="213" spans="1:8" x14ac:dyDescent="0.25">
      <c r="A213" s="61">
        <f>'A) Base RI'!A215</f>
        <v>5731</v>
      </c>
      <c r="B213" s="124" t="str">
        <f>'A) Base RI'!B215</f>
        <v>Le Vaud</v>
      </c>
      <c r="C213" s="52">
        <f>'B) D RI'!Y215</f>
        <v>289354</v>
      </c>
      <c r="D213" s="14">
        <f>'B) D RI'!Z215</f>
        <v>21792.5</v>
      </c>
      <c r="E213" s="14">
        <f t="shared" si="11"/>
        <v>311146.5</v>
      </c>
      <c r="F213" s="14">
        <f>'B) D RI'!U215</f>
        <v>46449.882799999999</v>
      </c>
      <c r="G213" s="306">
        <f t="shared" si="9"/>
        <v>6.698542197398182</v>
      </c>
      <c r="H213" s="75">
        <f t="shared" si="10"/>
        <v>151214.75</v>
      </c>
    </row>
    <row r="214" spans="1:8" x14ac:dyDescent="0.25">
      <c r="A214" s="61">
        <f>'A) Base RI'!A216</f>
        <v>5732</v>
      </c>
      <c r="B214" s="124" t="str">
        <f>'A) Base RI'!B216</f>
        <v>Vich</v>
      </c>
      <c r="C214" s="52">
        <f>'B) D RI'!Y216</f>
        <v>653016.44999999995</v>
      </c>
      <c r="D214" s="14">
        <f>'B) D RI'!Z216</f>
        <v>130426.75</v>
      </c>
      <c r="E214" s="14">
        <f t="shared" si="11"/>
        <v>783443.2</v>
      </c>
      <c r="F214" s="14">
        <f>'B) D RI'!U216</f>
        <v>57292.894852941186</v>
      </c>
      <c r="G214" s="306">
        <f t="shared" si="9"/>
        <v>13.674351802451838</v>
      </c>
      <c r="H214" s="75">
        <f t="shared" si="10"/>
        <v>365636.25</v>
      </c>
    </row>
    <row r="215" spans="1:8" x14ac:dyDescent="0.25">
      <c r="A215" s="61">
        <f>'A) Base RI'!A217</f>
        <v>5741</v>
      </c>
      <c r="B215" s="124" t="str">
        <f>'A) Base RI'!B217</f>
        <v>L'Abergement</v>
      </c>
      <c r="C215" s="52">
        <f>'B) D RI'!Y217</f>
        <v>23863.85</v>
      </c>
      <c r="D215" s="14">
        <f>'B) D RI'!Z217</f>
        <v>14134.65</v>
      </c>
      <c r="E215" s="14">
        <f t="shared" si="11"/>
        <v>37998.5</v>
      </c>
      <c r="F215" s="14">
        <f>'B) D RI'!U217</f>
        <v>6994.8889917695487</v>
      </c>
      <c r="G215" s="306">
        <f t="shared" si="9"/>
        <v>5.4323235214612371</v>
      </c>
      <c r="H215" s="75">
        <f t="shared" si="10"/>
        <v>16172.32</v>
      </c>
    </row>
    <row r="216" spans="1:8" x14ac:dyDescent="0.25">
      <c r="A216" s="61">
        <f>'A) Base RI'!A218</f>
        <v>5742</v>
      </c>
      <c r="B216" s="124" t="str">
        <f>'A) Base RI'!B218</f>
        <v>Agiez</v>
      </c>
      <c r="C216" s="52">
        <f>'B) D RI'!Y218</f>
        <v>7786.9</v>
      </c>
      <c r="D216" s="14">
        <f>'B) D RI'!Z218</f>
        <v>0</v>
      </c>
      <c r="E216" s="14">
        <f t="shared" si="11"/>
        <v>7786.9</v>
      </c>
      <c r="F216" s="14">
        <f>'B) D RI'!U218</f>
        <v>9274.0430263157905</v>
      </c>
      <c r="G216" s="306">
        <f t="shared" si="9"/>
        <v>0.83964458412626386</v>
      </c>
      <c r="H216" s="75">
        <f t="shared" si="10"/>
        <v>3893.45</v>
      </c>
    </row>
    <row r="217" spans="1:8" x14ac:dyDescent="0.25">
      <c r="A217" s="61">
        <f>'A) Base RI'!A219</f>
        <v>5743</v>
      </c>
      <c r="B217" s="124" t="str">
        <f>'A) Base RI'!B219</f>
        <v>Arnex-sur-Orbe</v>
      </c>
      <c r="C217" s="52">
        <f>'B) D RI'!Y219</f>
        <v>65197</v>
      </c>
      <c r="D217" s="14">
        <f>'B) D RI'!Z219</f>
        <v>31541.45</v>
      </c>
      <c r="E217" s="14">
        <f t="shared" si="11"/>
        <v>96738.45</v>
      </c>
      <c r="F217" s="14">
        <f>'B) D RI'!U219</f>
        <v>17348.834349315071</v>
      </c>
      <c r="G217" s="306">
        <f t="shared" si="9"/>
        <v>5.5760777959021333</v>
      </c>
      <c r="H217" s="75">
        <f t="shared" si="10"/>
        <v>42060.934999999998</v>
      </c>
    </row>
    <row r="218" spans="1:8" x14ac:dyDescent="0.25">
      <c r="A218" s="61">
        <f>'A) Base RI'!A220</f>
        <v>5744</v>
      </c>
      <c r="B218" s="124" t="str">
        <f>'A) Base RI'!B220</f>
        <v>Ballaigues</v>
      </c>
      <c r="C218" s="52">
        <f>'B) D RI'!Y220</f>
        <v>92206.5</v>
      </c>
      <c r="D218" s="14">
        <f>'B) D RI'!Z220</f>
        <v>755922.85</v>
      </c>
      <c r="E218" s="14">
        <f t="shared" si="11"/>
        <v>848129.35</v>
      </c>
      <c r="F218" s="14">
        <f>'B) D RI'!U220</f>
        <v>53212.458333333336</v>
      </c>
      <c r="G218" s="306">
        <f t="shared" si="9"/>
        <v>15.938548538523637</v>
      </c>
      <c r="H218" s="75">
        <f t="shared" si="10"/>
        <v>272880.10499999998</v>
      </c>
    </row>
    <row r="219" spans="1:8" x14ac:dyDescent="0.25">
      <c r="A219" s="61">
        <f>'A) Base RI'!A221</f>
        <v>5745</v>
      </c>
      <c r="B219" s="124" t="str">
        <f>'A) Base RI'!B221</f>
        <v>Baulmes</v>
      </c>
      <c r="C219" s="52">
        <f>'B) D RI'!Y221</f>
        <v>75015.75</v>
      </c>
      <c r="D219" s="14">
        <f>'B) D RI'!Z221</f>
        <v>184046.05</v>
      </c>
      <c r="E219" s="14">
        <f t="shared" si="11"/>
        <v>259061.8</v>
      </c>
      <c r="F219" s="14">
        <f>'B) D RI'!U221</f>
        <v>27522.151666666668</v>
      </c>
      <c r="G219" s="306">
        <f t="shared" si="9"/>
        <v>9.4128469001121573</v>
      </c>
      <c r="H219" s="75">
        <f t="shared" si="10"/>
        <v>92721.69</v>
      </c>
    </row>
    <row r="220" spans="1:8" x14ac:dyDescent="0.25">
      <c r="A220" s="61">
        <f>'A) Base RI'!A222</f>
        <v>5746</v>
      </c>
      <c r="B220" s="124" t="str">
        <f>'A) Base RI'!B222</f>
        <v>Bavois</v>
      </c>
      <c r="C220" s="52">
        <f>'B) D RI'!Y222</f>
        <v>123893.5</v>
      </c>
      <c r="D220" s="14">
        <f>'B) D RI'!Z222</f>
        <v>19841.95</v>
      </c>
      <c r="E220" s="14">
        <f t="shared" si="11"/>
        <v>143735.45000000001</v>
      </c>
      <c r="F220" s="14">
        <f>'B) D RI'!U222</f>
        <v>23930.083584474884</v>
      </c>
      <c r="G220" s="306">
        <f t="shared" si="9"/>
        <v>6.0064750502272055</v>
      </c>
      <c r="H220" s="75">
        <f t="shared" si="10"/>
        <v>67899.335000000006</v>
      </c>
    </row>
    <row r="221" spans="1:8" x14ac:dyDescent="0.25">
      <c r="A221" s="61">
        <f>'A) Base RI'!A223</f>
        <v>5747</v>
      </c>
      <c r="B221" s="124" t="str">
        <f>'A) Base RI'!B223</f>
        <v>Bofflens</v>
      </c>
      <c r="C221" s="52">
        <f>'B) D RI'!Y223</f>
        <v>13729.099999999999</v>
      </c>
      <c r="D221" s="14">
        <f>'B) D RI'!Z223</f>
        <v>0</v>
      </c>
      <c r="E221" s="14">
        <f t="shared" si="11"/>
        <v>13729.099999999999</v>
      </c>
      <c r="F221" s="14">
        <f>'B) D RI'!U223</f>
        <v>5183.441884057971</v>
      </c>
      <c r="G221" s="306">
        <f t="shared" si="9"/>
        <v>2.648645496002334</v>
      </c>
      <c r="H221" s="75">
        <f t="shared" si="10"/>
        <v>6864.5499999999993</v>
      </c>
    </row>
    <row r="222" spans="1:8" x14ac:dyDescent="0.25">
      <c r="A222" s="61">
        <f>'A) Base RI'!A224</f>
        <v>5748</v>
      </c>
      <c r="B222" s="124" t="str">
        <f>'A) Base RI'!B224</f>
        <v>Bretonnières</v>
      </c>
      <c r="C222" s="52">
        <f>'B) D RI'!Y224</f>
        <v>49222.7</v>
      </c>
      <c r="D222" s="14">
        <f>'B) D RI'!Z224</f>
        <v>4800.1499999999996</v>
      </c>
      <c r="E222" s="14">
        <f t="shared" si="11"/>
        <v>54022.85</v>
      </c>
      <c r="F222" s="14">
        <f>'B) D RI'!U224</f>
        <v>6140.8540277777784</v>
      </c>
      <c r="G222" s="306">
        <f t="shared" si="9"/>
        <v>8.7972861357118948</v>
      </c>
      <c r="H222" s="75">
        <f t="shared" si="10"/>
        <v>26051.394999999997</v>
      </c>
    </row>
    <row r="223" spans="1:8" x14ac:dyDescent="0.25">
      <c r="A223" s="61">
        <f>'A) Base RI'!A225</f>
        <v>5749</v>
      </c>
      <c r="B223" s="124" t="str">
        <f>'A) Base RI'!B225</f>
        <v>Chavornay</v>
      </c>
      <c r="C223" s="52">
        <f>'B) D RI'!Y225</f>
        <v>264989.10000000003</v>
      </c>
      <c r="D223" s="14">
        <f>'B) D RI'!Z225</f>
        <v>516705.7</v>
      </c>
      <c r="E223" s="14">
        <f t="shared" si="11"/>
        <v>781694.8</v>
      </c>
      <c r="F223" s="14">
        <f>'B) D RI'!U225</f>
        <v>110381.46250000001</v>
      </c>
      <c r="G223" s="306">
        <f t="shared" si="9"/>
        <v>7.0817579536962558</v>
      </c>
      <c r="H223" s="75">
        <f t="shared" si="10"/>
        <v>287506.26</v>
      </c>
    </row>
    <row r="224" spans="1:8" x14ac:dyDescent="0.25">
      <c r="A224" s="61">
        <f>'A) Base RI'!A226</f>
        <v>5750</v>
      </c>
      <c r="B224" s="124" t="str">
        <f>'A) Base RI'!B226</f>
        <v>Les Clées</v>
      </c>
      <c r="C224" s="52">
        <f>'B) D RI'!Y226</f>
        <v>6010.7</v>
      </c>
      <c r="D224" s="14">
        <f>'B) D RI'!Z226</f>
        <v>9325.7999999999993</v>
      </c>
      <c r="E224" s="14">
        <f t="shared" si="11"/>
        <v>15336.5</v>
      </c>
      <c r="F224" s="14">
        <f>'B) D RI'!U226</f>
        <v>4366.1146666666664</v>
      </c>
      <c r="G224" s="306">
        <f t="shared" si="9"/>
        <v>3.5126196105400807</v>
      </c>
      <c r="H224" s="75">
        <f t="shared" si="10"/>
        <v>5803.09</v>
      </c>
    </row>
    <row r="225" spans="1:8" x14ac:dyDescent="0.25">
      <c r="A225" s="61">
        <f>'A) Base RI'!A227</f>
        <v>5751</v>
      </c>
      <c r="B225" s="124" t="str">
        <f>'A) Base RI'!B227</f>
        <v>Corcelles-sur-Chavornay</v>
      </c>
      <c r="C225" s="52">
        <f>'B) D RI'!Y227</f>
        <v>61630.25</v>
      </c>
      <c r="D225" s="14">
        <f>'B) D RI'!Z227</f>
        <v>22301</v>
      </c>
      <c r="E225" s="14">
        <f t="shared" si="11"/>
        <v>83931.25</v>
      </c>
      <c r="F225" s="14">
        <f>'B) D RI'!U227</f>
        <v>8804.0960526315775</v>
      </c>
      <c r="G225" s="306">
        <f t="shared" si="9"/>
        <v>9.5332047149704415</v>
      </c>
      <c r="H225" s="75">
        <f t="shared" si="10"/>
        <v>37505.425000000003</v>
      </c>
    </row>
    <row r="226" spans="1:8" x14ac:dyDescent="0.25">
      <c r="A226" s="61">
        <f>'A) Base RI'!A228</f>
        <v>5752</v>
      </c>
      <c r="B226" s="124" t="str">
        <f>'A) Base RI'!B228</f>
        <v>Croy</v>
      </c>
      <c r="C226" s="52">
        <f>'B) D RI'!Y228</f>
        <v>71443.75</v>
      </c>
      <c r="D226" s="14">
        <f>'B) D RI'!Z228</f>
        <v>24819.55</v>
      </c>
      <c r="E226" s="14">
        <f t="shared" si="11"/>
        <v>96263.3</v>
      </c>
      <c r="F226" s="14">
        <f>'B) D RI'!U228</f>
        <v>14303.968204633204</v>
      </c>
      <c r="G226" s="306">
        <f t="shared" ref="G226:G272" si="12">E226/F226</f>
        <v>6.7298317937269552</v>
      </c>
      <c r="H226" s="75">
        <f t="shared" si="10"/>
        <v>43167.74</v>
      </c>
    </row>
    <row r="227" spans="1:8" x14ac:dyDescent="0.25">
      <c r="A227" s="61">
        <f>'A) Base RI'!A229</f>
        <v>5754</v>
      </c>
      <c r="B227" s="124" t="str">
        <f>'A) Base RI'!B229</f>
        <v>Juriens</v>
      </c>
      <c r="C227" s="52">
        <f>'B) D RI'!Y229</f>
        <v>33412.85</v>
      </c>
      <c r="D227" s="14">
        <f>'B) D RI'!Z229</f>
        <v>7180.45</v>
      </c>
      <c r="E227" s="14">
        <f t="shared" si="11"/>
        <v>40593.299999999996</v>
      </c>
      <c r="F227" s="14">
        <f>'B) D RI'!U229</f>
        <v>6475.8115189873415</v>
      </c>
      <c r="G227" s="306">
        <f t="shared" si="12"/>
        <v>6.2684498894044083</v>
      </c>
      <c r="H227" s="75">
        <f t="shared" ref="H227:H273" si="13">(C227*$C$4)+(D227*$D$4)</f>
        <v>18860.559999999998</v>
      </c>
    </row>
    <row r="228" spans="1:8" x14ac:dyDescent="0.25">
      <c r="A228" s="61">
        <f>'A) Base RI'!A230</f>
        <v>5755</v>
      </c>
      <c r="B228" s="124" t="str">
        <f>'A) Base RI'!B230</f>
        <v>Lignerolle</v>
      </c>
      <c r="C228" s="52">
        <f>'B) D RI'!Y230</f>
        <v>72499.649999999994</v>
      </c>
      <c r="D228" s="14">
        <f>'B) D RI'!Z230</f>
        <v>18380.650000000001</v>
      </c>
      <c r="E228" s="14">
        <f t="shared" si="11"/>
        <v>90880.299999999988</v>
      </c>
      <c r="F228" s="14">
        <f>'B) D RI'!U230</f>
        <v>8871.4906525573169</v>
      </c>
      <c r="G228" s="306">
        <f t="shared" si="12"/>
        <v>10.244084512877508</v>
      </c>
      <c r="H228" s="75">
        <f t="shared" si="13"/>
        <v>41764.019999999997</v>
      </c>
    </row>
    <row r="229" spans="1:8" x14ac:dyDescent="0.25">
      <c r="A229" s="61">
        <f>'A) Base RI'!A231</f>
        <v>5756</v>
      </c>
      <c r="B229" s="124" t="str">
        <f>'A) Base RI'!B231</f>
        <v>Montcherand</v>
      </c>
      <c r="C229" s="52">
        <f>'B) D RI'!Y231</f>
        <v>54942.45</v>
      </c>
      <c r="D229" s="14">
        <f>'B) D RI'!Z231</f>
        <v>20611.55</v>
      </c>
      <c r="E229" s="14">
        <f t="shared" si="11"/>
        <v>75554</v>
      </c>
      <c r="F229" s="14">
        <f>'B) D RI'!U231</f>
        <v>14808.245169082125</v>
      </c>
      <c r="G229" s="306">
        <f t="shared" si="12"/>
        <v>5.102157557314615</v>
      </c>
      <c r="H229" s="75">
        <f t="shared" si="13"/>
        <v>33654.689999999995</v>
      </c>
    </row>
    <row r="230" spans="1:8" x14ac:dyDescent="0.25">
      <c r="A230" s="61">
        <f>'A) Base RI'!A232</f>
        <v>5757</v>
      </c>
      <c r="B230" s="124" t="str">
        <f>'A) Base RI'!B232</f>
        <v>Orbe</v>
      </c>
      <c r="C230" s="52">
        <f>'B) D RI'!Y232</f>
        <v>772316.85</v>
      </c>
      <c r="D230" s="14">
        <f>'B) D RI'!Z232</f>
        <v>2824411.25</v>
      </c>
      <c r="E230" s="14">
        <f t="shared" si="11"/>
        <v>3596728.1</v>
      </c>
      <c r="F230" s="14">
        <f>'B) D RI'!U232</f>
        <v>210430.38166666671</v>
      </c>
      <c r="G230" s="306">
        <f t="shared" si="12"/>
        <v>17.0922471912702</v>
      </c>
      <c r="H230" s="75">
        <f t="shared" si="13"/>
        <v>1233481.8</v>
      </c>
    </row>
    <row r="231" spans="1:8" x14ac:dyDescent="0.25">
      <c r="A231" s="61">
        <f>'A) Base RI'!A233</f>
        <v>5758</v>
      </c>
      <c r="B231" s="124" t="str">
        <f>'A) Base RI'!B233</f>
        <v>La Praz</v>
      </c>
      <c r="C231" s="52">
        <f>'B) D RI'!Y233</f>
        <v>12651.35</v>
      </c>
      <c r="D231" s="14">
        <f>'B) D RI'!Z233</f>
        <v>0</v>
      </c>
      <c r="E231" s="14">
        <f t="shared" si="11"/>
        <v>12651.35</v>
      </c>
      <c r="F231" s="14">
        <f>'B) D RI'!U233</f>
        <v>3864.2083668005353</v>
      </c>
      <c r="G231" s="306">
        <f t="shared" si="12"/>
        <v>3.2739823526843073</v>
      </c>
      <c r="H231" s="75">
        <f t="shared" si="13"/>
        <v>6325.6750000000002</v>
      </c>
    </row>
    <row r="232" spans="1:8" x14ac:dyDescent="0.25">
      <c r="A232" s="61">
        <f>'A) Base RI'!A234</f>
        <v>5759</v>
      </c>
      <c r="B232" s="124" t="str">
        <f>'A) Base RI'!B234</f>
        <v>Premier</v>
      </c>
      <c r="C232" s="52">
        <f>'B) D RI'!Y234</f>
        <v>19229.650000000001</v>
      </c>
      <c r="D232" s="14">
        <f>'B) D RI'!Z234</f>
        <v>2753.1</v>
      </c>
      <c r="E232" s="14">
        <f t="shared" si="11"/>
        <v>21982.75</v>
      </c>
      <c r="F232" s="14">
        <f>'B) D RI'!U234</f>
        <v>4558.7250617283944</v>
      </c>
      <c r="G232" s="306">
        <f t="shared" si="12"/>
        <v>4.8221267355100075</v>
      </c>
      <c r="H232" s="75">
        <f t="shared" si="13"/>
        <v>10440.755000000001</v>
      </c>
    </row>
    <row r="233" spans="1:8" x14ac:dyDescent="0.25">
      <c r="A233" s="61">
        <f>'A) Base RI'!A235</f>
        <v>5760</v>
      </c>
      <c r="B233" s="124" t="str">
        <f>'A) Base RI'!B235</f>
        <v>Rances</v>
      </c>
      <c r="C233" s="52">
        <f>'B) D RI'!Y235</f>
        <v>45669.05</v>
      </c>
      <c r="D233" s="14">
        <f>'B) D RI'!Z235</f>
        <v>7957.9</v>
      </c>
      <c r="E233" s="14">
        <f t="shared" si="11"/>
        <v>53626.950000000004</v>
      </c>
      <c r="F233" s="14">
        <f>'B) D RI'!U235</f>
        <v>11470.274871794873</v>
      </c>
      <c r="G233" s="306">
        <f t="shared" si="12"/>
        <v>4.6752977238468256</v>
      </c>
      <c r="H233" s="75">
        <f t="shared" si="13"/>
        <v>25221.895</v>
      </c>
    </row>
    <row r="234" spans="1:8" x14ac:dyDescent="0.25">
      <c r="A234" s="61">
        <f>'A) Base RI'!A236</f>
        <v>5761</v>
      </c>
      <c r="B234" s="124" t="str">
        <f>'A) Base RI'!B236</f>
        <v>Romainmôtier-Envy</v>
      </c>
      <c r="C234" s="52">
        <f>'B) D RI'!Y236</f>
        <v>56429.2</v>
      </c>
      <c r="D234" s="14">
        <f>'B) D RI'!Z236</f>
        <v>48393.15</v>
      </c>
      <c r="E234" s="14">
        <f t="shared" si="11"/>
        <v>104822.35</v>
      </c>
      <c r="F234" s="14">
        <f>'B) D RI'!U236</f>
        <v>11347.35572368421</v>
      </c>
      <c r="G234" s="306">
        <f t="shared" si="12"/>
        <v>9.237601477603695</v>
      </c>
      <c r="H234" s="75">
        <f t="shared" si="13"/>
        <v>42732.544999999998</v>
      </c>
    </row>
    <row r="235" spans="1:8" x14ac:dyDescent="0.25">
      <c r="A235" s="61">
        <f>'A) Base RI'!A237</f>
        <v>5762</v>
      </c>
      <c r="B235" s="124" t="str">
        <f>'A) Base RI'!B237</f>
        <v>Sergey</v>
      </c>
      <c r="C235" s="52">
        <f>'B) D RI'!Y237</f>
        <v>0</v>
      </c>
      <c r="D235" s="14">
        <f>'B) D RI'!Z237</f>
        <v>4150.2</v>
      </c>
      <c r="E235" s="14">
        <f t="shared" si="11"/>
        <v>4150.2</v>
      </c>
      <c r="F235" s="14">
        <f>'B) D RI'!U237</f>
        <v>3104.8092592592593</v>
      </c>
      <c r="G235" s="306">
        <f t="shared" si="12"/>
        <v>1.3367004712521851</v>
      </c>
      <c r="H235" s="75">
        <f t="shared" si="13"/>
        <v>1245.06</v>
      </c>
    </row>
    <row r="236" spans="1:8" x14ac:dyDescent="0.25">
      <c r="A236" s="61">
        <f>'A) Base RI'!A238</f>
        <v>5763</v>
      </c>
      <c r="B236" s="124" t="str">
        <f>'A) Base RI'!B238</f>
        <v>Valeyres-sous-Rances</v>
      </c>
      <c r="C236" s="52">
        <f>'B) D RI'!Y238</f>
        <v>66565.149999999994</v>
      </c>
      <c r="D236" s="14">
        <f>'B) D RI'!Z238</f>
        <v>80286.55</v>
      </c>
      <c r="E236" s="14">
        <f t="shared" si="11"/>
        <v>146851.70000000001</v>
      </c>
      <c r="F236" s="14">
        <f>'B) D RI'!U238</f>
        <v>16129.151764705883</v>
      </c>
      <c r="G236" s="306">
        <f t="shared" si="12"/>
        <v>9.1047379392475989</v>
      </c>
      <c r="H236" s="75">
        <f t="shared" si="13"/>
        <v>57368.539999999994</v>
      </c>
    </row>
    <row r="237" spans="1:8" x14ac:dyDescent="0.25">
      <c r="A237" s="61">
        <f>'A) Base RI'!A239</f>
        <v>5764</v>
      </c>
      <c r="B237" s="124" t="str">
        <f>'A) Base RI'!B239</f>
        <v>Vallorbe</v>
      </c>
      <c r="C237" s="52">
        <f>'B) D RI'!Y239</f>
        <v>323613.5</v>
      </c>
      <c r="D237" s="14">
        <f>'B) D RI'!Z239</f>
        <v>2510152.4500000002</v>
      </c>
      <c r="E237" s="14">
        <f t="shared" si="11"/>
        <v>2833765.95</v>
      </c>
      <c r="F237" s="14">
        <f>'B) D RI'!U239</f>
        <v>84393.993513513502</v>
      </c>
      <c r="G237" s="306">
        <f t="shared" si="12"/>
        <v>33.577815576961008</v>
      </c>
      <c r="H237" s="75">
        <f t="shared" si="13"/>
        <v>914852.48499999999</v>
      </c>
    </row>
    <row r="238" spans="1:8" x14ac:dyDescent="0.25">
      <c r="A238" s="61">
        <f>'A) Base RI'!A240</f>
        <v>5765</v>
      </c>
      <c r="B238" s="124" t="str">
        <f>'A) Base RI'!B240</f>
        <v>Vaulion</v>
      </c>
      <c r="C238" s="52">
        <f>'B) D RI'!Y240</f>
        <v>86051.549999999988</v>
      </c>
      <c r="D238" s="14">
        <f>'B) D RI'!Z240</f>
        <v>48456.65</v>
      </c>
      <c r="E238" s="14">
        <f t="shared" si="11"/>
        <v>134508.19999999998</v>
      </c>
      <c r="F238" s="14">
        <f>'B) D RI'!U240</f>
        <v>9305.5603703703709</v>
      </c>
      <c r="G238" s="306">
        <f t="shared" si="12"/>
        <v>14.454605058313797</v>
      </c>
      <c r="H238" s="75">
        <f t="shared" si="13"/>
        <v>57562.77</v>
      </c>
    </row>
    <row r="239" spans="1:8" x14ac:dyDescent="0.25">
      <c r="A239" s="61">
        <f>'A) Base RI'!A241</f>
        <v>5766</v>
      </c>
      <c r="B239" s="124" t="str">
        <f>'A) Base RI'!B241</f>
        <v>Vuiteboeuf</v>
      </c>
      <c r="C239" s="52">
        <f>'B) D RI'!Y241</f>
        <v>65007.15</v>
      </c>
      <c r="D239" s="14">
        <f>'B) D RI'!Z241</f>
        <v>24719.4</v>
      </c>
      <c r="E239" s="14">
        <f t="shared" si="11"/>
        <v>89726.55</v>
      </c>
      <c r="F239" s="14">
        <f>'B) D RI'!U241</f>
        <v>11614.965899814471</v>
      </c>
      <c r="G239" s="306">
        <f t="shared" si="12"/>
        <v>7.7250807943769537</v>
      </c>
      <c r="H239" s="75">
        <f t="shared" si="13"/>
        <v>39919.395000000004</v>
      </c>
    </row>
    <row r="240" spans="1:8" x14ac:dyDescent="0.25">
      <c r="A240" s="61">
        <f>'A) Base RI'!A242</f>
        <v>5782</v>
      </c>
      <c r="B240" s="124" t="str">
        <f>'A) Base RI'!B242</f>
        <v>Carrouge</v>
      </c>
      <c r="C240" s="52">
        <f>'B) D RI'!Y242</f>
        <v>226450.5</v>
      </c>
      <c r="D240" s="14">
        <f>'B) D RI'!Z242</f>
        <v>7124.4</v>
      </c>
      <c r="E240" s="14">
        <f t="shared" si="11"/>
        <v>233574.9</v>
      </c>
      <c r="F240" s="14">
        <f>'B) D RI'!U242</f>
        <v>30069.638421052627</v>
      </c>
      <c r="G240" s="306">
        <f t="shared" si="12"/>
        <v>7.7677987586464434</v>
      </c>
      <c r="H240" s="75">
        <f t="shared" si="13"/>
        <v>115362.57</v>
      </c>
    </row>
    <row r="241" spans="1:8" x14ac:dyDescent="0.25">
      <c r="A241" s="61">
        <f>'A) Base RI'!A243</f>
        <v>5785</v>
      </c>
      <c r="B241" s="124" t="str">
        <f>'A) Base RI'!B243</f>
        <v>Corcelles-le-Jorat</v>
      </c>
      <c r="C241" s="52">
        <f>'B) D RI'!Y243</f>
        <v>38949.35</v>
      </c>
      <c r="D241" s="14">
        <f>'B) D RI'!Z243</f>
        <v>2882.75</v>
      </c>
      <c r="E241" s="14">
        <f t="shared" si="11"/>
        <v>41832.1</v>
      </c>
      <c r="F241" s="14">
        <f>'B) D RI'!U243</f>
        <v>12293.058354430379</v>
      </c>
      <c r="G241" s="306">
        <f t="shared" si="12"/>
        <v>3.402904207716857</v>
      </c>
      <c r="H241" s="75">
        <f t="shared" si="13"/>
        <v>20339.5</v>
      </c>
    </row>
    <row r="242" spans="1:8" x14ac:dyDescent="0.25">
      <c r="A242" s="61">
        <f>'A) Base RI'!A244</f>
        <v>5788</v>
      </c>
      <c r="B242" s="124" t="str">
        <f>'A) Base RI'!B244</f>
        <v>Essertes</v>
      </c>
      <c r="C242" s="52">
        <f>'B) D RI'!Y244</f>
        <v>43436.95</v>
      </c>
      <c r="D242" s="14">
        <f>'B) D RI'!Z244</f>
        <v>0</v>
      </c>
      <c r="E242" s="14">
        <f t="shared" si="11"/>
        <v>43436.95</v>
      </c>
      <c r="F242" s="14">
        <f>'B) D RI'!U244</f>
        <v>10412.319857142857</v>
      </c>
      <c r="G242" s="306">
        <f t="shared" si="12"/>
        <v>4.1716880191883678</v>
      </c>
      <c r="H242" s="75">
        <f t="shared" si="13"/>
        <v>21718.474999999999</v>
      </c>
    </row>
    <row r="243" spans="1:8" x14ac:dyDescent="0.25">
      <c r="A243" s="61">
        <f>'A) Base RI'!A245</f>
        <v>5789</v>
      </c>
      <c r="B243" s="124" t="str">
        <f>'A) Base RI'!B245</f>
        <v>Ferlens</v>
      </c>
      <c r="C243" s="52">
        <f>'B) D RI'!Y245</f>
        <v>63638.400000000001</v>
      </c>
      <c r="D243" s="14">
        <f>'B) D RI'!Z245</f>
        <v>0</v>
      </c>
      <c r="E243" s="14">
        <f t="shared" si="11"/>
        <v>63638.400000000001</v>
      </c>
      <c r="F243" s="14">
        <f>'B) D RI'!U245</f>
        <v>10073.464805194806</v>
      </c>
      <c r="G243" s="306">
        <f t="shared" si="12"/>
        <v>6.3174291299635241</v>
      </c>
      <c r="H243" s="75">
        <f t="shared" si="13"/>
        <v>31819.200000000001</v>
      </c>
    </row>
    <row r="244" spans="1:8" x14ac:dyDescent="0.25">
      <c r="A244" s="61">
        <f>'A) Base RI'!A246</f>
        <v>5790</v>
      </c>
      <c r="B244" s="124" t="str">
        <f>'A) Base RI'!B246</f>
        <v>Maracon</v>
      </c>
      <c r="C244" s="52">
        <f>'B) D RI'!Y246</f>
        <v>215312.75</v>
      </c>
      <c r="D244" s="14">
        <f>'B) D RI'!Z246</f>
        <v>0</v>
      </c>
      <c r="E244" s="14">
        <f t="shared" si="11"/>
        <v>215312.75</v>
      </c>
      <c r="F244" s="14">
        <f>'B) D RI'!U246</f>
        <v>12107.709078947366</v>
      </c>
      <c r="G244" s="306">
        <f t="shared" si="12"/>
        <v>17.783112279628632</v>
      </c>
      <c r="H244" s="75">
        <f t="shared" si="13"/>
        <v>107656.375</v>
      </c>
    </row>
    <row r="245" spans="1:8" x14ac:dyDescent="0.25">
      <c r="A245" s="61">
        <f>'A) Base RI'!A247</f>
        <v>5791</v>
      </c>
      <c r="B245" s="124" t="str">
        <f>'A) Base RI'!B247</f>
        <v>Mézières</v>
      </c>
      <c r="C245" s="52">
        <f>'B) D RI'!Y247</f>
        <v>138336.95000000001</v>
      </c>
      <c r="D245" s="14">
        <f>'B) D RI'!Z247</f>
        <v>9575.35</v>
      </c>
      <c r="E245" s="14">
        <f t="shared" si="11"/>
        <v>147912.30000000002</v>
      </c>
      <c r="F245" s="14">
        <f>'B) D RI'!U247</f>
        <v>42914.858070175447</v>
      </c>
      <c r="G245" s="306">
        <f t="shared" si="12"/>
        <v>3.4466454428936975</v>
      </c>
      <c r="H245" s="75">
        <f t="shared" si="13"/>
        <v>72041.08</v>
      </c>
    </row>
    <row r="246" spans="1:8" x14ac:dyDescent="0.25">
      <c r="A246" s="61">
        <f>'A) Base RI'!A248</f>
        <v>5792</v>
      </c>
      <c r="B246" s="124" t="str">
        <f>'A) Base RI'!B248</f>
        <v>Montpreveyres</v>
      </c>
      <c r="C246" s="52">
        <f>'B) D RI'!Y248</f>
        <v>56701.85</v>
      </c>
      <c r="D246" s="14">
        <f>'B) D RI'!Z248</f>
        <v>2352.5500000000002</v>
      </c>
      <c r="E246" s="14">
        <f t="shared" si="11"/>
        <v>59054.400000000001</v>
      </c>
      <c r="F246" s="14">
        <f>'B) D RI'!U248</f>
        <v>19088.494155844161</v>
      </c>
      <c r="G246" s="306">
        <f t="shared" si="12"/>
        <v>3.0937170589708263</v>
      </c>
      <c r="H246" s="75">
        <f t="shared" si="13"/>
        <v>29056.69</v>
      </c>
    </row>
    <row r="247" spans="1:8" x14ac:dyDescent="0.25">
      <c r="A247" s="61">
        <f>'A) Base RI'!A249</f>
        <v>5798</v>
      </c>
      <c r="B247" s="124" t="str">
        <f>'A) Base RI'!B249</f>
        <v>Ropraz</v>
      </c>
      <c r="C247" s="52">
        <f>'B) D RI'!Y249</f>
        <v>86734.55</v>
      </c>
      <c r="D247" s="14">
        <f>'B) D RI'!Z249</f>
        <v>0</v>
      </c>
      <c r="E247" s="14">
        <f t="shared" si="11"/>
        <v>86734.55</v>
      </c>
      <c r="F247" s="14">
        <f>'B) D RI'!U249</f>
        <v>9558.3067096774193</v>
      </c>
      <c r="G247" s="306">
        <f t="shared" si="12"/>
        <v>9.0742589283292823</v>
      </c>
      <c r="H247" s="75">
        <f t="shared" si="13"/>
        <v>43367.275000000001</v>
      </c>
    </row>
    <row r="248" spans="1:8" x14ac:dyDescent="0.25">
      <c r="A248" s="61">
        <f>'A) Base RI'!A250</f>
        <v>5799</v>
      </c>
      <c r="B248" s="124" t="str">
        <f>'A) Base RI'!B250</f>
        <v>Servion</v>
      </c>
      <c r="C248" s="52">
        <f>'B) D RI'!Y250</f>
        <v>480607.54999999993</v>
      </c>
      <c r="D248" s="14">
        <f>'B) D RI'!Z250</f>
        <v>12106.1</v>
      </c>
      <c r="E248" s="14">
        <f t="shared" si="11"/>
        <v>492713.64999999991</v>
      </c>
      <c r="F248" s="14">
        <f>'B) D RI'!U250</f>
        <v>51366.477681159435</v>
      </c>
      <c r="G248" s="306">
        <f t="shared" si="12"/>
        <v>9.5921245186083866</v>
      </c>
      <c r="H248" s="75">
        <f t="shared" si="13"/>
        <v>243935.60499999995</v>
      </c>
    </row>
    <row r="249" spans="1:8" x14ac:dyDescent="0.25">
      <c r="A249" s="61">
        <f>'A) Base RI'!A251</f>
        <v>5803</v>
      </c>
      <c r="B249" s="124" t="str">
        <f>'A) Base RI'!B251</f>
        <v>Vulliens</v>
      </c>
      <c r="C249" s="52">
        <f>'B) D RI'!Y251</f>
        <v>173093.5</v>
      </c>
      <c r="D249" s="14">
        <f>'B) D RI'!Z251</f>
        <v>0</v>
      </c>
      <c r="E249" s="14">
        <f t="shared" si="11"/>
        <v>173093.5</v>
      </c>
      <c r="F249" s="14">
        <f>'B) D RI'!U251</f>
        <v>12589.149382716048</v>
      </c>
      <c r="G249" s="306">
        <f t="shared" si="12"/>
        <v>13.749419816849922</v>
      </c>
      <c r="H249" s="75">
        <f t="shared" si="13"/>
        <v>86546.75</v>
      </c>
    </row>
    <row r="250" spans="1:8" x14ac:dyDescent="0.25">
      <c r="A250" s="61">
        <f>'A) Base RI'!A252</f>
        <v>5804</v>
      </c>
      <c r="B250" s="124" t="str">
        <f>'A) Base RI'!B252</f>
        <v>Jorat-Menthue</v>
      </c>
      <c r="C250" s="52">
        <f>'B) D RI'!Y252</f>
        <v>226479.9</v>
      </c>
      <c r="D250" s="14">
        <f>'B) D RI'!Z252</f>
        <v>11176.1</v>
      </c>
      <c r="E250" s="14">
        <f t="shared" si="11"/>
        <v>237656</v>
      </c>
      <c r="F250" s="14">
        <f>'B) D RI'!U252</f>
        <v>41163.666944444441</v>
      </c>
      <c r="G250" s="306">
        <f>E250/F250</f>
        <v>5.7734409405446492</v>
      </c>
      <c r="H250" s="75">
        <f>(C250*$C$4)+(D250*$D$4)</f>
        <v>116592.78</v>
      </c>
    </row>
    <row r="251" spans="1:8" x14ac:dyDescent="0.25">
      <c r="A251" s="61">
        <f>'A) Base RI'!A253</f>
        <v>5805</v>
      </c>
      <c r="B251" s="124" t="str">
        <f>'A) Base RI'!B253</f>
        <v>Oron</v>
      </c>
      <c r="C251" s="52">
        <f>'B) D RI'!Y253</f>
        <v>884123.5</v>
      </c>
      <c r="D251" s="14">
        <f>'B) D RI'!Z253</f>
        <v>64015.55</v>
      </c>
      <c r="E251" s="14">
        <f t="shared" si="11"/>
        <v>948139.05</v>
      </c>
      <c r="F251" s="14">
        <f>'B) D RI'!U253</f>
        <v>146504.50986824767</v>
      </c>
      <c r="G251" s="306">
        <f>E251/F251</f>
        <v>6.4717396812744319</v>
      </c>
      <c r="H251" s="75">
        <f>(C251*$C$4)+(D251*$D$4)</f>
        <v>461266.41499999998</v>
      </c>
    </row>
    <row r="252" spans="1:8" x14ac:dyDescent="0.25">
      <c r="A252" s="61">
        <f>'A) Base RI'!A254</f>
        <v>5812</v>
      </c>
      <c r="B252" s="124" t="str">
        <f>'A) Base RI'!B254</f>
        <v>Champtauroz</v>
      </c>
      <c r="C252" s="52">
        <f>'B) D RI'!Y254</f>
        <v>35076.6</v>
      </c>
      <c r="D252" s="14">
        <f>'B) D RI'!Z254</f>
        <v>0</v>
      </c>
      <c r="E252" s="14">
        <f t="shared" si="11"/>
        <v>35076.6</v>
      </c>
      <c r="F252" s="14">
        <f>'B) D RI'!U254</f>
        <v>2420.1879870129869</v>
      </c>
      <c r="G252" s="306">
        <f t="shared" si="12"/>
        <v>14.493336959040024</v>
      </c>
      <c r="H252" s="75">
        <f t="shared" si="13"/>
        <v>17538.3</v>
      </c>
    </row>
    <row r="253" spans="1:8" x14ac:dyDescent="0.25">
      <c r="A253" s="61">
        <f>'A) Base RI'!A255</f>
        <v>5813</v>
      </c>
      <c r="B253" s="124" t="str">
        <f>'A) Base RI'!B255</f>
        <v>Chevroux</v>
      </c>
      <c r="C253" s="52">
        <f>'B) D RI'!Y255</f>
        <v>66435.199999999997</v>
      </c>
      <c r="D253" s="14">
        <f>'B) D RI'!Z255</f>
        <v>0</v>
      </c>
      <c r="E253" s="14">
        <f t="shared" si="11"/>
        <v>66435.199999999997</v>
      </c>
      <c r="F253" s="14">
        <f>'B) D RI'!U255</f>
        <v>11590.298571428571</v>
      </c>
      <c r="G253" s="306">
        <f t="shared" si="12"/>
        <v>5.7319662293920937</v>
      </c>
      <c r="H253" s="75">
        <f t="shared" si="13"/>
        <v>33217.599999999999</v>
      </c>
    </row>
    <row r="254" spans="1:8" x14ac:dyDescent="0.25">
      <c r="A254" s="61">
        <f>'A) Base RI'!A256</f>
        <v>5816</v>
      </c>
      <c r="B254" s="124" t="str">
        <f>'A) Base RI'!B256</f>
        <v>Corcelles-près-Payerne</v>
      </c>
      <c r="C254" s="52">
        <f>'B) D RI'!Y256</f>
        <v>476464.1</v>
      </c>
      <c r="D254" s="14">
        <f>'B) D RI'!Z256</f>
        <v>7755.25</v>
      </c>
      <c r="E254" s="14">
        <f t="shared" si="11"/>
        <v>484219.35</v>
      </c>
      <c r="F254" s="14">
        <f>'B) D RI'!U256</f>
        <v>52953.608154761903</v>
      </c>
      <c r="G254" s="306">
        <f t="shared" si="12"/>
        <v>9.144218248260314</v>
      </c>
      <c r="H254" s="75">
        <f t="shared" si="13"/>
        <v>240558.625</v>
      </c>
    </row>
    <row r="255" spans="1:8" x14ac:dyDescent="0.25">
      <c r="A255" s="61">
        <f>'A) Base RI'!A257</f>
        <v>5817</v>
      </c>
      <c r="B255" s="124" t="str">
        <f>'A) Base RI'!B257</f>
        <v>Grandcour</v>
      </c>
      <c r="C255" s="52">
        <f>'B) D RI'!Y257</f>
        <v>80139.05</v>
      </c>
      <c r="D255" s="14">
        <f>'B) D RI'!Z257</f>
        <v>0</v>
      </c>
      <c r="E255" s="14">
        <f t="shared" si="11"/>
        <v>80139.05</v>
      </c>
      <c r="F255" s="14">
        <f>'B) D RI'!U257</f>
        <v>20895.78968553459</v>
      </c>
      <c r="G255" s="306">
        <f t="shared" si="12"/>
        <v>3.8351769043443911</v>
      </c>
      <c r="H255" s="75">
        <f t="shared" si="13"/>
        <v>40069.525000000001</v>
      </c>
    </row>
    <row r="256" spans="1:8" x14ac:dyDescent="0.25">
      <c r="A256" s="61">
        <f>'A) Base RI'!A258</f>
        <v>5819</v>
      </c>
      <c r="B256" s="124" t="str">
        <f>'A) Base RI'!B258</f>
        <v>Henniez</v>
      </c>
      <c r="C256" s="52">
        <f>'B) D RI'!Y258</f>
        <v>37104.65</v>
      </c>
      <c r="D256" s="14">
        <f>'B) D RI'!Z258</f>
        <v>21737.15</v>
      </c>
      <c r="E256" s="14">
        <f t="shared" si="11"/>
        <v>58841.8</v>
      </c>
      <c r="F256" s="14">
        <f>'B) D RI'!U258</f>
        <v>13106.979402985076</v>
      </c>
      <c r="G256" s="306">
        <f t="shared" si="12"/>
        <v>4.4893486279988322</v>
      </c>
      <c r="H256" s="75">
        <f t="shared" si="13"/>
        <v>25073.47</v>
      </c>
    </row>
    <row r="257" spans="1:8" x14ac:dyDescent="0.25">
      <c r="A257" s="61">
        <f>'A) Base RI'!A259</f>
        <v>5821</v>
      </c>
      <c r="B257" s="124" t="str">
        <f>'A) Base RI'!B259</f>
        <v>Missy</v>
      </c>
      <c r="C257" s="52">
        <f>'B) D RI'!Y259</f>
        <v>97142.299999999988</v>
      </c>
      <c r="D257" s="14">
        <f>'B) D RI'!Z259</f>
        <v>0</v>
      </c>
      <c r="E257" s="14">
        <f t="shared" si="11"/>
        <v>97142.299999999988</v>
      </c>
      <c r="F257" s="14">
        <f>'B) D RI'!U259</f>
        <v>7313.8070833333331</v>
      </c>
      <c r="G257" s="306">
        <f t="shared" si="12"/>
        <v>13.282042976135831</v>
      </c>
      <c r="H257" s="75">
        <f t="shared" si="13"/>
        <v>48571.149999999994</v>
      </c>
    </row>
    <row r="258" spans="1:8" x14ac:dyDescent="0.25">
      <c r="A258" s="61">
        <f>'A) Base RI'!A260</f>
        <v>5822</v>
      </c>
      <c r="B258" s="124" t="str">
        <f>'A) Base RI'!B260</f>
        <v>Payerne</v>
      </c>
      <c r="C258" s="52">
        <f>'B) D RI'!Y260</f>
        <v>1340977.8999999999</v>
      </c>
      <c r="D258" s="14">
        <f>'B) D RI'!Z260</f>
        <v>48080.9</v>
      </c>
      <c r="E258" s="14">
        <f t="shared" si="11"/>
        <v>1389058.7999999998</v>
      </c>
      <c r="F258" s="14">
        <f>'B) D RI'!U260</f>
        <v>224445.50853333328</v>
      </c>
      <c r="G258" s="306">
        <f t="shared" si="12"/>
        <v>6.1888465003241766</v>
      </c>
      <c r="H258" s="75">
        <f t="shared" si="13"/>
        <v>684913.22</v>
      </c>
    </row>
    <row r="259" spans="1:8" x14ac:dyDescent="0.25">
      <c r="A259" s="61">
        <f>'A) Base RI'!A261</f>
        <v>5827</v>
      </c>
      <c r="B259" s="124" t="str">
        <f>'A) Base RI'!B261</f>
        <v>Trey</v>
      </c>
      <c r="C259" s="52">
        <f>'B) D RI'!Y261</f>
        <v>45689.8</v>
      </c>
      <c r="D259" s="14">
        <f>'B) D RI'!Z261</f>
        <v>10533.4</v>
      </c>
      <c r="E259" s="14">
        <f t="shared" si="11"/>
        <v>56223.200000000004</v>
      </c>
      <c r="F259" s="14">
        <f>'B) D RI'!U261</f>
        <v>6544.3336250000011</v>
      </c>
      <c r="G259" s="306">
        <f t="shared" si="12"/>
        <v>8.5911268009353652</v>
      </c>
      <c r="H259" s="75">
        <f t="shared" si="13"/>
        <v>26004.920000000002</v>
      </c>
    </row>
    <row r="260" spans="1:8" x14ac:dyDescent="0.25">
      <c r="A260" s="61">
        <f>'A) Base RI'!A262</f>
        <v>5828</v>
      </c>
      <c r="B260" s="124" t="str">
        <f>'A) Base RI'!B262</f>
        <v>Treytorrens (Payerne)</v>
      </c>
      <c r="C260" s="52">
        <f>'B) D RI'!Y262</f>
        <v>16298.25</v>
      </c>
      <c r="D260" s="14">
        <f>'B) D RI'!Z262</f>
        <v>0</v>
      </c>
      <c r="E260" s="14">
        <f t="shared" si="11"/>
        <v>16298.25</v>
      </c>
      <c r="F260" s="14">
        <f>'B) D RI'!U262</f>
        <v>2136.5168650793653</v>
      </c>
      <c r="G260" s="306">
        <f t="shared" si="12"/>
        <v>7.6284209436346142</v>
      </c>
      <c r="H260" s="75">
        <f t="shared" si="13"/>
        <v>8149.125</v>
      </c>
    </row>
    <row r="261" spans="1:8" x14ac:dyDescent="0.25">
      <c r="A261" s="61">
        <f>'A) Base RI'!A263</f>
        <v>5830</v>
      </c>
      <c r="B261" s="124" t="str">
        <f>'A) Base RI'!B263</f>
        <v>Villarzel</v>
      </c>
      <c r="C261" s="52">
        <f>'B) D RI'!Y263</f>
        <v>31459.05</v>
      </c>
      <c r="D261" s="14">
        <f>'B) D RI'!Z263</f>
        <v>0</v>
      </c>
      <c r="E261" s="14">
        <f t="shared" ref="E261:E322" si="14">C261+D261</f>
        <v>31459.05</v>
      </c>
      <c r="F261" s="14">
        <f>'B) D RI'!U263</f>
        <v>10236.981518987341</v>
      </c>
      <c r="G261" s="306">
        <f t="shared" si="12"/>
        <v>3.0730787138425919</v>
      </c>
      <c r="H261" s="75">
        <f t="shared" si="13"/>
        <v>15729.525</v>
      </c>
    </row>
    <row r="262" spans="1:8" x14ac:dyDescent="0.25">
      <c r="A262" s="61">
        <f>'A) Base RI'!A264</f>
        <v>5831</v>
      </c>
      <c r="B262" s="124" t="str">
        <f>'A) Base RI'!B264</f>
        <v>Valbroye</v>
      </c>
      <c r="C262" s="52">
        <f>'B) D RI'!Y264</f>
        <v>209490.15000000002</v>
      </c>
      <c r="D262" s="14">
        <f>'B) D RI'!Z264</f>
        <v>15624.5</v>
      </c>
      <c r="E262" s="14">
        <f t="shared" si="14"/>
        <v>225114.65000000002</v>
      </c>
      <c r="F262" s="14">
        <f>'B) D RI'!U264</f>
        <v>78037.716438356161</v>
      </c>
      <c r="G262" s="306">
        <f>E262/F262</f>
        <v>2.8846903814493778</v>
      </c>
      <c r="H262" s="75">
        <f>(C262*$C$4)+(D262*$D$4)</f>
        <v>109432.42500000002</v>
      </c>
    </row>
    <row r="263" spans="1:8" x14ac:dyDescent="0.25">
      <c r="A263" s="61">
        <f>'A) Base RI'!A265</f>
        <v>5841</v>
      </c>
      <c r="B263" s="124" t="str">
        <f>'A) Base RI'!B265</f>
        <v>Château-d'Oex</v>
      </c>
      <c r="C263" s="52">
        <f>'B) D RI'!Y265</f>
        <v>1187069.2999999998</v>
      </c>
      <c r="D263" s="14">
        <f>'B) D RI'!Z265</f>
        <v>6542.25</v>
      </c>
      <c r="E263" s="14">
        <f t="shared" si="14"/>
        <v>1193611.5499999998</v>
      </c>
      <c r="F263" s="14">
        <f>'B) D RI'!U265</f>
        <v>107525.73574297188</v>
      </c>
      <c r="G263" s="306">
        <f>E263/F263</f>
        <v>11.100705721774304</v>
      </c>
      <c r="H263" s="75">
        <f>(C263*$C$4)+(D263*$D$4)</f>
        <v>595497.32499999995</v>
      </c>
    </row>
    <row r="264" spans="1:8" x14ac:dyDescent="0.25">
      <c r="A264" s="61">
        <f>'A) Base RI'!A266</f>
        <v>5842</v>
      </c>
      <c r="B264" s="124" t="str">
        <f>'A) Base RI'!B266</f>
        <v>Rossinière</v>
      </c>
      <c r="C264" s="52">
        <f>'B) D RI'!Y266</f>
        <v>66096.350000000006</v>
      </c>
      <c r="D264" s="14">
        <f>'B) D RI'!Z266</f>
        <v>0</v>
      </c>
      <c r="E264" s="14">
        <f t="shared" si="14"/>
        <v>66096.350000000006</v>
      </c>
      <c r="F264" s="14">
        <f>'B) D RI'!U266</f>
        <v>16554.125349794238</v>
      </c>
      <c r="G264" s="306">
        <f t="shared" si="12"/>
        <v>3.9927419059214482</v>
      </c>
      <c r="H264" s="75">
        <f t="shared" si="13"/>
        <v>33048.175000000003</v>
      </c>
    </row>
    <row r="265" spans="1:8" x14ac:dyDescent="0.25">
      <c r="A265" s="61">
        <f>'A) Base RI'!A267</f>
        <v>5843</v>
      </c>
      <c r="B265" s="124" t="str">
        <f>'A) Base RI'!B267</f>
        <v>Rougemont</v>
      </c>
      <c r="C265" s="52">
        <f>'B) D RI'!Y267</f>
        <v>2124883.8499999996</v>
      </c>
      <c r="D265" s="14">
        <f>'B) D RI'!Z267</f>
        <v>0</v>
      </c>
      <c r="E265" s="14">
        <f t="shared" si="14"/>
        <v>2124883.8499999996</v>
      </c>
      <c r="F265" s="14">
        <f>'B) D RI'!U267</f>
        <v>92297.453816425128</v>
      </c>
      <c r="G265" s="306">
        <f t="shared" si="12"/>
        <v>23.022128586843618</v>
      </c>
      <c r="H265" s="75">
        <f t="shared" si="13"/>
        <v>1062441.9249999998</v>
      </c>
    </row>
    <row r="266" spans="1:8" x14ac:dyDescent="0.25">
      <c r="A266" s="61">
        <f>'A) Base RI'!A268</f>
        <v>5851</v>
      </c>
      <c r="B266" s="124" t="str">
        <f>'A) Base RI'!B268</f>
        <v>Allaman</v>
      </c>
      <c r="C266" s="52">
        <f>'B) D RI'!Y268</f>
        <v>-502829.19999999995</v>
      </c>
      <c r="D266" s="14">
        <f>'B) D RI'!Z268</f>
        <v>37241.65</v>
      </c>
      <c r="E266" s="14">
        <f t="shared" si="14"/>
        <v>-465587.54999999993</v>
      </c>
      <c r="F266" s="14">
        <f>'B) D RI'!U268</f>
        <v>26311.895293255133</v>
      </c>
      <c r="G266" s="306">
        <f t="shared" si="12"/>
        <v>-17.69494537777938</v>
      </c>
      <c r="H266" s="75">
        <f t="shared" si="13"/>
        <v>-240242.10499999998</v>
      </c>
    </row>
    <row r="267" spans="1:8" x14ac:dyDescent="0.25">
      <c r="A267" s="61">
        <f>'A) Base RI'!A269</f>
        <v>5852</v>
      </c>
      <c r="B267" s="124" t="str">
        <f>'A) Base RI'!B269</f>
        <v>Bursinel</v>
      </c>
      <c r="C267" s="52">
        <f>'B) D RI'!Y269</f>
        <v>236014.65</v>
      </c>
      <c r="D267" s="14">
        <f>'B) D RI'!Z269</f>
        <v>8016.75</v>
      </c>
      <c r="E267" s="14">
        <f t="shared" si="14"/>
        <v>244031.4</v>
      </c>
      <c r="F267" s="14">
        <f>'B) D RI'!U269</f>
        <v>31632.546141732284</v>
      </c>
      <c r="G267" s="306">
        <f t="shared" si="12"/>
        <v>7.7145671077692191</v>
      </c>
      <c r="H267" s="75">
        <f t="shared" si="13"/>
        <v>120412.34999999999</v>
      </c>
    </row>
    <row r="268" spans="1:8" x14ac:dyDescent="0.25">
      <c r="A268" s="61">
        <f>'A) Base RI'!A270</f>
        <v>5853</v>
      </c>
      <c r="B268" s="124" t="str">
        <f>'A) Base RI'!B270</f>
        <v>Bursins</v>
      </c>
      <c r="C268" s="52">
        <f>'B) D RI'!Y270</f>
        <v>266325.5</v>
      </c>
      <c r="D268" s="14">
        <f>'B) D RI'!Z270</f>
        <v>55087.7</v>
      </c>
      <c r="E268" s="14">
        <f t="shared" si="14"/>
        <v>321413.2</v>
      </c>
      <c r="F268" s="14">
        <f>'B) D RI'!U270</f>
        <v>37118.734366197183</v>
      </c>
      <c r="G268" s="306">
        <f t="shared" si="12"/>
        <v>8.6590560127691347</v>
      </c>
      <c r="H268" s="75">
        <f t="shared" si="13"/>
        <v>149689.06</v>
      </c>
    </row>
    <row r="269" spans="1:8" x14ac:dyDescent="0.25">
      <c r="A269" s="61">
        <f>'A) Base RI'!A271</f>
        <v>5854</v>
      </c>
      <c r="B269" s="124" t="str">
        <f>'A) Base RI'!B271</f>
        <v>Burtigny</v>
      </c>
      <c r="C269" s="52">
        <f>'B) D RI'!Y271</f>
        <v>7705.75</v>
      </c>
      <c r="D269" s="14">
        <f>'B) D RI'!Z271</f>
        <v>24172.9</v>
      </c>
      <c r="E269" s="14">
        <f t="shared" si="14"/>
        <v>31878.65</v>
      </c>
      <c r="F269" s="14">
        <f>'B) D RI'!U271</f>
        <v>10244.164041666669</v>
      </c>
      <c r="G269" s="306">
        <f t="shared" si="12"/>
        <v>3.1118839829524561</v>
      </c>
      <c r="H269" s="75">
        <f t="shared" si="13"/>
        <v>11104.744999999999</v>
      </c>
    </row>
    <row r="270" spans="1:8" x14ac:dyDescent="0.25">
      <c r="A270" s="61">
        <f>'A) Base RI'!A272</f>
        <v>5855</v>
      </c>
      <c r="B270" s="124" t="str">
        <f>'A) Base RI'!B272</f>
        <v>Dully</v>
      </c>
      <c r="C270" s="52">
        <f>'B) D RI'!Y272</f>
        <v>914019.95</v>
      </c>
      <c r="D270" s="14">
        <f>'B) D RI'!Z272</f>
        <v>2150.65</v>
      </c>
      <c r="E270" s="14">
        <f t="shared" si="14"/>
        <v>916170.6</v>
      </c>
      <c r="F270" s="14">
        <f>'B) D RI'!U272</f>
        <v>65353.176326530607</v>
      </c>
      <c r="G270" s="306">
        <f t="shared" si="12"/>
        <v>14.018761619518617</v>
      </c>
      <c r="H270" s="75">
        <f t="shared" si="13"/>
        <v>457655.17</v>
      </c>
    </row>
    <row r="271" spans="1:8" x14ac:dyDescent="0.25">
      <c r="A271" s="61">
        <f>'A) Base RI'!A273</f>
        <v>5856</v>
      </c>
      <c r="B271" s="124" t="str">
        <f>'A) Base RI'!B273</f>
        <v>Essertines-sur-Rolle</v>
      </c>
      <c r="C271" s="52">
        <f>'B) D RI'!Y273</f>
        <v>37881.599999999999</v>
      </c>
      <c r="D271" s="14">
        <f>'B) D RI'!Z273</f>
        <v>0</v>
      </c>
      <c r="E271" s="14">
        <f t="shared" si="14"/>
        <v>37881.599999999999</v>
      </c>
      <c r="F271" s="14">
        <f>'B) D RI'!U273</f>
        <v>28766.256402714938</v>
      </c>
      <c r="G271" s="306">
        <f t="shared" si="12"/>
        <v>1.3168762549312729</v>
      </c>
      <c r="H271" s="75">
        <f t="shared" si="13"/>
        <v>18940.8</v>
      </c>
    </row>
    <row r="272" spans="1:8" x14ac:dyDescent="0.25">
      <c r="A272" s="61">
        <f>'A) Base RI'!A274</f>
        <v>5857</v>
      </c>
      <c r="B272" s="124" t="str">
        <f>'A) Base RI'!B274</f>
        <v>Gilly</v>
      </c>
      <c r="C272" s="52">
        <f>'B) D RI'!Y274</f>
        <v>663517.69999999995</v>
      </c>
      <c r="D272" s="14">
        <f>'B) D RI'!Z274</f>
        <v>62919.5</v>
      </c>
      <c r="E272" s="14">
        <f t="shared" si="14"/>
        <v>726437.2</v>
      </c>
      <c r="F272" s="14">
        <f>'B) D RI'!U274</f>
        <v>55694.918787878785</v>
      </c>
      <c r="G272" s="306">
        <f t="shared" si="12"/>
        <v>13.043150359312468</v>
      </c>
      <c r="H272" s="75">
        <f t="shared" si="13"/>
        <v>350634.69999999995</v>
      </c>
    </row>
    <row r="273" spans="1:8" x14ac:dyDescent="0.25">
      <c r="A273" s="61">
        <f>'A) Base RI'!A275</f>
        <v>5858</v>
      </c>
      <c r="B273" s="124" t="str">
        <f>'A) Base RI'!B275</f>
        <v>Luins</v>
      </c>
      <c r="C273" s="52">
        <f>'B) D RI'!Y275</f>
        <v>52959.85</v>
      </c>
      <c r="D273" s="14">
        <f>'B) D RI'!Z275</f>
        <v>11284.05</v>
      </c>
      <c r="E273" s="14">
        <f t="shared" si="14"/>
        <v>64243.899999999994</v>
      </c>
      <c r="F273" s="14">
        <f>'B) D RI'!U275</f>
        <v>33594.571611111111</v>
      </c>
      <c r="G273" s="306">
        <f t="shared" ref="G273:G323" si="15">E273/F273</f>
        <v>1.9123297877908312</v>
      </c>
      <c r="H273" s="75">
        <f t="shared" si="13"/>
        <v>29865.14</v>
      </c>
    </row>
    <row r="274" spans="1:8" x14ac:dyDescent="0.25">
      <c r="A274" s="61">
        <f>'A) Base RI'!A276</f>
        <v>5859</v>
      </c>
      <c r="B274" s="124" t="str">
        <f>'A) Base RI'!B276</f>
        <v>Mont-sur-Rolle</v>
      </c>
      <c r="C274" s="52">
        <f>'B) D RI'!Y276</f>
        <v>535832</v>
      </c>
      <c r="D274" s="14">
        <f>'B) D RI'!Z276</f>
        <v>60557.85</v>
      </c>
      <c r="E274" s="14">
        <f t="shared" si="14"/>
        <v>596389.85</v>
      </c>
      <c r="F274" s="14">
        <f>'B) D RI'!U276</f>
        <v>147627.58999999997</v>
      </c>
      <c r="G274" s="306">
        <f t="shared" si="15"/>
        <v>4.0398264985562662</v>
      </c>
      <c r="H274" s="75">
        <f t="shared" ref="H274:H322" si="16">(C274*$C$4)+(D274*$D$4)</f>
        <v>286083.35499999998</v>
      </c>
    </row>
    <row r="275" spans="1:8" x14ac:dyDescent="0.25">
      <c r="A275" s="61">
        <f>'A) Base RI'!A277</f>
        <v>5860</v>
      </c>
      <c r="B275" s="124" t="str">
        <f>'A) Base RI'!B277</f>
        <v>Perroy</v>
      </c>
      <c r="C275" s="52">
        <f>'B) D RI'!Y277</f>
        <v>747321.65</v>
      </c>
      <c r="D275" s="14">
        <f>'B) D RI'!Z277</f>
        <v>18250.349999999999</v>
      </c>
      <c r="E275" s="14">
        <f t="shared" si="14"/>
        <v>765572</v>
      </c>
      <c r="F275" s="14">
        <f>'B) D RI'!U277</f>
        <v>88241.731705128201</v>
      </c>
      <c r="G275" s="306">
        <f t="shared" si="15"/>
        <v>8.6758496825318812</v>
      </c>
      <c r="H275" s="75">
        <f t="shared" si="16"/>
        <v>379135.93</v>
      </c>
    </row>
    <row r="276" spans="1:8" x14ac:dyDescent="0.25">
      <c r="A276" s="61">
        <f>'A) Base RI'!A278</f>
        <v>5861</v>
      </c>
      <c r="B276" s="124" t="str">
        <f>'A) Base RI'!B278</f>
        <v>Rolle</v>
      </c>
      <c r="C276" s="52">
        <f>'B) D RI'!Y278</f>
        <v>1804826.05</v>
      </c>
      <c r="D276" s="14">
        <f>'B) D RI'!Z278</f>
        <v>1381772.65</v>
      </c>
      <c r="E276" s="14">
        <f t="shared" si="14"/>
        <v>3186598.7</v>
      </c>
      <c r="F276" s="14">
        <f>'B) D RI'!U278</f>
        <v>641127.68151260505</v>
      </c>
      <c r="G276" s="306">
        <f t="shared" si="15"/>
        <v>4.970302783498437</v>
      </c>
      <c r="H276" s="75">
        <f t="shared" si="16"/>
        <v>1316944.82</v>
      </c>
    </row>
    <row r="277" spans="1:8" x14ac:dyDescent="0.25">
      <c r="A277" s="61">
        <f>'A) Base RI'!A279</f>
        <v>5862</v>
      </c>
      <c r="B277" s="124" t="str">
        <f>'A) Base RI'!B279</f>
        <v>Tartegnin</v>
      </c>
      <c r="C277" s="52">
        <f>'B) D RI'!Y279</f>
        <v>25643.55</v>
      </c>
      <c r="D277" s="14">
        <f>'B) D RI'!Z279</f>
        <v>6283.3</v>
      </c>
      <c r="E277" s="14">
        <f t="shared" si="14"/>
        <v>31926.85</v>
      </c>
      <c r="F277" s="14">
        <f>'B) D RI'!U279</f>
        <v>9990.8663492063497</v>
      </c>
      <c r="G277" s="306">
        <f t="shared" si="15"/>
        <v>3.195603752875364</v>
      </c>
      <c r="H277" s="75">
        <f t="shared" si="16"/>
        <v>14706.764999999999</v>
      </c>
    </row>
    <row r="278" spans="1:8" x14ac:dyDescent="0.25">
      <c r="A278" s="61">
        <f>'A) Base RI'!A280</f>
        <v>5863</v>
      </c>
      <c r="B278" s="124" t="str">
        <f>'A) Base RI'!B280</f>
        <v>Vinzel</v>
      </c>
      <c r="C278" s="52">
        <f>'B) D RI'!Y280</f>
        <v>42204.149999999994</v>
      </c>
      <c r="D278" s="14">
        <f>'B) D RI'!Z280</f>
        <v>20369.650000000001</v>
      </c>
      <c r="E278" s="14">
        <f t="shared" si="14"/>
        <v>62573.799999999996</v>
      </c>
      <c r="F278" s="14">
        <f>'B) D RI'!U280</f>
        <v>25660.793857142853</v>
      </c>
      <c r="G278" s="306">
        <f t="shared" si="15"/>
        <v>2.4384982143715774</v>
      </c>
      <c r="H278" s="75">
        <f t="shared" si="16"/>
        <v>27212.969999999998</v>
      </c>
    </row>
    <row r="279" spans="1:8" x14ac:dyDescent="0.25">
      <c r="A279" s="61">
        <f>'A) Base RI'!A281</f>
        <v>5871</v>
      </c>
      <c r="B279" s="124" t="str">
        <f>'A) Base RI'!B281</f>
        <v>L'Abbaye</v>
      </c>
      <c r="C279" s="52">
        <f>'B) D RI'!Y281</f>
        <v>206113.55</v>
      </c>
      <c r="D279" s="14">
        <f>'B) D RI'!Z281</f>
        <v>512529.65</v>
      </c>
      <c r="E279" s="14">
        <f t="shared" si="14"/>
        <v>718643.19999999995</v>
      </c>
      <c r="F279" s="14">
        <f>'B) D RI'!U281</f>
        <v>49270.614706263776</v>
      </c>
      <c r="G279" s="306">
        <f t="shared" si="15"/>
        <v>14.585634952685881</v>
      </c>
      <c r="H279" s="75">
        <f t="shared" si="16"/>
        <v>256815.66999999998</v>
      </c>
    </row>
    <row r="280" spans="1:8" x14ac:dyDescent="0.25">
      <c r="A280" s="61">
        <f>'A) Base RI'!A282</f>
        <v>5872</v>
      </c>
      <c r="B280" s="124" t="str">
        <f>'A) Base RI'!B282</f>
        <v>Le Chenit</v>
      </c>
      <c r="C280" s="52">
        <f>'B) D RI'!Y282</f>
        <v>559755.94999999995</v>
      </c>
      <c r="D280" s="14">
        <f>'B) D RI'!Z282</f>
        <v>4336543.1500000004</v>
      </c>
      <c r="E280" s="14">
        <f t="shared" si="14"/>
        <v>4896299.1000000006</v>
      </c>
      <c r="F280" s="14">
        <f>'B) D RI'!U282</f>
        <v>312565.48082674423</v>
      </c>
      <c r="G280" s="306">
        <f t="shared" si="15"/>
        <v>15.664874723367262</v>
      </c>
      <c r="H280" s="75">
        <f t="shared" si="16"/>
        <v>1580840.92</v>
      </c>
    </row>
    <row r="281" spans="1:8" x14ac:dyDescent="0.25">
      <c r="A281" s="61">
        <f>'A) Base RI'!A283</f>
        <v>5873</v>
      </c>
      <c r="B281" s="124" t="str">
        <f>'A) Base RI'!B283</f>
        <v>Le Lieu</v>
      </c>
      <c r="C281" s="52">
        <f>'B) D RI'!Y283</f>
        <v>223672.7</v>
      </c>
      <c r="D281" s="14">
        <f>'B) D RI'!Z283</f>
        <v>766492.05</v>
      </c>
      <c r="E281" s="14">
        <f t="shared" si="14"/>
        <v>990164.75</v>
      </c>
      <c r="F281" s="14">
        <f>'B) D RI'!U283</f>
        <v>35906.558461538458</v>
      </c>
      <c r="G281" s="306">
        <f t="shared" si="15"/>
        <v>27.576153004488621</v>
      </c>
      <c r="H281" s="75">
        <f t="shared" si="16"/>
        <v>341783.96500000003</v>
      </c>
    </row>
    <row r="282" spans="1:8" x14ac:dyDescent="0.25">
      <c r="A282" s="61">
        <f>'A) Base RI'!A284</f>
        <v>5881</v>
      </c>
      <c r="B282" s="124" t="str">
        <f>'A) Base RI'!B284</f>
        <v>Blonay</v>
      </c>
      <c r="C282" s="52">
        <f>'B) D RI'!Y284</f>
        <v>1890936.2000000002</v>
      </c>
      <c r="D282" s="14">
        <f>'B) D RI'!Z284</f>
        <v>84265.7</v>
      </c>
      <c r="E282" s="14">
        <f t="shared" si="14"/>
        <v>1975201.9000000001</v>
      </c>
      <c r="F282" s="14">
        <f>'B) D RI'!U284</f>
        <v>350302.66257142869</v>
      </c>
      <c r="G282" s="306">
        <f t="shared" si="15"/>
        <v>5.6385580557705444</v>
      </c>
      <c r="H282" s="75">
        <f t="shared" si="16"/>
        <v>970747.81</v>
      </c>
    </row>
    <row r="283" spans="1:8" x14ac:dyDescent="0.25">
      <c r="A283" s="61">
        <f>'A) Base RI'!A285</f>
        <v>5882</v>
      </c>
      <c r="B283" s="124" t="str">
        <f>'A) Base RI'!B285</f>
        <v>Chardonne</v>
      </c>
      <c r="C283" s="52">
        <f>'B) D RI'!Y285</f>
        <v>1453472.15</v>
      </c>
      <c r="D283" s="14">
        <f>'B) D RI'!Z285</f>
        <v>0</v>
      </c>
      <c r="E283" s="14">
        <f t="shared" si="14"/>
        <v>1453472.15</v>
      </c>
      <c r="F283" s="14">
        <f>'B) D RI'!U285</f>
        <v>162874.24803030302</v>
      </c>
      <c r="G283" s="306">
        <f t="shared" si="15"/>
        <v>8.923891699132076</v>
      </c>
      <c r="H283" s="75">
        <f t="shared" si="16"/>
        <v>726736.07499999995</v>
      </c>
    </row>
    <row r="284" spans="1:8" x14ac:dyDescent="0.25">
      <c r="A284" s="61">
        <f>'A) Base RI'!A286</f>
        <v>5883</v>
      </c>
      <c r="B284" s="124" t="str">
        <f>'A) Base RI'!B286</f>
        <v>Corseaux</v>
      </c>
      <c r="C284" s="52">
        <f>'B) D RI'!Y286</f>
        <v>1121981.75</v>
      </c>
      <c r="D284" s="14">
        <f>'B) D RI'!Z286</f>
        <v>4430.75</v>
      </c>
      <c r="E284" s="14">
        <f t="shared" si="14"/>
        <v>1126412.5</v>
      </c>
      <c r="F284" s="14">
        <f>'B) D RI'!U286</f>
        <v>144418.05406250001</v>
      </c>
      <c r="G284" s="306">
        <f t="shared" si="15"/>
        <v>7.79966540410883</v>
      </c>
      <c r="H284" s="75">
        <f t="shared" si="16"/>
        <v>562320.1</v>
      </c>
    </row>
    <row r="285" spans="1:8" x14ac:dyDescent="0.25">
      <c r="A285" s="61">
        <f>'A) Base RI'!A287</f>
        <v>5884</v>
      </c>
      <c r="B285" s="124" t="str">
        <f>'A) Base RI'!B287</f>
        <v>Corsier-sur-Vevey</v>
      </c>
      <c r="C285" s="52">
        <f>'B) D RI'!Y287</f>
        <v>519885.25</v>
      </c>
      <c r="D285" s="14">
        <f>'B) D RI'!Z287</f>
        <v>276074.8</v>
      </c>
      <c r="E285" s="14">
        <f t="shared" si="14"/>
        <v>795960.05</v>
      </c>
      <c r="F285" s="14">
        <f>'B) D RI'!U287</f>
        <v>132379.93277777778</v>
      </c>
      <c r="G285" s="306">
        <f t="shared" si="15"/>
        <v>6.0126941697134288</v>
      </c>
      <c r="H285" s="75">
        <f t="shared" si="16"/>
        <v>342765.065</v>
      </c>
    </row>
    <row r="286" spans="1:8" x14ac:dyDescent="0.25">
      <c r="A286" s="61">
        <f>'A) Base RI'!A288</f>
        <v>5885</v>
      </c>
      <c r="B286" s="124" t="str">
        <f>'A) Base RI'!B288</f>
        <v>Jongny</v>
      </c>
      <c r="C286" s="52">
        <f>'B) D RI'!Y288</f>
        <v>383141.35000000003</v>
      </c>
      <c r="D286" s="14">
        <f>'B) D RI'!Z288</f>
        <v>0</v>
      </c>
      <c r="E286" s="14">
        <f t="shared" si="14"/>
        <v>383141.35000000003</v>
      </c>
      <c r="F286" s="14">
        <f>'B) D RI'!U288</f>
        <v>197476.07983091791</v>
      </c>
      <c r="G286" s="306">
        <f t="shared" si="15"/>
        <v>1.9401911883608973</v>
      </c>
      <c r="H286" s="75">
        <f t="shared" si="16"/>
        <v>191570.67500000002</v>
      </c>
    </row>
    <row r="287" spans="1:8" x14ac:dyDescent="0.25">
      <c r="A287" s="61">
        <f>'A) Base RI'!A289</f>
        <v>5886</v>
      </c>
      <c r="B287" s="124" t="str">
        <f>'A) Base RI'!B289</f>
        <v>Montreux</v>
      </c>
      <c r="C287" s="52">
        <f>'B) D RI'!Y289</f>
        <v>13395550.949999999</v>
      </c>
      <c r="D287" s="14">
        <f>'B) D RI'!Z289</f>
        <v>803251.7</v>
      </c>
      <c r="E287" s="14">
        <f t="shared" si="14"/>
        <v>14198802.649999999</v>
      </c>
      <c r="F287" s="14">
        <f>'B) D RI'!U289</f>
        <v>1113145.3400000003</v>
      </c>
      <c r="G287" s="306">
        <f t="shared" si="15"/>
        <v>12.755569411987112</v>
      </c>
      <c r="H287" s="75">
        <f t="shared" si="16"/>
        <v>6938750.9849999994</v>
      </c>
    </row>
    <row r="288" spans="1:8" x14ac:dyDescent="0.25">
      <c r="A288" s="61">
        <f>'A) Base RI'!A290</f>
        <v>5888</v>
      </c>
      <c r="B288" s="124" t="str">
        <f>'A) Base RI'!B290</f>
        <v>Saint-Légier-La Chiésaz</v>
      </c>
      <c r="C288" s="52">
        <f>'B) D RI'!Y290</f>
        <v>1270407.8</v>
      </c>
      <c r="D288" s="14">
        <f>'B) D RI'!Z290</f>
        <v>140293.25</v>
      </c>
      <c r="E288" s="14">
        <f t="shared" si="14"/>
        <v>1410701.05</v>
      </c>
      <c r="F288" s="14">
        <f>'B) D RI'!U290</f>
        <v>313348.84833333333</v>
      </c>
      <c r="G288" s="306">
        <f t="shared" si="15"/>
        <v>4.5020144720599982</v>
      </c>
      <c r="H288" s="75">
        <f t="shared" si="16"/>
        <v>677291.875</v>
      </c>
    </row>
    <row r="289" spans="1:8" x14ac:dyDescent="0.25">
      <c r="A289" s="61">
        <f>'A) Base RI'!A291</f>
        <v>5889</v>
      </c>
      <c r="B289" s="124" t="str">
        <f>'A) Base RI'!B291</f>
        <v>La Tour-de-Peilz</v>
      </c>
      <c r="C289" s="52">
        <f>'B) D RI'!Y291</f>
        <v>2103417.0500000003</v>
      </c>
      <c r="D289" s="14">
        <f>'B) D RI'!Z291</f>
        <v>93323.5</v>
      </c>
      <c r="E289" s="14">
        <f t="shared" si="14"/>
        <v>2196740.5500000003</v>
      </c>
      <c r="F289" s="14">
        <f>'B) D RI'!U291</f>
        <v>590141.45856770838</v>
      </c>
      <c r="G289" s="306">
        <f t="shared" si="15"/>
        <v>3.72239658493331</v>
      </c>
      <c r="H289" s="75">
        <f t="shared" si="16"/>
        <v>1079705.5750000002</v>
      </c>
    </row>
    <row r="290" spans="1:8" x14ac:dyDescent="0.25">
      <c r="A290" s="61">
        <f>'A) Base RI'!A292</f>
        <v>5890</v>
      </c>
      <c r="B290" s="124" t="str">
        <f>'A) Base RI'!B292</f>
        <v>Vevey</v>
      </c>
      <c r="C290" s="52">
        <f>'B) D RI'!Y292</f>
        <v>4084666.3000000003</v>
      </c>
      <c r="D290" s="14">
        <f>'B) D RI'!Z292</f>
        <v>1004989.85</v>
      </c>
      <c r="E290" s="14">
        <f t="shared" si="14"/>
        <v>5089656.1500000004</v>
      </c>
      <c r="F290" s="14">
        <f>'B) D RI'!U292</f>
        <v>922155.6933561645</v>
      </c>
      <c r="G290" s="306">
        <f t="shared" si="15"/>
        <v>5.5193024200461354</v>
      </c>
      <c r="H290" s="75">
        <f t="shared" si="16"/>
        <v>2343830.105</v>
      </c>
    </row>
    <row r="291" spans="1:8" x14ac:dyDescent="0.25">
      <c r="A291" s="61">
        <f>'A) Base RI'!A293</f>
        <v>5891</v>
      </c>
      <c r="B291" s="124" t="str">
        <f>'A) Base RI'!B293</f>
        <v>Veytaux</v>
      </c>
      <c r="C291" s="52">
        <f>'B) D RI'!Y293</f>
        <v>225333.90000000002</v>
      </c>
      <c r="D291" s="14">
        <f>'B) D RI'!Z293</f>
        <v>0</v>
      </c>
      <c r="E291" s="14">
        <f t="shared" si="14"/>
        <v>225333.90000000002</v>
      </c>
      <c r="F291" s="14">
        <f>'B) D RI'!U293</f>
        <v>37259.444879227056</v>
      </c>
      <c r="G291" s="306">
        <f t="shared" si="15"/>
        <v>6.0476987977249372</v>
      </c>
      <c r="H291" s="75">
        <f t="shared" si="16"/>
        <v>112666.95000000001</v>
      </c>
    </row>
    <row r="292" spans="1:8" x14ac:dyDescent="0.25">
      <c r="A292" s="61">
        <f>'A) Base RI'!A294</f>
        <v>5902</v>
      </c>
      <c r="B292" s="124" t="str">
        <f>'A) Base RI'!B294</f>
        <v>Belmont-sur-Yverdon</v>
      </c>
      <c r="C292" s="52">
        <f>'B) D RI'!Y294</f>
        <v>108921.45000000001</v>
      </c>
      <c r="D292" s="14">
        <f>'B) D RI'!Z294</f>
        <v>7346.95</v>
      </c>
      <c r="E292" s="14">
        <f t="shared" si="14"/>
        <v>116268.40000000001</v>
      </c>
      <c r="F292" s="14">
        <f>'B) D RI'!U294</f>
        <v>8642.2247368421067</v>
      </c>
      <c r="G292" s="306">
        <f t="shared" si="15"/>
        <v>13.453526555997062</v>
      </c>
      <c r="H292" s="75">
        <f t="shared" si="16"/>
        <v>56664.810000000005</v>
      </c>
    </row>
    <row r="293" spans="1:8" x14ac:dyDescent="0.25">
      <c r="A293" s="61">
        <f>'A) Base RI'!A295</f>
        <v>5903</v>
      </c>
      <c r="B293" s="124" t="str">
        <f>'A) Base RI'!B295</f>
        <v>Bioley-Magnoux</v>
      </c>
      <c r="C293" s="52">
        <f>'B) D RI'!Y295</f>
        <v>89246.950000000012</v>
      </c>
      <c r="D293" s="14">
        <f>'B) D RI'!Z295</f>
        <v>2883.45</v>
      </c>
      <c r="E293" s="14">
        <f t="shared" si="14"/>
        <v>92130.400000000009</v>
      </c>
      <c r="F293" s="14">
        <f>'B) D RI'!U295</f>
        <v>6046.5271621621623</v>
      </c>
      <c r="G293" s="306">
        <f t="shared" si="15"/>
        <v>15.236911623672476</v>
      </c>
      <c r="H293" s="75">
        <f t="shared" si="16"/>
        <v>45488.510000000009</v>
      </c>
    </row>
    <row r="294" spans="1:8" x14ac:dyDescent="0.25">
      <c r="A294" s="61">
        <f>'A) Base RI'!A296</f>
        <v>5904</v>
      </c>
      <c r="B294" s="124" t="str">
        <f>'A) Base RI'!B296</f>
        <v>Chamblon</v>
      </c>
      <c r="C294" s="52">
        <f>'B) D RI'!Y296</f>
        <v>132352</v>
      </c>
      <c r="D294" s="14">
        <f>'B) D RI'!Z296</f>
        <v>31596.75</v>
      </c>
      <c r="E294" s="14">
        <f t="shared" si="14"/>
        <v>163948.75</v>
      </c>
      <c r="F294" s="14">
        <f>'B) D RI'!U296</f>
        <v>20170.434545454544</v>
      </c>
      <c r="G294" s="306">
        <f t="shared" si="15"/>
        <v>8.1281714397643583</v>
      </c>
      <c r="H294" s="75">
        <f t="shared" si="16"/>
        <v>75655.024999999994</v>
      </c>
    </row>
    <row r="295" spans="1:8" x14ac:dyDescent="0.25">
      <c r="A295" s="61">
        <f>'A) Base RI'!A297</f>
        <v>5905</v>
      </c>
      <c r="B295" s="124" t="str">
        <f>'A) Base RI'!B297</f>
        <v>Champvent</v>
      </c>
      <c r="C295" s="52">
        <f>'B) D RI'!Y297</f>
        <v>39001</v>
      </c>
      <c r="D295" s="14">
        <f>'B) D RI'!Z297</f>
        <v>94811.1</v>
      </c>
      <c r="E295" s="14">
        <f t="shared" si="14"/>
        <v>133812.1</v>
      </c>
      <c r="F295" s="14">
        <f>'B) D RI'!U297</f>
        <v>18220.765633802814</v>
      </c>
      <c r="G295" s="306">
        <f t="shared" si="15"/>
        <v>7.3439339866023179</v>
      </c>
      <c r="H295" s="75">
        <f t="shared" si="16"/>
        <v>47943.83</v>
      </c>
    </row>
    <row r="296" spans="1:8" x14ac:dyDescent="0.25">
      <c r="A296" s="61">
        <f>'A) Base RI'!A298</f>
        <v>5907</v>
      </c>
      <c r="B296" s="124" t="str">
        <f>'A) Base RI'!B298</f>
        <v>Chavannes-le-Chêne</v>
      </c>
      <c r="C296" s="52">
        <f>'B) D RI'!Y298</f>
        <v>37480.850000000006</v>
      </c>
      <c r="D296" s="14">
        <f>'B) D RI'!Z298</f>
        <v>4950.3500000000004</v>
      </c>
      <c r="E296" s="14">
        <f t="shared" si="14"/>
        <v>42431.200000000004</v>
      </c>
      <c r="F296" s="14">
        <f>'B) D RI'!U298</f>
        <v>6951.74782051282</v>
      </c>
      <c r="G296" s="306">
        <f t="shared" si="15"/>
        <v>6.1036736509337182</v>
      </c>
      <c r="H296" s="75">
        <f t="shared" si="16"/>
        <v>20225.530000000002</v>
      </c>
    </row>
    <row r="297" spans="1:8" x14ac:dyDescent="0.25">
      <c r="A297" s="61">
        <f>'A) Base RI'!A299</f>
        <v>5908</v>
      </c>
      <c r="B297" s="124" t="str">
        <f>'A) Base RI'!B299</f>
        <v>Chêne-Pâquier</v>
      </c>
      <c r="C297" s="52">
        <f>'B) D RI'!Y299</f>
        <v>13904</v>
      </c>
      <c r="D297" s="14">
        <f>'B) D RI'!Z299</f>
        <v>0</v>
      </c>
      <c r="E297" s="14">
        <f t="shared" si="14"/>
        <v>13904</v>
      </c>
      <c r="F297" s="14">
        <f>'B) D RI'!U299</f>
        <v>2899.0017721518989</v>
      </c>
      <c r="G297" s="306">
        <f t="shared" si="15"/>
        <v>4.7961336669619232</v>
      </c>
      <c r="H297" s="75">
        <f t="shared" si="16"/>
        <v>6952</v>
      </c>
    </row>
    <row r="298" spans="1:8" x14ac:dyDescent="0.25">
      <c r="A298" s="61">
        <f>'A) Base RI'!A300</f>
        <v>5909</v>
      </c>
      <c r="B298" s="124" t="str">
        <f>'A) Base RI'!B300</f>
        <v>Cheseaux-Noréaz</v>
      </c>
      <c r="C298" s="52">
        <f>'B) D RI'!Y300</f>
        <v>104242.5</v>
      </c>
      <c r="D298" s="14">
        <f>'B) D RI'!Z300</f>
        <v>8154.8</v>
      </c>
      <c r="E298" s="14">
        <f t="shared" si="14"/>
        <v>112397.3</v>
      </c>
      <c r="F298" s="14">
        <f>'B) D RI'!U300</f>
        <v>22661.846714285719</v>
      </c>
      <c r="G298" s="306">
        <f t="shared" si="15"/>
        <v>4.9597590795257771</v>
      </c>
      <c r="H298" s="75">
        <f t="shared" si="16"/>
        <v>54567.69</v>
      </c>
    </row>
    <row r="299" spans="1:8" x14ac:dyDescent="0.25">
      <c r="A299" s="61">
        <f>'A) Base RI'!A301</f>
        <v>5910</v>
      </c>
      <c r="B299" s="124" t="str">
        <f>'A) Base RI'!B301</f>
        <v>Cronay</v>
      </c>
      <c r="C299" s="52">
        <f>'B) D RI'!Y301</f>
        <v>103142.7</v>
      </c>
      <c r="D299" s="14">
        <f>'B) D RI'!Z301</f>
        <v>0</v>
      </c>
      <c r="E299" s="14">
        <f t="shared" si="14"/>
        <v>103142.7</v>
      </c>
      <c r="F299" s="14">
        <f>'B) D RI'!U301</f>
        <v>10409.753209876544</v>
      </c>
      <c r="G299" s="306">
        <f t="shared" si="15"/>
        <v>9.9082752415437163</v>
      </c>
      <c r="H299" s="75">
        <f t="shared" si="16"/>
        <v>51571.35</v>
      </c>
    </row>
    <row r="300" spans="1:8" x14ac:dyDescent="0.25">
      <c r="A300" s="61">
        <f>'A) Base RI'!A302</f>
        <v>5911</v>
      </c>
      <c r="B300" s="124" t="str">
        <f>'A) Base RI'!B302</f>
        <v>Cuarny</v>
      </c>
      <c r="C300" s="52">
        <f>'B) D RI'!Y302</f>
        <v>691.5</v>
      </c>
      <c r="D300" s="14">
        <f>'B) D RI'!Z302</f>
        <v>0</v>
      </c>
      <c r="E300" s="14">
        <f t="shared" si="14"/>
        <v>691.5</v>
      </c>
      <c r="F300" s="14">
        <f>'B) D RI'!U302</f>
        <v>6783.6280246913584</v>
      </c>
      <c r="G300" s="306">
        <f t="shared" si="15"/>
        <v>0.10193660346396453</v>
      </c>
      <c r="H300" s="75">
        <f t="shared" si="16"/>
        <v>345.75</v>
      </c>
    </row>
    <row r="301" spans="1:8" x14ac:dyDescent="0.25">
      <c r="A301" s="61">
        <f>'A) Base RI'!A303</f>
        <v>5912</v>
      </c>
      <c r="B301" s="124" t="str">
        <f>'A) Base RI'!B303</f>
        <v>Démoret</v>
      </c>
      <c r="C301" s="52">
        <f>'B) D RI'!Y303</f>
        <v>100384.8</v>
      </c>
      <c r="D301" s="14">
        <f>'B) D RI'!Z303</f>
        <v>0</v>
      </c>
      <c r="E301" s="14">
        <f t="shared" si="14"/>
        <v>100384.8</v>
      </c>
      <c r="F301" s="14">
        <f>'B) D RI'!U303</f>
        <v>3146.6025925925924</v>
      </c>
      <c r="G301" s="306">
        <f t="shared" si="15"/>
        <v>31.902598769960832</v>
      </c>
      <c r="H301" s="75">
        <f t="shared" si="16"/>
        <v>50192.4</v>
      </c>
    </row>
    <row r="302" spans="1:8" x14ac:dyDescent="0.25">
      <c r="A302" s="61">
        <f>'A) Base RI'!A304</f>
        <v>5913</v>
      </c>
      <c r="B302" s="124" t="str">
        <f>'A) Base RI'!B304</f>
        <v>Donneloye</v>
      </c>
      <c r="C302" s="52">
        <f>'B) D RI'!Y304</f>
        <v>120695.15</v>
      </c>
      <c r="D302" s="14">
        <f>'B) D RI'!Z304</f>
        <v>11064.15</v>
      </c>
      <c r="E302" s="14">
        <f t="shared" si="14"/>
        <v>131759.29999999999</v>
      </c>
      <c r="F302" s="14">
        <f>'B) D RI'!U304</f>
        <v>23116.238767123283</v>
      </c>
      <c r="G302" s="306">
        <f t="shared" si="15"/>
        <v>5.6998589315227459</v>
      </c>
      <c r="H302" s="75">
        <f t="shared" si="16"/>
        <v>63666.82</v>
      </c>
    </row>
    <row r="303" spans="1:8" x14ac:dyDescent="0.25">
      <c r="A303" s="61">
        <f>'A) Base RI'!A305</f>
        <v>5914</v>
      </c>
      <c r="B303" s="124" t="str">
        <f>'A) Base RI'!B305</f>
        <v>Ependes</v>
      </c>
      <c r="C303" s="52">
        <f>'B) D RI'!Y305</f>
        <v>16536.400000000001</v>
      </c>
      <c r="D303" s="14">
        <f>'B) D RI'!Z305</f>
        <v>0</v>
      </c>
      <c r="E303" s="14">
        <f t="shared" si="14"/>
        <v>16536.400000000001</v>
      </c>
      <c r="F303" s="14">
        <f>'B) D RI'!U305</f>
        <v>8750.2923999999985</v>
      </c>
      <c r="G303" s="306">
        <f t="shared" si="15"/>
        <v>1.8898111336256609</v>
      </c>
      <c r="H303" s="75">
        <f t="shared" si="16"/>
        <v>8268.2000000000007</v>
      </c>
    </row>
    <row r="304" spans="1:8" x14ac:dyDescent="0.25">
      <c r="A304" s="61">
        <f>'A) Base RI'!A306</f>
        <v>5915</v>
      </c>
      <c r="B304" s="124" t="str">
        <f>'A) Base RI'!B306</f>
        <v>Essert-Pittet</v>
      </c>
      <c r="C304" s="52">
        <f>'B) D RI'!Y306</f>
        <v>13839.15</v>
      </c>
      <c r="D304" s="14">
        <f>'B) D RI'!Z306</f>
        <v>0</v>
      </c>
      <c r="E304" s="14">
        <f t="shared" si="14"/>
        <v>13839.15</v>
      </c>
      <c r="F304" s="14">
        <f>'B) D RI'!U306</f>
        <v>5181.7059529411763</v>
      </c>
      <c r="G304" s="306">
        <f t="shared" si="15"/>
        <v>2.6707710019988284</v>
      </c>
      <c r="H304" s="75">
        <f t="shared" si="16"/>
        <v>6919.5749999999998</v>
      </c>
    </row>
    <row r="305" spans="1:8" x14ac:dyDescent="0.25">
      <c r="A305" s="61">
        <f>'A) Base RI'!A307</f>
        <v>5919</v>
      </c>
      <c r="B305" s="124" t="str">
        <f>'A) Base RI'!B307</f>
        <v>Mathod</v>
      </c>
      <c r="C305" s="52">
        <f>'B) D RI'!Y307</f>
        <v>4545.3</v>
      </c>
      <c r="D305" s="14">
        <f>'B) D RI'!Z307</f>
        <v>13044.25</v>
      </c>
      <c r="E305" s="14">
        <f t="shared" si="14"/>
        <v>17589.55</v>
      </c>
      <c r="F305" s="14">
        <f>'B) D RI'!U307</f>
        <v>16260.723851351351</v>
      </c>
      <c r="G305" s="306">
        <f t="shared" si="15"/>
        <v>1.0817199874246812</v>
      </c>
      <c r="H305" s="75">
        <f t="shared" si="16"/>
        <v>6185.9249999999993</v>
      </c>
    </row>
    <row r="306" spans="1:8" x14ac:dyDescent="0.25">
      <c r="A306" s="61">
        <f>'A) Base RI'!A308</f>
        <v>5921</v>
      </c>
      <c r="B306" s="124" t="str">
        <f>'A) Base RI'!B308</f>
        <v>Molondin</v>
      </c>
      <c r="C306" s="52">
        <f>'B) D RI'!Y308</f>
        <v>61100.4</v>
      </c>
      <c r="D306" s="14">
        <f>'B) D RI'!Z308</f>
        <v>5539.15</v>
      </c>
      <c r="E306" s="14">
        <f t="shared" si="14"/>
        <v>66639.55</v>
      </c>
      <c r="F306" s="14">
        <f>'B) D RI'!U308</f>
        <v>4932.1140740740739</v>
      </c>
      <c r="G306" s="306">
        <f t="shared" si="15"/>
        <v>13.511356185027111</v>
      </c>
      <c r="H306" s="75">
        <f t="shared" si="16"/>
        <v>32211.945</v>
      </c>
    </row>
    <row r="307" spans="1:8" x14ac:dyDescent="0.25">
      <c r="A307" s="61">
        <f>'A) Base RI'!A309</f>
        <v>5922</v>
      </c>
      <c r="B307" s="124" t="str">
        <f>'A) Base RI'!B309</f>
        <v>Montagny-près-Yverdon</v>
      </c>
      <c r="C307" s="52">
        <f>'B) D RI'!Y309</f>
        <v>92903.65</v>
      </c>
      <c r="D307" s="14">
        <f>'B) D RI'!Z309</f>
        <v>175609.5</v>
      </c>
      <c r="E307" s="14">
        <f t="shared" si="14"/>
        <v>268513.15000000002</v>
      </c>
      <c r="F307" s="14">
        <f>'B) D RI'!U309</f>
        <v>54274.18045081968</v>
      </c>
      <c r="G307" s="306">
        <f t="shared" si="15"/>
        <v>4.9473460081688767</v>
      </c>
      <c r="H307" s="75">
        <f t="shared" si="16"/>
        <v>99134.674999999988</v>
      </c>
    </row>
    <row r="308" spans="1:8" x14ac:dyDescent="0.25">
      <c r="A308" s="61">
        <f>'A) Base RI'!A310</f>
        <v>5923</v>
      </c>
      <c r="B308" s="124" t="str">
        <f>'A) Base RI'!B310</f>
        <v>Oppens</v>
      </c>
      <c r="C308" s="52">
        <f>'B) D RI'!Y310</f>
        <v>45046.75</v>
      </c>
      <c r="D308" s="14">
        <f>'B) D RI'!Z310</f>
        <v>15199.8</v>
      </c>
      <c r="E308" s="14">
        <f t="shared" si="14"/>
        <v>60246.55</v>
      </c>
      <c r="F308" s="14">
        <f>'B) D RI'!U310</f>
        <v>4902.1274074074072</v>
      </c>
      <c r="G308" s="306">
        <f t="shared" si="15"/>
        <v>12.28987845337595</v>
      </c>
      <c r="H308" s="75">
        <f t="shared" si="16"/>
        <v>27083.314999999999</v>
      </c>
    </row>
    <row r="309" spans="1:8" x14ac:dyDescent="0.25">
      <c r="A309" s="61">
        <f>'A) Base RI'!A311</f>
        <v>5924</v>
      </c>
      <c r="B309" s="124" t="str">
        <f>'A) Base RI'!B311</f>
        <v>Orges</v>
      </c>
      <c r="C309" s="52">
        <f>'B) D RI'!Y311</f>
        <v>75789.450000000012</v>
      </c>
      <c r="D309" s="14">
        <f>'B) D RI'!Z311</f>
        <v>22835.85</v>
      </c>
      <c r="E309" s="14">
        <f t="shared" si="14"/>
        <v>98625.300000000017</v>
      </c>
      <c r="F309" s="14">
        <f>'B) D RI'!U311</f>
        <v>9002.8555405405405</v>
      </c>
      <c r="G309" s="306">
        <f t="shared" si="15"/>
        <v>10.954890873888049</v>
      </c>
      <c r="H309" s="75">
        <f t="shared" si="16"/>
        <v>44745.48</v>
      </c>
    </row>
    <row r="310" spans="1:8" x14ac:dyDescent="0.25">
      <c r="A310" s="61">
        <f>'A) Base RI'!A312</f>
        <v>5925</v>
      </c>
      <c r="B310" s="124" t="str">
        <f>'A) Base RI'!B312</f>
        <v>Orzens</v>
      </c>
      <c r="C310" s="52">
        <f>'B) D RI'!Y312</f>
        <v>5206.7</v>
      </c>
      <c r="D310" s="14">
        <f>'B) D RI'!Z312</f>
        <v>5230.1000000000004</v>
      </c>
      <c r="E310" s="14">
        <f t="shared" si="14"/>
        <v>10436.799999999999</v>
      </c>
      <c r="F310" s="14">
        <f>'B) D RI'!U312</f>
        <v>5053.7527848101263</v>
      </c>
      <c r="G310" s="306">
        <f t="shared" si="15"/>
        <v>2.0651583970172611</v>
      </c>
      <c r="H310" s="75">
        <f t="shared" si="16"/>
        <v>4172.38</v>
      </c>
    </row>
    <row r="311" spans="1:8" x14ac:dyDescent="0.25">
      <c r="A311" s="61">
        <f>'A) Base RI'!A313</f>
        <v>5926</v>
      </c>
      <c r="B311" s="124" t="str">
        <f>'A) Base RI'!B313</f>
        <v>Pomy</v>
      </c>
      <c r="C311" s="52">
        <f>'B) D RI'!Y313</f>
        <v>96860.3</v>
      </c>
      <c r="D311" s="14">
        <f>'B) D RI'!Z313</f>
        <v>7530.45</v>
      </c>
      <c r="E311" s="14">
        <f t="shared" si="14"/>
        <v>104390.75</v>
      </c>
      <c r="F311" s="14">
        <f>'B) D RI'!U313</f>
        <v>21029.126197183101</v>
      </c>
      <c r="G311" s="306">
        <f t="shared" si="15"/>
        <v>4.9641030740489533</v>
      </c>
      <c r="H311" s="75">
        <f t="shared" si="16"/>
        <v>50689.285000000003</v>
      </c>
    </row>
    <row r="312" spans="1:8" x14ac:dyDescent="0.25">
      <c r="A312" s="61">
        <f>'A) Base RI'!A314</f>
        <v>5928</v>
      </c>
      <c r="B312" s="124" t="str">
        <f>'A) Base RI'!B314</f>
        <v>Rovray</v>
      </c>
      <c r="C312" s="52">
        <f>'B) D RI'!Y314</f>
        <v>27518.1</v>
      </c>
      <c r="D312" s="14">
        <f>'B) D RI'!Z314</f>
        <v>0</v>
      </c>
      <c r="E312" s="14">
        <f t="shared" si="14"/>
        <v>27518.1</v>
      </c>
      <c r="F312" s="14">
        <f>'B) D RI'!U314</f>
        <v>4897.1457333333328</v>
      </c>
      <c r="G312" s="306">
        <f t="shared" si="15"/>
        <v>5.6192119856047853</v>
      </c>
      <c r="H312" s="75">
        <f t="shared" si="16"/>
        <v>13759.05</v>
      </c>
    </row>
    <row r="313" spans="1:8" x14ac:dyDescent="0.25">
      <c r="A313" s="61">
        <f>'A) Base RI'!A315</f>
        <v>5929</v>
      </c>
      <c r="B313" s="124" t="str">
        <f>'A) Base RI'!B315</f>
        <v>Suchy</v>
      </c>
      <c r="C313" s="52">
        <f>'B) D RI'!Y315</f>
        <v>31236.7</v>
      </c>
      <c r="D313" s="14">
        <f>'B) D RI'!Z315</f>
        <v>8492.6</v>
      </c>
      <c r="E313" s="14">
        <f t="shared" si="14"/>
        <v>39729.300000000003</v>
      </c>
      <c r="F313" s="14">
        <f>'B) D RI'!U315</f>
        <v>16083.913284313729</v>
      </c>
      <c r="G313" s="306">
        <f t="shared" si="15"/>
        <v>2.4701264734339916</v>
      </c>
      <c r="H313" s="75">
        <f t="shared" si="16"/>
        <v>18166.13</v>
      </c>
    </row>
    <row r="314" spans="1:8" x14ac:dyDescent="0.25">
      <c r="A314" s="61">
        <f>'A) Base RI'!A316</f>
        <v>5930</v>
      </c>
      <c r="B314" s="124" t="str">
        <f>'A) Base RI'!B316</f>
        <v>Suscévaz</v>
      </c>
      <c r="C314" s="52">
        <f>'B) D RI'!Y316</f>
        <v>4724.95</v>
      </c>
      <c r="D314" s="14">
        <f>'B) D RI'!Z316</f>
        <v>7873.25</v>
      </c>
      <c r="E314" s="14">
        <f t="shared" si="14"/>
        <v>12598.2</v>
      </c>
      <c r="F314" s="14">
        <f>'B) D RI'!U316</f>
        <v>5208.083787878787</v>
      </c>
      <c r="G314" s="306">
        <f t="shared" si="15"/>
        <v>2.4189702994642395</v>
      </c>
      <c r="H314" s="75">
        <f t="shared" si="16"/>
        <v>4724.45</v>
      </c>
    </row>
    <row r="315" spans="1:8" x14ac:dyDescent="0.25">
      <c r="A315" s="61">
        <f>'A) Base RI'!A317</f>
        <v>5931</v>
      </c>
      <c r="B315" s="124" t="str">
        <f>'A) Base RI'!B317</f>
        <v>Treycovagnes</v>
      </c>
      <c r="C315" s="52">
        <f>'B) D RI'!Y317</f>
        <v>75593</v>
      </c>
      <c r="D315" s="14">
        <f>'B) D RI'!Z317</f>
        <v>12599.25</v>
      </c>
      <c r="E315" s="14">
        <f t="shared" si="14"/>
        <v>88192.25</v>
      </c>
      <c r="F315" s="14">
        <f>'B) D RI'!U317</f>
        <v>13922.074155844155</v>
      </c>
      <c r="G315" s="306">
        <f t="shared" si="15"/>
        <v>6.3347062379335908</v>
      </c>
      <c r="H315" s="75">
        <f t="shared" si="16"/>
        <v>41576.275000000001</v>
      </c>
    </row>
    <row r="316" spans="1:8" x14ac:dyDescent="0.25">
      <c r="A316" s="61">
        <f>'A) Base RI'!A318</f>
        <v>5932</v>
      </c>
      <c r="B316" s="124" t="str">
        <f>'A) Base RI'!B318</f>
        <v>Ursins</v>
      </c>
      <c r="C316" s="52">
        <f>'B) D RI'!Y318</f>
        <v>561</v>
      </c>
      <c r="D316" s="14">
        <f>'B) D RI'!Z318</f>
        <v>0</v>
      </c>
      <c r="E316" s="14">
        <f t="shared" si="14"/>
        <v>561</v>
      </c>
      <c r="F316" s="14">
        <f>'B) D RI'!U318</f>
        <v>5429.3069230769233</v>
      </c>
      <c r="G316" s="306">
        <f t="shared" si="15"/>
        <v>0.10332810576898964</v>
      </c>
      <c r="H316" s="75">
        <f t="shared" si="16"/>
        <v>280.5</v>
      </c>
    </row>
    <row r="317" spans="1:8" x14ac:dyDescent="0.25">
      <c r="A317" s="61">
        <f>'A) Base RI'!A319</f>
        <v>5933</v>
      </c>
      <c r="B317" s="124" t="str">
        <f>'A) Base RI'!B319</f>
        <v>Valeyres-sous-Montagny</v>
      </c>
      <c r="C317" s="52">
        <f>'B) D RI'!Y319</f>
        <v>99163.6</v>
      </c>
      <c r="D317" s="14">
        <f>'B) D RI'!Z319</f>
        <v>8149.15</v>
      </c>
      <c r="E317" s="14">
        <f t="shared" si="14"/>
        <v>107312.75</v>
      </c>
      <c r="F317" s="14">
        <f>'B) D RI'!U319</f>
        <v>17165.971111111114</v>
      </c>
      <c r="G317" s="306">
        <f t="shared" si="15"/>
        <v>6.2514814516109185</v>
      </c>
      <c r="H317" s="75">
        <f t="shared" si="16"/>
        <v>52026.545000000006</v>
      </c>
    </row>
    <row r="318" spans="1:8" x14ac:dyDescent="0.25">
      <c r="A318" s="61">
        <f>'A) Base RI'!A320</f>
        <v>5934</v>
      </c>
      <c r="B318" s="124" t="str">
        <f>'A) Base RI'!B320</f>
        <v>Valeyres-sous-Ursins</v>
      </c>
      <c r="C318" s="52">
        <f>'B) D RI'!Y320</f>
        <v>36916.35</v>
      </c>
      <c r="D318" s="14">
        <f>'B) D RI'!Z320</f>
        <v>11606.85</v>
      </c>
      <c r="E318" s="14">
        <f t="shared" si="14"/>
        <v>48523.199999999997</v>
      </c>
      <c r="F318" s="14">
        <f>'B) D RI'!U320</f>
        <v>6602.430506329114</v>
      </c>
      <c r="G318" s="306">
        <f t="shared" si="15"/>
        <v>7.3492935599224376</v>
      </c>
      <c r="H318" s="75">
        <f t="shared" si="16"/>
        <v>21940.23</v>
      </c>
    </row>
    <row r="319" spans="1:8" x14ac:dyDescent="0.25">
      <c r="A319" s="61">
        <f>'A) Base RI'!A321</f>
        <v>5935</v>
      </c>
      <c r="B319" s="124" t="str">
        <f>'A) Base RI'!B321</f>
        <v>Villars-Epeney</v>
      </c>
      <c r="C319" s="52">
        <f>'B) D RI'!Y321</f>
        <v>1540</v>
      </c>
      <c r="D319" s="14">
        <f>'B) D RI'!Z321</f>
        <v>0</v>
      </c>
      <c r="E319" s="14">
        <f t="shared" si="14"/>
        <v>1540</v>
      </c>
      <c r="F319" s="14">
        <f>'B) D RI'!U321</f>
        <v>7512.9308333333338</v>
      </c>
      <c r="G319" s="306">
        <f t="shared" si="15"/>
        <v>0.20497992516679853</v>
      </c>
      <c r="H319" s="75">
        <f t="shared" si="16"/>
        <v>770</v>
      </c>
    </row>
    <row r="320" spans="1:8" x14ac:dyDescent="0.25">
      <c r="A320" s="61">
        <f>'A) Base RI'!A322</f>
        <v>5937</v>
      </c>
      <c r="B320" s="124" t="str">
        <f>'A) Base RI'!B322</f>
        <v>Vugelles-La Mothe</v>
      </c>
      <c r="C320" s="52">
        <f>'B) D RI'!Y322</f>
        <v>0</v>
      </c>
      <c r="D320" s="14">
        <f>'B) D RI'!Z322</f>
        <v>0</v>
      </c>
      <c r="E320" s="14">
        <f t="shared" si="14"/>
        <v>0</v>
      </c>
      <c r="F320" s="14">
        <f>'B) D RI'!U322</f>
        <v>2128.9780612244899</v>
      </c>
      <c r="G320" s="306">
        <f t="shared" si="15"/>
        <v>0</v>
      </c>
      <c r="H320" s="75">
        <f t="shared" si="16"/>
        <v>0</v>
      </c>
    </row>
    <row r="321" spans="1:8" x14ac:dyDescent="0.25">
      <c r="A321" s="61">
        <f>'A) Base RI'!A323</f>
        <v>5938</v>
      </c>
      <c r="B321" s="124" t="str">
        <f>'A) Base RI'!B323</f>
        <v>Yverdon-les-Bains</v>
      </c>
      <c r="C321" s="52">
        <f>'B) D RI'!Y323</f>
        <v>3833638.1</v>
      </c>
      <c r="D321" s="14">
        <f>'B) D RI'!Z323</f>
        <v>3351601.5</v>
      </c>
      <c r="E321" s="14">
        <f t="shared" si="14"/>
        <v>7185239.5999999996</v>
      </c>
      <c r="F321" s="14">
        <f>'B) D RI'!U323</f>
        <v>771340.02758169943</v>
      </c>
      <c r="G321" s="306">
        <f t="shared" si="15"/>
        <v>9.3152686792712149</v>
      </c>
      <c r="H321" s="75">
        <f t="shared" si="16"/>
        <v>2922299.5</v>
      </c>
    </row>
    <row r="322" spans="1:8" x14ac:dyDescent="0.25">
      <c r="A322" s="63">
        <f>'A) Base RI'!A324</f>
        <v>5939</v>
      </c>
      <c r="B322" s="125" t="str">
        <f>'A) Base RI'!B324</f>
        <v>Yvonand</v>
      </c>
      <c r="C322" s="103">
        <f>'B) D RI'!Y324</f>
        <v>445189.85000000003</v>
      </c>
      <c r="D322" s="25">
        <f>'B) D RI'!Z324</f>
        <v>187954.15</v>
      </c>
      <c r="E322" s="25">
        <f t="shared" si="14"/>
        <v>633144</v>
      </c>
      <c r="F322" s="25">
        <f>'B) D RI'!U324</f>
        <v>88221.551917808203</v>
      </c>
      <c r="G322" s="307">
        <f t="shared" si="15"/>
        <v>7.1767497423970728</v>
      </c>
      <c r="H322" s="75">
        <f t="shared" si="16"/>
        <v>278981.17000000004</v>
      </c>
    </row>
    <row r="323" spans="1:8" x14ac:dyDescent="0.25">
      <c r="A323" s="40"/>
      <c r="B323" s="34">
        <f>COUNTA(B5:B322)</f>
        <v>318</v>
      </c>
      <c r="C323" s="25">
        <f>SUM(C5:C322)</f>
        <v>223955290.13000003</v>
      </c>
      <c r="D323" s="25">
        <f>SUM(D5:D322)</f>
        <v>66364349.699999996</v>
      </c>
      <c r="E323" s="15">
        <f>SUM(E5:E322)</f>
        <v>290319639.82999992</v>
      </c>
      <c r="F323" s="25">
        <f>SUM(F5:F322)</f>
        <v>35177813.511629909</v>
      </c>
      <c r="G323" s="70">
        <f t="shared" si="15"/>
        <v>8.2529188385747521</v>
      </c>
      <c r="H323" s="445">
        <f>(C323*$C$4)+(D323*$D$4)</f>
        <v>131886949.97500001</v>
      </c>
    </row>
    <row r="325" spans="1:8" x14ac:dyDescent="0.25">
      <c r="G325" s="18"/>
    </row>
    <row r="326" spans="1:8" x14ac:dyDescent="0.25">
      <c r="G326" s="18"/>
    </row>
    <row r="327" spans="1:8" x14ac:dyDescent="0.25">
      <c r="G327" s="18"/>
    </row>
    <row r="328" spans="1:8" x14ac:dyDescent="0.25">
      <c r="G328" s="18"/>
    </row>
    <row r="329" spans="1:8" x14ac:dyDescent="0.25">
      <c r="G329" s="18"/>
    </row>
    <row r="330" spans="1:8" x14ac:dyDescent="0.25">
      <c r="G330" s="18"/>
    </row>
    <row r="331" spans="1:8" x14ac:dyDescent="0.25">
      <c r="G331" s="18"/>
    </row>
    <row r="332" spans="1:8" x14ac:dyDescent="0.25">
      <c r="G332" s="18"/>
    </row>
    <row r="333" spans="1:8" x14ac:dyDescent="0.25">
      <c r="G333" s="18"/>
    </row>
    <row r="334" spans="1:8" x14ac:dyDescent="0.25">
      <c r="G334" s="18"/>
    </row>
    <row r="335" spans="1:8" x14ac:dyDescent="0.25">
      <c r="G335" s="18"/>
    </row>
    <row r="336" spans="1:8" x14ac:dyDescent="0.25">
      <c r="G336" s="18"/>
    </row>
    <row r="337" spans="7:7" x14ac:dyDescent="0.25">
      <c r="G337" s="18"/>
    </row>
    <row r="338" spans="7:7" x14ac:dyDescent="0.25">
      <c r="G338" s="18"/>
    </row>
    <row r="339" spans="7:7" x14ac:dyDescent="0.25">
      <c r="G339" s="18"/>
    </row>
    <row r="340" spans="7:7" x14ac:dyDescent="0.25">
      <c r="G340" s="18"/>
    </row>
    <row r="341" spans="7:7" x14ac:dyDescent="0.25">
      <c r="G341" s="18"/>
    </row>
  </sheetData>
  <sheetProtection sheet="1" objects="1" scenarios="1"/>
  <mergeCells count="6">
    <mergeCell ref="H3:H4"/>
    <mergeCell ref="G3:G4"/>
    <mergeCell ref="F3:F4"/>
    <mergeCell ref="E3:E4"/>
    <mergeCell ref="A3:A4"/>
    <mergeCell ref="B3:B4"/>
  </mergeCells>
  <phoneticPr fontId="7"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29"/>
  <sheetViews>
    <sheetView workbookViewId="0"/>
  </sheetViews>
  <sheetFormatPr baseColWidth="10" defaultColWidth="11" defaultRowHeight="15" x14ac:dyDescent="0.25"/>
  <cols>
    <col min="1" max="1" width="7.25" style="18" customWidth="1"/>
    <col min="2" max="2" width="18" style="18" customWidth="1"/>
    <col min="3" max="3" width="10.875" style="18" bestFit="1" customWidth="1"/>
    <col min="4" max="4" width="7.125" style="18" bestFit="1" customWidth="1"/>
    <col min="5" max="5" width="7.625" style="18" bestFit="1" customWidth="1"/>
    <col min="6" max="6" width="7.375" style="80" bestFit="1" customWidth="1"/>
    <col min="7" max="9" width="5.375" style="18" hidden="1" customWidth="1"/>
    <col min="10" max="10" width="6.125" style="18" hidden="1" customWidth="1"/>
    <col min="11" max="11" width="6.625" style="18" bestFit="1" customWidth="1"/>
    <col min="12" max="12" width="9.125" style="17" bestFit="1" customWidth="1"/>
    <col min="13" max="13" width="10.875" style="17" bestFit="1" customWidth="1"/>
    <col min="14" max="14" width="10.875" style="18" bestFit="1" customWidth="1"/>
    <col min="15" max="16384" width="11" style="18"/>
  </cols>
  <sheetData>
    <row r="1" spans="1:15" ht="21" x14ac:dyDescent="0.25">
      <c r="A1" s="65" t="s">
        <v>256</v>
      </c>
      <c r="B1" s="53"/>
      <c r="C1" s="78"/>
      <c r="D1" s="54"/>
      <c r="E1" s="54"/>
      <c r="F1" s="79"/>
    </row>
    <row r="2" spans="1:15" x14ac:dyDescent="0.25">
      <c r="G2" s="98">
        <f>$E$323*G4</f>
        <v>55.001428299243109</v>
      </c>
      <c r="H2" s="98">
        <f>$E$323*H4</f>
        <v>68.751785374053895</v>
      </c>
      <c r="I2" s="98">
        <f>$E$323*I4</f>
        <v>91.669047165405189</v>
      </c>
      <c r="J2" s="98">
        <f>$E$323*J4</f>
        <v>137.50357074810779</v>
      </c>
    </row>
    <row r="3" spans="1:15" ht="60" customHeight="1" x14ac:dyDescent="0.25">
      <c r="A3" s="497" t="s">
        <v>51</v>
      </c>
      <c r="B3" s="497" t="s">
        <v>121</v>
      </c>
      <c r="C3" s="507" t="s">
        <v>349</v>
      </c>
      <c r="D3" s="508"/>
      <c r="E3" s="509"/>
      <c r="F3" s="505" t="s">
        <v>334</v>
      </c>
      <c r="G3" s="95">
        <f>Paramètres!B16</f>
        <v>0.36</v>
      </c>
      <c r="H3" s="95">
        <f>Paramètres!C16</f>
        <v>0.46</v>
      </c>
      <c r="I3" s="95">
        <f>Paramètres!D16</f>
        <v>0.56000000000000005</v>
      </c>
      <c r="J3" s="95">
        <f>Paramètres!E16</f>
        <v>0.66</v>
      </c>
      <c r="K3" s="505" t="s">
        <v>337</v>
      </c>
      <c r="L3" s="505" t="s">
        <v>350</v>
      </c>
      <c r="M3" s="505" t="s">
        <v>75</v>
      </c>
      <c r="N3" s="505" t="s">
        <v>0</v>
      </c>
      <c r="O3" s="505" t="s">
        <v>1</v>
      </c>
    </row>
    <row r="4" spans="1:15" ht="45" x14ac:dyDescent="0.25">
      <c r="A4" s="498"/>
      <c r="B4" s="498"/>
      <c r="C4" s="302" t="s">
        <v>416</v>
      </c>
      <c r="D4" s="302" t="s">
        <v>73</v>
      </c>
      <c r="E4" s="96" t="s">
        <v>74</v>
      </c>
      <c r="F4" s="506"/>
      <c r="G4" s="97">
        <f>Paramètres!B17</f>
        <v>1.2</v>
      </c>
      <c r="H4" s="97">
        <f>Paramètres!C17</f>
        <v>1.5</v>
      </c>
      <c r="I4" s="97">
        <f>Paramètres!D17</f>
        <v>2</v>
      </c>
      <c r="J4" s="97">
        <f>Paramètres!E17</f>
        <v>3</v>
      </c>
      <c r="K4" s="510"/>
      <c r="L4" s="506"/>
      <c r="M4" s="506"/>
      <c r="N4" s="510"/>
      <c r="O4" s="510"/>
    </row>
    <row r="5" spans="1:15" x14ac:dyDescent="0.25">
      <c r="A5" s="57">
        <f>'A) Base RI'!A7</f>
        <v>5401</v>
      </c>
      <c r="B5" s="308" t="str">
        <f>'A) Base RI'!B7</f>
        <v>Aigle</v>
      </c>
      <c r="C5" s="129">
        <f>'B) D RI'!U7</f>
        <v>260845.44622222218</v>
      </c>
      <c r="D5" s="58">
        <f>'B) D RI'!AR7</f>
        <v>9757</v>
      </c>
      <c r="E5" s="305">
        <f>C5/D5</f>
        <v>26.734185325635153</v>
      </c>
      <c r="F5" s="88">
        <f>E5/$E$323</f>
        <v>0.58327616905184365</v>
      </c>
      <c r="G5" s="93">
        <f>IF(E5-$G$2&lt;0,0,E5-$G$2)</f>
        <v>0</v>
      </c>
      <c r="H5" s="93">
        <f>IF(E5-$H$2&lt;0,0,E5-$H$2)</f>
        <v>0</v>
      </c>
      <c r="I5" s="93">
        <f>IF(E5-$I$2&lt;0,0,E5-$I$2)</f>
        <v>0</v>
      </c>
      <c r="J5" s="93">
        <f>IF(E5-$J$2&lt;0,0,E5-$J$2)</f>
        <v>0</v>
      </c>
      <c r="K5" s="309">
        <f t="shared" ref="K5:K68" si="0">(G5-H5)*$G$3+(H5-I5)*$H$3+(I5-J5)*$I$3+(J5*$J$3)</f>
        <v>0</v>
      </c>
      <c r="L5" s="140">
        <f>K5*D5*'B) D RI'!S7</f>
        <v>0</v>
      </c>
      <c r="M5" s="69">
        <f>(('B) D RI'!S7*C5)-L5)/'B) D RI'!S7</f>
        <v>260845.44622222218</v>
      </c>
      <c r="N5" s="143">
        <f t="shared" ref="N5:N68" si="1">M5/D5</f>
        <v>26.734185325635153</v>
      </c>
      <c r="O5" s="82">
        <f>N5/N$323</f>
        <v>0.61286537543301522</v>
      </c>
    </row>
    <row r="6" spans="1:15" x14ac:dyDescent="0.25">
      <c r="A6" s="61">
        <f>'A) Base RI'!A8</f>
        <v>5402</v>
      </c>
      <c r="B6" s="62" t="str">
        <f>'A) Base RI'!B8</f>
        <v>Bex</v>
      </c>
      <c r="C6" s="13">
        <f>'B) D RI'!U8</f>
        <v>175890.90239436619</v>
      </c>
      <c r="D6" s="42">
        <f>'B) D RI'!AR8</f>
        <v>7236</v>
      </c>
      <c r="E6" s="306">
        <f t="shared" ref="E6:E60" si="2">C6/D6</f>
        <v>24.307753233052264</v>
      </c>
      <c r="F6" s="89">
        <f t="shared" ref="F6:F69" si="3">E6/$E$323</f>
        <v>0.53033720726238165</v>
      </c>
      <c r="G6" s="93">
        <f t="shared" ref="G6:G69" si="4">IF(E6-$G$2&lt;0,0,E6-$G$2)</f>
        <v>0</v>
      </c>
      <c r="H6" s="93">
        <f t="shared" ref="H6:H69" si="5">IF(E6-$H$2&lt;0,0,E6-$H$2)</f>
        <v>0</v>
      </c>
      <c r="I6" s="93">
        <f t="shared" ref="I6:I69" si="6">IF(E6-$I$2&lt;0,0,E6-$I$2)</f>
        <v>0</v>
      </c>
      <c r="J6" s="93">
        <f t="shared" ref="J6:J69" si="7">IF(E6-$J$2&lt;0,0,E6-$J$2)</f>
        <v>0</v>
      </c>
      <c r="K6" s="309">
        <f t="shared" si="0"/>
        <v>0</v>
      </c>
      <c r="L6" s="141">
        <f>K6*D6*'B) D RI'!S8</f>
        <v>0</v>
      </c>
      <c r="M6" s="14">
        <f>(('B) D RI'!S8*C6)-L6)/'B) D RI'!S8</f>
        <v>175890.90239436619</v>
      </c>
      <c r="N6" s="144">
        <f t="shared" si="1"/>
        <v>24.307753233052264</v>
      </c>
      <c r="O6" s="83">
        <f t="shared" ref="O6:O68" si="8">N6/N$323</f>
        <v>0.55724085584245242</v>
      </c>
    </row>
    <row r="7" spans="1:15" x14ac:dyDescent="0.25">
      <c r="A7" s="61">
        <f>'A) Base RI'!A9</f>
        <v>5403</v>
      </c>
      <c r="B7" s="62" t="str">
        <f>'A) Base RI'!B9</f>
        <v>Chessel</v>
      </c>
      <c r="C7" s="13">
        <f>'B) D RI'!U9</f>
        <v>8284.5784210526326</v>
      </c>
      <c r="D7" s="42">
        <f>'B) D RI'!AR9</f>
        <v>396</v>
      </c>
      <c r="E7" s="306">
        <f t="shared" si="2"/>
        <v>20.920652578415741</v>
      </c>
      <c r="F7" s="89">
        <f t="shared" si="3"/>
        <v>0.45643874841781812</v>
      </c>
      <c r="G7" s="93">
        <f t="shared" si="4"/>
        <v>0</v>
      </c>
      <c r="H7" s="93">
        <f t="shared" si="5"/>
        <v>0</v>
      </c>
      <c r="I7" s="93">
        <f t="shared" si="6"/>
        <v>0</v>
      </c>
      <c r="J7" s="93">
        <f t="shared" si="7"/>
        <v>0</v>
      </c>
      <c r="K7" s="309">
        <f t="shared" si="0"/>
        <v>0</v>
      </c>
      <c r="L7" s="141">
        <f>K7*D7*'B) D RI'!S9</f>
        <v>0</v>
      </c>
      <c r="M7" s="14">
        <f>(('B) D RI'!S9*C7)-L7)/'B) D RI'!S9</f>
        <v>8284.5784210526326</v>
      </c>
      <c r="N7" s="144">
        <f t="shared" si="1"/>
        <v>20.920652578415741</v>
      </c>
      <c r="O7" s="83">
        <f t="shared" si="8"/>
        <v>0.47959357805752872</v>
      </c>
    </row>
    <row r="8" spans="1:15" x14ac:dyDescent="0.25">
      <c r="A8" s="61">
        <f>'A) Base RI'!A10</f>
        <v>5404</v>
      </c>
      <c r="B8" s="62" t="str">
        <f>'A) Base RI'!B10</f>
        <v>Corbeyrier</v>
      </c>
      <c r="C8" s="13">
        <f>'B) D RI'!U10</f>
        <v>9966.1885714285709</v>
      </c>
      <c r="D8" s="42">
        <f>'B) D RI'!AR10</f>
        <v>433</v>
      </c>
      <c r="E8" s="306">
        <f t="shared" si="2"/>
        <v>23.016601781590232</v>
      </c>
      <c r="F8" s="89">
        <f t="shared" si="3"/>
        <v>0.50216736168446674</v>
      </c>
      <c r="G8" s="93">
        <f t="shared" si="4"/>
        <v>0</v>
      </c>
      <c r="H8" s="93">
        <f t="shared" si="5"/>
        <v>0</v>
      </c>
      <c r="I8" s="93">
        <f t="shared" si="6"/>
        <v>0</v>
      </c>
      <c r="J8" s="93">
        <f t="shared" si="7"/>
        <v>0</v>
      </c>
      <c r="K8" s="309">
        <f t="shared" si="0"/>
        <v>0</v>
      </c>
      <c r="L8" s="141">
        <f>K8*D8*'B) D RI'!S10</f>
        <v>0</v>
      </c>
      <c r="M8" s="14">
        <f>(('B) D RI'!S10*C8)-L8)/'B) D RI'!S10</f>
        <v>9966.1885714285709</v>
      </c>
      <c r="N8" s="144">
        <f t="shared" si="1"/>
        <v>23.016601781590232</v>
      </c>
      <c r="O8" s="83">
        <f t="shared" si="8"/>
        <v>0.52764197301124871</v>
      </c>
    </row>
    <row r="9" spans="1:15" x14ac:dyDescent="0.25">
      <c r="A9" s="61">
        <f>'A) Base RI'!A11</f>
        <v>5405</v>
      </c>
      <c r="B9" s="62" t="str">
        <f>'A) Base RI'!B11</f>
        <v>Gryon</v>
      </c>
      <c r="C9" s="13">
        <f>'B) D RI'!U11</f>
        <v>72189.140533333324</v>
      </c>
      <c r="D9" s="42">
        <f>'B) D RI'!AR11</f>
        <v>1265</v>
      </c>
      <c r="E9" s="306">
        <f t="shared" si="2"/>
        <v>57.066514255599465</v>
      </c>
      <c r="F9" s="89">
        <f t="shared" si="3"/>
        <v>1.2450552508226722</v>
      </c>
      <c r="G9" s="93">
        <f t="shared" si="4"/>
        <v>2.0650859563563557</v>
      </c>
      <c r="H9" s="93">
        <f t="shared" si="5"/>
        <v>0</v>
      </c>
      <c r="I9" s="93">
        <f t="shared" si="6"/>
        <v>0</v>
      </c>
      <c r="J9" s="93">
        <f t="shared" si="7"/>
        <v>0</v>
      </c>
      <c r="K9" s="309">
        <f t="shared" si="0"/>
        <v>0.74343094428828804</v>
      </c>
      <c r="L9" s="141">
        <f>K9*D9*'B) D RI'!S11</f>
        <v>70533.010839351322</v>
      </c>
      <c r="M9" s="14">
        <f>(('B) D RI'!S11*C9)-L9)/'B) D RI'!S11</f>
        <v>71248.700388808633</v>
      </c>
      <c r="N9" s="144">
        <f t="shared" si="1"/>
        <v>56.323083311311173</v>
      </c>
      <c r="O9" s="83">
        <f t="shared" si="8"/>
        <v>1.2911733489792296</v>
      </c>
    </row>
    <row r="10" spans="1:15" x14ac:dyDescent="0.25">
      <c r="A10" s="61">
        <f>'A) Base RI'!A12</f>
        <v>5406</v>
      </c>
      <c r="B10" s="62" t="str">
        <f>'A) Base RI'!B12</f>
        <v>Lavey-Morcles</v>
      </c>
      <c r="C10" s="13">
        <f>'B) D RI'!U12</f>
        <v>19831.448851570964</v>
      </c>
      <c r="D10" s="42">
        <f>'B) D RI'!AR12</f>
        <v>907</v>
      </c>
      <c r="E10" s="306">
        <f t="shared" si="2"/>
        <v>21.864882967553434</v>
      </c>
      <c r="F10" s="89">
        <f t="shared" si="3"/>
        <v>0.47703960374107568</v>
      </c>
      <c r="G10" s="93">
        <f t="shared" si="4"/>
        <v>0</v>
      </c>
      <c r="H10" s="93">
        <f t="shared" si="5"/>
        <v>0</v>
      </c>
      <c r="I10" s="93">
        <f t="shared" si="6"/>
        <v>0</v>
      </c>
      <c r="J10" s="93">
        <f t="shared" si="7"/>
        <v>0</v>
      </c>
      <c r="K10" s="309">
        <f t="shared" si="0"/>
        <v>0</v>
      </c>
      <c r="L10" s="141">
        <f>K10*D10*'B) D RI'!S12</f>
        <v>0</v>
      </c>
      <c r="M10" s="14">
        <f>(('B) D RI'!S12*C10)-L10)/'B) D RI'!S12</f>
        <v>19831.448851570964</v>
      </c>
      <c r="N10" s="144">
        <f t="shared" si="1"/>
        <v>21.864882967553434</v>
      </c>
      <c r="O10" s="83">
        <f t="shared" si="8"/>
        <v>0.50123950086705005</v>
      </c>
    </row>
    <row r="11" spans="1:15" x14ac:dyDescent="0.25">
      <c r="A11" s="61">
        <f>'A) Base RI'!A13</f>
        <v>5407</v>
      </c>
      <c r="B11" s="62" t="str">
        <f>'A) Base RI'!B13</f>
        <v>Leysin</v>
      </c>
      <c r="C11" s="13">
        <f>'B) D RI'!U13</f>
        <v>102799.09089743589</v>
      </c>
      <c r="D11" s="42">
        <f>'B) D RI'!AR13</f>
        <v>4148</v>
      </c>
      <c r="E11" s="306">
        <f t="shared" si="2"/>
        <v>24.782808798803252</v>
      </c>
      <c r="F11" s="89">
        <f t="shared" si="3"/>
        <v>0.54070178681111003</v>
      </c>
      <c r="G11" s="93">
        <f t="shared" si="4"/>
        <v>0</v>
      </c>
      <c r="H11" s="93">
        <f t="shared" si="5"/>
        <v>0</v>
      </c>
      <c r="I11" s="93">
        <f t="shared" si="6"/>
        <v>0</v>
      </c>
      <c r="J11" s="93">
        <f t="shared" si="7"/>
        <v>0</v>
      </c>
      <c r="K11" s="309">
        <f t="shared" si="0"/>
        <v>0</v>
      </c>
      <c r="L11" s="141">
        <f>K11*D11*'B) D RI'!S13</f>
        <v>0</v>
      </c>
      <c r="M11" s="14">
        <f>(('B) D RI'!S13*C11)-L11)/'B) D RI'!S13</f>
        <v>102799.09089743589</v>
      </c>
      <c r="N11" s="144">
        <f t="shared" si="1"/>
        <v>24.782808798803252</v>
      </c>
      <c r="O11" s="83">
        <f t="shared" si="8"/>
        <v>0.56813122351624679</v>
      </c>
    </row>
    <row r="12" spans="1:15" x14ac:dyDescent="0.25">
      <c r="A12" s="61">
        <f>'A) Base RI'!A14</f>
        <v>5408</v>
      </c>
      <c r="B12" s="62" t="str">
        <f>'A) Base RI'!B14</f>
        <v>Noville</v>
      </c>
      <c r="C12" s="13">
        <f>'B) D RI'!U14</f>
        <v>34745.229256900217</v>
      </c>
      <c r="D12" s="42">
        <f>'B) D RI'!AR14</f>
        <v>1029</v>
      </c>
      <c r="E12" s="306">
        <f t="shared" si="2"/>
        <v>33.766014826919552</v>
      </c>
      <c r="F12" s="89">
        <f t="shared" si="3"/>
        <v>0.73669391950792407</v>
      </c>
      <c r="G12" s="93">
        <f t="shared" si="4"/>
        <v>0</v>
      </c>
      <c r="H12" s="93">
        <f t="shared" si="5"/>
        <v>0</v>
      </c>
      <c r="I12" s="93">
        <f t="shared" si="6"/>
        <v>0</v>
      </c>
      <c r="J12" s="93">
        <f t="shared" si="7"/>
        <v>0</v>
      </c>
      <c r="K12" s="309">
        <f t="shared" si="0"/>
        <v>0</v>
      </c>
      <c r="L12" s="141">
        <f>K12*D12*'B) D RI'!S14</f>
        <v>0</v>
      </c>
      <c r="M12" s="14">
        <f>(('B) D RI'!S14*C12)-L12)/'B) D RI'!S14</f>
        <v>34745.229256900217</v>
      </c>
      <c r="N12" s="144">
        <f t="shared" si="1"/>
        <v>33.766014826919552</v>
      </c>
      <c r="O12" s="83">
        <f t="shared" si="8"/>
        <v>0.77406590482237414</v>
      </c>
    </row>
    <row r="13" spans="1:15" x14ac:dyDescent="0.25">
      <c r="A13" s="61">
        <f>'A) Base RI'!A15</f>
        <v>5409</v>
      </c>
      <c r="B13" s="62" t="str">
        <f>'A) Base RI'!B15</f>
        <v>Ollon</v>
      </c>
      <c r="C13" s="13">
        <f>'B) D RI'!U15</f>
        <v>592476.91795248864</v>
      </c>
      <c r="D13" s="42">
        <f>'B) D RI'!AR15</f>
        <v>7419</v>
      </c>
      <c r="E13" s="306">
        <f t="shared" si="2"/>
        <v>79.859403956394203</v>
      </c>
      <c r="F13" s="89">
        <f t="shared" si="3"/>
        <v>1.7423417484049555</v>
      </c>
      <c r="G13" s="93">
        <f t="shared" si="4"/>
        <v>24.857975657151094</v>
      </c>
      <c r="H13" s="93">
        <f t="shared" si="5"/>
        <v>11.107618582340308</v>
      </c>
      <c r="I13" s="93">
        <f t="shared" si="6"/>
        <v>0</v>
      </c>
      <c r="J13" s="93">
        <f t="shared" si="7"/>
        <v>0</v>
      </c>
      <c r="K13" s="309">
        <f t="shared" si="0"/>
        <v>10.059633094808426</v>
      </c>
      <c r="L13" s="141">
        <f>K13*D13*'B) D RI'!S15</f>
        <v>5075004.4192660926</v>
      </c>
      <c r="M13" s="14">
        <f>(('B) D RI'!S15*C13)-L13)/'B) D RI'!S15</f>
        <v>517844.500022105</v>
      </c>
      <c r="N13" s="144">
        <f t="shared" si="1"/>
        <v>69.799770861585799</v>
      </c>
      <c r="O13" s="83">
        <f t="shared" si="8"/>
        <v>1.600118434624785</v>
      </c>
    </row>
    <row r="14" spans="1:15" x14ac:dyDescent="0.25">
      <c r="A14" s="61">
        <f>'A) Base RI'!A16</f>
        <v>5410</v>
      </c>
      <c r="B14" s="62" t="str">
        <f>'A) Base RI'!B16</f>
        <v>Ormont-Dessous</v>
      </c>
      <c r="C14" s="13">
        <f>'B) D RI'!U16</f>
        <v>35234.198174097655</v>
      </c>
      <c r="D14" s="42">
        <f>'B) D RI'!AR16</f>
        <v>1119</v>
      </c>
      <c r="E14" s="306">
        <f t="shared" si="2"/>
        <v>31.487219101070291</v>
      </c>
      <c r="F14" s="89">
        <f t="shared" si="3"/>
        <v>0.68697603116252737</v>
      </c>
      <c r="G14" s="93">
        <f t="shared" si="4"/>
        <v>0</v>
      </c>
      <c r="H14" s="93">
        <f t="shared" si="5"/>
        <v>0</v>
      </c>
      <c r="I14" s="93">
        <f t="shared" si="6"/>
        <v>0</v>
      </c>
      <c r="J14" s="93">
        <f t="shared" si="7"/>
        <v>0</v>
      </c>
      <c r="K14" s="309">
        <f t="shared" si="0"/>
        <v>0</v>
      </c>
      <c r="L14" s="141">
        <f>K14*D14*'B) D RI'!S16</f>
        <v>0</v>
      </c>
      <c r="M14" s="14">
        <f>(('B) D RI'!S16*C14)-L14)/'B) D RI'!S16</f>
        <v>35234.198174097655</v>
      </c>
      <c r="N14" s="144">
        <f t="shared" si="1"/>
        <v>31.487219101070291</v>
      </c>
      <c r="O14" s="83">
        <f t="shared" si="8"/>
        <v>0.72182586155767159</v>
      </c>
    </row>
    <row r="15" spans="1:15" x14ac:dyDescent="0.25">
      <c r="A15" s="61">
        <f>'A) Base RI'!A17</f>
        <v>5411</v>
      </c>
      <c r="B15" s="62" t="str">
        <f>'A) Base RI'!B17</f>
        <v>Ormont-Dessus</v>
      </c>
      <c r="C15" s="13">
        <f>'B) D RI'!U17</f>
        <v>71790.213859649128</v>
      </c>
      <c r="D15" s="42">
        <f>'B) D RI'!AR17</f>
        <v>1481</v>
      </c>
      <c r="E15" s="306">
        <f t="shared" si="2"/>
        <v>48.474148453510551</v>
      </c>
      <c r="F15" s="89">
        <f t="shared" si="3"/>
        <v>1.0575903197956249</v>
      </c>
      <c r="G15" s="93">
        <f t="shared" si="4"/>
        <v>0</v>
      </c>
      <c r="H15" s="93">
        <f t="shared" si="5"/>
        <v>0</v>
      </c>
      <c r="I15" s="93">
        <f t="shared" si="6"/>
        <v>0</v>
      </c>
      <c r="J15" s="93">
        <f t="shared" si="7"/>
        <v>0</v>
      </c>
      <c r="K15" s="309">
        <f t="shared" si="0"/>
        <v>0</v>
      </c>
      <c r="L15" s="141">
        <f>K15*D15*'B) D RI'!S17</f>
        <v>0</v>
      </c>
      <c r="M15" s="14">
        <f>(('B) D RI'!S17*C15)-L15)/'B) D RI'!S17</f>
        <v>71790.213859649128</v>
      </c>
      <c r="N15" s="144">
        <f t="shared" si="1"/>
        <v>48.474148453510551</v>
      </c>
      <c r="O15" s="83">
        <f t="shared" si="8"/>
        <v>1.111241162911728</v>
      </c>
    </row>
    <row r="16" spans="1:15" x14ac:dyDescent="0.25">
      <c r="A16" s="61">
        <f>'A) Base RI'!A18</f>
        <v>5412</v>
      </c>
      <c r="B16" s="62" t="str">
        <f>'A) Base RI'!B18</f>
        <v>Rennaz</v>
      </c>
      <c r="C16" s="13">
        <f>'B) D RI'!U18</f>
        <v>26501.739703703701</v>
      </c>
      <c r="D16" s="42">
        <f>'B) D RI'!AR18</f>
        <v>843</v>
      </c>
      <c r="E16" s="306">
        <f t="shared" si="2"/>
        <v>31.43741364614911</v>
      </c>
      <c r="F16" s="89">
        <f t="shared" si="3"/>
        <v>0.68588939491046041</v>
      </c>
      <c r="G16" s="93">
        <f t="shared" si="4"/>
        <v>0</v>
      </c>
      <c r="H16" s="93">
        <f t="shared" si="5"/>
        <v>0</v>
      </c>
      <c r="I16" s="93">
        <f t="shared" si="6"/>
        <v>0</v>
      </c>
      <c r="J16" s="93">
        <f t="shared" si="7"/>
        <v>0</v>
      </c>
      <c r="K16" s="309">
        <f t="shared" si="0"/>
        <v>0</v>
      </c>
      <c r="L16" s="141">
        <f>K16*D16*'B) D RI'!S18</f>
        <v>0</v>
      </c>
      <c r="M16" s="14">
        <f>(('B) D RI'!S18*C16)-L16)/'B) D RI'!S18</f>
        <v>26501.739703703701</v>
      </c>
      <c r="N16" s="144">
        <f t="shared" si="1"/>
        <v>31.43741364614911</v>
      </c>
      <c r="O16" s="83">
        <f t="shared" si="8"/>
        <v>0.72068410098194857</v>
      </c>
    </row>
    <row r="17" spans="1:15" x14ac:dyDescent="0.25">
      <c r="A17" s="61">
        <f>'A) Base RI'!A19</f>
        <v>5413</v>
      </c>
      <c r="B17" s="62" t="str">
        <f>'A) Base RI'!B19</f>
        <v>Roche</v>
      </c>
      <c r="C17" s="13">
        <f>'B) D RI'!U19</f>
        <v>34861.221617647054</v>
      </c>
      <c r="D17" s="42">
        <f>'B) D RI'!AR19</f>
        <v>1507</v>
      </c>
      <c r="E17" s="306">
        <f t="shared" si="2"/>
        <v>23.132861060150667</v>
      </c>
      <c r="F17" s="89">
        <f t="shared" si="3"/>
        <v>0.50470386189157934</v>
      </c>
      <c r="G17" s="93">
        <f t="shared" si="4"/>
        <v>0</v>
      </c>
      <c r="H17" s="93">
        <f t="shared" si="5"/>
        <v>0</v>
      </c>
      <c r="I17" s="93">
        <f t="shared" si="6"/>
        <v>0</v>
      </c>
      <c r="J17" s="93">
        <f t="shared" si="7"/>
        <v>0</v>
      </c>
      <c r="K17" s="309">
        <f t="shared" si="0"/>
        <v>0</v>
      </c>
      <c r="L17" s="141">
        <f>K17*D17*'B) D RI'!S19</f>
        <v>0</v>
      </c>
      <c r="M17" s="14">
        <f>(('B) D RI'!S19*C17)-L17)/'B) D RI'!S19</f>
        <v>34861.221617647054</v>
      </c>
      <c r="N17" s="144">
        <f t="shared" si="1"/>
        <v>23.132861060150667</v>
      </c>
      <c r="O17" s="83">
        <f t="shared" si="8"/>
        <v>0.53030714816188973</v>
      </c>
    </row>
    <row r="18" spans="1:15" x14ac:dyDescent="0.25">
      <c r="A18" s="61">
        <f>'A) Base RI'!A20</f>
        <v>5414</v>
      </c>
      <c r="B18" s="62" t="str">
        <f>'A) Base RI'!B20</f>
        <v>Villeneuve</v>
      </c>
      <c r="C18" s="13">
        <f>'B) D RI'!U20</f>
        <v>168009.32057971013</v>
      </c>
      <c r="D18" s="42">
        <f>'B) D RI'!AR20</f>
        <v>5428</v>
      </c>
      <c r="E18" s="306">
        <f t="shared" si="2"/>
        <v>30.952343511368852</v>
      </c>
      <c r="F18" s="89">
        <f t="shared" si="3"/>
        <v>0.67530632134790858</v>
      </c>
      <c r="G18" s="93">
        <f t="shared" si="4"/>
        <v>0</v>
      </c>
      <c r="H18" s="93">
        <f t="shared" si="5"/>
        <v>0</v>
      </c>
      <c r="I18" s="93">
        <f t="shared" si="6"/>
        <v>0</v>
      </c>
      <c r="J18" s="93">
        <f t="shared" si="7"/>
        <v>0</v>
      </c>
      <c r="K18" s="309">
        <f t="shared" si="0"/>
        <v>0</v>
      </c>
      <c r="L18" s="141">
        <f>K18*D18*'B) D RI'!S20</f>
        <v>0</v>
      </c>
      <c r="M18" s="14">
        <f>(('B) D RI'!S20*C18)-L18)/'B) D RI'!S20</f>
        <v>168009.32057971013</v>
      </c>
      <c r="N18" s="144">
        <f t="shared" si="1"/>
        <v>30.952343511368852</v>
      </c>
      <c r="O18" s="83">
        <f t="shared" si="8"/>
        <v>0.70956415524047933</v>
      </c>
    </row>
    <row r="19" spans="1:15" x14ac:dyDescent="0.25">
      <c r="A19" s="61">
        <f>'A) Base RI'!A21</f>
        <v>5415</v>
      </c>
      <c r="B19" s="62" t="str">
        <f>'A) Base RI'!B21</f>
        <v>Yvorne</v>
      </c>
      <c r="C19" s="13">
        <f>'B) D RI'!U21</f>
        <v>43055.973722627736</v>
      </c>
      <c r="D19" s="42">
        <f>'B) D RI'!AR21</f>
        <v>1032</v>
      </c>
      <c r="E19" s="306">
        <f t="shared" si="2"/>
        <v>41.720904769988117</v>
      </c>
      <c r="F19" s="89">
        <f t="shared" si="3"/>
        <v>0.91025064752136076</v>
      </c>
      <c r="G19" s="93">
        <f t="shared" si="4"/>
        <v>0</v>
      </c>
      <c r="H19" s="93">
        <f t="shared" si="5"/>
        <v>0</v>
      </c>
      <c r="I19" s="93">
        <f t="shared" si="6"/>
        <v>0</v>
      </c>
      <c r="J19" s="93">
        <f t="shared" si="7"/>
        <v>0</v>
      </c>
      <c r="K19" s="309">
        <f t="shared" si="0"/>
        <v>0</v>
      </c>
      <c r="L19" s="141">
        <f>K19*D19*'B) D RI'!S21</f>
        <v>0</v>
      </c>
      <c r="M19" s="14">
        <f>(('B) D RI'!S21*C19)-L19)/'B) D RI'!S21</f>
        <v>43055.973722627736</v>
      </c>
      <c r="N19" s="144">
        <f t="shared" si="1"/>
        <v>41.720904769988117</v>
      </c>
      <c r="O19" s="83">
        <f t="shared" si="8"/>
        <v>0.9564270485080274</v>
      </c>
    </row>
    <row r="20" spans="1:15" x14ac:dyDescent="0.25">
      <c r="A20" s="61">
        <f>'A) Base RI'!A22</f>
        <v>5421</v>
      </c>
      <c r="B20" s="62" t="str">
        <f>'A) Base RI'!B22</f>
        <v>Apples</v>
      </c>
      <c r="C20" s="13">
        <f>'B) D RI'!U22</f>
        <v>57391.691408450701</v>
      </c>
      <c r="D20" s="42">
        <f>'B) D RI'!AR22</f>
        <v>1363</v>
      </c>
      <c r="E20" s="306">
        <f t="shared" si="2"/>
        <v>42.106890248313057</v>
      </c>
      <c r="F20" s="89">
        <f t="shared" si="3"/>
        <v>0.91867193017369331</v>
      </c>
      <c r="G20" s="93">
        <f t="shared" si="4"/>
        <v>0</v>
      </c>
      <c r="H20" s="93">
        <f t="shared" si="5"/>
        <v>0</v>
      </c>
      <c r="I20" s="93">
        <f t="shared" si="6"/>
        <v>0</v>
      </c>
      <c r="J20" s="93">
        <f t="shared" si="7"/>
        <v>0</v>
      </c>
      <c r="K20" s="309">
        <f t="shared" si="0"/>
        <v>0</v>
      </c>
      <c r="L20" s="141">
        <f>K20*D20*'B) D RI'!S22</f>
        <v>0</v>
      </c>
      <c r="M20" s="14">
        <f>(('B) D RI'!S22*C20)-L20)/'B) D RI'!S22</f>
        <v>57391.691408450701</v>
      </c>
      <c r="N20" s="144">
        <f t="shared" si="1"/>
        <v>42.106890248313057</v>
      </c>
      <c r="O20" s="83">
        <f t="shared" si="8"/>
        <v>0.9652755371454752</v>
      </c>
    </row>
    <row r="21" spans="1:15" x14ac:dyDescent="0.25">
      <c r="A21" s="61">
        <f>'A) Base RI'!A23</f>
        <v>5422</v>
      </c>
      <c r="B21" s="62" t="str">
        <f>'A) Base RI'!B23</f>
        <v>Aubonne</v>
      </c>
      <c r="C21" s="13">
        <f>'B) D RI'!U23</f>
        <v>231550.9032352941</v>
      </c>
      <c r="D21" s="42">
        <f>'B) D RI'!AR23</f>
        <v>3227</v>
      </c>
      <c r="E21" s="306">
        <f t="shared" si="2"/>
        <v>71.754230937494299</v>
      </c>
      <c r="F21" s="89">
        <f t="shared" si="3"/>
        <v>1.565506202066721</v>
      </c>
      <c r="G21" s="93">
        <f t="shared" si="4"/>
        <v>16.75280263825119</v>
      </c>
      <c r="H21" s="93">
        <f t="shared" si="5"/>
        <v>3.0024455634404035</v>
      </c>
      <c r="I21" s="93">
        <f t="shared" si="6"/>
        <v>0</v>
      </c>
      <c r="J21" s="93">
        <f t="shared" si="7"/>
        <v>0</v>
      </c>
      <c r="K21" s="309">
        <f t="shared" si="0"/>
        <v>6.3312535061144688</v>
      </c>
      <c r="L21" s="141">
        <f>K21*D21*'B) D RI'!S23</f>
        <v>1389304.9443677347</v>
      </c>
      <c r="M21" s="14">
        <f>(('B) D RI'!S23*C21)-L21)/'B) D RI'!S23</f>
        <v>211119.94817106269</v>
      </c>
      <c r="N21" s="144">
        <f t="shared" si="1"/>
        <v>65.42297743137982</v>
      </c>
      <c r="O21" s="83">
        <f t="shared" si="8"/>
        <v>1.4997830357292059</v>
      </c>
    </row>
    <row r="22" spans="1:15" x14ac:dyDescent="0.25">
      <c r="A22" s="61">
        <f>'A) Base RI'!A24</f>
        <v>5423</v>
      </c>
      <c r="B22" s="62" t="str">
        <f>'A) Base RI'!B24</f>
        <v>Ballens</v>
      </c>
      <c r="C22" s="13">
        <f>'B) D RI'!U24</f>
        <v>19761.871884057968</v>
      </c>
      <c r="D22" s="42">
        <f>'B) D RI'!AR24</f>
        <v>509</v>
      </c>
      <c r="E22" s="306">
        <f t="shared" si="2"/>
        <v>38.824895646479305</v>
      </c>
      <c r="F22" s="89">
        <f t="shared" si="3"/>
        <v>0.84706663474803434</v>
      </c>
      <c r="G22" s="93">
        <f t="shared" si="4"/>
        <v>0</v>
      </c>
      <c r="H22" s="93">
        <f t="shared" si="5"/>
        <v>0</v>
      </c>
      <c r="I22" s="93">
        <f t="shared" si="6"/>
        <v>0</v>
      </c>
      <c r="J22" s="93">
        <f t="shared" si="7"/>
        <v>0</v>
      </c>
      <c r="K22" s="309">
        <f t="shared" si="0"/>
        <v>0</v>
      </c>
      <c r="L22" s="141">
        <f>K22*D22*'B) D RI'!S24</f>
        <v>0</v>
      </c>
      <c r="M22" s="14">
        <f>(('B) D RI'!S24*C22)-L22)/'B) D RI'!S24</f>
        <v>19761.871884057968</v>
      </c>
      <c r="N22" s="144">
        <f t="shared" si="1"/>
        <v>38.824895646479305</v>
      </c>
      <c r="O22" s="83">
        <f t="shared" si="8"/>
        <v>0.89003775341195557</v>
      </c>
    </row>
    <row r="23" spans="1:15" x14ac:dyDescent="0.25">
      <c r="A23" s="61">
        <f>'A) Base RI'!A25</f>
        <v>5424</v>
      </c>
      <c r="B23" s="62" t="str">
        <f>'A) Base RI'!B25</f>
        <v>Berolle</v>
      </c>
      <c r="C23" s="13">
        <f>'B) D RI'!U25</f>
        <v>9360.1262337662338</v>
      </c>
      <c r="D23" s="42">
        <f>'B) D RI'!AR25</f>
        <v>292</v>
      </c>
      <c r="E23" s="306">
        <f t="shared" si="2"/>
        <v>32.055226827966557</v>
      </c>
      <c r="F23" s="89">
        <f t="shared" si="3"/>
        <v>0.69936860519837107</v>
      </c>
      <c r="G23" s="93">
        <f t="shared" si="4"/>
        <v>0</v>
      </c>
      <c r="H23" s="93">
        <f t="shared" si="5"/>
        <v>0</v>
      </c>
      <c r="I23" s="93">
        <f t="shared" si="6"/>
        <v>0</v>
      </c>
      <c r="J23" s="93">
        <f t="shared" si="7"/>
        <v>0</v>
      </c>
      <c r="K23" s="309">
        <f t="shared" si="0"/>
        <v>0</v>
      </c>
      <c r="L23" s="141">
        <f>K23*D23*'B) D RI'!S25</f>
        <v>0</v>
      </c>
      <c r="M23" s="14">
        <f>(('B) D RI'!S25*C23)-L23)/'B) D RI'!S25</f>
        <v>9360.1262337662338</v>
      </c>
      <c r="N23" s="144">
        <f t="shared" si="1"/>
        <v>32.055226827966557</v>
      </c>
      <c r="O23" s="83">
        <f t="shared" si="8"/>
        <v>0.7348471025101434</v>
      </c>
    </row>
    <row r="24" spans="1:15" x14ac:dyDescent="0.25">
      <c r="A24" s="61">
        <f>'A) Base RI'!A26</f>
        <v>5425</v>
      </c>
      <c r="B24" s="62" t="str">
        <f>'A) Base RI'!B26</f>
        <v>Bière</v>
      </c>
      <c r="C24" s="13">
        <f>'B) D RI'!U26</f>
        <v>40787.403970588231</v>
      </c>
      <c r="D24" s="42">
        <f>'B) D RI'!AR26</f>
        <v>1550</v>
      </c>
      <c r="E24" s="306">
        <f t="shared" si="2"/>
        <v>26.314454174573054</v>
      </c>
      <c r="F24" s="89">
        <f t="shared" si="3"/>
        <v>0.57411863629589066</v>
      </c>
      <c r="G24" s="93">
        <f t="shared" si="4"/>
        <v>0</v>
      </c>
      <c r="H24" s="93">
        <f t="shared" si="5"/>
        <v>0</v>
      </c>
      <c r="I24" s="93">
        <f t="shared" si="6"/>
        <v>0</v>
      </c>
      <c r="J24" s="93">
        <f t="shared" si="7"/>
        <v>0</v>
      </c>
      <c r="K24" s="309">
        <f t="shared" si="0"/>
        <v>0</v>
      </c>
      <c r="L24" s="141">
        <f>K24*D24*'B) D RI'!S26</f>
        <v>0</v>
      </c>
      <c r="M24" s="14">
        <f>(('B) D RI'!S26*C24)-L24)/'B) D RI'!S26</f>
        <v>40787.403970588231</v>
      </c>
      <c r="N24" s="144">
        <f t="shared" si="1"/>
        <v>26.314454174573054</v>
      </c>
      <c r="O24" s="83">
        <f t="shared" si="8"/>
        <v>0.60324328722111298</v>
      </c>
    </row>
    <row r="25" spans="1:15" x14ac:dyDescent="0.25">
      <c r="A25" s="61">
        <f>'A) Base RI'!A27</f>
        <v>5426</v>
      </c>
      <c r="B25" s="62" t="str">
        <f>'A) Base RI'!B27</f>
        <v>Bougy-Villars</v>
      </c>
      <c r="C25" s="13">
        <f>'B) D RI'!U27</f>
        <v>42113.452258064506</v>
      </c>
      <c r="D25" s="42">
        <f>'B) D RI'!AR27</f>
        <v>481</v>
      </c>
      <c r="E25" s="306">
        <f t="shared" si="2"/>
        <v>87.553954798470912</v>
      </c>
      <c r="F25" s="89">
        <f t="shared" si="3"/>
        <v>1.9102184980823655</v>
      </c>
      <c r="G25" s="93">
        <f t="shared" si="4"/>
        <v>32.552526499227803</v>
      </c>
      <c r="H25" s="93">
        <f t="shared" si="5"/>
        <v>18.802169424417016</v>
      </c>
      <c r="I25" s="93">
        <f t="shared" si="6"/>
        <v>0</v>
      </c>
      <c r="J25" s="93">
        <f t="shared" si="7"/>
        <v>0</v>
      </c>
      <c r="K25" s="309">
        <f t="shared" si="0"/>
        <v>13.599126482163712</v>
      </c>
      <c r="L25" s="141">
        <f>K25*D25*'B) D RI'!S27</f>
        <v>405553.14995108626</v>
      </c>
      <c r="M25" s="14">
        <f>(('B) D RI'!S27*C25)-L25)/'B) D RI'!S27</f>
        <v>35572.27242014376</v>
      </c>
      <c r="N25" s="144">
        <f t="shared" si="1"/>
        <v>73.954828316307186</v>
      </c>
      <c r="O25" s="83">
        <f t="shared" si="8"/>
        <v>1.6953706675212095</v>
      </c>
    </row>
    <row r="26" spans="1:15" x14ac:dyDescent="0.25">
      <c r="A26" s="61">
        <f>'A) Base RI'!A28</f>
        <v>5427</v>
      </c>
      <c r="B26" s="62" t="str">
        <f>'A) Base RI'!B28</f>
        <v>Féchy</v>
      </c>
      <c r="C26" s="13">
        <f>'B) D RI'!U28</f>
        <v>64357.078870192301</v>
      </c>
      <c r="D26" s="42">
        <f>'B) D RI'!AR28</f>
        <v>860</v>
      </c>
      <c r="E26" s="306">
        <f t="shared" si="2"/>
        <v>74.833812639758492</v>
      </c>
      <c r="F26" s="89">
        <f t="shared" si="3"/>
        <v>1.6326953307310013</v>
      </c>
      <c r="G26" s="93">
        <f t="shared" si="4"/>
        <v>19.832384340515382</v>
      </c>
      <c r="H26" s="93">
        <f t="shared" si="5"/>
        <v>6.0820272657045962</v>
      </c>
      <c r="I26" s="93">
        <f t="shared" si="6"/>
        <v>0</v>
      </c>
      <c r="J26" s="93">
        <f t="shared" si="7"/>
        <v>0</v>
      </c>
      <c r="K26" s="309">
        <f t="shared" si="0"/>
        <v>7.7478610891559976</v>
      </c>
      <c r="L26" s="141">
        <f>K26*D26*'B) D RI'!S28</f>
        <v>426442.2743471461</v>
      </c>
      <c r="M26" s="14">
        <f>(('B) D RI'!S28*C26)-L26)/'B) D RI'!S28</f>
        <v>57693.918333518144</v>
      </c>
      <c r="N26" s="144">
        <f t="shared" si="1"/>
        <v>67.085951550602488</v>
      </c>
      <c r="O26" s="83">
        <f t="shared" si="8"/>
        <v>1.5379057331482107</v>
      </c>
    </row>
    <row r="27" spans="1:15" x14ac:dyDescent="0.25">
      <c r="A27" s="61">
        <f>'A) Base RI'!A29</f>
        <v>5428</v>
      </c>
      <c r="B27" s="62" t="str">
        <f>'A) Base RI'!B29</f>
        <v>Gimel</v>
      </c>
      <c r="C27" s="13">
        <f>'B) D RI'!U29</f>
        <v>57546.053752913758</v>
      </c>
      <c r="D27" s="42">
        <f>'B) D RI'!AR29</f>
        <v>1907</v>
      </c>
      <c r="E27" s="306">
        <f t="shared" si="2"/>
        <v>30.176221160416233</v>
      </c>
      <c r="F27" s="89">
        <f t="shared" si="3"/>
        <v>0.65837318251965815</v>
      </c>
      <c r="G27" s="93">
        <f t="shared" si="4"/>
        <v>0</v>
      </c>
      <c r="H27" s="93">
        <f t="shared" si="5"/>
        <v>0</v>
      </c>
      <c r="I27" s="93">
        <f t="shared" si="6"/>
        <v>0</v>
      </c>
      <c r="J27" s="93">
        <f t="shared" si="7"/>
        <v>0</v>
      </c>
      <c r="K27" s="309">
        <f t="shared" si="0"/>
        <v>0</v>
      </c>
      <c r="L27" s="141">
        <f>K27*D27*'B) D RI'!S29</f>
        <v>0</v>
      </c>
      <c r="M27" s="14">
        <f>(('B) D RI'!S29*C27)-L27)/'B) D RI'!S29</f>
        <v>57546.053752913758</v>
      </c>
      <c r="N27" s="144">
        <f t="shared" si="1"/>
        <v>30.176221160416233</v>
      </c>
      <c r="O27" s="83">
        <f t="shared" si="8"/>
        <v>0.69177200970827835</v>
      </c>
    </row>
    <row r="28" spans="1:15" x14ac:dyDescent="0.25">
      <c r="A28" s="61">
        <f>'A) Base RI'!A30</f>
        <v>5429</v>
      </c>
      <c r="B28" s="62" t="str">
        <f>'A) Base RI'!B30</f>
        <v>Longirod</v>
      </c>
      <c r="C28" s="13">
        <f>'B) D RI'!U30</f>
        <v>13645.142716049384</v>
      </c>
      <c r="D28" s="42">
        <f>'B) D RI'!AR30</f>
        <v>463</v>
      </c>
      <c r="E28" s="306">
        <f t="shared" si="2"/>
        <v>29.471150574620701</v>
      </c>
      <c r="F28" s="89">
        <f t="shared" si="3"/>
        <v>0.64299022376536197</v>
      </c>
      <c r="G28" s="93">
        <f t="shared" si="4"/>
        <v>0</v>
      </c>
      <c r="H28" s="93">
        <f t="shared" si="5"/>
        <v>0</v>
      </c>
      <c r="I28" s="93">
        <f t="shared" si="6"/>
        <v>0</v>
      </c>
      <c r="J28" s="93">
        <f t="shared" si="7"/>
        <v>0</v>
      </c>
      <c r="K28" s="309">
        <f t="shared" si="0"/>
        <v>0</v>
      </c>
      <c r="L28" s="141">
        <f>K28*D28*'B) D RI'!S30</f>
        <v>0</v>
      </c>
      <c r="M28" s="14">
        <f>(('B) D RI'!S30*C28)-L28)/'B) D RI'!S30</f>
        <v>13645.142716049384</v>
      </c>
      <c r="N28" s="144">
        <f t="shared" si="1"/>
        <v>29.471150574620701</v>
      </c>
      <c r="O28" s="83">
        <f t="shared" si="8"/>
        <v>0.67560868383890893</v>
      </c>
    </row>
    <row r="29" spans="1:15" x14ac:dyDescent="0.25">
      <c r="A29" s="61">
        <f>'A) Base RI'!A31</f>
        <v>5430</v>
      </c>
      <c r="B29" s="62" t="str">
        <f>'A) Base RI'!B31</f>
        <v>Marchissy</v>
      </c>
      <c r="C29" s="13">
        <f>'B) D RI'!U31</f>
        <v>12901.686543209877</v>
      </c>
      <c r="D29" s="42">
        <f>'B) D RI'!AR31</f>
        <v>448</v>
      </c>
      <c r="E29" s="306">
        <f t="shared" si="2"/>
        <v>28.798407462522047</v>
      </c>
      <c r="F29" s="89">
        <f t="shared" si="3"/>
        <v>0.62831257339369884</v>
      </c>
      <c r="G29" s="93">
        <f t="shared" si="4"/>
        <v>0</v>
      </c>
      <c r="H29" s="93">
        <f t="shared" si="5"/>
        <v>0</v>
      </c>
      <c r="I29" s="93">
        <f t="shared" si="6"/>
        <v>0</v>
      </c>
      <c r="J29" s="93">
        <f t="shared" si="7"/>
        <v>0</v>
      </c>
      <c r="K29" s="309">
        <f t="shared" si="0"/>
        <v>0</v>
      </c>
      <c r="L29" s="141">
        <f>K29*D29*'B) D RI'!S31</f>
        <v>0</v>
      </c>
      <c r="M29" s="14">
        <f>(('B) D RI'!S31*C29)-L29)/'B) D RI'!S31</f>
        <v>12901.686543209877</v>
      </c>
      <c r="N29" s="144">
        <f t="shared" si="1"/>
        <v>28.798407462522047</v>
      </c>
      <c r="O29" s="83">
        <f t="shared" si="8"/>
        <v>0.6601864461703848</v>
      </c>
    </row>
    <row r="30" spans="1:15" x14ac:dyDescent="0.25">
      <c r="A30" s="61">
        <f>'A) Base RI'!A32</f>
        <v>5431</v>
      </c>
      <c r="B30" s="62" t="str">
        <f>'A) Base RI'!B32</f>
        <v>Mollens</v>
      </c>
      <c r="C30" s="13">
        <f>'B) D RI'!U32</f>
        <v>8965.3154054054066</v>
      </c>
      <c r="D30" s="42">
        <f>'B) D RI'!AR32</f>
        <v>294</v>
      </c>
      <c r="E30" s="306">
        <f t="shared" si="2"/>
        <v>30.494270086412946</v>
      </c>
      <c r="F30" s="89">
        <f t="shared" si="3"/>
        <v>0.6653122516129113</v>
      </c>
      <c r="G30" s="93">
        <f t="shared" si="4"/>
        <v>0</v>
      </c>
      <c r="H30" s="93">
        <f t="shared" si="5"/>
        <v>0</v>
      </c>
      <c r="I30" s="93">
        <f t="shared" si="6"/>
        <v>0</v>
      </c>
      <c r="J30" s="93">
        <f t="shared" si="7"/>
        <v>0</v>
      </c>
      <c r="K30" s="309">
        <f t="shared" si="0"/>
        <v>0</v>
      </c>
      <c r="L30" s="141">
        <f>K30*D30*'B) D RI'!S32</f>
        <v>0</v>
      </c>
      <c r="M30" s="14">
        <f>(('B) D RI'!S32*C30)-L30)/'B) D RI'!S32</f>
        <v>8965.3154054054066</v>
      </c>
      <c r="N30" s="144">
        <f t="shared" si="1"/>
        <v>30.494270086412946</v>
      </c>
      <c r="O30" s="83">
        <f t="shared" si="8"/>
        <v>0.69906309309319581</v>
      </c>
    </row>
    <row r="31" spans="1:15" x14ac:dyDescent="0.25">
      <c r="A31" s="61">
        <f>'A) Base RI'!A33</f>
        <v>5432</v>
      </c>
      <c r="B31" s="62" t="str">
        <f>'A) Base RI'!B33</f>
        <v>Montherod</v>
      </c>
      <c r="C31" s="13">
        <f>'B) D RI'!U33</f>
        <v>18938.674054054052</v>
      </c>
      <c r="D31" s="42">
        <f>'B) D RI'!AR33</f>
        <v>518</v>
      </c>
      <c r="E31" s="306">
        <f t="shared" si="2"/>
        <v>36.561146822498173</v>
      </c>
      <c r="F31" s="89">
        <f t="shared" si="3"/>
        <v>0.79767703391807299</v>
      </c>
      <c r="G31" s="93">
        <f t="shared" si="4"/>
        <v>0</v>
      </c>
      <c r="H31" s="93">
        <f t="shared" si="5"/>
        <v>0</v>
      </c>
      <c r="I31" s="93">
        <f t="shared" si="6"/>
        <v>0</v>
      </c>
      <c r="J31" s="93">
        <f t="shared" si="7"/>
        <v>0</v>
      </c>
      <c r="K31" s="309">
        <f t="shared" si="0"/>
        <v>0</v>
      </c>
      <c r="L31" s="141">
        <f>K31*D31*'B) D RI'!S33</f>
        <v>0</v>
      </c>
      <c r="M31" s="14">
        <f>(('B) D RI'!S33*C31)-L31)/'B) D RI'!S33</f>
        <v>18938.674054054052</v>
      </c>
      <c r="N31" s="144">
        <f t="shared" si="1"/>
        <v>36.561146822498173</v>
      </c>
      <c r="O31" s="83">
        <f t="shared" si="8"/>
        <v>0.8381426514667728</v>
      </c>
    </row>
    <row r="32" spans="1:15" x14ac:dyDescent="0.25">
      <c r="A32" s="61">
        <f>'A) Base RI'!A34</f>
        <v>5434</v>
      </c>
      <c r="B32" s="62" t="str">
        <f>'A) Base RI'!B34</f>
        <v>Saint-George</v>
      </c>
      <c r="C32" s="13">
        <f>'B) D RI'!U34</f>
        <v>33015.772116788328</v>
      </c>
      <c r="D32" s="42">
        <f>'B) D RI'!AR34</f>
        <v>949</v>
      </c>
      <c r="E32" s="306">
        <f t="shared" si="2"/>
        <v>34.79006545499297</v>
      </c>
      <c r="F32" s="89">
        <f t="shared" si="3"/>
        <v>0.75903626209223496</v>
      </c>
      <c r="G32" s="93">
        <f t="shared" si="4"/>
        <v>0</v>
      </c>
      <c r="H32" s="93">
        <f t="shared" si="5"/>
        <v>0</v>
      </c>
      <c r="I32" s="93">
        <f t="shared" si="6"/>
        <v>0</v>
      </c>
      <c r="J32" s="93">
        <f t="shared" si="7"/>
        <v>0</v>
      </c>
      <c r="K32" s="309">
        <f t="shared" si="0"/>
        <v>0</v>
      </c>
      <c r="L32" s="141">
        <f>K32*D32*'B) D RI'!S34</f>
        <v>0</v>
      </c>
      <c r="M32" s="14">
        <f>(('B) D RI'!S34*C32)-L32)/'B) D RI'!S34</f>
        <v>33015.772116788328</v>
      </c>
      <c r="N32" s="144">
        <f t="shared" si="1"/>
        <v>34.79006545499297</v>
      </c>
      <c r="O32" s="83">
        <f t="shared" si="8"/>
        <v>0.79754165936630728</v>
      </c>
    </row>
    <row r="33" spans="1:15" x14ac:dyDescent="0.25">
      <c r="A33" s="61">
        <f>'A) Base RI'!A35</f>
        <v>5435</v>
      </c>
      <c r="B33" s="62" t="str">
        <f>'A) Base RI'!B35</f>
        <v>Saint-Livres</v>
      </c>
      <c r="C33" s="13">
        <f>'B) D RI'!U35</f>
        <v>24335.25550724638</v>
      </c>
      <c r="D33" s="42">
        <f>'B) D RI'!AR35</f>
        <v>713</v>
      </c>
      <c r="E33" s="306">
        <f t="shared" si="2"/>
        <v>34.130793137792956</v>
      </c>
      <c r="F33" s="89">
        <f t="shared" si="3"/>
        <v>0.74465251234057794</v>
      </c>
      <c r="G33" s="93">
        <f t="shared" si="4"/>
        <v>0</v>
      </c>
      <c r="H33" s="93">
        <f t="shared" si="5"/>
        <v>0</v>
      </c>
      <c r="I33" s="93">
        <f t="shared" si="6"/>
        <v>0</v>
      </c>
      <c r="J33" s="93">
        <f t="shared" si="7"/>
        <v>0</v>
      </c>
      <c r="K33" s="309">
        <f t="shared" si="0"/>
        <v>0</v>
      </c>
      <c r="L33" s="141">
        <f>K33*D33*'B) D RI'!S35</f>
        <v>0</v>
      </c>
      <c r="M33" s="14">
        <f>(('B) D RI'!S35*C33)-L33)/'B) D RI'!S35</f>
        <v>24335.25550724638</v>
      </c>
      <c r="N33" s="144">
        <f t="shared" si="1"/>
        <v>34.130793137792956</v>
      </c>
      <c r="O33" s="83">
        <f t="shared" si="8"/>
        <v>0.78242823169787767</v>
      </c>
    </row>
    <row r="34" spans="1:15" x14ac:dyDescent="0.25">
      <c r="A34" s="61">
        <f>'A) Base RI'!A36</f>
        <v>5436</v>
      </c>
      <c r="B34" s="62" t="str">
        <f>'A) Base RI'!B36</f>
        <v>Saint-Oyens</v>
      </c>
      <c r="C34" s="13">
        <f>'B) D RI'!U36</f>
        <v>9937.7678395061721</v>
      </c>
      <c r="D34" s="42">
        <f>'B) D RI'!AR36</f>
        <v>345</v>
      </c>
      <c r="E34" s="306">
        <f t="shared" si="2"/>
        <v>28.805124172481658</v>
      </c>
      <c r="F34" s="89">
        <f t="shared" si="3"/>
        <v>0.6284591159872418</v>
      </c>
      <c r="G34" s="93">
        <f t="shared" si="4"/>
        <v>0</v>
      </c>
      <c r="H34" s="93">
        <f t="shared" si="5"/>
        <v>0</v>
      </c>
      <c r="I34" s="93">
        <f t="shared" si="6"/>
        <v>0</v>
      </c>
      <c r="J34" s="93">
        <f t="shared" si="7"/>
        <v>0</v>
      </c>
      <c r="K34" s="309">
        <f t="shared" si="0"/>
        <v>0</v>
      </c>
      <c r="L34" s="141">
        <f>K34*D34*'B) D RI'!S36</f>
        <v>0</v>
      </c>
      <c r="M34" s="14">
        <f>(('B) D RI'!S36*C34)-L34)/'B) D RI'!S36</f>
        <v>9937.7678395061721</v>
      </c>
      <c r="N34" s="144">
        <f t="shared" si="1"/>
        <v>28.805124172481658</v>
      </c>
      <c r="O34" s="83">
        <f t="shared" si="8"/>
        <v>0.66034042277079108</v>
      </c>
    </row>
    <row r="35" spans="1:15" x14ac:dyDescent="0.25">
      <c r="A35" s="61">
        <f>'A) Base RI'!A37</f>
        <v>5437</v>
      </c>
      <c r="B35" s="62" t="str">
        <f>'A) Base RI'!B37</f>
        <v>Saubraz</v>
      </c>
      <c r="C35" s="13">
        <f>'B) D RI'!U37</f>
        <v>9144.65614457831</v>
      </c>
      <c r="D35" s="42">
        <f>'B) D RI'!AR37</f>
        <v>391</v>
      </c>
      <c r="E35" s="306">
        <f t="shared" si="2"/>
        <v>23.387867377438134</v>
      </c>
      <c r="F35" s="89">
        <f t="shared" si="3"/>
        <v>0.51026749160461304</v>
      </c>
      <c r="G35" s="93">
        <f t="shared" si="4"/>
        <v>0</v>
      </c>
      <c r="H35" s="93">
        <f t="shared" si="5"/>
        <v>0</v>
      </c>
      <c r="I35" s="93">
        <f t="shared" si="6"/>
        <v>0</v>
      </c>
      <c r="J35" s="93">
        <f t="shared" si="7"/>
        <v>0</v>
      </c>
      <c r="K35" s="309">
        <f t="shared" si="0"/>
        <v>0</v>
      </c>
      <c r="L35" s="141">
        <f>K35*D35*'B) D RI'!S37</f>
        <v>0</v>
      </c>
      <c r="M35" s="14">
        <f>(('B) D RI'!S37*C35)-L35)/'B) D RI'!S37</f>
        <v>9144.65614457831</v>
      </c>
      <c r="N35" s="144">
        <f t="shared" si="1"/>
        <v>23.387867377438134</v>
      </c>
      <c r="O35" s="83">
        <f t="shared" si="8"/>
        <v>0.53615301705516449</v>
      </c>
    </row>
    <row r="36" spans="1:15" x14ac:dyDescent="0.25">
      <c r="A36" s="61">
        <f>'A) Base RI'!A38</f>
        <v>5451</v>
      </c>
      <c r="B36" s="62" t="str">
        <f>'A) Base RI'!B38</f>
        <v>Avenches</v>
      </c>
      <c r="C36" s="13">
        <f>'B) D RI'!U38</f>
        <v>102028.81651960785</v>
      </c>
      <c r="D36" s="42">
        <f>'B) D RI'!AR38</f>
        <v>4090</v>
      </c>
      <c r="E36" s="306">
        <f t="shared" si="2"/>
        <v>24.945920909439572</v>
      </c>
      <c r="F36" s="89">
        <f t="shared" si="3"/>
        <v>0.54426050408111726</v>
      </c>
      <c r="G36" s="93">
        <f t="shared" si="4"/>
        <v>0</v>
      </c>
      <c r="H36" s="93">
        <f t="shared" si="5"/>
        <v>0</v>
      </c>
      <c r="I36" s="93">
        <f t="shared" si="6"/>
        <v>0</v>
      </c>
      <c r="J36" s="93">
        <f t="shared" si="7"/>
        <v>0</v>
      </c>
      <c r="K36" s="309">
        <f t="shared" si="0"/>
        <v>0</v>
      </c>
      <c r="L36" s="141">
        <f>K36*D36*'B) D RI'!S38</f>
        <v>0</v>
      </c>
      <c r="M36" s="14">
        <f>(('B) D RI'!S38*C36)-L36)/'B) D RI'!S38</f>
        <v>102028.81651960785</v>
      </c>
      <c r="N36" s="144">
        <f t="shared" si="1"/>
        <v>24.945920909439572</v>
      </c>
      <c r="O36" s="83">
        <f t="shared" si="8"/>
        <v>0.57187047211145059</v>
      </c>
    </row>
    <row r="37" spans="1:15" x14ac:dyDescent="0.25">
      <c r="A37" s="61">
        <f>'A) Base RI'!A39</f>
        <v>5456</v>
      </c>
      <c r="B37" s="62" t="str">
        <f>'A) Base RI'!B39</f>
        <v>Cudrefin</v>
      </c>
      <c r="C37" s="13">
        <f>'B) D RI'!U39</f>
        <v>45272.368813559326</v>
      </c>
      <c r="D37" s="42">
        <f>'B) D RI'!AR39</f>
        <v>1516</v>
      </c>
      <c r="E37" s="306">
        <f t="shared" si="2"/>
        <v>29.863040114485042</v>
      </c>
      <c r="F37" s="89">
        <f t="shared" si="3"/>
        <v>0.65154031896068398</v>
      </c>
      <c r="G37" s="93">
        <f t="shared" si="4"/>
        <v>0</v>
      </c>
      <c r="H37" s="93">
        <f t="shared" si="5"/>
        <v>0</v>
      </c>
      <c r="I37" s="93">
        <f t="shared" si="6"/>
        <v>0</v>
      </c>
      <c r="J37" s="93">
        <f t="shared" si="7"/>
        <v>0</v>
      </c>
      <c r="K37" s="309">
        <f t="shared" si="0"/>
        <v>0</v>
      </c>
      <c r="L37" s="141">
        <f>K37*D37*'B) D RI'!S39</f>
        <v>0</v>
      </c>
      <c r="M37" s="14">
        <f>(('B) D RI'!S39*C37)-L37)/'B) D RI'!S39</f>
        <v>45272.368813559326</v>
      </c>
      <c r="N37" s="144">
        <f t="shared" si="1"/>
        <v>29.863040114485042</v>
      </c>
      <c r="O37" s="83">
        <f t="shared" si="8"/>
        <v>0.68459251959271172</v>
      </c>
    </row>
    <row r="38" spans="1:15" x14ac:dyDescent="0.25">
      <c r="A38" s="61">
        <f>'A) Base RI'!A40</f>
        <v>5458</v>
      </c>
      <c r="B38" s="62" t="str">
        <f>'A) Base RI'!B40</f>
        <v>Faoug</v>
      </c>
      <c r="C38" s="13">
        <f>'B) D RI'!U40</f>
        <v>28143.986721311474</v>
      </c>
      <c r="D38" s="42">
        <f>'B) D RI'!AR40</f>
        <v>853</v>
      </c>
      <c r="E38" s="306">
        <f t="shared" si="2"/>
        <v>32.99412276824323</v>
      </c>
      <c r="F38" s="89">
        <f t="shared" si="3"/>
        <v>0.71985307556888889</v>
      </c>
      <c r="G38" s="93">
        <f t="shared" si="4"/>
        <v>0</v>
      </c>
      <c r="H38" s="93">
        <f t="shared" si="5"/>
        <v>0</v>
      </c>
      <c r="I38" s="93">
        <f t="shared" si="6"/>
        <v>0</v>
      </c>
      <c r="J38" s="93">
        <f t="shared" si="7"/>
        <v>0</v>
      </c>
      <c r="K38" s="309">
        <f t="shared" si="0"/>
        <v>0</v>
      </c>
      <c r="L38" s="141">
        <f>K38*D38*'B) D RI'!S40</f>
        <v>0</v>
      </c>
      <c r="M38" s="14">
        <f>(('B) D RI'!S40*C38)-L38)/'B) D RI'!S40</f>
        <v>28143.986721311474</v>
      </c>
      <c r="N38" s="144">
        <f t="shared" si="1"/>
        <v>32.99412276824323</v>
      </c>
      <c r="O38" s="83">
        <f t="shared" si="8"/>
        <v>0.75637073623682505</v>
      </c>
    </row>
    <row r="39" spans="1:15" x14ac:dyDescent="0.25">
      <c r="A39" s="61">
        <f>'A) Base RI'!A41</f>
        <v>5464</v>
      </c>
      <c r="B39" s="62" t="str">
        <f>'A) Base RI'!B41</f>
        <v>Vully-les-Lacs</v>
      </c>
      <c r="C39" s="13">
        <f>'B) D RI'!U41</f>
        <v>96865.968557213928</v>
      </c>
      <c r="D39" s="42">
        <f>'B) D RI'!AR41</f>
        <v>2825</v>
      </c>
      <c r="E39" s="306">
        <f t="shared" si="2"/>
        <v>34.288838427332365</v>
      </c>
      <c r="F39" s="89">
        <f t="shared" si="3"/>
        <v>0.7481006836574291</v>
      </c>
      <c r="G39" s="93">
        <f t="shared" si="4"/>
        <v>0</v>
      </c>
      <c r="H39" s="93">
        <f t="shared" si="5"/>
        <v>0</v>
      </c>
      <c r="I39" s="93">
        <f t="shared" si="6"/>
        <v>0</v>
      </c>
      <c r="J39" s="93">
        <f t="shared" si="7"/>
        <v>0</v>
      </c>
      <c r="K39" s="309">
        <f t="shared" si="0"/>
        <v>0</v>
      </c>
      <c r="L39" s="141">
        <f>K39*D39*'B) D RI'!S41</f>
        <v>0</v>
      </c>
      <c r="M39" s="14">
        <f>(('B) D RI'!S41*C39)-L39)/'B) D RI'!S41</f>
        <v>96865.968557213928</v>
      </c>
      <c r="N39" s="144">
        <f t="shared" si="1"/>
        <v>34.288838427332365</v>
      </c>
      <c r="O39" s="83">
        <f t="shared" si="8"/>
        <v>0.7860513264183332</v>
      </c>
    </row>
    <row r="40" spans="1:15" x14ac:dyDescent="0.25">
      <c r="A40" s="61">
        <f>'A) Base RI'!A42</f>
        <v>5471</v>
      </c>
      <c r="B40" s="62" t="str">
        <f>'A) Base RI'!B42</f>
        <v>Bettens</v>
      </c>
      <c r="C40" s="13">
        <f>'B) D RI'!U42</f>
        <v>18168.257063492067</v>
      </c>
      <c r="D40" s="42">
        <f>'B) D RI'!AR42</f>
        <v>557</v>
      </c>
      <c r="E40" s="306">
        <f t="shared" si="2"/>
        <v>32.618055769285576</v>
      </c>
      <c r="F40" s="89">
        <f t="shared" si="3"/>
        <v>0.71164819048310657</v>
      </c>
      <c r="G40" s="93">
        <f t="shared" si="4"/>
        <v>0</v>
      </c>
      <c r="H40" s="93">
        <f t="shared" si="5"/>
        <v>0</v>
      </c>
      <c r="I40" s="93">
        <f t="shared" si="6"/>
        <v>0</v>
      </c>
      <c r="J40" s="93">
        <f t="shared" si="7"/>
        <v>0</v>
      </c>
      <c r="K40" s="309">
        <f t="shared" si="0"/>
        <v>0</v>
      </c>
      <c r="L40" s="141">
        <f>K40*D40*'B) D RI'!S42</f>
        <v>0</v>
      </c>
      <c r="M40" s="14">
        <f>(('B) D RI'!S42*C40)-L40)/'B) D RI'!S42</f>
        <v>18168.257063492067</v>
      </c>
      <c r="N40" s="144">
        <f t="shared" si="1"/>
        <v>32.618055769285576</v>
      </c>
      <c r="O40" s="83">
        <f t="shared" si="8"/>
        <v>0.74774962286842372</v>
      </c>
    </row>
    <row r="41" spans="1:15" x14ac:dyDescent="0.25">
      <c r="A41" s="61">
        <f>'A) Base RI'!A43</f>
        <v>5472</v>
      </c>
      <c r="B41" s="62" t="str">
        <f>'A) Base RI'!B43</f>
        <v>Bournens</v>
      </c>
      <c r="C41" s="13">
        <f>'B) D RI'!U43</f>
        <v>13213.617875</v>
      </c>
      <c r="D41" s="42">
        <f>'B) D RI'!AR43</f>
        <v>373</v>
      </c>
      <c r="E41" s="306">
        <f t="shared" si="2"/>
        <v>35.425248994638068</v>
      </c>
      <c r="F41" s="89">
        <f t="shared" si="3"/>
        <v>0.77289445216372088</v>
      </c>
      <c r="G41" s="93">
        <f t="shared" si="4"/>
        <v>0</v>
      </c>
      <c r="H41" s="93">
        <f t="shared" si="5"/>
        <v>0</v>
      </c>
      <c r="I41" s="93">
        <f t="shared" si="6"/>
        <v>0</v>
      </c>
      <c r="J41" s="93">
        <f t="shared" si="7"/>
        <v>0</v>
      </c>
      <c r="K41" s="309">
        <f t="shared" si="0"/>
        <v>0</v>
      </c>
      <c r="L41" s="141">
        <f>K41*D41*'B) D RI'!S43</f>
        <v>0</v>
      </c>
      <c r="M41" s="14">
        <f>(('B) D RI'!S43*C41)-L41)/'B) D RI'!S43</f>
        <v>13213.617875</v>
      </c>
      <c r="N41" s="144">
        <f t="shared" si="1"/>
        <v>35.425248994638068</v>
      </c>
      <c r="O41" s="83">
        <f t="shared" si="8"/>
        <v>0.81210286606671067</v>
      </c>
    </row>
    <row r="42" spans="1:15" x14ac:dyDescent="0.25">
      <c r="A42" s="61">
        <f>'A) Base RI'!A44</f>
        <v>5473</v>
      </c>
      <c r="B42" s="62" t="str">
        <f>'A) Base RI'!B44</f>
        <v>Boussens</v>
      </c>
      <c r="C42" s="13">
        <f>'B) D RI'!U44</f>
        <v>33007.750579710155</v>
      </c>
      <c r="D42" s="42">
        <f>'B) D RI'!AR44</f>
        <v>958</v>
      </c>
      <c r="E42" s="306">
        <f t="shared" si="2"/>
        <v>34.454854467338365</v>
      </c>
      <c r="F42" s="89">
        <f t="shared" si="3"/>
        <v>0.75172275774109321</v>
      </c>
      <c r="G42" s="93">
        <f t="shared" si="4"/>
        <v>0</v>
      </c>
      <c r="H42" s="93">
        <f t="shared" si="5"/>
        <v>0</v>
      </c>
      <c r="I42" s="93">
        <f t="shared" si="6"/>
        <v>0</v>
      </c>
      <c r="J42" s="93">
        <f t="shared" si="7"/>
        <v>0</v>
      </c>
      <c r="K42" s="309">
        <f t="shared" si="0"/>
        <v>0</v>
      </c>
      <c r="L42" s="141">
        <f>K42*D42*'B) D RI'!S44</f>
        <v>0</v>
      </c>
      <c r="M42" s="14">
        <f>(('B) D RI'!S44*C42)-L42)/'B) D RI'!S44</f>
        <v>33007.750579710155</v>
      </c>
      <c r="N42" s="144">
        <f t="shared" si="1"/>
        <v>34.454854467338365</v>
      </c>
      <c r="O42" s="83">
        <f t="shared" si="8"/>
        <v>0.78985714587558875</v>
      </c>
    </row>
    <row r="43" spans="1:15" x14ac:dyDescent="0.25">
      <c r="A43" s="61">
        <f>'A) Base RI'!A45</f>
        <v>5474</v>
      </c>
      <c r="B43" s="62" t="str">
        <f>'A) Base RI'!B45</f>
        <v>La Chaux (Cossonay)</v>
      </c>
      <c r="C43" s="13">
        <f>'B) D RI'!U45</f>
        <v>12690.44829004329</v>
      </c>
      <c r="D43" s="42">
        <f>'B) D RI'!AR45</f>
        <v>421</v>
      </c>
      <c r="E43" s="306">
        <f t="shared" si="2"/>
        <v>30.1435826366824</v>
      </c>
      <c r="F43" s="89">
        <f t="shared" si="3"/>
        <v>0.65766108776699994</v>
      </c>
      <c r="G43" s="93">
        <f t="shared" si="4"/>
        <v>0</v>
      </c>
      <c r="H43" s="93">
        <f t="shared" si="5"/>
        <v>0</v>
      </c>
      <c r="I43" s="93">
        <f t="shared" si="6"/>
        <v>0</v>
      </c>
      <c r="J43" s="93">
        <f t="shared" si="7"/>
        <v>0</v>
      </c>
      <c r="K43" s="309">
        <f t="shared" si="0"/>
        <v>0</v>
      </c>
      <c r="L43" s="141">
        <f>K43*D43*'B) D RI'!S45</f>
        <v>0</v>
      </c>
      <c r="M43" s="14">
        <f>(('B) D RI'!S45*C43)-L43)/'B) D RI'!S45</f>
        <v>12690.44829004329</v>
      </c>
      <c r="N43" s="144">
        <f t="shared" si="1"/>
        <v>30.1435826366824</v>
      </c>
      <c r="O43" s="83">
        <f t="shared" si="8"/>
        <v>0.6910237908694371</v>
      </c>
    </row>
    <row r="44" spans="1:15" x14ac:dyDescent="0.25">
      <c r="A44" s="61">
        <f>'A) Base RI'!A46</f>
        <v>5475</v>
      </c>
      <c r="B44" s="62" t="str">
        <f>'A) Base RI'!B46</f>
        <v>Chavannes-le-Veyron</v>
      </c>
      <c r="C44" s="13">
        <f>'B) D RI'!U46</f>
        <v>2750.1545454545449</v>
      </c>
      <c r="D44" s="42">
        <f>'B) D RI'!AR46</f>
        <v>120</v>
      </c>
      <c r="E44" s="306">
        <f t="shared" si="2"/>
        <v>22.917954545454542</v>
      </c>
      <c r="F44" s="89">
        <f t="shared" si="3"/>
        <v>0.50001511424247691</v>
      </c>
      <c r="G44" s="93">
        <f t="shared" si="4"/>
        <v>0</v>
      </c>
      <c r="H44" s="93">
        <f t="shared" si="5"/>
        <v>0</v>
      </c>
      <c r="I44" s="93">
        <f t="shared" si="6"/>
        <v>0</v>
      </c>
      <c r="J44" s="93">
        <f t="shared" si="7"/>
        <v>0</v>
      </c>
      <c r="K44" s="309">
        <f t="shared" si="0"/>
        <v>0</v>
      </c>
      <c r="L44" s="141">
        <f>K44*D44*'B) D RI'!S46</f>
        <v>0</v>
      </c>
      <c r="M44" s="14">
        <f>(('B) D RI'!S46*C44)-L44)/'B) D RI'!S46</f>
        <v>2750.1545454545449</v>
      </c>
      <c r="N44" s="144">
        <f t="shared" si="1"/>
        <v>22.917954545454542</v>
      </c>
      <c r="O44" s="83">
        <f t="shared" si="8"/>
        <v>0.52538054350915886</v>
      </c>
    </row>
    <row r="45" spans="1:15" x14ac:dyDescent="0.25">
      <c r="A45" s="61">
        <f>'A) Base RI'!A47</f>
        <v>5476</v>
      </c>
      <c r="B45" s="62" t="str">
        <f>'A) Base RI'!B47</f>
        <v>Chevilly</v>
      </c>
      <c r="C45" s="13">
        <f>'B) D RI'!U47</f>
        <v>7887.6179729729729</v>
      </c>
      <c r="D45" s="42">
        <f>'B) D RI'!AR47</f>
        <v>286</v>
      </c>
      <c r="E45" s="306">
        <f t="shared" si="2"/>
        <v>27.579083821583822</v>
      </c>
      <c r="F45" s="89">
        <f t="shared" si="3"/>
        <v>0.60170983934895406</v>
      </c>
      <c r="G45" s="93">
        <f t="shared" si="4"/>
        <v>0</v>
      </c>
      <c r="H45" s="93">
        <f t="shared" si="5"/>
        <v>0</v>
      </c>
      <c r="I45" s="93">
        <f t="shared" si="6"/>
        <v>0</v>
      </c>
      <c r="J45" s="93">
        <f t="shared" si="7"/>
        <v>0</v>
      </c>
      <c r="K45" s="309">
        <f t="shared" si="0"/>
        <v>0</v>
      </c>
      <c r="L45" s="141">
        <f>K45*D45*'B) D RI'!S47</f>
        <v>0</v>
      </c>
      <c r="M45" s="14">
        <f>(('B) D RI'!S47*C45)-L45)/'B) D RI'!S47</f>
        <v>7887.6179729729729</v>
      </c>
      <c r="N45" s="144">
        <f t="shared" si="1"/>
        <v>27.579083821583822</v>
      </c>
      <c r="O45" s="83">
        <f t="shared" si="8"/>
        <v>0.63223417338272681</v>
      </c>
    </row>
    <row r="46" spans="1:15" x14ac:dyDescent="0.25">
      <c r="A46" s="61">
        <f>'A) Base RI'!A48</f>
        <v>5477</v>
      </c>
      <c r="B46" s="62" t="str">
        <f>'A) Base RI'!B48</f>
        <v>Cossonay</v>
      </c>
      <c r="C46" s="13">
        <f>'B) D RI'!U48</f>
        <v>120589.74256854257</v>
      </c>
      <c r="D46" s="42">
        <f>'B) D RI'!AR48</f>
        <v>3642</v>
      </c>
      <c r="E46" s="306">
        <f t="shared" si="2"/>
        <v>33.110857377414213</v>
      </c>
      <c r="F46" s="89">
        <f t="shared" si="3"/>
        <v>0.72239994635637184</v>
      </c>
      <c r="G46" s="93">
        <f t="shared" si="4"/>
        <v>0</v>
      </c>
      <c r="H46" s="93">
        <f t="shared" si="5"/>
        <v>0</v>
      </c>
      <c r="I46" s="93">
        <f t="shared" si="6"/>
        <v>0</v>
      </c>
      <c r="J46" s="93">
        <f t="shared" si="7"/>
        <v>0</v>
      </c>
      <c r="K46" s="309">
        <f t="shared" si="0"/>
        <v>0</v>
      </c>
      <c r="L46" s="141">
        <f>K46*D46*'B) D RI'!S48</f>
        <v>0</v>
      </c>
      <c r="M46" s="14">
        <f>(('B) D RI'!S48*C46)-L46)/'B) D RI'!S48</f>
        <v>120589.74256854257</v>
      </c>
      <c r="N46" s="144">
        <f t="shared" si="1"/>
        <v>33.110857377414213</v>
      </c>
      <c r="O46" s="83">
        <f t="shared" si="8"/>
        <v>0.75904680806037894</v>
      </c>
    </row>
    <row r="47" spans="1:15" x14ac:dyDescent="0.25">
      <c r="A47" s="61">
        <f>'A) Base RI'!A49</f>
        <v>5478</v>
      </c>
      <c r="B47" s="62" t="str">
        <f>'A) Base RI'!B49</f>
        <v>Cottens</v>
      </c>
      <c r="C47" s="13">
        <f>'B) D RI'!U49</f>
        <v>15464.23347222222</v>
      </c>
      <c r="D47" s="42">
        <f>'B) D RI'!AR49</f>
        <v>473</v>
      </c>
      <c r="E47" s="306">
        <f t="shared" si="2"/>
        <v>32.693939687573405</v>
      </c>
      <c r="F47" s="89">
        <f t="shared" si="3"/>
        <v>0.71330379661482313</v>
      </c>
      <c r="G47" s="93">
        <f t="shared" si="4"/>
        <v>0</v>
      </c>
      <c r="H47" s="93">
        <f t="shared" si="5"/>
        <v>0</v>
      </c>
      <c r="I47" s="93">
        <f t="shared" si="6"/>
        <v>0</v>
      </c>
      <c r="J47" s="93">
        <f t="shared" si="7"/>
        <v>0</v>
      </c>
      <c r="K47" s="309">
        <f t="shared" si="0"/>
        <v>0</v>
      </c>
      <c r="L47" s="141">
        <f>K47*D47*'B) D RI'!S49</f>
        <v>0</v>
      </c>
      <c r="M47" s="14">
        <f>(('B) D RI'!S49*C47)-L47)/'B) D RI'!S49</f>
        <v>15464.23347222222</v>
      </c>
      <c r="N47" s="144">
        <f t="shared" si="1"/>
        <v>32.693939687573405</v>
      </c>
      <c r="O47" s="83">
        <f t="shared" si="8"/>
        <v>0.74948921678177205</v>
      </c>
    </row>
    <row r="48" spans="1:15" x14ac:dyDescent="0.25">
      <c r="A48" s="61">
        <f>'A) Base RI'!A50</f>
        <v>5479</v>
      </c>
      <c r="B48" s="62" t="str">
        <f>'A) Base RI'!B50</f>
        <v>Cuarnens</v>
      </c>
      <c r="C48" s="13">
        <f>'B) D RI'!U50</f>
        <v>11805.525064935064</v>
      </c>
      <c r="D48" s="42">
        <f>'B) D RI'!AR50</f>
        <v>439</v>
      </c>
      <c r="E48" s="306">
        <f t="shared" si="2"/>
        <v>26.891856639943196</v>
      </c>
      <c r="F48" s="89">
        <f t="shared" si="3"/>
        <v>0.58671618112098944</v>
      </c>
      <c r="G48" s="93">
        <f t="shared" si="4"/>
        <v>0</v>
      </c>
      <c r="H48" s="93">
        <f t="shared" si="5"/>
        <v>0</v>
      </c>
      <c r="I48" s="93">
        <f t="shared" si="6"/>
        <v>0</v>
      </c>
      <c r="J48" s="93">
        <f t="shared" si="7"/>
        <v>0</v>
      </c>
      <c r="K48" s="309">
        <f t="shared" si="0"/>
        <v>0</v>
      </c>
      <c r="L48" s="141">
        <f>K48*D48*'B) D RI'!S50</f>
        <v>0</v>
      </c>
      <c r="M48" s="14">
        <f>(('B) D RI'!S50*C48)-L48)/'B) D RI'!S50</f>
        <v>11805.525064935064</v>
      </c>
      <c r="N48" s="144">
        <f t="shared" si="1"/>
        <v>26.891856639943196</v>
      </c>
      <c r="O48" s="83">
        <f t="shared" si="8"/>
        <v>0.61647989699263639</v>
      </c>
    </row>
    <row r="49" spans="1:15" x14ac:dyDescent="0.25">
      <c r="A49" s="61">
        <f>'A) Base RI'!A51</f>
        <v>5480</v>
      </c>
      <c r="B49" s="62" t="str">
        <f>'A) Base RI'!B51</f>
        <v>Daillens</v>
      </c>
      <c r="C49" s="13">
        <f>'B) D RI'!U51</f>
        <v>42113.849718309852</v>
      </c>
      <c r="D49" s="42">
        <f>'B) D RI'!AR51</f>
        <v>940</v>
      </c>
      <c r="E49" s="306">
        <f t="shared" si="2"/>
        <v>44.801967785436013</v>
      </c>
      <c r="F49" s="89">
        <f t="shared" si="3"/>
        <v>0.97747209490672538</v>
      </c>
      <c r="G49" s="93">
        <f t="shared" si="4"/>
        <v>0</v>
      </c>
      <c r="H49" s="93">
        <f t="shared" si="5"/>
        <v>0</v>
      </c>
      <c r="I49" s="93">
        <f t="shared" si="6"/>
        <v>0</v>
      </c>
      <c r="J49" s="93">
        <f t="shared" si="7"/>
        <v>0</v>
      </c>
      <c r="K49" s="309">
        <f t="shared" si="0"/>
        <v>0</v>
      </c>
      <c r="L49" s="141">
        <f>K49*D49*'B) D RI'!S51</f>
        <v>0</v>
      </c>
      <c r="M49" s="14">
        <f>(('B) D RI'!S51*C49)-L49)/'B) D RI'!S51</f>
        <v>42113.849718309852</v>
      </c>
      <c r="N49" s="144">
        <f t="shared" si="1"/>
        <v>44.801967785436013</v>
      </c>
      <c r="O49" s="83">
        <f t="shared" si="8"/>
        <v>1.027058594548991</v>
      </c>
    </row>
    <row r="50" spans="1:15" x14ac:dyDescent="0.25">
      <c r="A50" s="61">
        <f>'A) Base RI'!A52</f>
        <v>5481</v>
      </c>
      <c r="B50" s="62" t="str">
        <f>'A) Base RI'!B52</f>
        <v>Dizy</v>
      </c>
      <c r="C50" s="13">
        <f>'B) D RI'!U52</f>
        <v>8240.9954054054051</v>
      </c>
      <c r="D50" s="42">
        <f>'B) D RI'!AR52</f>
        <v>221</v>
      </c>
      <c r="E50" s="306">
        <f t="shared" si="2"/>
        <v>37.289571970160203</v>
      </c>
      <c r="F50" s="89">
        <f t="shared" si="3"/>
        <v>0.81356953351715089</v>
      </c>
      <c r="G50" s="93">
        <f t="shared" si="4"/>
        <v>0</v>
      </c>
      <c r="H50" s="93">
        <f t="shared" si="5"/>
        <v>0</v>
      </c>
      <c r="I50" s="93">
        <f t="shared" si="6"/>
        <v>0</v>
      </c>
      <c r="J50" s="93">
        <f t="shared" si="7"/>
        <v>0</v>
      </c>
      <c r="K50" s="309">
        <f t="shared" si="0"/>
        <v>0</v>
      </c>
      <c r="L50" s="141">
        <f>K50*D50*'B) D RI'!S52</f>
        <v>0</v>
      </c>
      <c r="M50" s="14">
        <f>(('B) D RI'!S52*C50)-L50)/'B) D RI'!S52</f>
        <v>8240.9954054054051</v>
      </c>
      <c r="N50" s="144">
        <f t="shared" si="1"/>
        <v>37.289571970160203</v>
      </c>
      <c r="O50" s="83">
        <f t="shared" si="8"/>
        <v>0.85484136684407164</v>
      </c>
    </row>
    <row r="51" spans="1:15" x14ac:dyDescent="0.25">
      <c r="A51" s="61">
        <f>'A) Base RI'!A53</f>
        <v>5482</v>
      </c>
      <c r="B51" s="62" t="str">
        <f>'A) Base RI'!B53</f>
        <v>Eclépens</v>
      </c>
      <c r="C51" s="13">
        <f>'B) D RI'!U53</f>
        <v>64551.928043478263</v>
      </c>
      <c r="D51" s="42">
        <f>'B) D RI'!AR53</f>
        <v>1039</v>
      </c>
      <c r="E51" s="306">
        <f t="shared" si="2"/>
        <v>62.128900908063777</v>
      </c>
      <c r="F51" s="89">
        <f t="shared" si="3"/>
        <v>1.3555044549761719</v>
      </c>
      <c r="G51" s="93">
        <f t="shared" si="4"/>
        <v>7.1274726088206677</v>
      </c>
      <c r="H51" s="93">
        <f t="shared" si="5"/>
        <v>0</v>
      </c>
      <c r="I51" s="93">
        <f t="shared" si="6"/>
        <v>0</v>
      </c>
      <c r="J51" s="93">
        <f t="shared" si="7"/>
        <v>0</v>
      </c>
      <c r="K51" s="309">
        <f t="shared" si="0"/>
        <v>2.5658901391754401</v>
      </c>
      <c r="L51" s="141">
        <f>K51*D51*'B) D RI'!S53</f>
        <v>122634.15331175098</v>
      </c>
      <c r="M51" s="14">
        <f>(('B) D RI'!S53*C51)-L51)/'B) D RI'!S53</f>
        <v>61885.968188874984</v>
      </c>
      <c r="N51" s="144">
        <f t="shared" si="1"/>
        <v>59.56301076888834</v>
      </c>
      <c r="O51" s="83">
        <f t="shared" si="8"/>
        <v>1.3654467683289397</v>
      </c>
    </row>
    <row r="52" spans="1:15" x14ac:dyDescent="0.25">
      <c r="A52" s="61">
        <f>'A) Base RI'!A54</f>
        <v>5483</v>
      </c>
      <c r="B52" s="62" t="str">
        <f>'A) Base RI'!B54</f>
        <v>Ferreyres</v>
      </c>
      <c r="C52" s="13">
        <f>'B) D RI'!U54</f>
        <v>9097.5578947368413</v>
      </c>
      <c r="D52" s="42">
        <f>'B) D RI'!AR54</f>
        <v>313</v>
      </c>
      <c r="E52" s="306">
        <f t="shared" si="2"/>
        <v>29.065680174878086</v>
      </c>
      <c r="F52" s="89">
        <f t="shared" si="3"/>
        <v>0.63414382659465729</v>
      </c>
      <c r="G52" s="93">
        <f t="shared" si="4"/>
        <v>0</v>
      </c>
      <c r="H52" s="93">
        <f t="shared" si="5"/>
        <v>0</v>
      </c>
      <c r="I52" s="93">
        <f t="shared" si="6"/>
        <v>0</v>
      </c>
      <c r="J52" s="93">
        <f t="shared" si="7"/>
        <v>0</v>
      </c>
      <c r="K52" s="309">
        <f t="shared" si="0"/>
        <v>0</v>
      </c>
      <c r="L52" s="141">
        <f>K52*D52*'B) D RI'!S54</f>
        <v>0</v>
      </c>
      <c r="M52" s="14">
        <f>(('B) D RI'!S54*C52)-L52)/'B) D RI'!S54</f>
        <v>9097.5578947368413</v>
      </c>
      <c r="N52" s="144">
        <f t="shared" si="1"/>
        <v>29.065680174878086</v>
      </c>
      <c r="O52" s="83">
        <f t="shared" si="8"/>
        <v>0.66631351491049773</v>
      </c>
    </row>
    <row r="53" spans="1:15" x14ac:dyDescent="0.25">
      <c r="A53" s="61">
        <f>'A) Base RI'!A55</f>
        <v>5484</v>
      </c>
      <c r="B53" s="62" t="str">
        <f>'A) Base RI'!B55</f>
        <v>Gollion</v>
      </c>
      <c r="C53" s="13">
        <f>'B) D RI'!U55</f>
        <v>23163.007162162161</v>
      </c>
      <c r="D53" s="42">
        <f>'B) D RI'!AR55</f>
        <v>857</v>
      </c>
      <c r="E53" s="306">
        <f t="shared" si="2"/>
        <v>27.028013024693305</v>
      </c>
      <c r="F53" s="89">
        <f t="shared" si="3"/>
        <v>0.58968678873523528</v>
      </c>
      <c r="G53" s="93">
        <f t="shared" si="4"/>
        <v>0</v>
      </c>
      <c r="H53" s="93">
        <f t="shared" si="5"/>
        <v>0</v>
      </c>
      <c r="I53" s="93">
        <f t="shared" si="6"/>
        <v>0</v>
      </c>
      <c r="J53" s="93">
        <f t="shared" si="7"/>
        <v>0</v>
      </c>
      <c r="K53" s="309">
        <f t="shared" si="0"/>
        <v>0</v>
      </c>
      <c r="L53" s="141">
        <f>K53*D53*'B) D RI'!S55</f>
        <v>0</v>
      </c>
      <c r="M53" s="14">
        <f>(('B) D RI'!S55*C53)-L53)/'B) D RI'!S55</f>
        <v>23163.007162162161</v>
      </c>
      <c r="N53" s="144">
        <f t="shared" si="1"/>
        <v>27.028013024693305</v>
      </c>
      <c r="O53" s="83">
        <f t="shared" si="8"/>
        <v>0.61960120152617926</v>
      </c>
    </row>
    <row r="54" spans="1:15" x14ac:dyDescent="0.25">
      <c r="A54" s="61">
        <f>'A) Base RI'!A56</f>
        <v>5485</v>
      </c>
      <c r="B54" s="62" t="str">
        <f>'A) Base RI'!B56</f>
        <v>Grancy</v>
      </c>
      <c r="C54" s="13">
        <f>'B) D RI'!U56</f>
        <v>17298.355857142858</v>
      </c>
      <c r="D54" s="42">
        <f>'B) D RI'!AR56</f>
        <v>396</v>
      </c>
      <c r="E54" s="306">
        <f t="shared" si="2"/>
        <v>43.682716810966816</v>
      </c>
      <c r="F54" s="89">
        <f t="shared" si="3"/>
        <v>0.95305270779452711</v>
      </c>
      <c r="G54" s="93">
        <f t="shared" si="4"/>
        <v>0</v>
      </c>
      <c r="H54" s="93">
        <f t="shared" si="5"/>
        <v>0</v>
      </c>
      <c r="I54" s="93">
        <f t="shared" si="6"/>
        <v>0</v>
      </c>
      <c r="J54" s="93">
        <f t="shared" si="7"/>
        <v>0</v>
      </c>
      <c r="K54" s="309">
        <f t="shared" si="0"/>
        <v>0</v>
      </c>
      <c r="L54" s="141">
        <f>K54*D54*'B) D RI'!S56</f>
        <v>0</v>
      </c>
      <c r="M54" s="14">
        <f>(('B) D RI'!S56*C54)-L54)/'B) D RI'!S56</f>
        <v>17298.355857142858</v>
      </c>
      <c r="N54" s="144">
        <f t="shared" si="1"/>
        <v>43.682716810966816</v>
      </c>
      <c r="O54" s="83">
        <f t="shared" si="8"/>
        <v>1.0014004284101454</v>
      </c>
    </row>
    <row r="55" spans="1:15" x14ac:dyDescent="0.25">
      <c r="A55" s="61">
        <f>'A) Base RI'!A57</f>
        <v>5486</v>
      </c>
      <c r="B55" s="62" t="str">
        <f>'A) Base RI'!B57</f>
        <v>L'Isle</v>
      </c>
      <c r="C55" s="13">
        <f>'B) D RI'!U57</f>
        <v>27212.445657894736</v>
      </c>
      <c r="D55" s="42">
        <f>'B) D RI'!AR57</f>
        <v>1032</v>
      </c>
      <c r="E55" s="306">
        <f t="shared" si="2"/>
        <v>26.368648893308851</v>
      </c>
      <c r="F55" s="89">
        <f t="shared" si="3"/>
        <v>0.57530103581702907</v>
      </c>
      <c r="G55" s="93">
        <f t="shared" si="4"/>
        <v>0</v>
      </c>
      <c r="H55" s="93">
        <f t="shared" si="5"/>
        <v>0</v>
      </c>
      <c r="I55" s="93">
        <f t="shared" si="6"/>
        <v>0</v>
      </c>
      <c r="J55" s="93">
        <f t="shared" si="7"/>
        <v>0</v>
      </c>
      <c r="K55" s="309">
        <f t="shared" si="0"/>
        <v>0</v>
      </c>
      <c r="L55" s="141">
        <f>K55*D55*'B) D RI'!S57</f>
        <v>0</v>
      </c>
      <c r="M55" s="14">
        <f>(('B) D RI'!S57*C55)-L55)/'B) D RI'!S57</f>
        <v>27212.445657894736</v>
      </c>
      <c r="N55" s="144">
        <f t="shared" si="1"/>
        <v>26.368648893308851</v>
      </c>
      <c r="O55" s="83">
        <f t="shared" si="8"/>
        <v>0.60448566907191326</v>
      </c>
    </row>
    <row r="56" spans="1:15" x14ac:dyDescent="0.25">
      <c r="A56" s="61">
        <f>'A) Base RI'!A58</f>
        <v>5487</v>
      </c>
      <c r="B56" s="62" t="str">
        <f>'A) Base RI'!B58</f>
        <v>Lussery-Villars</v>
      </c>
      <c r="C56" s="13">
        <f>'B) D RI'!U58</f>
        <v>11872.69955882353</v>
      </c>
      <c r="D56" s="42">
        <f>'B) D RI'!AR58</f>
        <v>423</v>
      </c>
      <c r="E56" s="306">
        <f t="shared" si="2"/>
        <v>28.067847656793212</v>
      </c>
      <c r="F56" s="89">
        <f t="shared" si="3"/>
        <v>0.61237350064626139</v>
      </c>
      <c r="G56" s="93">
        <f t="shared" si="4"/>
        <v>0</v>
      </c>
      <c r="H56" s="93">
        <f t="shared" si="5"/>
        <v>0</v>
      </c>
      <c r="I56" s="93">
        <f t="shared" si="6"/>
        <v>0</v>
      </c>
      <c r="J56" s="93">
        <f t="shared" si="7"/>
        <v>0</v>
      </c>
      <c r="K56" s="309">
        <f t="shared" si="0"/>
        <v>0</v>
      </c>
      <c r="L56" s="141">
        <f>K56*D56*'B) D RI'!S58</f>
        <v>0</v>
      </c>
      <c r="M56" s="14">
        <f>(('B) D RI'!S58*C56)-L56)/'B) D RI'!S58</f>
        <v>11872.69955882353</v>
      </c>
      <c r="N56" s="144">
        <f t="shared" si="1"/>
        <v>28.067847656793212</v>
      </c>
      <c r="O56" s="83">
        <f t="shared" si="8"/>
        <v>0.64343879502034418</v>
      </c>
    </row>
    <row r="57" spans="1:15" x14ac:dyDescent="0.25">
      <c r="A57" s="61">
        <f>'A) Base RI'!A59</f>
        <v>5488</v>
      </c>
      <c r="B57" s="62" t="str">
        <f>'A) Base RI'!B59</f>
        <v>Mauraz</v>
      </c>
      <c r="C57" s="13">
        <f>'B) D RI'!U59</f>
        <v>1417.5255405405405</v>
      </c>
      <c r="D57" s="42">
        <f>'B) D RI'!AR59</f>
        <v>49</v>
      </c>
      <c r="E57" s="306">
        <f t="shared" si="2"/>
        <v>28.929092664092664</v>
      </c>
      <c r="F57" s="89">
        <f t="shared" si="3"/>
        <v>0.63116381283845524</v>
      </c>
      <c r="G57" s="93">
        <f t="shared" si="4"/>
        <v>0</v>
      </c>
      <c r="H57" s="93">
        <f t="shared" si="5"/>
        <v>0</v>
      </c>
      <c r="I57" s="93">
        <f t="shared" si="6"/>
        <v>0</v>
      </c>
      <c r="J57" s="93">
        <f t="shared" si="7"/>
        <v>0</v>
      </c>
      <c r="K57" s="309">
        <f t="shared" si="0"/>
        <v>0</v>
      </c>
      <c r="L57" s="141">
        <f>K57*D57*'B) D RI'!S59</f>
        <v>0</v>
      </c>
      <c r="M57" s="14">
        <f>(('B) D RI'!S59*C57)-L57)/'B) D RI'!S59</f>
        <v>1417.5255405405405</v>
      </c>
      <c r="N57" s="144">
        <f t="shared" si="1"/>
        <v>28.929092664092664</v>
      </c>
      <c r="O57" s="83">
        <f t="shared" si="8"/>
        <v>0.66318232706776592</v>
      </c>
    </row>
    <row r="58" spans="1:15" x14ac:dyDescent="0.25">
      <c r="A58" s="61">
        <f>'A) Base RI'!A60</f>
        <v>5489</v>
      </c>
      <c r="B58" s="62" t="str">
        <f>'A) Base RI'!B60</f>
        <v>Mex</v>
      </c>
      <c r="C58" s="13">
        <f>'B) D RI'!U60</f>
        <v>37121.285573770496</v>
      </c>
      <c r="D58" s="42">
        <f>'B) D RI'!AR60</f>
        <v>678</v>
      </c>
      <c r="E58" s="306">
        <f t="shared" si="2"/>
        <v>54.751158663378312</v>
      </c>
      <c r="F58" s="89">
        <f t="shared" si="3"/>
        <v>1.1945397133797362</v>
      </c>
      <c r="G58" s="93">
        <f t="shared" si="4"/>
        <v>0</v>
      </c>
      <c r="H58" s="93">
        <f t="shared" si="5"/>
        <v>0</v>
      </c>
      <c r="I58" s="93">
        <f t="shared" si="6"/>
        <v>0</v>
      </c>
      <c r="J58" s="93">
        <f t="shared" si="7"/>
        <v>0</v>
      </c>
      <c r="K58" s="309">
        <f t="shared" si="0"/>
        <v>0</v>
      </c>
      <c r="L58" s="141">
        <f>K58*D58*'B) D RI'!S60</f>
        <v>0</v>
      </c>
      <c r="M58" s="14">
        <f>(('B) D RI'!S60*C58)-L58)/'B) D RI'!S60</f>
        <v>37121.285573770496</v>
      </c>
      <c r="N58" s="144">
        <f t="shared" si="1"/>
        <v>54.751158663378312</v>
      </c>
      <c r="O58" s="83">
        <f t="shared" si="8"/>
        <v>1.2551379068001105</v>
      </c>
    </row>
    <row r="59" spans="1:15" x14ac:dyDescent="0.25">
      <c r="A59" s="61">
        <f>'A) Base RI'!A61</f>
        <v>5490</v>
      </c>
      <c r="B59" s="62" t="str">
        <f>'A) Base RI'!B61</f>
        <v>Moiry</v>
      </c>
      <c r="C59" s="13">
        <f>'B) D RI'!U61</f>
        <v>7321.727037037037</v>
      </c>
      <c r="D59" s="42">
        <f>'B) D RI'!AR61</f>
        <v>290</v>
      </c>
      <c r="E59" s="306">
        <f t="shared" si="2"/>
        <v>25.247334610472542</v>
      </c>
      <c r="F59" s="89">
        <f t="shared" si="3"/>
        <v>0.55083663223676638</v>
      </c>
      <c r="G59" s="93">
        <f t="shared" si="4"/>
        <v>0</v>
      </c>
      <c r="H59" s="93">
        <f t="shared" si="5"/>
        <v>0</v>
      </c>
      <c r="I59" s="93">
        <f t="shared" si="6"/>
        <v>0</v>
      </c>
      <c r="J59" s="93">
        <f t="shared" si="7"/>
        <v>0</v>
      </c>
      <c r="K59" s="309">
        <f t="shared" si="0"/>
        <v>0</v>
      </c>
      <c r="L59" s="141">
        <f>K59*D59*'B) D RI'!S61</f>
        <v>0</v>
      </c>
      <c r="M59" s="14">
        <f>(('B) D RI'!S61*C59)-L59)/'B) D RI'!S61</f>
        <v>7321.727037037037</v>
      </c>
      <c r="N59" s="144">
        <f t="shared" si="1"/>
        <v>25.247334610472542</v>
      </c>
      <c r="O59" s="83">
        <f t="shared" si="8"/>
        <v>0.57878020280996167</v>
      </c>
    </row>
    <row r="60" spans="1:15" x14ac:dyDescent="0.25">
      <c r="A60" s="61">
        <f>'A) Base RI'!A62</f>
        <v>5491</v>
      </c>
      <c r="B60" s="62" t="str">
        <f>'A) Base RI'!B62</f>
        <v>Mont-la-Ville</v>
      </c>
      <c r="C60" s="13">
        <f>'B) D RI'!U62</f>
        <v>8599.6809210526335</v>
      </c>
      <c r="D60" s="42">
        <f>'B) D RI'!AR62</f>
        <v>382</v>
      </c>
      <c r="E60" s="306">
        <f t="shared" si="2"/>
        <v>22.512253720033073</v>
      </c>
      <c r="F60" s="89">
        <f t="shared" si="3"/>
        <v>0.49116368973297087</v>
      </c>
      <c r="G60" s="93">
        <f t="shared" si="4"/>
        <v>0</v>
      </c>
      <c r="H60" s="93">
        <f t="shared" si="5"/>
        <v>0</v>
      </c>
      <c r="I60" s="93">
        <f t="shared" si="6"/>
        <v>0</v>
      </c>
      <c r="J60" s="93">
        <f t="shared" si="7"/>
        <v>0</v>
      </c>
      <c r="K60" s="309">
        <f t="shared" si="0"/>
        <v>0</v>
      </c>
      <c r="L60" s="141">
        <f>K60*D60*'B) D RI'!S62</f>
        <v>0</v>
      </c>
      <c r="M60" s="14">
        <f>(('B) D RI'!S62*C60)-L60)/'B) D RI'!S62</f>
        <v>8599.6809210526335</v>
      </c>
      <c r="N60" s="144">
        <f t="shared" si="1"/>
        <v>22.512253720033073</v>
      </c>
      <c r="O60" s="83">
        <f t="shared" si="8"/>
        <v>0.51608009220844187</v>
      </c>
    </row>
    <row r="61" spans="1:15" x14ac:dyDescent="0.25">
      <c r="A61" s="61">
        <f>'A) Base RI'!A63</f>
        <v>5492</v>
      </c>
      <c r="B61" s="62" t="str">
        <f>'A) Base RI'!B63</f>
        <v>Montricher</v>
      </c>
      <c r="C61" s="13">
        <f>'B) D RI'!U63</f>
        <v>187025.79406249998</v>
      </c>
      <c r="D61" s="42">
        <f>'B) D RI'!AR63</f>
        <v>961</v>
      </c>
      <c r="E61" s="306">
        <f t="shared" ref="E61:E115" si="9">C61/D61</f>
        <v>194.61581067898021</v>
      </c>
      <c r="F61" s="89">
        <f>E61/$E$323</f>
        <v>4.246052876012131</v>
      </c>
      <c r="G61" s="93">
        <f>IF(E61-$G$2&lt;0,0,E61-$G$2)</f>
        <v>139.61438237973709</v>
      </c>
      <c r="H61" s="93">
        <f t="shared" si="5"/>
        <v>125.86402530492632</v>
      </c>
      <c r="I61" s="93">
        <f t="shared" si="6"/>
        <v>102.94676351357502</v>
      </c>
      <c r="J61" s="93">
        <f t="shared" si="7"/>
        <v>57.11223993087242</v>
      </c>
      <c r="K61" s="309">
        <f t="shared" si="0"/>
        <v>78.853480531642731</v>
      </c>
      <c r="L61" s="141">
        <f>K61*D61*'B) D RI'!S63</f>
        <v>4849804.4666181542</v>
      </c>
      <c r="M61" s="14">
        <f>(('B) D RI'!S63*C61)-L61)/'B) D RI'!S63</f>
        <v>111247.59927159132</v>
      </c>
      <c r="N61" s="144">
        <f t="shared" si="1"/>
        <v>115.76233014733748</v>
      </c>
      <c r="O61" s="83">
        <f t="shared" si="8"/>
        <v>2.6537829023994428</v>
      </c>
    </row>
    <row r="62" spans="1:15" x14ac:dyDescent="0.25">
      <c r="A62" s="61">
        <f>'A) Base RI'!A64</f>
        <v>5493</v>
      </c>
      <c r="B62" s="62" t="str">
        <f>'A) Base RI'!B64</f>
        <v>Orny</v>
      </c>
      <c r="C62" s="13">
        <f>'B) D RI'!U64</f>
        <v>10614.324773445733</v>
      </c>
      <c r="D62" s="42">
        <f>'B) D RI'!AR64</f>
        <v>375</v>
      </c>
      <c r="E62" s="306">
        <f t="shared" si="9"/>
        <v>28.304866062521953</v>
      </c>
      <c r="F62" s="89">
        <f t="shared" si="3"/>
        <v>0.61754467702602833</v>
      </c>
      <c r="G62" s="93">
        <f t="shared" si="4"/>
        <v>0</v>
      </c>
      <c r="H62" s="93">
        <f t="shared" si="5"/>
        <v>0</v>
      </c>
      <c r="I62" s="93">
        <f t="shared" si="6"/>
        <v>0</v>
      </c>
      <c r="J62" s="93">
        <f t="shared" si="7"/>
        <v>0</v>
      </c>
      <c r="K62" s="309">
        <f t="shared" si="0"/>
        <v>0</v>
      </c>
      <c r="L62" s="141">
        <f>K62*D62*'B) D RI'!S64</f>
        <v>0</v>
      </c>
      <c r="M62" s="14">
        <f>(('B) D RI'!S64*C62)-L62)/'B) D RI'!S64</f>
        <v>10614.324773445733</v>
      </c>
      <c r="N62" s="144">
        <f t="shared" si="1"/>
        <v>28.304866062521953</v>
      </c>
      <c r="O62" s="83">
        <f t="shared" si="8"/>
        <v>0.64887230168763699</v>
      </c>
    </row>
    <row r="63" spans="1:15" x14ac:dyDescent="0.25">
      <c r="A63" s="61">
        <f>'A) Base RI'!A65</f>
        <v>5494</v>
      </c>
      <c r="B63" s="62" t="str">
        <f>'A) Base RI'!B65</f>
        <v>Pampigny</v>
      </c>
      <c r="C63" s="13">
        <f>'B) D RI'!U65</f>
        <v>33982.091568253971</v>
      </c>
      <c r="D63" s="42">
        <f>'B) D RI'!AR65</f>
        <v>1124</v>
      </c>
      <c r="E63" s="306">
        <f t="shared" si="9"/>
        <v>30.233177551827374</v>
      </c>
      <c r="F63" s="89">
        <f t="shared" si="3"/>
        <v>0.65961583515263189</v>
      </c>
      <c r="G63" s="93">
        <f t="shared" si="4"/>
        <v>0</v>
      </c>
      <c r="H63" s="93">
        <f t="shared" si="5"/>
        <v>0</v>
      </c>
      <c r="I63" s="93">
        <f t="shared" si="6"/>
        <v>0</v>
      </c>
      <c r="J63" s="93">
        <f t="shared" si="7"/>
        <v>0</v>
      </c>
      <c r="K63" s="309">
        <f t="shared" si="0"/>
        <v>0</v>
      </c>
      <c r="L63" s="141">
        <f>K63*D63*'B) D RI'!S65</f>
        <v>0</v>
      </c>
      <c r="M63" s="14">
        <f>(('B) D RI'!S65*C63)-L63)/'B) D RI'!S65</f>
        <v>33982.091568253971</v>
      </c>
      <c r="N63" s="144">
        <f t="shared" si="1"/>
        <v>30.233177551827374</v>
      </c>
      <c r="O63" s="83">
        <f t="shared" si="8"/>
        <v>0.6930777012706103</v>
      </c>
    </row>
    <row r="64" spans="1:15" x14ac:dyDescent="0.25">
      <c r="A64" s="61">
        <f>'A) Base RI'!A66</f>
        <v>5495</v>
      </c>
      <c r="B64" s="62" t="str">
        <f>'A) Base RI'!B66</f>
        <v>Penthalaz</v>
      </c>
      <c r="C64" s="13">
        <f>'B) D RI'!U66</f>
        <v>96162.321351351362</v>
      </c>
      <c r="D64" s="42">
        <f>'B) D RI'!AR66</f>
        <v>3241</v>
      </c>
      <c r="E64" s="306">
        <f t="shared" si="9"/>
        <v>29.670571228433001</v>
      </c>
      <c r="F64" s="89">
        <f t="shared" si="3"/>
        <v>0.6473411068601207</v>
      </c>
      <c r="G64" s="93">
        <f t="shared" si="4"/>
        <v>0</v>
      </c>
      <c r="H64" s="93">
        <f t="shared" si="5"/>
        <v>0</v>
      </c>
      <c r="I64" s="93">
        <f t="shared" si="6"/>
        <v>0</v>
      </c>
      <c r="J64" s="93">
        <f t="shared" si="7"/>
        <v>0</v>
      </c>
      <c r="K64" s="309">
        <f t="shared" si="0"/>
        <v>0</v>
      </c>
      <c r="L64" s="141">
        <f>K64*D64*'B) D RI'!S66</f>
        <v>0</v>
      </c>
      <c r="M64" s="14">
        <f>(('B) D RI'!S66*C64)-L64)/'B) D RI'!S66</f>
        <v>96162.321351351362</v>
      </c>
      <c r="N64" s="144">
        <f t="shared" si="1"/>
        <v>29.670571228433001</v>
      </c>
      <c r="O64" s="83">
        <f t="shared" si="8"/>
        <v>0.68018028429649158</v>
      </c>
    </row>
    <row r="65" spans="1:15" x14ac:dyDescent="0.25">
      <c r="A65" s="61">
        <f>'A) Base RI'!A67</f>
        <v>5496</v>
      </c>
      <c r="B65" s="62" t="str">
        <f>'A) Base RI'!B67</f>
        <v>Penthaz</v>
      </c>
      <c r="C65" s="13">
        <f>'B) D RI'!U67</f>
        <v>56906.521408450702</v>
      </c>
      <c r="D65" s="42">
        <f>'B) D RI'!AR67</f>
        <v>1653</v>
      </c>
      <c r="E65" s="306">
        <f t="shared" si="9"/>
        <v>34.426207748609016</v>
      </c>
      <c r="F65" s="89">
        <f t="shared" si="3"/>
        <v>0.75109775465411532</v>
      </c>
      <c r="G65" s="93">
        <f t="shared" si="4"/>
        <v>0</v>
      </c>
      <c r="H65" s="93">
        <f t="shared" si="5"/>
        <v>0</v>
      </c>
      <c r="I65" s="93">
        <f t="shared" si="6"/>
        <v>0</v>
      </c>
      <c r="J65" s="93">
        <f t="shared" si="7"/>
        <v>0</v>
      </c>
      <c r="K65" s="309">
        <f t="shared" si="0"/>
        <v>0</v>
      </c>
      <c r="L65" s="141">
        <f>K65*D65*'B) D RI'!S67</f>
        <v>0</v>
      </c>
      <c r="M65" s="14">
        <f>(('B) D RI'!S67*C65)-L65)/'B) D RI'!S67</f>
        <v>56906.521408450702</v>
      </c>
      <c r="N65" s="144">
        <f t="shared" si="1"/>
        <v>34.426207748609016</v>
      </c>
      <c r="O65" s="83">
        <f t="shared" si="8"/>
        <v>0.78920043680384644</v>
      </c>
    </row>
    <row r="66" spans="1:15" x14ac:dyDescent="0.25">
      <c r="A66" s="61">
        <f>'A) Base RI'!A68</f>
        <v>5497</v>
      </c>
      <c r="B66" s="62" t="str">
        <f>'A) Base RI'!B68</f>
        <v>Pompaples</v>
      </c>
      <c r="C66" s="13">
        <f>'B) D RI'!U68</f>
        <v>22227.212272727276</v>
      </c>
      <c r="D66" s="42">
        <f>'B) D RI'!AR68</f>
        <v>834</v>
      </c>
      <c r="E66" s="306">
        <f t="shared" si="9"/>
        <v>26.651333660344456</v>
      </c>
      <c r="F66" s="89">
        <f t="shared" si="3"/>
        <v>0.58146854329696473</v>
      </c>
      <c r="G66" s="93">
        <f t="shared" si="4"/>
        <v>0</v>
      </c>
      <c r="H66" s="93">
        <f t="shared" si="5"/>
        <v>0</v>
      </c>
      <c r="I66" s="93">
        <f t="shared" si="6"/>
        <v>0</v>
      </c>
      <c r="J66" s="93">
        <f t="shared" si="7"/>
        <v>0</v>
      </c>
      <c r="K66" s="309">
        <f t="shared" si="0"/>
        <v>0</v>
      </c>
      <c r="L66" s="141">
        <f>K66*D66*'B) D RI'!S68</f>
        <v>0</v>
      </c>
      <c r="M66" s="14">
        <f>(('B) D RI'!S68*C66)-L66)/'B) D RI'!S68</f>
        <v>22227.212272727276</v>
      </c>
      <c r="N66" s="144">
        <f t="shared" si="1"/>
        <v>26.651333660344456</v>
      </c>
      <c r="O66" s="83">
        <f t="shared" si="8"/>
        <v>0.61096605004362536</v>
      </c>
    </row>
    <row r="67" spans="1:15" x14ac:dyDescent="0.25">
      <c r="A67" s="61">
        <f>'A) Base RI'!A69</f>
        <v>5498</v>
      </c>
      <c r="B67" s="62" t="str">
        <f>'A) Base RI'!B69</f>
        <v>La Sarraz</v>
      </c>
      <c r="C67" s="13">
        <f>'B) D RI'!U69</f>
        <v>72104.13</v>
      </c>
      <c r="D67" s="42">
        <f>'B) D RI'!AR69</f>
        <v>2559</v>
      </c>
      <c r="E67" s="306">
        <f t="shared" si="9"/>
        <v>28.176682297772569</v>
      </c>
      <c r="F67" s="89">
        <f t="shared" si="3"/>
        <v>0.61474801296737192</v>
      </c>
      <c r="G67" s="93">
        <f t="shared" si="4"/>
        <v>0</v>
      </c>
      <c r="H67" s="93">
        <f t="shared" si="5"/>
        <v>0</v>
      </c>
      <c r="I67" s="93">
        <f t="shared" si="6"/>
        <v>0</v>
      </c>
      <c r="J67" s="93">
        <f t="shared" si="7"/>
        <v>0</v>
      </c>
      <c r="K67" s="309">
        <f t="shared" si="0"/>
        <v>0</v>
      </c>
      <c r="L67" s="141">
        <f>K67*D67*'B) D RI'!S69</f>
        <v>0</v>
      </c>
      <c r="M67" s="14">
        <f>(('B) D RI'!S69*C67)-L67)/'B) D RI'!S69</f>
        <v>72104.13</v>
      </c>
      <c r="N67" s="144">
        <f t="shared" si="1"/>
        <v>28.176682297772569</v>
      </c>
      <c r="O67" s="83">
        <f t="shared" si="8"/>
        <v>0.64593376474885766</v>
      </c>
    </row>
    <row r="68" spans="1:15" x14ac:dyDescent="0.25">
      <c r="A68" s="61">
        <f>'A) Base RI'!A70</f>
        <v>5499</v>
      </c>
      <c r="B68" s="62" t="str">
        <f>'A) Base RI'!B70</f>
        <v>Senarclens</v>
      </c>
      <c r="C68" s="13">
        <f>'B) D RI'!U70</f>
        <v>21697.695620437953</v>
      </c>
      <c r="D68" s="42">
        <f>'B) D RI'!AR70</f>
        <v>451</v>
      </c>
      <c r="E68" s="306">
        <f t="shared" si="9"/>
        <v>48.110189845760431</v>
      </c>
      <c r="F68" s="89">
        <f t="shared" si="3"/>
        <v>1.0496496109303217</v>
      </c>
      <c r="G68" s="93">
        <f t="shared" si="4"/>
        <v>0</v>
      </c>
      <c r="H68" s="93">
        <f t="shared" si="5"/>
        <v>0</v>
      </c>
      <c r="I68" s="93">
        <f t="shared" si="6"/>
        <v>0</v>
      </c>
      <c r="J68" s="93">
        <f t="shared" si="7"/>
        <v>0</v>
      </c>
      <c r="K68" s="309">
        <f t="shared" si="0"/>
        <v>0</v>
      </c>
      <c r="L68" s="141">
        <f>K68*D68*'B) D RI'!S70</f>
        <v>0</v>
      </c>
      <c r="M68" s="14">
        <f>(('B) D RI'!S70*C68)-L68)/'B) D RI'!S70</f>
        <v>21697.695620437953</v>
      </c>
      <c r="N68" s="144">
        <f t="shared" si="1"/>
        <v>48.110189845760431</v>
      </c>
      <c r="O68" s="83">
        <f t="shared" si="8"/>
        <v>1.1028976272451683</v>
      </c>
    </row>
    <row r="69" spans="1:15" x14ac:dyDescent="0.25">
      <c r="A69" s="61">
        <f>'A) Base RI'!A71</f>
        <v>5500</v>
      </c>
      <c r="B69" s="62" t="str">
        <f>'A) Base RI'!B71</f>
        <v>Sévery</v>
      </c>
      <c r="C69" s="13">
        <f>'B) D RI'!U71</f>
        <v>6767.1525657894736</v>
      </c>
      <c r="D69" s="42">
        <f>'B) D RI'!AR71</f>
        <v>231</v>
      </c>
      <c r="E69" s="306">
        <f t="shared" si="9"/>
        <v>29.295032752335384</v>
      </c>
      <c r="F69" s="89">
        <f t="shared" si="3"/>
        <v>0.6391477528827415</v>
      </c>
      <c r="G69" s="93">
        <f t="shared" si="4"/>
        <v>0</v>
      </c>
      <c r="H69" s="93">
        <f t="shared" si="5"/>
        <v>0</v>
      </c>
      <c r="I69" s="93">
        <f t="shared" si="6"/>
        <v>0</v>
      </c>
      <c r="J69" s="93">
        <f t="shared" si="7"/>
        <v>0</v>
      </c>
      <c r="K69" s="309">
        <f t="shared" ref="K69:K132" si="10">(G69-H69)*$G$3+(H69-I69)*$H$3+(I69-J69)*$I$3+(J69*$J$3)</f>
        <v>0</v>
      </c>
      <c r="L69" s="141">
        <f>K69*D69*'B) D RI'!S71</f>
        <v>0</v>
      </c>
      <c r="M69" s="14">
        <f>(('B) D RI'!S71*C69)-L69)/'B) D RI'!S71</f>
        <v>6767.1525657894736</v>
      </c>
      <c r="N69" s="144">
        <f t="shared" ref="N69:N132" si="11">M69/D69</f>
        <v>29.295032752335384</v>
      </c>
      <c r="O69" s="83">
        <f t="shared" ref="O69:O132" si="12">N69/N$323</f>
        <v>0.67157128700183999</v>
      </c>
    </row>
    <row r="70" spans="1:15" x14ac:dyDescent="0.25">
      <c r="A70" s="61">
        <f>'A) Base RI'!A72</f>
        <v>5501</v>
      </c>
      <c r="B70" s="62" t="str">
        <f>'A) Base RI'!B72</f>
        <v>Sullens</v>
      </c>
      <c r="C70" s="13">
        <f>'B) D RI'!U72</f>
        <v>35887.851857142865</v>
      </c>
      <c r="D70" s="42">
        <f>'B) D RI'!AR72</f>
        <v>925</v>
      </c>
      <c r="E70" s="306">
        <f t="shared" si="9"/>
        <v>38.797677683397694</v>
      </c>
      <c r="F70" s="89">
        <f t="shared" ref="F70:F133" si="13">E70/$E$323</f>
        <v>0.84647280370204347</v>
      </c>
      <c r="G70" s="93">
        <f t="shared" ref="G70:G133" si="14">IF(E70-$G$2&lt;0,0,E70-$G$2)</f>
        <v>0</v>
      </c>
      <c r="H70" s="93">
        <f t="shared" ref="H70:H133" si="15">IF(E70-$H$2&lt;0,0,E70-$H$2)</f>
        <v>0</v>
      </c>
      <c r="I70" s="93">
        <f t="shared" ref="I70:I133" si="16">IF(E70-$I$2&lt;0,0,E70-$I$2)</f>
        <v>0</v>
      </c>
      <c r="J70" s="93">
        <f t="shared" ref="J70:J133" si="17">IF(E70-$J$2&lt;0,0,E70-$J$2)</f>
        <v>0</v>
      </c>
      <c r="K70" s="309">
        <f t="shared" si="10"/>
        <v>0</v>
      </c>
      <c r="L70" s="141">
        <f>K70*D70*'B) D RI'!S72</f>
        <v>0</v>
      </c>
      <c r="M70" s="14">
        <f>(('B) D RI'!S72*C70)-L70)/'B) D RI'!S72</f>
        <v>35887.851857142865</v>
      </c>
      <c r="N70" s="144">
        <f t="shared" si="11"/>
        <v>38.797677683397694</v>
      </c>
      <c r="O70" s="83">
        <f t="shared" si="12"/>
        <v>0.88941379771780016</v>
      </c>
    </row>
    <row r="71" spans="1:15" x14ac:dyDescent="0.25">
      <c r="A71" s="61">
        <f>'A) Base RI'!A73</f>
        <v>5503</v>
      </c>
      <c r="B71" s="62" t="str">
        <f>'A) Base RI'!B73</f>
        <v>Vufflens-la-Ville</v>
      </c>
      <c r="C71" s="13">
        <f>'B) D RI'!U73</f>
        <v>61379.446318407958</v>
      </c>
      <c r="D71" s="42">
        <f>'B) D RI'!AR73</f>
        <v>1216</v>
      </c>
      <c r="E71" s="306">
        <f t="shared" si="9"/>
        <v>50.476518353953914</v>
      </c>
      <c r="F71" s="89">
        <f t="shared" si="13"/>
        <v>1.1012772558413404</v>
      </c>
      <c r="G71" s="93">
        <f t="shared" si="14"/>
        <v>0</v>
      </c>
      <c r="H71" s="93">
        <f t="shared" si="15"/>
        <v>0</v>
      </c>
      <c r="I71" s="93">
        <f t="shared" si="16"/>
        <v>0</v>
      </c>
      <c r="J71" s="93">
        <f t="shared" si="17"/>
        <v>0</v>
      </c>
      <c r="K71" s="309">
        <f t="shared" si="10"/>
        <v>0</v>
      </c>
      <c r="L71" s="141">
        <f>K71*D71*'B) D RI'!S73</f>
        <v>0</v>
      </c>
      <c r="M71" s="14">
        <f>(('B) D RI'!S73*C71)-L71)/'B) D RI'!S73</f>
        <v>61379.446318407958</v>
      </c>
      <c r="N71" s="144">
        <f t="shared" si="11"/>
        <v>50.476518353953914</v>
      </c>
      <c r="O71" s="83">
        <f t="shared" si="12"/>
        <v>1.1571443077371009</v>
      </c>
    </row>
    <row r="72" spans="1:15" x14ac:dyDescent="0.25">
      <c r="A72" s="61">
        <f>'A) Base RI'!A74</f>
        <v>5511</v>
      </c>
      <c r="B72" s="62" t="str">
        <f>'A) Base RI'!B74</f>
        <v>Assens</v>
      </c>
      <c r="C72" s="13">
        <f>'B) D RI'!U74</f>
        <v>41422.612571428566</v>
      </c>
      <c r="D72" s="42">
        <f>'B) D RI'!AR74</f>
        <v>1031</v>
      </c>
      <c r="E72" s="306">
        <f t="shared" si="9"/>
        <v>40.177121795760009</v>
      </c>
      <c r="F72" s="89">
        <f t="shared" si="13"/>
        <v>0.87656898458354171</v>
      </c>
      <c r="G72" s="93">
        <f t="shared" si="14"/>
        <v>0</v>
      </c>
      <c r="H72" s="93">
        <f t="shared" si="15"/>
        <v>0</v>
      </c>
      <c r="I72" s="93">
        <f t="shared" si="16"/>
        <v>0</v>
      </c>
      <c r="J72" s="93">
        <f t="shared" si="17"/>
        <v>0</v>
      </c>
      <c r="K72" s="309">
        <f t="shared" si="10"/>
        <v>0</v>
      </c>
      <c r="L72" s="141">
        <f>K72*D72*'B) D RI'!S74</f>
        <v>0</v>
      </c>
      <c r="M72" s="14">
        <f>(('B) D RI'!S74*C72)-L72)/'B) D RI'!S74</f>
        <v>41422.612571428566</v>
      </c>
      <c r="N72" s="144">
        <f t="shared" si="11"/>
        <v>40.177121795760009</v>
      </c>
      <c r="O72" s="83">
        <f t="shared" si="12"/>
        <v>0.92103673754238258</v>
      </c>
    </row>
    <row r="73" spans="1:15" x14ac:dyDescent="0.25">
      <c r="A73" s="61">
        <f>'A) Base RI'!A75</f>
        <v>5512</v>
      </c>
      <c r="B73" s="62" t="str">
        <f>'A) Base RI'!B75</f>
        <v>Bercher</v>
      </c>
      <c r="C73" s="13">
        <f>'B) D RI'!U75</f>
        <v>32079.191772151898</v>
      </c>
      <c r="D73" s="42">
        <f>'B) D RI'!AR75</f>
        <v>1148</v>
      </c>
      <c r="E73" s="306">
        <f t="shared" si="9"/>
        <v>27.943546839853571</v>
      </c>
      <c r="F73" s="89">
        <f t="shared" si="13"/>
        <v>0.60966155324889504</v>
      </c>
      <c r="G73" s="93">
        <f t="shared" si="14"/>
        <v>0</v>
      </c>
      <c r="H73" s="93">
        <f t="shared" si="15"/>
        <v>0</v>
      </c>
      <c r="I73" s="93">
        <f t="shared" si="16"/>
        <v>0</v>
      </c>
      <c r="J73" s="93">
        <f t="shared" si="17"/>
        <v>0</v>
      </c>
      <c r="K73" s="309">
        <f t="shared" si="10"/>
        <v>0</v>
      </c>
      <c r="L73" s="141">
        <f>K73*D73*'B) D RI'!S75</f>
        <v>0</v>
      </c>
      <c r="M73" s="14">
        <f>(('B) D RI'!S75*C73)-L73)/'B) D RI'!S75</f>
        <v>32079.191772151898</v>
      </c>
      <c r="N73" s="144">
        <f t="shared" si="11"/>
        <v>27.943546839853571</v>
      </c>
      <c r="O73" s="83">
        <f t="shared" si="12"/>
        <v>0.64058927236190377</v>
      </c>
    </row>
    <row r="74" spans="1:15" x14ac:dyDescent="0.25">
      <c r="A74" s="61">
        <f>'A) Base RI'!A76</f>
        <v>5513</v>
      </c>
      <c r="B74" s="62" t="str">
        <f>'A) Base RI'!B76</f>
        <v>Bioley-Orjulaz</v>
      </c>
      <c r="C74" s="13">
        <f>'B) D RI'!U76</f>
        <v>24024.471515151512</v>
      </c>
      <c r="D74" s="42">
        <f>'B) D RI'!AR76</f>
        <v>471</v>
      </c>
      <c r="E74" s="306">
        <f t="shared" si="9"/>
        <v>51.007370520491534</v>
      </c>
      <c r="F74" s="89">
        <f t="shared" si="13"/>
        <v>1.112859184157444</v>
      </c>
      <c r="G74" s="93">
        <f t="shared" si="14"/>
        <v>0</v>
      </c>
      <c r="H74" s="93">
        <f t="shared" si="15"/>
        <v>0</v>
      </c>
      <c r="I74" s="93">
        <f t="shared" si="16"/>
        <v>0</v>
      </c>
      <c r="J74" s="93">
        <f t="shared" si="17"/>
        <v>0</v>
      </c>
      <c r="K74" s="309">
        <f t="shared" si="10"/>
        <v>0</v>
      </c>
      <c r="L74" s="141">
        <f>K74*D74*'B) D RI'!S76</f>
        <v>0</v>
      </c>
      <c r="M74" s="14">
        <f>(('B) D RI'!S76*C74)-L74)/'B) D RI'!S76</f>
        <v>24024.471515151512</v>
      </c>
      <c r="N74" s="144">
        <f t="shared" si="11"/>
        <v>51.007370520491534</v>
      </c>
      <c r="O74" s="83">
        <f t="shared" si="12"/>
        <v>1.1693137794596054</v>
      </c>
    </row>
    <row r="75" spans="1:15" x14ac:dyDescent="0.25">
      <c r="A75" s="61">
        <f>'A) Base RI'!A77</f>
        <v>5514</v>
      </c>
      <c r="B75" s="62" t="str">
        <f>'A) Base RI'!B77</f>
        <v>Bottens</v>
      </c>
      <c r="C75" s="13">
        <f>'B) D RI'!U77</f>
        <v>38346.680434782604</v>
      </c>
      <c r="D75" s="42">
        <f>'B) D RI'!AR77</f>
        <v>1220</v>
      </c>
      <c r="E75" s="306">
        <f t="shared" si="9"/>
        <v>31.431705274411971</v>
      </c>
      <c r="F75" s="89">
        <f t="shared" si="13"/>
        <v>0.68576485185228198</v>
      </c>
      <c r="G75" s="93">
        <f t="shared" si="14"/>
        <v>0</v>
      </c>
      <c r="H75" s="93">
        <f t="shared" si="15"/>
        <v>0</v>
      </c>
      <c r="I75" s="93">
        <f t="shared" si="16"/>
        <v>0</v>
      </c>
      <c r="J75" s="93">
        <f t="shared" si="17"/>
        <v>0</v>
      </c>
      <c r="K75" s="309">
        <f t="shared" si="10"/>
        <v>0</v>
      </c>
      <c r="L75" s="141">
        <f>K75*D75*'B) D RI'!S77</f>
        <v>0</v>
      </c>
      <c r="M75" s="14">
        <f>(('B) D RI'!S77*C75)-L75)/'B) D RI'!S77</f>
        <v>38346.680434782604</v>
      </c>
      <c r="N75" s="144">
        <f t="shared" si="11"/>
        <v>31.431705274411971</v>
      </c>
      <c r="O75" s="83">
        <f t="shared" si="12"/>
        <v>0.72055323993848752</v>
      </c>
    </row>
    <row r="76" spans="1:15" x14ac:dyDescent="0.25">
      <c r="A76" s="61">
        <f>'A) Base RI'!A78</f>
        <v>5515</v>
      </c>
      <c r="B76" s="62" t="str">
        <f>'A) Base RI'!B78</f>
        <v>Bretigny-sur-Morrens</v>
      </c>
      <c r="C76" s="13">
        <f>'B) D RI'!U78</f>
        <v>24345.34643835617</v>
      </c>
      <c r="D76" s="42">
        <f>'B) D RI'!AR78</f>
        <v>797</v>
      </c>
      <c r="E76" s="306">
        <f t="shared" si="9"/>
        <v>30.546231415754292</v>
      </c>
      <c r="F76" s="89">
        <f t="shared" si="13"/>
        <v>0.66644592390357205</v>
      </c>
      <c r="G76" s="93">
        <f t="shared" si="14"/>
        <v>0</v>
      </c>
      <c r="H76" s="93">
        <f t="shared" si="15"/>
        <v>0</v>
      </c>
      <c r="I76" s="93">
        <f t="shared" si="16"/>
        <v>0</v>
      </c>
      <c r="J76" s="93">
        <f t="shared" si="17"/>
        <v>0</v>
      </c>
      <c r="K76" s="309">
        <f t="shared" si="10"/>
        <v>0</v>
      </c>
      <c r="L76" s="141">
        <f>K76*D76*'B) D RI'!S78</f>
        <v>0</v>
      </c>
      <c r="M76" s="14">
        <f>(('B) D RI'!S78*C76)-L76)/'B) D RI'!S78</f>
        <v>24345.34643835617</v>
      </c>
      <c r="N76" s="144">
        <f t="shared" si="11"/>
        <v>30.546231415754292</v>
      </c>
      <c r="O76" s="83">
        <f t="shared" si="12"/>
        <v>0.70025427581400412</v>
      </c>
    </row>
    <row r="77" spans="1:15" x14ac:dyDescent="0.25">
      <c r="A77" s="61">
        <f>'A) Base RI'!A79</f>
        <v>5516</v>
      </c>
      <c r="B77" s="62" t="str">
        <f>'A) Base RI'!B79</f>
        <v>Cugy</v>
      </c>
      <c r="C77" s="13">
        <f>'B) D RI'!U79</f>
        <v>104935.17701492537</v>
      </c>
      <c r="D77" s="42">
        <f>'B) D RI'!AR79</f>
        <v>2755</v>
      </c>
      <c r="E77" s="306">
        <f t="shared" si="9"/>
        <v>38.088993471842237</v>
      </c>
      <c r="F77" s="89">
        <f t="shared" si="13"/>
        <v>0.83101100425131447</v>
      </c>
      <c r="G77" s="93">
        <f t="shared" si="14"/>
        <v>0</v>
      </c>
      <c r="H77" s="93">
        <f t="shared" si="15"/>
        <v>0</v>
      </c>
      <c r="I77" s="93">
        <f t="shared" si="16"/>
        <v>0</v>
      </c>
      <c r="J77" s="93">
        <f t="shared" si="17"/>
        <v>0</v>
      </c>
      <c r="K77" s="309">
        <f t="shared" si="10"/>
        <v>0</v>
      </c>
      <c r="L77" s="141">
        <f>K77*D77*'B) D RI'!S79</f>
        <v>0</v>
      </c>
      <c r="M77" s="14">
        <f>(('B) D RI'!S79*C77)-L77)/'B) D RI'!S79</f>
        <v>104935.17701492537</v>
      </c>
      <c r="N77" s="144">
        <f t="shared" si="11"/>
        <v>38.088993471842237</v>
      </c>
      <c r="O77" s="83">
        <f t="shared" si="12"/>
        <v>0.87316763161668054</v>
      </c>
    </row>
    <row r="78" spans="1:15" x14ac:dyDescent="0.25">
      <c r="A78" s="61">
        <f>'A) Base RI'!A80</f>
        <v>5518</v>
      </c>
      <c r="B78" s="62" t="str">
        <f>'A) Base RI'!B80</f>
        <v>Echallens</v>
      </c>
      <c r="C78" s="13">
        <f>'B) D RI'!U80</f>
        <v>181423.1631081081</v>
      </c>
      <c r="D78" s="42">
        <f>'B) D RI'!AR80</f>
        <v>5606</v>
      </c>
      <c r="E78" s="306">
        <f t="shared" si="9"/>
        <v>32.362319498413861</v>
      </c>
      <c r="F78" s="89">
        <f t="shared" si="13"/>
        <v>0.70606863492363248</v>
      </c>
      <c r="G78" s="93">
        <f t="shared" si="14"/>
        <v>0</v>
      </c>
      <c r="H78" s="93">
        <f t="shared" si="15"/>
        <v>0</v>
      </c>
      <c r="I78" s="93">
        <f t="shared" si="16"/>
        <v>0</v>
      </c>
      <c r="J78" s="93">
        <f t="shared" si="17"/>
        <v>0</v>
      </c>
      <c r="K78" s="309">
        <f t="shared" si="10"/>
        <v>0</v>
      </c>
      <c r="L78" s="141">
        <f>K78*D78*'B) D RI'!S80</f>
        <v>0</v>
      </c>
      <c r="M78" s="14">
        <f>(('B) D RI'!S80*C78)-L78)/'B) D RI'!S80</f>
        <v>181423.1631081081</v>
      </c>
      <c r="N78" s="144">
        <f t="shared" si="11"/>
        <v>32.362319498413861</v>
      </c>
      <c r="O78" s="83">
        <f t="shared" si="12"/>
        <v>0.74188702022126762</v>
      </c>
    </row>
    <row r="79" spans="1:15" x14ac:dyDescent="0.25">
      <c r="A79" s="61">
        <f>'A) Base RI'!A81</f>
        <v>5520</v>
      </c>
      <c r="B79" s="62" t="str">
        <f>'A) Base RI'!B81</f>
        <v>Essertines-sur-Yverdon</v>
      </c>
      <c r="C79" s="13">
        <f>'B) D RI'!U81</f>
        <v>28021.579589041095</v>
      </c>
      <c r="D79" s="42">
        <f>'B) D RI'!AR81</f>
        <v>945</v>
      </c>
      <c r="E79" s="306">
        <f t="shared" si="9"/>
        <v>29.65246517358846</v>
      </c>
      <c r="F79" s="89">
        <f t="shared" si="13"/>
        <v>0.6469460759221014</v>
      </c>
      <c r="G79" s="93">
        <f t="shared" si="14"/>
        <v>0</v>
      </c>
      <c r="H79" s="93">
        <f t="shared" si="15"/>
        <v>0</v>
      </c>
      <c r="I79" s="93">
        <f t="shared" si="16"/>
        <v>0</v>
      </c>
      <c r="J79" s="93">
        <f t="shared" si="17"/>
        <v>0</v>
      </c>
      <c r="K79" s="309">
        <f t="shared" si="10"/>
        <v>0</v>
      </c>
      <c r="L79" s="141">
        <f>K79*D79*'B) D RI'!S81</f>
        <v>0</v>
      </c>
      <c r="M79" s="14">
        <f>(('B) D RI'!S81*C79)-L79)/'B) D RI'!S81</f>
        <v>28021.579589041095</v>
      </c>
      <c r="N79" s="144">
        <f t="shared" si="11"/>
        <v>29.65246517358846</v>
      </c>
      <c r="O79" s="83">
        <f t="shared" si="12"/>
        <v>0.67976521370560772</v>
      </c>
    </row>
    <row r="80" spans="1:15" x14ac:dyDescent="0.25">
      <c r="A80" s="61">
        <f>'A) Base RI'!A82</f>
        <v>5521</v>
      </c>
      <c r="B80" s="62" t="str">
        <f>'A) Base RI'!B82</f>
        <v>Etagnières</v>
      </c>
      <c r="C80" s="13">
        <f>'B) D RI'!U82</f>
        <v>42327.784109589047</v>
      </c>
      <c r="D80" s="42">
        <f>'B) D RI'!AR82</f>
        <v>1146</v>
      </c>
      <c r="E80" s="306">
        <f t="shared" si="9"/>
        <v>36.935239188123077</v>
      </c>
      <c r="F80" s="89">
        <f t="shared" si="13"/>
        <v>0.80583883721357141</v>
      </c>
      <c r="G80" s="93">
        <f t="shared" si="14"/>
        <v>0</v>
      </c>
      <c r="H80" s="93">
        <f t="shared" si="15"/>
        <v>0</v>
      </c>
      <c r="I80" s="93">
        <f t="shared" si="16"/>
        <v>0</v>
      </c>
      <c r="J80" s="93">
        <f t="shared" si="17"/>
        <v>0</v>
      </c>
      <c r="K80" s="309">
        <f t="shared" si="10"/>
        <v>0</v>
      </c>
      <c r="L80" s="141">
        <f>K80*D80*'B) D RI'!S82</f>
        <v>0</v>
      </c>
      <c r="M80" s="14">
        <f>(('B) D RI'!S82*C80)-L80)/'B) D RI'!S82</f>
        <v>42327.784109589047</v>
      </c>
      <c r="N80" s="144">
        <f t="shared" si="11"/>
        <v>36.935239188123077</v>
      </c>
      <c r="O80" s="83">
        <f t="shared" si="12"/>
        <v>0.84671849753474659</v>
      </c>
    </row>
    <row r="81" spans="1:15" x14ac:dyDescent="0.25">
      <c r="A81" s="61">
        <f>'A) Base RI'!A83</f>
        <v>5522</v>
      </c>
      <c r="B81" s="62" t="str">
        <f>'A) Base RI'!B83</f>
        <v>Fey</v>
      </c>
      <c r="C81" s="13">
        <f>'B) D RI'!U83</f>
        <v>18218.5124</v>
      </c>
      <c r="D81" s="42">
        <f>'B) D RI'!AR83</f>
        <v>635</v>
      </c>
      <c r="E81" s="306">
        <f t="shared" si="9"/>
        <v>28.690570708661415</v>
      </c>
      <c r="F81" s="89">
        <f t="shared" si="13"/>
        <v>0.6259598325897926</v>
      </c>
      <c r="G81" s="93">
        <f t="shared" si="14"/>
        <v>0</v>
      </c>
      <c r="H81" s="93">
        <f t="shared" si="15"/>
        <v>0</v>
      </c>
      <c r="I81" s="93">
        <f t="shared" si="16"/>
        <v>0</v>
      </c>
      <c r="J81" s="93">
        <f t="shared" si="17"/>
        <v>0</v>
      </c>
      <c r="K81" s="309">
        <f t="shared" si="10"/>
        <v>0</v>
      </c>
      <c r="L81" s="141">
        <f>K81*D81*'B) D RI'!S83</f>
        <v>0</v>
      </c>
      <c r="M81" s="14">
        <f>(('B) D RI'!S83*C81)-L81)/'B) D RI'!S83</f>
        <v>18218.5124</v>
      </c>
      <c r="N81" s="144">
        <f t="shared" si="11"/>
        <v>28.690570708661415</v>
      </c>
      <c r="O81" s="83">
        <f t="shared" si="12"/>
        <v>0.65771435241344878</v>
      </c>
    </row>
    <row r="82" spans="1:15" x14ac:dyDescent="0.25">
      <c r="A82" s="61">
        <f>'A) Base RI'!A84</f>
        <v>5523</v>
      </c>
      <c r="B82" s="62" t="str">
        <f>'A) Base RI'!B84</f>
        <v>Froideville</v>
      </c>
      <c r="C82" s="13">
        <f>'B) D RI'!U84</f>
        <v>77819.657763157898</v>
      </c>
      <c r="D82" s="42">
        <f>'B) D RI'!AR84</f>
        <v>2422</v>
      </c>
      <c r="E82" s="306">
        <f t="shared" si="9"/>
        <v>32.130329381980964</v>
      </c>
      <c r="F82" s="89">
        <f t="shared" si="13"/>
        <v>0.70100716382501183</v>
      </c>
      <c r="G82" s="93">
        <f t="shared" si="14"/>
        <v>0</v>
      </c>
      <c r="H82" s="93">
        <f t="shared" si="15"/>
        <v>0</v>
      </c>
      <c r="I82" s="93">
        <f t="shared" si="16"/>
        <v>0</v>
      </c>
      <c r="J82" s="93">
        <f t="shared" si="17"/>
        <v>0</v>
      </c>
      <c r="K82" s="309">
        <f t="shared" si="10"/>
        <v>0</v>
      </c>
      <c r="L82" s="141">
        <f>K82*D82*'B) D RI'!S84</f>
        <v>0</v>
      </c>
      <c r="M82" s="14">
        <f>(('B) D RI'!S84*C82)-L82)/'B) D RI'!S84</f>
        <v>77819.657763157898</v>
      </c>
      <c r="N82" s="144">
        <f t="shared" si="11"/>
        <v>32.130329381980964</v>
      </c>
      <c r="O82" s="83">
        <f t="shared" si="12"/>
        <v>0.73656878410998938</v>
      </c>
    </row>
    <row r="83" spans="1:15" x14ac:dyDescent="0.25">
      <c r="A83" s="61">
        <f>'A) Base RI'!A85</f>
        <v>5527</v>
      </c>
      <c r="B83" s="62" t="str">
        <f>'A) Base RI'!B85</f>
        <v>Morrens</v>
      </c>
      <c r="C83" s="13">
        <f>'B) D RI'!U85</f>
        <v>36998.677183098589</v>
      </c>
      <c r="D83" s="42">
        <f>'B) D RI'!AR85</f>
        <v>1055</v>
      </c>
      <c r="E83" s="306">
        <f t="shared" si="9"/>
        <v>35.069836192510508</v>
      </c>
      <c r="F83" s="89">
        <f t="shared" si="13"/>
        <v>0.76514019239736242</v>
      </c>
      <c r="G83" s="93">
        <f t="shared" si="14"/>
        <v>0</v>
      </c>
      <c r="H83" s="93">
        <f t="shared" si="15"/>
        <v>0</v>
      </c>
      <c r="I83" s="93">
        <f t="shared" si="16"/>
        <v>0</v>
      </c>
      <c r="J83" s="93">
        <f t="shared" si="17"/>
        <v>0</v>
      </c>
      <c r="K83" s="309">
        <f t="shared" si="10"/>
        <v>0</v>
      </c>
      <c r="L83" s="141">
        <f>K83*D83*'B) D RI'!S85</f>
        <v>0</v>
      </c>
      <c r="M83" s="14">
        <f>(('B) D RI'!S85*C83)-L83)/'B) D RI'!S85</f>
        <v>36998.677183098589</v>
      </c>
      <c r="N83" s="144">
        <f t="shared" si="11"/>
        <v>35.069836192510508</v>
      </c>
      <c r="O83" s="83">
        <f t="shared" si="12"/>
        <v>0.80395523793604373</v>
      </c>
    </row>
    <row r="84" spans="1:15" x14ac:dyDescent="0.25">
      <c r="A84" s="61">
        <f>'A) Base RI'!A86</f>
        <v>5529</v>
      </c>
      <c r="B84" s="62" t="str">
        <f>'A) Base RI'!B86</f>
        <v>Oulens-sous-Echallens</v>
      </c>
      <c r="C84" s="13">
        <f>'B) D RI'!U86</f>
        <v>16830.940140845072</v>
      </c>
      <c r="D84" s="42">
        <f>'B) D RI'!AR86</f>
        <v>532</v>
      </c>
      <c r="E84" s="306">
        <f t="shared" si="9"/>
        <v>31.637105527904271</v>
      </c>
      <c r="F84" s="89">
        <f t="shared" si="13"/>
        <v>0.69024619555211741</v>
      </c>
      <c r="G84" s="93">
        <f t="shared" si="14"/>
        <v>0</v>
      </c>
      <c r="H84" s="93">
        <f t="shared" si="15"/>
        <v>0</v>
      </c>
      <c r="I84" s="93">
        <f t="shared" si="16"/>
        <v>0</v>
      </c>
      <c r="J84" s="93">
        <f t="shared" si="17"/>
        <v>0</v>
      </c>
      <c r="K84" s="309">
        <f t="shared" si="10"/>
        <v>0</v>
      </c>
      <c r="L84" s="141">
        <f>K84*D84*'B) D RI'!S86</f>
        <v>0</v>
      </c>
      <c r="M84" s="14">
        <f>(('B) D RI'!S86*C84)-L84)/'B) D RI'!S86</f>
        <v>16830.940140845072</v>
      </c>
      <c r="N84" s="144">
        <f t="shared" si="11"/>
        <v>31.637105527904271</v>
      </c>
      <c r="O84" s="83">
        <f t="shared" si="12"/>
        <v>0.72526191917958971</v>
      </c>
    </row>
    <row r="85" spans="1:15" x14ac:dyDescent="0.25">
      <c r="A85" s="61">
        <f>'A) Base RI'!A87</f>
        <v>5530</v>
      </c>
      <c r="B85" s="62" t="str">
        <f>'A) Base RI'!B87</f>
        <v>Pailly</v>
      </c>
      <c r="C85" s="13">
        <f>'B) D RI'!U87</f>
        <v>15988.116172043008</v>
      </c>
      <c r="D85" s="42">
        <f>'B) D RI'!AR87</f>
        <v>533</v>
      </c>
      <c r="E85" s="306">
        <f t="shared" si="9"/>
        <v>29.996465613589134</v>
      </c>
      <c r="F85" s="89">
        <f t="shared" si="13"/>
        <v>0.65445134516265469</v>
      </c>
      <c r="G85" s="93">
        <f t="shared" si="14"/>
        <v>0</v>
      </c>
      <c r="H85" s="93">
        <f t="shared" si="15"/>
        <v>0</v>
      </c>
      <c r="I85" s="93">
        <f t="shared" si="16"/>
        <v>0</v>
      </c>
      <c r="J85" s="93">
        <f t="shared" si="17"/>
        <v>0</v>
      </c>
      <c r="K85" s="309">
        <f t="shared" si="10"/>
        <v>0</v>
      </c>
      <c r="L85" s="141">
        <f>K85*D85*'B) D RI'!S87</f>
        <v>0</v>
      </c>
      <c r="M85" s="14">
        <f>(('B) D RI'!S87*C85)-L85)/'B) D RI'!S87</f>
        <v>15988.116172043008</v>
      </c>
      <c r="N85" s="144">
        <f t="shared" si="11"/>
        <v>29.996465613589134</v>
      </c>
      <c r="O85" s="83">
        <f t="shared" si="12"/>
        <v>0.68765122018914837</v>
      </c>
    </row>
    <row r="86" spans="1:15" x14ac:dyDescent="0.25">
      <c r="A86" s="61">
        <f>'A) Base RI'!A88</f>
        <v>5531</v>
      </c>
      <c r="B86" s="62" t="str">
        <f>'A) Base RI'!B88</f>
        <v>Penthéréaz</v>
      </c>
      <c r="C86" s="13">
        <f>'B) D RI'!U88</f>
        <v>11628.696923076923</v>
      </c>
      <c r="D86" s="42">
        <f>'B) D RI'!AR88</f>
        <v>389</v>
      </c>
      <c r="E86" s="306">
        <f t="shared" si="9"/>
        <v>29.89382242436227</v>
      </c>
      <c r="F86" s="89">
        <f t="shared" si="13"/>
        <v>0.65221191555362523</v>
      </c>
      <c r="G86" s="93">
        <f t="shared" si="14"/>
        <v>0</v>
      </c>
      <c r="H86" s="93">
        <f t="shared" si="15"/>
        <v>0</v>
      </c>
      <c r="I86" s="93">
        <f t="shared" si="16"/>
        <v>0</v>
      </c>
      <c r="J86" s="93">
        <f t="shared" si="17"/>
        <v>0</v>
      </c>
      <c r="K86" s="309">
        <f t="shared" si="10"/>
        <v>0</v>
      </c>
      <c r="L86" s="141">
        <f>K86*D86*'B) D RI'!S88</f>
        <v>0</v>
      </c>
      <c r="M86" s="14">
        <f>(('B) D RI'!S88*C86)-L86)/'B) D RI'!S88</f>
        <v>11628.696923076923</v>
      </c>
      <c r="N86" s="144">
        <f t="shared" si="11"/>
        <v>29.89382242436227</v>
      </c>
      <c r="O86" s="83">
        <f t="shared" si="12"/>
        <v>0.68529818582752733</v>
      </c>
    </row>
    <row r="87" spans="1:15" x14ac:dyDescent="0.25">
      <c r="A87" s="61">
        <f>'A) Base RI'!A89</f>
        <v>5533</v>
      </c>
      <c r="B87" s="62" t="str">
        <f>'A) Base RI'!B89</f>
        <v>Poliez-Pittet</v>
      </c>
      <c r="C87" s="13">
        <f>'B) D RI'!U89</f>
        <v>21286.915727699528</v>
      </c>
      <c r="D87" s="42">
        <f>'B) D RI'!AR89</f>
        <v>815</v>
      </c>
      <c r="E87" s="306">
        <f t="shared" si="9"/>
        <v>26.118915003312306</v>
      </c>
      <c r="F87" s="89">
        <f t="shared" si="13"/>
        <v>0.56985243789398254</v>
      </c>
      <c r="G87" s="93">
        <f t="shared" si="14"/>
        <v>0</v>
      </c>
      <c r="H87" s="93">
        <f t="shared" si="15"/>
        <v>0</v>
      </c>
      <c r="I87" s="93">
        <f t="shared" si="16"/>
        <v>0</v>
      </c>
      <c r="J87" s="93">
        <f t="shared" si="17"/>
        <v>0</v>
      </c>
      <c r="K87" s="309">
        <f t="shared" si="10"/>
        <v>0</v>
      </c>
      <c r="L87" s="141">
        <f>K87*D87*'B) D RI'!S89</f>
        <v>0</v>
      </c>
      <c r="M87" s="14">
        <f>(('B) D RI'!S89*C87)-L87)/'B) D RI'!S89</f>
        <v>21286.915727699528</v>
      </c>
      <c r="N87" s="144">
        <f t="shared" si="11"/>
        <v>26.118915003312306</v>
      </c>
      <c r="O87" s="83">
        <f t="shared" si="12"/>
        <v>0.59876066745369239</v>
      </c>
    </row>
    <row r="88" spans="1:15" x14ac:dyDescent="0.25">
      <c r="A88" s="61">
        <f>'A) Base RI'!A90</f>
        <v>5534</v>
      </c>
      <c r="B88" s="62" t="str">
        <f>'A) Base RI'!B90</f>
        <v>Rueyres</v>
      </c>
      <c r="C88" s="13">
        <f>'B) D RI'!U90</f>
        <v>8123.1504109589041</v>
      </c>
      <c r="D88" s="42">
        <f>'B) D RI'!AR90</f>
        <v>265</v>
      </c>
      <c r="E88" s="306">
        <f t="shared" si="9"/>
        <v>30.653397777203413</v>
      </c>
      <c r="F88" s="89">
        <f t="shared" si="13"/>
        <v>0.66878403834378763</v>
      </c>
      <c r="G88" s="93">
        <f t="shared" si="14"/>
        <v>0</v>
      </c>
      <c r="H88" s="93">
        <f t="shared" si="15"/>
        <v>0</v>
      </c>
      <c r="I88" s="93">
        <f t="shared" si="16"/>
        <v>0</v>
      </c>
      <c r="J88" s="93">
        <f t="shared" si="17"/>
        <v>0</v>
      </c>
      <c r="K88" s="309">
        <f t="shared" si="10"/>
        <v>0</v>
      </c>
      <c r="L88" s="141">
        <f>K88*D88*'B) D RI'!S90</f>
        <v>0</v>
      </c>
      <c r="M88" s="14">
        <f>(('B) D RI'!S90*C88)-L88)/'B) D RI'!S90</f>
        <v>8123.1504109589041</v>
      </c>
      <c r="N88" s="144">
        <f t="shared" si="11"/>
        <v>30.653397777203413</v>
      </c>
      <c r="O88" s="83">
        <f t="shared" si="12"/>
        <v>0.70271100122169128</v>
      </c>
    </row>
    <row r="89" spans="1:15" x14ac:dyDescent="0.25">
      <c r="A89" s="61">
        <f>'A) Base RI'!A91</f>
        <v>5535</v>
      </c>
      <c r="B89" s="62" t="str">
        <f>'A) Base RI'!B91</f>
        <v>Saint-Barthélemy</v>
      </c>
      <c r="C89" s="13">
        <f>'B) D RI'!U91</f>
        <v>21652.779733333333</v>
      </c>
      <c r="D89" s="42">
        <f>'B) D RI'!AR91</f>
        <v>782</v>
      </c>
      <c r="E89" s="306">
        <f t="shared" si="9"/>
        <v>27.688976641091219</v>
      </c>
      <c r="F89" s="89">
        <f t="shared" si="13"/>
        <v>0.60410743860203908</v>
      </c>
      <c r="G89" s="93">
        <f t="shared" si="14"/>
        <v>0</v>
      </c>
      <c r="H89" s="93">
        <f t="shared" si="15"/>
        <v>0</v>
      </c>
      <c r="I89" s="93">
        <f t="shared" si="16"/>
        <v>0</v>
      </c>
      <c r="J89" s="93">
        <f t="shared" si="17"/>
        <v>0</v>
      </c>
      <c r="K89" s="309">
        <f t="shared" si="10"/>
        <v>0</v>
      </c>
      <c r="L89" s="141">
        <f>K89*D89*'B) D RI'!S91</f>
        <v>0</v>
      </c>
      <c r="M89" s="14">
        <f>(('B) D RI'!S91*C89)-L89)/'B) D RI'!S91</f>
        <v>21652.779733333333</v>
      </c>
      <c r="N89" s="144">
        <f t="shared" si="11"/>
        <v>27.688976641091219</v>
      </c>
      <c r="O89" s="83">
        <f t="shared" si="12"/>
        <v>0.63475340122769175</v>
      </c>
    </row>
    <row r="90" spans="1:15" x14ac:dyDescent="0.25">
      <c r="A90" s="61">
        <f>'A) Base RI'!A92</f>
        <v>5537</v>
      </c>
      <c r="B90" s="62" t="str">
        <f>'A) Base RI'!B92</f>
        <v>Villars-le-Terroir</v>
      </c>
      <c r="C90" s="13">
        <f>'B) D RI'!U92</f>
        <v>28181.728767123288</v>
      </c>
      <c r="D90" s="42">
        <f>'B) D RI'!AR92</f>
        <v>1033</v>
      </c>
      <c r="E90" s="306">
        <f t="shared" si="9"/>
        <v>27.281441207282949</v>
      </c>
      <c r="F90" s="89">
        <f t="shared" si="13"/>
        <v>0.59521598731264314</v>
      </c>
      <c r="G90" s="93">
        <f t="shared" si="14"/>
        <v>0</v>
      </c>
      <c r="H90" s="93">
        <f t="shared" si="15"/>
        <v>0</v>
      </c>
      <c r="I90" s="93">
        <f t="shared" si="16"/>
        <v>0</v>
      </c>
      <c r="J90" s="93">
        <f t="shared" si="17"/>
        <v>0</v>
      </c>
      <c r="K90" s="309">
        <f t="shared" si="10"/>
        <v>0</v>
      </c>
      <c r="L90" s="141">
        <f>K90*D90*'B) D RI'!S92</f>
        <v>0</v>
      </c>
      <c r="M90" s="14">
        <f>(('B) D RI'!S92*C90)-L90)/'B) D RI'!S92</f>
        <v>28181.728767123288</v>
      </c>
      <c r="N90" s="144">
        <f t="shared" si="11"/>
        <v>27.281441207282949</v>
      </c>
      <c r="O90" s="83">
        <f t="shared" si="12"/>
        <v>0.62541089261555671</v>
      </c>
    </row>
    <row r="91" spans="1:15" x14ac:dyDescent="0.25">
      <c r="A91" s="61">
        <f>'A) Base RI'!A93</f>
        <v>5539</v>
      </c>
      <c r="B91" s="62" t="str">
        <f>'A) Base RI'!B93</f>
        <v>Vuarrens</v>
      </c>
      <c r="C91" s="13">
        <f>'B) D RI'!U93</f>
        <v>22756.172933333331</v>
      </c>
      <c r="D91" s="42">
        <f>'B) D RI'!AR93</f>
        <v>935</v>
      </c>
      <c r="E91" s="306">
        <f t="shared" si="9"/>
        <v>24.33815286987522</v>
      </c>
      <c r="F91" s="89">
        <f t="shared" si="13"/>
        <v>0.53100045484186398</v>
      </c>
      <c r="G91" s="93">
        <f t="shared" si="14"/>
        <v>0</v>
      </c>
      <c r="H91" s="93">
        <f t="shared" si="15"/>
        <v>0</v>
      </c>
      <c r="I91" s="93">
        <f t="shared" si="16"/>
        <v>0</v>
      </c>
      <c r="J91" s="93">
        <f t="shared" si="17"/>
        <v>0</v>
      </c>
      <c r="K91" s="309">
        <f t="shared" si="10"/>
        <v>0</v>
      </c>
      <c r="L91" s="141">
        <f>K91*D91*'B) D RI'!S93</f>
        <v>0</v>
      </c>
      <c r="M91" s="14">
        <f>(('B) D RI'!S93*C91)-L91)/'B) D RI'!S93</f>
        <v>22756.172933333331</v>
      </c>
      <c r="N91" s="144">
        <f t="shared" si="11"/>
        <v>24.33815286987522</v>
      </c>
      <c r="O91" s="83">
        <f t="shared" si="12"/>
        <v>0.55793774952399144</v>
      </c>
    </row>
    <row r="92" spans="1:15" x14ac:dyDescent="0.25">
      <c r="A92" s="61">
        <f>'A) Base RI'!A94</f>
        <v>5540</v>
      </c>
      <c r="B92" s="62" t="str">
        <f>'A) Base RI'!B94</f>
        <v>Montilliez</v>
      </c>
      <c r="C92" s="13">
        <f>'B) D RI'!U94</f>
        <v>47199.265101351346</v>
      </c>
      <c r="D92" s="42">
        <f>'B) D RI'!AR94</f>
        <v>1656</v>
      </c>
      <c r="E92" s="306">
        <f>C92/D92</f>
        <v>28.50197167955999</v>
      </c>
      <c r="F92" s="89">
        <f t="shared" si="13"/>
        <v>0.62184505153919167</v>
      </c>
      <c r="G92" s="93">
        <f t="shared" si="14"/>
        <v>0</v>
      </c>
      <c r="H92" s="93">
        <f t="shared" si="15"/>
        <v>0</v>
      </c>
      <c r="I92" s="93">
        <f t="shared" si="16"/>
        <v>0</v>
      </c>
      <c r="J92" s="93">
        <f t="shared" si="17"/>
        <v>0</v>
      </c>
      <c r="K92" s="309">
        <f t="shared" si="10"/>
        <v>0</v>
      </c>
      <c r="L92" s="141">
        <f>K92*D92*'B) D RI'!S94</f>
        <v>0</v>
      </c>
      <c r="M92" s="14">
        <f>(('B) D RI'!S94*C92)-L92)/'B) D RI'!S94</f>
        <v>47199.265101351346</v>
      </c>
      <c r="N92" s="144">
        <f t="shared" si="11"/>
        <v>28.50197167955999</v>
      </c>
      <c r="O92" s="83">
        <f t="shared" si="12"/>
        <v>0.65339083129736997</v>
      </c>
    </row>
    <row r="93" spans="1:15" x14ac:dyDescent="0.25">
      <c r="A93" s="61">
        <f>'A) Base RI'!A95</f>
        <v>5541</v>
      </c>
      <c r="B93" s="62" t="str">
        <f>'A) Base RI'!B95</f>
        <v>Goumoëns</v>
      </c>
      <c r="C93" s="13">
        <f>'B) D RI'!U95</f>
        <v>35607.690389610398</v>
      </c>
      <c r="D93" s="42">
        <f>'B) D RI'!AR95</f>
        <v>1055</v>
      </c>
      <c r="E93" s="306">
        <f>C93/D93</f>
        <v>33.75136529820891</v>
      </c>
      <c r="F93" s="89">
        <f t="shared" si="13"/>
        <v>0.73637430172714335</v>
      </c>
      <c r="G93" s="93">
        <f t="shared" si="14"/>
        <v>0</v>
      </c>
      <c r="H93" s="93">
        <f t="shared" si="15"/>
        <v>0</v>
      </c>
      <c r="I93" s="93">
        <f t="shared" si="16"/>
        <v>0</v>
      </c>
      <c r="J93" s="93">
        <f t="shared" si="17"/>
        <v>0</v>
      </c>
      <c r="K93" s="309">
        <f t="shared" si="10"/>
        <v>0</v>
      </c>
      <c r="L93" s="141">
        <f>K93*D93*'B) D RI'!S95</f>
        <v>0</v>
      </c>
      <c r="M93" s="14">
        <f>(('B) D RI'!S95*C93)-L93)/'B) D RI'!S95</f>
        <v>35607.690389610398</v>
      </c>
      <c r="N93" s="144">
        <f t="shared" si="11"/>
        <v>33.75136529820891</v>
      </c>
      <c r="O93" s="83">
        <f t="shared" si="12"/>
        <v>0.77373007304729646</v>
      </c>
    </row>
    <row r="94" spans="1:15" x14ac:dyDescent="0.25">
      <c r="A94" s="61">
        <f>'A) Base RI'!A96</f>
        <v>5551</v>
      </c>
      <c r="B94" s="62" t="str">
        <f>'A) Base RI'!B96</f>
        <v>Bonvillars</v>
      </c>
      <c r="C94" s="13">
        <f>'B) D RI'!U96</f>
        <v>15988.430935064936</v>
      </c>
      <c r="D94" s="42">
        <f>'B) D RI'!AR96</f>
        <v>506</v>
      </c>
      <c r="E94" s="306">
        <f t="shared" si="9"/>
        <v>31.597689594989994</v>
      </c>
      <c r="F94" s="89">
        <f t="shared" si="13"/>
        <v>0.68938623389367104</v>
      </c>
      <c r="G94" s="93">
        <f t="shared" si="14"/>
        <v>0</v>
      </c>
      <c r="H94" s="93">
        <f t="shared" si="15"/>
        <v>0</v>
      </c>
      <c r="I94" s="93">
        <f t="shared" si="16"/>
        <v>0</v>
      </c>
      <c r="J94" s="93">
        <f t="shared" si="17"/>
        <v>0</v>
      </c>
      <c r="K94" s="309">
        <f t="shared" si="10"/>
        <v>0</v>
      </c>
      <c r="L94" s="141">
        <f>K94*D94*'B) D RI'!S96</f>
        <v>0</v>
      </c>
      <c r="M94" s="14">
        <f>(('B) D RI'!S96*C94)-L94)/'B) D RI'!S96</f>
        <v>15988.430935064936</v>
      </c>
      <c r="N94" s="144">
        <f t="shared" si="11"/>
        <v>31.597689594989994</v>
      </c>
      <c r="O94" s="83">
        <f t="shared" si="12"/>
        <v>0.7243583322466306</v>
      </c>
    </row>
    <row r="95" spans="1:15" x14ac:dyDescent="0.25">
      <c r="A95" s="61">
        <f>'A) Base RI'!A97</f>
        <v>5552</v>
      </c>
      <c r="B95" s="62" t="str">
        <f>'A) Base RI'!B97</f>
        <v>Bullet</v>
      </c>
      <c r="C95" s="13">
        <f>'B) D RI'!U97</f>
        <v>15525.607571428574</v>
      </c>
      <c r="D95" s="42">
        <f>'B) D RI'!AR97</f>
        <v>606</v>
      </c>
      <c r="E95" s="306">
        <f t="shared" si="9"/>
        <v>25.619814474304579</v>
      </c>
      <c r="F95" s="89">
        <f t="shared" si="13"/>
        <v>0.55896325458858254</v>
      </c>
      <c r="G95" s="93">
        <f t="shared" si="14"/>
        <v>0</v>
      </c>
      <c r="H95" s="93">
        <f t="shared" si="15"/>
        <v>0</v>
      </c>
      <c r="I95" s="93">
        <f t="shared" si="16"/>
        <v>0</v>
      </c>
      <c r="J95" s="93">
        <f t="shared" si="17"/>
        <v>0</v>
      </c>
      <c r="K95" s="309">
        <f t="shared" si="10"/>
        <v>0</v>
      </c>
      <c r="L95" s="141">
        <f>K95*D95*'B) D RI'!S97</f>
        <v>0</v>
      </c>
      <c r="M95" s="14">
        <f>(('B) D RI'!S97*C95)-L95)/'B) D RI'!S97</f>
        <v>15525.607571428574</v>
      </c>
      <c r="N95" s="144">
        <f t="shared" si="11"/>
        <v>25.619814474304579</v>
      </c>
      <c r="O95" s="83">
        <f t="shared" si="12"/>
        <v>0.58731908322872517</v>
      </c>
    </row>
    <row r="96" spans="1:15" x14ac:dyDescent="0.25">
      <c r="A96" s="61">
        <f>'A) Base RI'!A98</f>
        <v>5553</v>
      </c>
      <c r="B96" s="62" t="str">
        <f>'A) Base RI'!B98</f>
        <v>Champagne</v>
      </c>
      <c r="C96" s="13">
        <f>'B) D RI'!U98</f>
        <v>55334.370317460314</v>
      </c>
      <c r="D96" s="42">
        <f>'B) D RI'!AR98</f>
        <v>1048</v>
      </c>
      <c r="E96" s="306">
        <f t="shared" si="9"/>
        <v>52.799971676965946</v>
      </c>
      <c r="F96" s="89">
        <f t="shared" si="13"/>
        <v>1.1519694664589473</v>
      </c>
      <c r="G96" s="93">
        <f t="shared" si="14"/>
        <v>0</v>
      </c>
      <c r="H96" s="93">
        <f t="shared" si="15"/>
        <v>0</v>
      </c>
      <c r="I96" s="93">
        <f t="shared" si="16"/>
        <v>0</v>
      </c>
      <c r="J96" s="93">
        <f t="shared" si="17"/>
        <v>0</v>
      </c>
      <c r="K96" s="309">
        <f t="shared" si="10"/>
        <v>0</v>
      </c>
      <c r="L96" s="141">
        <f>K96*D96*'B) D RI'!S98</f>
        <v>0</v>
      </c>
      <c r="M96" s="14">
        <f>(('B) D RI'!S98*C96)-L96)/'B) D RI'!S98</f>
        <v>55334.370317460314</v>
      </c>
      <c r="N96" s="144">
        <f t="shared" si="11"/>
        <v>52.799971676965946</v>
      </c>
      <c r="O96" s="83">
        <f t="shared" si="12"/>
        <v>1.2104080999852767</v>
      </c>
    </row>
    <row r="97" spans="1:15" x14ac:dyDescent="0.25">
      <c r="A97" s="61">
        <f>'A) Base RI'!A99</f>
        <v>5554</v>
      </c>
      <c r="B97" s="62" t="str">
        <f>'A) Base RI'!B99</f>
        <v>Concise</v>
      </c>
      <c r="C97" s="13">
        <f>'B) D RI'!U99</f>
        <v>29691.100933333331</v>
      </c>
      <c r="D97" s="42">
        <f>'B) D RI'!AR99</f>
        <v>954</v>
      </c>
      <c r="E97" s="306">
        <f t="shared" si="9"/>
        <v>31.122747309573722</v>
      </c>
      <c r="F97" s="89">
        <f t="shared" si="13"/>
        <v>0.67902412585169925</v>
      </c>
      <c r="G97" s="93">
        <f t="shared" si="14"/>
        <v>0</v>
      </c>
      <c r="H97" s="93">
        <f t="shared" si="15"/>
        <v>0</v>
      </c>
      <c r="I97" s="93">
        <f t="shared" si="16"/>
        <v>0</v>
      </c>
      <c r="J97" s="93">
        <f t="shared" si="17"/>
        <v>0</v>
      </c>
      <c r="K97" s="309">
        <f t="shared" si="10"/>
        <v>0</v>
      </c>
      <c r="L97" s="141">
        <f>K97*D97*'B) D RI'!S99</f>
        <v>0</v>
      </c>
      <c r="M97" s="14">
        <f>(('B) D RI'!S99*C97)-L97)/'B) D RI'!S99</f>
        <v>29691.100933333331</v>
      </c>
      <c r="N97" s="144">
        <f t="shared" si="11"/>
        <v>31.122747309573722</v>
      </c>
      <c r="O97" s="83">
        <f t="shared" si="12"/>
        <v>0.71347056145746246</v>
      </c>
    </row>
    <row r="98" spans="1:15" x14ac:dyDescent="0.25">
      <c r="A98" s="61">
        <f>'A) Base RI'!A100</f>
        <v>5555</v>
      </c>
      <c r="B98" s="62" t="str">
        <f>'A) Base RI'!B100</f>
        <v>Corcelles-près-Concise</v>
      </c>
      <c r="C98" s="13">
        <f>'B) D RI'!U100</f>
        <v>9762.6867605633779</v>
      </c>
      <c r="D98" s="42">
        <f>'B) D RI'!AR100</f>
        <v>337</v>
      </c>
      <c r="E98" s="306">
        <f t="shared" si="9"/>
        <v>28.969396915618333</v>
      </c>
      <c r="F98" s="89">
        <f t="shared" si="13"/>
        <v>0.63204315549057088</v>
      </c>
      <c r="G98" s="93">
        <f t="shared" si="14"/>
        <v>0</v>
      </c>
      <c r="H98" s="93">
        <f t="shared" si="15"/>
        <v>0</v>
      </c>
      <c r="I98" s="93">
        <f t="shared" si="16"/>
        <v>0</v>
      </c>
      <c r="J98" s="93">
        <f t="shared" si="17"/>
        <v>0</v>
      </c>
      <c r="K98" s="309">
        <f t="shared" si="10"/>
        <v>0</v>
      </c>
      <c r="L98" s="141">
        <f>K98*D98*'B) D RI'!S100</f>
        <v>0</v>
      </c>
      <c r="M98" s="14">
        <f>(('B) D RI'!S100*C98)-L98)/'B) D RI'!S100</f>
        <v>9762.6867605633779</v>
      </c>
      <c r="N98" s="144">
        <f t="shared" si="11"/>
        <v>28.969396915618333</v>
      </c>
      <c r="O98" s="83">
        <f t="shared" si="12"/>
        <v>0.66410627817912216</v>
      </c>
    </row>
    <row r="99" spans="1:15" x14ac:dyDescent="0.25">
      <c r="A99" s="61">
        <f>'A) Base RI'!A101</f>
        <v>5556</v>
      </c>
      <c r="B99" s="62" t="str">
        <f>'A) Base RI'!B101</f>
        <v>Fiez</v>
      </c>
      <c r="C99" s="13">
        <f>'B) D RI'!U101</f>
        <v>10799.932053140095</v>
      </c>
      <c r="D99" s="42">
        <f>'B) D RI'!AR101</f>
        <v>421</v>
      </c>
      <c r="E99" s="306">
        <f t="shared" si="9"/>
        <v>25.653045256864836</v>
      </c>
      <c r="F99" s="89">
        <f t="shared" si="13"/>
        <v>0.55968827101643515</v>
      </c>
      <c r="G99" s="93">
        <f t="shared" si="14"/>
        <v>0</v>
      </c>
      <c r="H99" s="93">
        <f t="shared" si="15"/>
        <v>0</v>
      </c>
      <c r="I99" s="93">
        <f t="shared" si="16"/>
        <v>0</v>
      </c>
      <c r="J99" s="93">
        <f t="shared" si="17"/>
        <v>0</v>
      </c>
      <c r="K99" s="309">
        <f t="shared" si="10"/>
        <v>0</v>
      </c>
      <c r="L99" s="141">
        <f>K99*D99*'B) D RI'!S101</f>
        <v>0</v>
      </c>
      <c r="M99" s="14">
        <f>(('B) D RI'!S101*C99)-L99)/'B) D RI'!S101</f>
        <v>10799.932053140095</v>
      </c>
      <c r="N99" s="144">
        <f t="shared" si="11"/>
        <v>25.653045256864836</v>
      </c>
      <c r="O99" s="83">
        <f t="shared" si="12"/>
        <v>0.58808087925062213</v>
      </c>
    </row>
    <row r="100" spans="1:15" x14ac:dyDescent="0.25">
      <c r="A100" s="61">
        <f>'A) Base RI'!A102</f>
        <v>5557</v>
      </c>
      <c r="B100" s="62" t="str">
        <f>'A) Base RI'!B102</f>
        <v>Fontaines-sur-Grandson</v>
      </c>
      <c r="C100" s="13">
        <f>'B) D RI'!U102</f>
        <v>4200.6523188405799</v>
      </c>
      <c r="D100" s="42">
        <f>'B) D RI'!AR102</f>
        <v>191</v>
      </c>
      <c r="E100" s="306">
        <f t="shared" si="9"/>
        <v>21.99294407769937</v>
      </c>
      <c r="F100" s="89">
        <f t="shared" si="13"/>
        <v>0.47983359176878726</v>
      </c>
      <c r="G100" s="93">
        <f t="shared" si="14"/>
        <v>0</v>
      </c>
      <c r="H100" s="93">
        <f t="shared" si="15"/>
        <v>0</v>
      </c>
      <c r="I100" s="93">
        <f t="shared" si="16"/>
        <v>0</v>
      </c>
      <c r="J100" s="93">
        <f t="shared" si="17"/>
        <v>0</v>
      </c>
      <c r="K100" s="309">
        <f t="shared" si="10"/>
        <v>0</v>
      </c>
      <c r="L100" s="141">
        <f>K100*D100*'B) D RI'!S102</f>
        <v>0</v>
      </c>
      <c r="M100" s="14">
        <f>(('B) D RI'!S102*C100)-L100)/'B) D RI'!S102</f>
        <v>4200.6523188405799</v>
      </c>
      <c r="N100" s="144">
        <f t="shared" si="11"/>
        <v>21.99294407769937</v>
      </c>
      <c r="O100" s="83">
        <f t="shared" si="12"/>
        <v>0.50417522602164078</v>
      </c>
    </row>
    <row r="101" spans="1:15" x14ac:dyDescent="0.25">
      <c r="A101" s="61">
        <f>'A) Base RI'!A103</f>
        <v>5559</v>
      </c>
      <c r="B101" s="62" t="str">
        <f>'A) Base RI'!B103</f>
        <v>Giez</v>
      </c>
      <c r="C101" s="13">
        <f>'B) D RI'!U103</f>
        <v>17998.483636363639</v>
      </c>
      <c r="D101" s="42">
        <f>'B) D RI'!AR103</f>
        <v>389</v>
      </c>
      <c r="E101" s="306">
        <f t="shared" si="9"/>
        <v>46.268595466230437</v>
      </c>
      <c r="F101" s="89">
        <f t="shared" si="13"/>
        <v>1.0094704133390764</v>
      </c>
      <c r="G101" s="93">
        <f t="shared" si="14"/>
        <v>0</v>
      </c>
      <c r="H101" s="93">
        <f t="shared" si="15"/>
        <v>0</v>
      </c>
      <c r="I101" s="93">
        <f t="shared" si="16"/>
        <v>0</v>
      </c>
      <c r="J101" s="93">
        <f t="shared" si="17"/>
        <v>0</v>
      </c>
      <c r="K101" s="309">
        <f t="shared" si="10"/>
        <v>0</v>
      </c>
      <c r="L101" s="141">
        <f>K101*D101*'B) D RI'!S103</f>
        <v>0</v>
      </c>
      <c r="M101" s="14">
        <f>(('B) D RI'!S103*C101)-L101)/'B) D RI'!S103</f>
        <v>17998.483636363639</v>
      </c>
      <c r="N101" s="144">
        <f t="shared" si="11"/>
        <v>46.268595466230437</v>
      </c>
      <c r="O101" s="83">
        <f t="shared" si="12"/>
        <v>1.0606801660785574</v>
      </c>
    </row>
    <row r="102" spans="1:15" x14ac:dyDescent="0.25">
      <c r="A102" s="61">
        <f>'A) Base RI'!A104</f>
        <v>5560</v>
      </c>
      <c r="B102" s="62" t="str">
        <f>'A) Base RI'!B104</f>
        <v>Grandevent</v>
      </c>
      <c r="C102" s="13">
        <f>'B) D RI'!U104</f>
        <v>6396.1444117647052</v>
      </c>
      <c r="D102" s="42">
        <f>'B) D RI'!AR104</f>
        <v>232</v>
      </c>
      <c r="E102" s="306">
        <f t="shared" si="9"/>
        <v>27.569587981744419</v>
      </c>
      <c r="F102" s="89">
        <f t="shared" si="13"/>
        <v>0.60150266276900621</v>
      </c>
      <c r="G102" s="93">
        <f t="shared" si="14"/>
        <v>0</v>
      </c>
      <c r="H102" s="93">
        <f t="shared" si="15"/>
        <v>0</v>
      </c>
      <c r="I102" s="93">
        <f t="shared" si="16"/>
        <v>0</v>
      </c>
      <c r="J102" s="93">
        <f t="shared" si="17"/>
        <v>0</v>
      </c>
      <c r="K102" s="309">
        <f t="shared" si="10"/>
        <v>0</v>
      </c>
      <c r="L102" s="141">
        <f>K102*D102*'B) D RI'!S104</f>
        <v>0</v>
      </c>
      <c r="M102" s="14">
        <f>(('B) D RI'!S104*C102)-L102)/'B) D RI'!S104</f>
        <v>6396.1444117647052</v>
      </c>
      <c r="N102" s="144">
        <f t="shared" si="11"/>
        <v>27.569587981744419</v>
      </c>
      <c r="O102" s="83">
        <f t="shared" si="12"/>
        <v>0.63201648687470946</v>
      </c>
    </row>
    <row r="103" spans="1:15" x14ac:dyDescent="0.25">
      <c r="A103" s="61">
        <f>'A) Base RI'!A105</f>
        <v>5561</v>
      </c>
      <c r="B103" s="62" t="str">
        <f>'A) Base RI'!B105</f>
        <v>Grandson</v>
      </c>
      <c r="C103" s="13">
        <f>'B) D RI'!U105</f>
        <v>106507.86840579711</v>
      </c>
      <c r="D103" s="42">
        <f>'B) D RI'!AR105</f>
        <v>3303</v>
      </c>
      <c r="E103" s="306">
        <f t="shared" si="9"/>
        <v>32.245797276959465</v>
      </c>
      <c r="F103" s="89">
        <f t="shared" si="13"/>
        <v>0.70352639792963068</v>
      </c>
      <c r="G103" s="93">
        <f t="shared" si="14"/>
        <v>0</v>
      </c>
      <c r="H103" s="93">
        <f t="shared" si="15"/>
        <v>0</v>
      </c>
      <c r="I103" s="93">
        <f t="shared" si="16"/>
        <v>0</v>
      </c>
      <c r="J103" s="93">
        <f t="shared" si="17"/>
        <v>0</v>
      </c>
      <c r="K103" s="309">
        <f t="shared" si="10"/>
        <v>0</v>
      </c>
      <c r="L103" s="141">
        <f>K103*D103*'B) D RI'!S105</f>
        <v>0</v>
      </c>
      <c r="M103" s="14">
        <f>(('B) D RI'!S105*C103)-L103)/'B) D RI'!S105</f>
        <v>106507.86840579711</v>
      </c>
      <c r="N103" s="144">
        <f t="shared" si="11"/>
        <v>32.245797276959465</v>
      </c>
      <c r="O103" s="83">
        <f t="shared" si="12"/>
        <v>0.73921581726041052</v>
      </c>
    </row>
    <row r="104" spans="1:15" x14ac:dyDescent="0.25">
      <c r="A104" s="61">
        <f>'A) Base RI'!A106</f>
        <v>5562</v>
      </c>
      <c r="B104" s="62" t="str">
        <f>'A) Base RI'!B106</f>
        <v>Mauborget</v>
      </c>
      <c r="C104" s="13">
        <f>'B) D RI'!U106</f>
        <v>3916.9319285714282</v>
      </c>
      <c r="D104" s="42">
        <f>'B) D RI'!AR106</f>
        <v>119</v>
      </c>
      <c r="E104" s="306">
        <f t="shared" si="9"/>
        <v>32.915394357743097</v>
      </c>
      <c r="F104" s="89">
        <f t="shared" si="13"/>
        <v>0.71813540940054577</v>
      </c>
      <c r="G104" s="93">
        <f t="shared" si="14"/>
        <v>0</v>
      </c>
      <c r="H104" s="93">
        <f t="shared" si="15"/>
        <v>0</v>
      </c>
      <c r="I104" s="93">
        <f t="shared" si="16"/>
        <v>0</v>
      </c>
      <c r="J104" s="93">
        <f t="shared" si="17"/>
        <v>0</v>
      </c>
      <c r="K104" s="309">
        <f t="shared" si="10"/>
        <v>0</v>
      </c>
      <c r="L104" s="141">
        <f>K104*D104*'B) D RI'!S106</f>
        <v>0</v>
      </c>
      <c r="M104" s="14">
        <f>(('B) D RI'!S106*C104)-L104)/'B) D RI'!S106</f>
        <v>3916.9319285714282</v>
      </c>
      <c r="N104" s="144">
        <f t="shared" si="11"/>
        <v>32.915394357743097</v>
      </c>
      <c r="O104" s="83">
        <f t="shared" si="12"/>
        <v>0.75456593402307881</v>
      </c>
    </row>
    <row r="105" spans="1:15" x14ac:dyDescent="0.25">
      <c r="A105" s="61">
        <f>'A) Base RI'!A107</f>
        <v>5563</v>
      </c>
      <c r="B105" s="62" t="str">
        <f>'A) Base RI'!B107</f>
        <v>Mutrux</v>
      </c>
      <c r="C105" s="13">
        <f>'B) D RI'!U107</f>
        <v>4102.2142675159239</v>
      </c>
      <c r="D105" s="42">
        <f>'B) D RI'!AR107</f>
        <v>153</v>
      </c>
      <c r="E105" s="306">
        <f t="shared" si="9"/>
        <v>26.811857957620418</v>
      </c>
      <c r="F105" s="89">
        <f t="shared" si="13"/>
        <v>0.58497080065077611</v>
      </c>
      <c r="G105" s="93">
        <f t="shared" si="14"/>
        <v>0</v>
      </c>
      <c r="H105" s="93">
        <f t="shared" si="15"/>
        <v>0</v>
      </c>
      <c r="I105" s="93">
        <f t="shared" si="16"/>
        <v>0</v>
      </c>
      <c r="J105" s="93">
        <f t="shared" si="17"/>
        <v>0</v>
      </c>
      <c r="K105" s="309">
        <f t="shared" si="10"/>
        <v>0</v>
      </c>
      <c r="L105" s="141">
        <f>K105*D105*'B) D RI'!S107</f>
        <v>0</v>
      </c>
      <c r="M105" s="14">
        <f>(('B) D RI'!S107*C105)-L105)/'B) D RI'!S107</f>
        <v>4102.2142675159239</v>
      </c>
      <c r="N105" s="144">
        <f t="shared" si="11"/>
        <v>26.811857957620418</v>
      </c>
      <c r="O105" s="83">
        <f t="shared" si="12"/>
        <v>0.61464597454919156</v>
      </c>
    </row>
    <row r="106" spans="1:15" x14ac:dyDescent="0.25">
      <c r="A106" s="61">
        <f>'A) Base RI'!A108</f>
        <v>5564</v>
      </c>
      <c r="B106" s="62" t="str">
        <f>'A) Base RI'!B108</f>
        <v>Novalles</v>
      </c>
      <c r="C106" s="13">
        <f>'B) D RI'!U108</f>
        <v>2120.1975328947365</v>
      </c>
      <c r="D106" s="42">
        <f>'B) D RI'!AR108</f>
        <v>102</v>
      </c>
      <c r="E106" s="306">
        <f t="shared" si="9"/>
        <v>20.786250322497416</v>
      </c>
      <c r="F106" s="89">
        <f t="shared" si="13"/>
        <v>0.45350641171149647</v>
      </c>
      <c r="G106" s="93">
        <f t="shared" si="14"/>
        <v>0</v>
      </c>
      <c r="H106" s="93">
        <f t="shared" si="15"/>
        <v>0</v>
      </c>
      <c r="I106" s="93">
        <f t="shared" si="16"/>
        <v>0</v>
      </c>
      <c r="J106" s="93">
        <f t="shared" si="17"/>
        <v>0</v>
      </c>
      <c r="K106" s="309">
        <f t="shared" si="10"/>
        <v>0</v>
      </c>
      <c r="L106" s="141">
        <f>K106*D106*'B) D RI'!S108</f>
        <v>0</v>
      </c>
      <c r="M106" s="14">
        <f>(('B) D RI'!S108*C106)-L106)/'B) D RI'!S108</f>
        <v>2120.1975328947365</v>
      </c>
      <c r="N106" s="144">
        <f t="shared" si="11"/>
        <v>20.786250322497416</v>
      </c>
      <c r="O106" s="83">
        <f t="shared" si="12"/>
        <v>0.47651248588923872</v>
      </c>
    </row>
    <row r="107" spans="1:15" x14ac:dyDescent="0.25">
      <c r="A107" s="61">
        <f>'A) Base RI'!A109</f>
        <v>5565</v>
      </c>
      <c r="B107" s="62" t="str">
        <f>'A) Base RI'!B109</f>
        <v>Onnens</v>
      </c>
      <c r="C107" s="13">
        <f>'B) D RI'!U109</f>
        <v>22453.434769230771</v>
      </c>
      <c r="D107" s="42">
        <f>'B) D RI'!AR109</f>
        <v>493</v>
      </c>
      <c r="E107" s="306">
        <f t="shared" si="9"/>
        <v>45.544492432516776</v>
      </c>
      <c r="F107" s="89">
        <f t="shared" si="13"/>
        <v>0.99367221195912525</v>
      </c>
      <c r="G107" s="93">
        <f t="shared" si="14"/>
        <v>0</v>
      </c>
      <c r="H107" s="93">
        <f t="shared" si="15"/>
        <v>0</v>
      </c>
      <c r="I107" s="93">
        <f t="shared" si="16"/>
        <v>0</v>
      </c>
      <c r="J107" s="93">
        <f t="shared" si="17"/>
        <v>0</v>
      </c>
      <c r="K107" s="309">
        <f t="shared" si="10"/>
        <v>0</v>
      </c>
      <c r="L107" s="141">
        <f>K107*D107*'B) D RI'!S109</f>
        <v>0</v>
      </c>
      <c r="M107" s="14">
        <f>(('B) D RI'!S109*C107)-L107)/'B) D RI'!S109</f>
        <v>22453.434769230771</v>
      </c>
      <c r="N107" s="144">
        <f t="shared" si="11"/>
        <v>45.544492432516776</v>
      </c>
      <c r="O107" s="83">
        <f t="shared" si="12"/>
        <v>1.0440805326053961</v>
      </c>
    </row>
    <row r="108" spans="1:15" x14ac:dyDescent="0.25">
      <c r="A108" s="61">
        <f>'A) Base RI'!A110</f>
        <v>5566</v>
      </c>
      <c r="B108" s="62" t="str">
        <f>'A) Base RI'!B110</f>
        <v>Provence</v>
      </c>
      <c r="C108" s="13">
        <f>'B) D RI'!U110</f>
        <v>7814.1319753086409</v>
      </c>
      <c r="D108" s="42">
        <f>'B) D RI'!AR110</f>
        <v>385</v>
      </c>
      <c r="E108" s="306">
        <f t="shared" si="9"/>
        <v>20.296446689113353</v>
      </c>
      <c r="F108" s="89">
        <f t="shared" si="13"/>
        <v>0.44282006449769212</v>
      </c>
      <c r="G108" s="93">
        <f t="shared" si="14"/>
        <v>0</v>
      </c>
      <c r="H108" s="93">
        <f t="shared" si="15"/>
        <v>0</v>
      </c>
      <c r="I108" s="93">
        <f t="shared" si="16"/>
        <v>0</v>
      </c>
      <c r="J108" s="93">
        <f t="shared" si="17"/>
        <v>0</v>
      </c>
      <c r="K108" s="309">
        <f t="shared" si="10"/>
        <v>0</v>
      </c>
      <c r="L108" s="141">
        <f>K108*D108*'B) D RI'!S110</f>
        <v>0</v>
      </c>
      <c r="M108" s="14">
        <f>(('B) D RI'!S110*C108)-L108)/'B) D RI'!S110</f>
        <v>7814.1319753086409</v>
      </c>
      <c r="N108" s="144">
        <f t="shared" si="11"/>
        <v>20.296446689113353</v>
      </c>
      <c r="O108" s="83">
        <f t="shared" si="12"/>
        <v>0.46528402749389214</v>
      </c>
    </row>
    <row r="109" spans="1:15" x14ac:dyDescent="0.25">
      <c r="A109" s="61">
        <f>'A) Base RI'!A111</f>
        <v>5568</v>
      </c>
      <c r="B109" s="62" t="str">
        <f>'A) Base RI'!B111</f>
        <v>Sainte-Croix</v>
      </c>
      <c r="C109" s="13">
        <f>'B) D RI'!U111</f>
        <v>93435.029714285716</v>
      </c>
      <c r="D109" s="42">
        <f>'B) D RI'!AR111</f>
        <v>4763</v>
      </c>
      <c r="E109" s="306">
        <f t="shared" si="9"/>
        <v>19.616844365795867</v>
      </c>
      <c r="F109" s="89">
        <f t="shared" si="13"/>
        <v>0.42799276249484203</v>
      </c>
      <c r="G109" s="93">
        <f t="shared" si="14"/>
        <v>0</v>
      </c>
      <c r="H109" s="93">
        <f t="shared" si="15"/>
        <v>0</v>
      </c>
      <c r="I109" s="93">
        <f t="shared" si="16"/>
        <v>0</v>
      </c>
      <c r="J109" s="93">
        <f t="shared" si="17"/>
        <v>0</v>
      </c>
      <c r="K109" s="309">
        <f t="shared" si="10"/>
        <v>0</v>
      </c>
      <c r="L109" s="141">
        <f>K109*D109*'B) D RI'!S111</f>
        <v>0</v>
      </c>
      <c r="M109" s="14">
        <f>(('B) D RI'!S111*C109)-L109)/'B) D RI'!S111</f>
        <v>93435.029714285716</v>
      </c>
      <c r="N109" s="144">
        <f t="shared" si="11"/>
        <v>19.616844365795867</v>
      </c>
      <c r="O109" s="83">
        <f t="shared" si="12"/>
        <v>0.44970454646793628</v>
      </c>
    </row>
    <row r="110" spans="1:15" x14ac:dyDescent="0.25">
      <c r="A110" s="61">
        <f>'A) Base RI'!A112</f>
        <v>5571</v>
      </c>
      <c r="B110" s="62" t="str">
        <f>'A) Base RI'!B112</f>
        <v>Tévenon</v>
      </c>
      <c r="C110" s="13">
        <f>'B) D RI'!U112</f>
        <v>20766.182465753427</v>
      </c>
      <c r="D110" s="42">
        <f>'B) D RI'!AR112</f>
        <v>811</v>
      </c>
      <c r="E110" s="306">
        <f t="shared" si="9"/>
        <v>25.605650389338383</v>
      </c>
      <c r="F110" s="89">
        <f t="shared" si="13"/>
        <v>0.55865422803263631</v>
      </c>
      <c r="G110" s="93">
        <f t="shared" si="14"/>
        <v>0</v>
      </c>
      <c r="H110" s="93">
        <f t="shared" si="15"/>
        <v>0</v>
      </c>
      <c r="I110" s="93">
        <f t="shared" si="16"/>
        <v>0</v>
      </c>
      <c r="J110" s="93">
        <f t="shared" si="17"/>
        <v>0</v>
      </c>
      <c r="K110" s="309">
        <f t="shared" si="10"/>
        <v>0</v>
      </c>
      <c r="L110" s="141">
        <f>K110*D110*'B) D RI'!S112</f>
        <v>0</v>
      </c>
      <c r="M110" s="14">
        <f>(('B) D RI'!S112*C110)-L110)/'B) D RI'!S112</f>
        <v>20766.182465753427</v>
      </c>
      <c r="N110" s="144">
        <f t="shared" si="11"/>
        <v>25.605650389338383</v>
      </c>
      <c r="O110" s="83">
        <f t="shared" si="12"/>
        <v>0.58699437996416937</v>
      </c>
    </row>
    <row r="111" spans="1:15" x14ac:dyDescent="0.25">
      <c r="A111" s="61">
        <f>'A) Base RI'!A113</f>
        <v>5581</v>
      </c>
      <c r="B111" s="62" t="str">
        <f>'A) Base RI'!B113</f>
        <v>Belmont-sur-Lausanne</v>
      </c>
      <c r="C111" s="13">
        <f>'B) D RI'!U113</f>
        <v>173034.35179856114</v>
      </c>
      <c r="D111" s="42">
        <f>'B) D RI'!AR113</f>
        <v>3602</v>
      </c>
      <c r="E111" s="306">
        <f t="shared" si="9"/>
        <v>48.038409716424525</v>
      </c>
      <c r="F111" s="89">
        <f t="shared" si="13"/>
        <v>1.0480835396869632</v>
      </c>
      <c r="G111" s="93">
        <f t="shared" si="14"/>
        <v>0</v>
      </c>
      <c r="H111" s="93">
        <f t="shared" si="15"/>
        <v>0</v>
      </c>
      <c r="I111" s="93">
        <f t="shared" si="16"/>
        <v>0</v>
      </c>
      <c r="J111" s="93">
        <f t="shared" si="17"/>
        <v>0</v>
      </c>
      <c r="K111" s="309">
        <f t="shared" si="10"/>
        <v>0</v>
      </c>
      <c r="L111" s="141">
        <f>K111*D111*'B) D RI'!S113</f>
        <v>0</v>
      </c>
      <c r="M111" s="14">
        <f>(('B) D RI'!S113*C111)-L111)/'B) D RI'!S113</f>
        <v>173034.35179856114</v>
      </c>
      <c r="N111" s="144">
        <f t="shared" si="11"/>
        <v>48.038409716424525</v>
      </c>
      <c r="O111" s="83">
        <f t="shared" si="12"/>
        <v>1.101252110264634</v>
      </c>
    </row>
    <row r="112" spans="1:15" x14ac:dyDescent="0.25">
      <c r="A112" s="61">
        <f>'A) Base RI'!A114</f>
        <v>5582</v>
      </c>
      <c r="B112" s="62" t="str">
        <f>'A) Base RI'!B114</f>
        <v>Cheseaux-sur-Lausanne</v>
      </c>
      <c r="C112" s="13">
        <f>'B) D RI'!U114</f>
        <v>165346.44872483221</v>
      </c>
      <c r="D112" s="42">
        <f>'B) D RI'!AR114</f>
        <v>4297</v>
      </c>
      <c r="E112" s="306">
        <f t="shared" si="9"/>
        <v>38.479508662981665</v>
      </c>
      <c r="F112" s="89">
        <f t="shared" si="13"/>
        <v>0.83953111443495787</v>
      </c>
      <c r="G112" s="93">
        <f t="shared" si="14"/>
        <v>0</v>
      </c>
      <c r="H112" s="93">
        <f t="shared" si="15"/>
        <v>0</v>
      </c>
      <c r="I112" s="93">
        <f t="shared" si="16"/>
        <v>0</v>
      </c>
      <c r="J112" s="93">
        <f t="shared" si="17"/>
        <v>0</v>
      </c>
      <c r="K112" s="309">
        <f t="shared" si="10"/>
        <v>0</v>
      </c>
      <c r="L112" s="141">
        <f>K112*D112*'B) D RI'!S114</f>
        <v>0</v>
      </c>
      <c r="M112" s="14">
        <f>(('B) D RI'!S114*C112)-L112)/'B) D RI'!S114</f>
        <v>165346.44872483221</v>
      </c>
      <c r="N112" s="144">
        <f t="shared" si="11"/>
        <v>38.479508662981665</v>
      </c>
      <c r="O112" s="83">
        <f t="shared" si="12"/>
        <v>0.88211996123940017</v>
      </c>
    </row>
    <row r="113" spans="1:15" x14ac:dyDescent="0.25">
      <c r="A113" s="61">
        <f>'A) Base RI'!A115</f>
        <v>5583</v>
      </c>
      <c r="B113" s="62" t="str">
        <f>'A) Base RI'!B115</f>
        <v>Crissier</v>
      </c>
      <c r="C113" s="13">
        <f>'B) D RI'!U115</f>
        <v>323925.7196923077</v>
      </c>
      <c r="D113" s="42">
        <f>'B) D RI'!AR115</f>
        <v>7542</v>
      </c>
      <c r="E113" s="306">
        <f t="shared" si="9"/>
        <v>42.949578320380233</v>
      </c>
      <c r="F113" s="89">
        <f t="shared" si="13"/>
        <v>0.93705737429305136</v>
      </c>
      <c r="G113" s="93">
        <f t="shared" si="14"/>
        <v>0</v>
      </c>
      <c r="H113" s="93">
        <f t="shared" si="15"/>
        <v>0</v>
      </c>
      <c r="I113" s="93">
        <f t="shared" si="16"/>
        <v>0</v>
      </c>
      <c r="J113" s="93">
        <f t="shared" si="17"/>
        <v>0</v>
      </c>
      <c r="K113" s="309">
        <f t="shared" si="10"/>
        <v>0</v>
      </c>
      <c r="L113" s="141">
        <f>K113*D113*'B) D RI'!S115</f>
        <v>0</v>
      </c>
      <c r="M113" s="14">
        <f>(('B) D RI'!S115*C113)-L113)/'B) D RI'!S115</f>
        <v>323925.7196923077</v>
      </c>
      <c r="N113" s="144">
        <f t="shared" si="11"/>
        <v>42.949578320380233</v>
      </c>
      <c r="O113" s="83">
        <f t="shared" si="12"/>
        <v>0.98459366243598667</v>
      </c>
    </row>
    <row r="114" spans="1:15" x14ac:dyDescent="0.25">
      <c r="A114" s="61">
        <f>'A) Base RI'!A116</f>
        <v>5584</v>
      </c>
      <c r="B114" s="62" t="str">
        <f>'A) Base RI'!B116</f>
        <v>Epalinges</v>
      </c>
      <c r="C114" s="13">
        <f>'B) D RI'!U116</f>
        <v>455923.60696969699</v>
      </c>
      <c r="D114" s="42">
        <f>'B) D RI'!AR116</f>
        <v>9185</v>
      </c>
      <c r="E114" s="306">
        <f t="shared" si="9"/>
        <v>49.637845070190203</v>
      </c>
      <c r="F114" s="89">
        <f t="shared" si="13"/>
        <v>1.0829794048284367</v>
      </c>
      <c r="G114" s="93">
        <f t="shared" si="14"/>
        <v>0</v>
      </c>
      <c r="H114" s="93">
        <f t="shared" si="15"/>
        <v>0</v>
      </c>
      <c r="I114" s="93">
        <f t="shared" si="16"/>
        <v>0</v>
      </c>
      <c r="J114" s="93">
        <f t="shared" si="17"/>
        <v>0</v>
      </c>
      <c r="K114" s="309">
        <f t="shared" si="10"/>
        <v>0</v>
      </c>
      <c r="L114" s="141">
        <f>K114*D114*'B) D RI'!S116</f>
        <v>0</v>
      </c>
      <c r="M114" s="14">
        <f>(('B) D RI'!S116*C114)-L114)/'B) D RI'!S116</f>
        <v>455923.60696969699</v>
      </c>
      <c r="N114" s="144">
        <f t="shared" si="11"/>
        <v>49.637845070190203</v>
      </c>
      <c r="O114" s="83">
        <f t="shared" si="12"/>
        <v>1.1379182190922144</v>
      </c>
    </row>
    <row r="115" spans="1:15" x14ac:dyDescent="0.25">
      <c r="A115" s="61">
        <f>'A) Base RI'!A117</f>
        <v>5585</v>
      </c>
      <c r="B115" s="62" t="str">
        <f>'A) Base RI'!B117</f>
        <v>Jouxtens-Mézery</v>
      </c>
      <c r="C115" s="13">
        <f>'B) D RI'!U117</f>
        <v>159177.88018867921</v>
      </c>
      <c r="D115" s="42">
        <f>'B) D RI'!AR117</f>
        <v>1405</v>
      </c>
      <c r="E115" s="306">
        <f t="shared" si="9"/>
        <v>113.29386490297452</v>
      </c>
      <c r="F115" s="89">
        <f t="shared" si="13"/>
        <v>2.471801952922017</v>
      </c>
      <c r="G115" s="93">
        <f t="shared" si="14"/>
        <v>58.29243660373141</v>
      </c>
      <c r="H115" s="93">
        <f t="shared" si="15"/>
        <v>44.542079528920624</v>
      </c>
      <c r="I115" s="93">
        <f t="shared" si="16"/>
        <v>21.62481773756933</v>
      </c>
      <c r="J115" s="93">
        <f t="shared" si="17"/>
        <v>0</v>
      </c>
      <c r="K115" s="309">
        <f t="shared" si="10"/>
        <v>27.601966903992306</v>
      </c>
      <c r="L115" s="141">
        <f>K115*D115*'B) D RI'!S117</f>
        <v>2055380.4655057872</v>
      </c>
      <c r="M115" s="14">
        <f>(('B) D RI'!S117*C115)-L115)/'B) D RI'!S117</f>
        <v>120397.11668857002</v>
      </c>
      <c r="N115" s="144">
        <f t="shared" si="11"/>
        <v>85.691897998982228</v>
      </c>
      <c r="O115" s="83">
        <f t="shared" si="12"/>
        <v>1.96443604317934</v>
      </c>
    </row>
    <row r="116" spans="1:15" x14ac:dyDescent="0.25">
      <c r="A116" s="61">
        <f>'A) Base RI'!A118</f>
        <v>5586</v>
      </c>
      <c r="B116" s="62" t="str">
        <f>'A) Base RI'!B118</f>
        <v>Lausanne</v>
      </c>
      <c r="C116" s="13">
        <f>'B) D RI'!U118</f>
        <v>5897479.10464135</v>
      </c>
      <c r="D116" s="42">
        <f>'B) D RI'!AR118</f>
        <v>134937</v>
      </c>
      <c r="E116" s="306">
        <f t="shared" ref="E116:E169" si="18">C116/D116</f>
        <v>43.705426270343565</v>
      </c>
      <c r="F116" s="89">
        <f t="shared" si="13"/>
        <v>0.95354817404140046</v>
      </c>
      <c r="G116" s="93">
        <f t="shared" si="14"/>
        <v>0</v>
      </c>
      <c r="H116" s="93">
        <f t="shared" si="15"/>
        <v>0</v>
      </c>
      <c r="I116" s="93">
        <f t="shared" si="16"/>
        <v>0</v>
      </c>
      <c r="J116" s="93">
        <f t="shared" si="17"/>
        <v>0</v>
      </c>
      <c r="K116" s="309">
        <f t="shared" si="10"/>
        <v>0</v>
      </c>
      <c r="L116" s="141">
        <f>K116*D116*'B) D RI'!S118</f>
        <v>0</v>
      </c>
      <c r="M116" s="14">
        <f>(('B) D RI'!S118*C116)-L116)/'B) D RI'!S118</f>
        <v>5897479.10464135</v>
      </c>
      <c r="N116" s="144">
        <f t="shared" si="11"/>
        <v>43.705426270343565</v>
      </c>
      <c r="O116" s="83">
        <f t="shared" si="12"/>
        <v>1.001921029325314</v>
      </c>
    </row>
    <row r="117" spans="1:15" x14ac:dyDescent="0.25">
      <c r="A117" s="61">
        <f>'A) Base RI'!A119</f>
        <v>5587</v>
      </c>
      <c r="B117" s="62" t="str">
        <f>'A) Base RI'!B119</f>
        <v>Le Mont-sur-Lausanne</v>
      </c>
      <c r="C117" s="13">
        <f>'B) D RI'!U119</f>
        <v>380449.00348888891</v>
      </c>
      <c r="D117" s="42">
        <f>'B) D RI'!AR119</f>
        <v>7271</v>
      </c>
      <c r="E117" s="306">
        <f t="shared" si="18"/>
        <v>52.324164968902338</v>
      </c>
      <c r="F117" s="89">
        <f t="shared" si="13"/>
        <v>1.1415884987762555</v>
      </c>
      <c r="G117" s="93">
        <f t="shared" si="14"/>
        <v>0</v>
      </c>
      <c r="H117" s="93">
        <f t="shared" si="15"/>
        <v>0</v>
      </c>
      <c r="I117" s="93">
        <f t="shared" si="16"/>
        <v>0</v>
      </c>
      <c r="J117" s="93">
        <f t="shared" si="17"/>
        <v>0</v>
      </c>
      <c r="K117" s="309">
        <f t="shared" si="10"/>
        <v>0</v>
      </c>
      <c r="L117" s="141">
        <f>K117*D117*'B) D RI'!S119</f>
        <v>0</v>
      </c>
      <c r="M117" s="14">
        <f>(('B) D RI'!S119*C117)-L117)/'B) D RI'!S119</f>
        <v>380449.00348888891</v>
      </c>
      <c r="N117" s="144">
        <f t="shared" si="11"/>
        <v>52.324164968902338</v>
      </c>
      <c r="O117" s="83">
        <f t="shared" si="12"/>
        <v>1.1995005128185439</v>
      </c>
    </row>
    <row r="118" spans="1:15" x14ac:dyDescent="0.25">
      <c r="A118" s="61">
        <f>'A) Base RI'!A120</f>
        <v>5588</v>
      </c>
      <c r="B118" s="62" t="str">
        <f>'A) Base RI'!B120</f>
        <v>Paudex</v>
      </c>
      <c r="C118" s="13">
        <f>'B) D RI'!U120</f>
        <v>152789.79231126595</v>
      </c>
      <c r="D118" s="42">
        <f>'B) D RI'!AR120</f>
        <v>1485</v>
      </c>
      <c r="E118" s="306">
        <f t="shared" si="18"/>
        <v>102.88874903115553</v>
      </c>
      <c r="F118" s="89">
        <f t="shared" si="13"/>
        <v>2.2447871383566538</v>
      </c>
      <c r="G118" s="93">
        <f t="shared" si="14"/>
        <v>47.887320731912418</v>
      </c>
      <c r="H118" s="93">
        <f t="shared" si="15"/>
        <v>34.136963657101631</v>
      </c>
      <c r="I118" s="93">
        <f t="shared" si="16"/>
        <v>11.219701865750338</v>
      </c>
      <c r="J118" s="93">
        <f t="shared" si="17"/>
        <v>0</v>
      </c>
      <c r="K118" s="309">
        <f t="shared" si="10"/>
        <v>21.775102015773669</v>
      </c>
      <c r="L118" s="141">
        <f>K118*D118*'B) D RI'!S120</f>
        <v>1988665.6293455698</v>
      </c>
      <c r="M118" s="14">
        <f>(('B) D RI'!S120*C118)-L118)/'B) D RI'!S120</f>
        <v>120453.76581784204</v>
      </c>
      <c r="N118" s="144">
        <f t="shared" si="11"/>
        <v>81.113647015381844</v>
      </c>
      <c r="O118" s="83">
        <f t="shared" si="12"/>
        <v>1.8594823491088377</v>
      </c>
    </row>
    <row r="119" spans="1:15" x14ac:dyDescent="0.25">
      <c r="A119" s="61">
        <f>'A) Base RI'!A121</f>
        <v>5589</v>
      </c>
      <c r="B119" s="62" t="str">
        <f>'A) Base RI'!B121</f>
        <v>Prilly</v>
      </c>
      <c r="C119" s="13">
        <f>'B) D RI'!U121</f>
        <v>462414.97306122456</v>
      </c>
      <c r="D119" s="42">
        <f>'B) D RI'!AR121</f>
        <v>11782</v>
      </c>
      <c r="E119" s="306">
        <f t="shared" si="18"/>
        <v>39.247578769413053</v>
      </c>
      <c r="F119" s="89">
        <f t="shared" si="13"/>
        <v>0.85628857249046708</v>
      </c>
      <c r="G119" s="93">
        <f t="shared" si="14"/>
        <v>0</v>
      </c>
      <c r="H119" s="93">
        <f t="shared" si="15"/>
        <v>0</v>
      </c>
      <c r="I119" s="93">
        <f t="shared" si="16"/>
        <v>0</v>
      </c>
      <c r="J119" s="93">
        <f t="shared" si="17"/>
        <v>0</v>
      </c>
      <c r="K119" s="309">
        <f t="shared" si="10"/>
        <v>0</v>
      </c>
      <c r="L119" s="141">
        <f>K119*D119*'B) D RI'!S121</f>
        <v>0</v>
      </c>
      <c r="M119" s="14">
        <f>(('B) D RI'!S121*C119)-L119)/'B) D RI'!S121</f>
        <v>462414.97306122456</v>
      </c>
      <c r="N119" s="144">
        <f t="shared" si="11"/>
        <v>39.247578769413053</v>
      </c>
      <c r="O119" s="83">
        <f t="shared" si="12"/>
        <v>0.89972751383183236</v>
      </c>
    </row>
    <row r="120" spans="1:15" x14ac:dyDescent="0.25">
      <c r="A120" s="61">
        <f>'A) Base RI'!A122</f>
        <v>5590</v>
      </c>
      <c r="B120" s="62" t="str">
        <f>'A) Base RI'!B122</f>
        <v>Pully</v>
      </c>
      <c r="C120" s="13">
        <f>'B) D RI'!U122</f>
        <v>1366683.426371882</v>
      </c>
      <c r="D120" s="42">
        <f>'B) D RI'!AR122</f>
        <v>17811</v>
      </c>
      <c r="E120" s="306">
        <f t="shared" si="18"/>
        <v>76.732548782880357</v>
      </c>
      <c r="F120" s="89">
        <f t="shared" si="13"/>
        <v>1.6741212253341347</v>
      </c>
      <c r="G120" s="93">
        <f t="shared" si="14"/>
        <v>21.731120483637248</v>
      </c>
      <c r="H120" s="93">
        <f t="shared" si="15"/>
        <v>7.9807634088264621</v>
      </c>
      <c r="I120" s="93">
        <f t="shared" si="16"/>
        <v>0</v>
      </c>
      <c r="J120" s="93">
        <f t="shared" si="17"/>
        <v>0</v>
      </c>
      <c r="K120" s="309">
        <f t="shared" si="10"/>
        <v>8.6212797149920561</v>
      </c>
      <c r="L120" s="141">
        <f>K120*D120*'B) D RI'!S122</f>
        <v>9673877.6192345805</v>
      </c>
      <c r="M120" s="14">
        <f>(('B) D RI'!S122*C120)-L120)/'B) D RI'!S122</f>
        <v>1213129.8133681584</v>
      </c>
      <c r="N120" s="144">
        <f t="shared" si="11"/>
        <v>68.111269067888301</v>
      </c>
      <c r="O120" s="83">
        <f t="shared" si="12"/>
        <v>1.5614105303775045</v>
      </c>
    </row>
    <row r="121" spans="1:15" x14ac:dyDescent="0.25">
      <c r="A121" s="61">
        <f>'A) Base RI'!A123</f>
        <v>5591</v>
      </c>
      <c r="B121" s="62" t="str">
        <f>'A) Base RI'!B123</f>
        <v>Renens</v>
      </c>
      <c r="C121" s="13">
        <f>'B) D RI'!U123</f>
        <v>546895.28569608741</v>
      </c>
      <c r="D121" s="42">
        <f>'B) D RI'!AR123</f>
        <v>20362</v>
      </c>
      <c r="E121" s="306">
        <f t="shared" si="18"/>
        <v>26.858623204797535</v>
      </c>
      <c r="F121" s="89">
        <f t="shared" si="13"/>
        <v>0.58599110682004907</v>
      </c>
      <c r="G121" s="93">
        <f t="shared" si="14"/>
        <v>0</v>
      </c>
      <c r="H121" s="93">
        <f t="shared" si="15"/>
        <v>0</v>
      </c>
      <c r="I121" s="93">
        <f t="shared" si="16"/>
        <v>0</v>
      </c>
      <c r="J121" s="93">
        <f t="shared" si="17"/>
        <v>0</v>
      </c>
      <c r="K121" s="309">
        <f t="shared" si="10"/>
        <v>0</v>
      </c>
      <c r="L121" s="141">
        <f>K121*D121*'B) D RI'!S123</f>
        <v>0</v>
      </c>
      <c r="M121" s="14">
        <f>(('B) D RI'!S123*C121)-L121)/'B) D RI'!S123</f>
        <v>546895.28569608741</v>
      </c>
      <c r="N121" s="144">
        <f t="shared" si="11"/>
        <v>26.858623204797535</v>
      </c>
      <c r="O121" s="83">
        <f t="shared" si="12"/>
        <v>0.6157180401617891</v>
      </c>
    </row>
    <row r="122" spans="1:15" x14ac:dyDescent="0.25">
      <c r="A122" s="61">
        <f>'A) Base RI'!A124</f>
        <v>5592</v>
      </c>
      <c r="B122" s="62" t="str">
        <f>'A) Base RI'!B124</f>
        <v>Romanel-sur-Lausanne</v>
      </c>
      <c r="C122" s="13">
        <f>'B) D RI'!U124</f>
        <v>110273.83828571429</v>
      </c>
      <c r="D122" s="42">
        <f>'B) D RI'!AR124</f>
        <v>3351</v>
      </c>
      <c r="E122" s="306">
        <f t="shared" si="18"/>
        <v>32.907740461269555</v>
      </c>
      <c r="F122" s="89">
        <f t="shared" si="13"/>
        <v>0.71796841963223867</v>
      </c>
      <c r="G122" s="93">
        <f t="shared" si="14"/>
        <v>0</v>
      </c>
      <c r="H122" s="93">
        <f t="shared" si="15"/>
        <v>0</v>
      </c>
      <c r="I122" s="93">
        <f t="shared" si="16"/>
        <v>0</v>
      </c>
      <c r="J122" s="93">
        <f t="shared" si="17"/>
        <v>0</v>
      </c>
      <c r="K122" s="309">
        <f t="shared" si="10"/>
        <v>0</v>
      </c>
      <c r="L122" s="141">
        <f>K122*D122*'B) D RI'!S124</f>
        <v>0</v>
      </c>
      <c r="M122" s="14">
        <f>(('B) D RI'!S124*C122)-L122)/'B) D RI'!S124</f>
        <v>110273.83828571429</v>
      </c>
      <c r="N122" s="144">
        <f t="shared" si="11"/>
        <v>32.907740461269555</v>
      </c>
      <c r="O122" s="83">
        <f t="shared" si="12"/>
        <v>0.75439047297653306</v>
      </c>
    </row>
    <row r="123" spans="1:15" x14ac:dyDescent="0.25">
      <c r="A123" s="61">
        <f>'A) Base RI'!A125</f>
        <v>5601</v>
      </c>
      <c r="B123" s="62" t="str">
        <f>'A) Base RI'!B125</f>
        <v>Chexbres</v>
      </c>
      <c r="C123" s="13">
        <f>'B) D RI'!U125</f>
        <v>104474.96078125002</v>
      </c>
      <c r="D123" s="42">
        <f>'B) D RI'!AR125</f>
        <v>2218</v>
      </c>
      <c r="E123" s="306">
        <f t="shared" si="18"/>
        <v>47.103228485685307</v>
      </c>
      <c r="F123" s="89">
        <f t="shared" si="13"/>
        <v>1.0276801154198427</v>
      </c>
      <c r="G123" s="93">
        <f t="shared" si="14"/>
        <v>0</v>
      </c>
      <c r="H123" s="93">
        <f t="shared" si="15"/>
        <v>0</v>
      </c>
      <c r="I123" s="93">
        <f t="shared" si="16"/>
        <v>0</v>
      </c>
      <c r="J123" s="93">
        <f t="shared" si="17"/>
        <v>0</v>
      </c>
      <c r="K123" s="309">
        <f t="shared" si="10"/>
        <v>0</v>
      </c>
      <c r="L123" s="141">
        <f>K123*D123*'B) D RI'!S125</f>
        <v>0</v>
      </c>
      <c r="M123" s="14">
        <f>(('B) D RI'!S125*C123)-L123)/'B) D RI'!S125</f>
        <v>104474.96078125002</v>
      </c>
      <c r="N123" s="144">
        <f t="shared" si="11"/>
        <v>47.103228485685307</v>
      </c>
      <c r="O123" s="83">
        <f t="shared" si="12"/>
        <v>1.0798136340554743</v>
      </c>
    </row>
    <row r="124" spans="1:15" x14ac:dyDescent="0.25">
      <c r="A124" s="61">
        <f>'A) Base RI'!A126</f>
        <v>5604</v>
      </c>
      <c r="B124" s="62" t="str">
        <f>'A) Base RI'!B126</f>
        <v>Forel (Lavaux)</v>
      </c>
      <c r="C124" s="13">
        <f>'B) D RI'!U126</f>
        <v>65514.699852941172</v>
      </c>
      <c r="D124" s="42">
        <f>'B) D RI'!AR126</f>
        <v>2085</v>
      </c>
      <c r="E124" s="306">
        <f t="shared" si="18"/>
        <v>31.421918394696007</v>
      </c>
      <c r="F124" s="89">
        <f t="shared" si="13"/>
        <v>0.68555132547628939</v>
      </c>
      <c r="G124" s="93">
        <f t="shared" si="14"/>
        <v>0</v>
      </c>
      <c r="H124" s="93">
        <f t="shared" si="15"/>
        <v>0</v>
      </c>
      <c r="I124" s="93">
        <f t="shared" si="16"/>
        <v>0</v>
      </c>
      <c r="J124" s="93">
        <f t="shared" si="17"/>
        <v>0</v>
      </c>
      <c r="K124" s="309">
        <f t="shared" si="10"/>
        <v>0</v>
      </c>
      <c r="L124" s="141">
        <f>K124*D124*'B) D RI'!S126</f>
        <v>0</v>
      </c>
      <c r="M124" s="14">
        <f>(('B) D RI'!S126*C124)-L124)/'B) D RI'!S126</f>
        <v>65514.699852941172</v>
      </c>
      <c r="N124" s="144">
        <f t="shared" si="11"/>
        <v>31.421918394696007</v>
      </c>
      <c r="O124" s="83">
        <f t="shared" si="12"/>
        <v>0.72032888151355767</v>
      </c>
    </row>
    <row r="125" spans="1:15" x14ac:dyDescent="0.25">
      <c r="A125" s="61">
        <f>'A) Base RI'!A127</f>
        <v>5606</v>
      </c>
      <c r="B125" s="62" t="str">
        <f>'A) Base RI'!B127</f>
        <v>Lutry</v>
      </c>
      <c r="C125" s="13">
        <f>'B) D RI'!U127</f>
        <v>742470.65823979594</v>
      </c>
      <c r="D125" s="42">
        <f>'B) D RI'!AR127</f>
        <v>9739</v>
      </c>
      <c r="E125" s="306">
        <f t="shared" si="18"/>
        <v>76.236847544901522</v>
      </c>
      <c r="F125" s="89">
        <f t="shared" si="13"/>
        <v>1.6633062064524742</v>
      </c>
      <c r="G125" s="93">
        <f t="shared" si="14"/>
        <v>21.235419245658413</v>
      </c>
      <c r="H125" s="93">
        <f t="shared" si="15"/>
        <v>7.4850621708476268</v>
      </c>
      <c r="I125" s="93">
        <f t="shared" si="16"/>
        <v>0</v>
      </c>
      <c r="J125" s="93">
        <f t="shared" si="17"/>
        <v>0</v>
      </c>
      <c r="K125" s="309">
        <f t="shared" si="10"/>
        <v>8.3932571455217921</v>
      </c>
      <c r="L125" s="141">
        <f>K125*D125*'B) D RI'!S127</f>
        <v>4577548.1550532579</v>
      </c>
      <c r="M125" s="14">
        <f>(('B) D RI'!S127*C125)-L125)/'B) D RI'!S127</f>
        <v>660728.72689955926</v>
      </c>
      <c r="N125" s="144">
        <f t="shared" si="11"/>
        <v>67.843590399379735</v>
      </c>
      <c r="O125" s="83">
        <f t="shared" si="12"/>
        <v>1.5552741553328682</v>
      </c>
    </row>
    <row r="126" spans="1:15" x14ac:dyDescent="0.25">
      <c r="A126" s="61">
        <f>'A) Base RI'!A128</f>
        <v>5607</v>
      </c>
      <c r="B126" s="62" t="str">
        <f>'A) Base RI'!B128</f>
        <v>Puidoux</v>
      </c>
      <c r="C126" s="13">
        <f>'B) D RI'!U128</f>
        <v>100862.46201406649</v>
      </c>
      <c r="D126" s="42">
        <f>'B) D RI'!AR128</f>
        <v>2858</v>
      </c>
      <c r="E126" s="306">
        <f t="shared" si="18"/>
        <v>35.291274322626485</v>
      </c>
      <c r="F126" s="89">
        <f t="shared" si="13"/>
        <v>0.76997144431855713</v>
      </c>
      <c r="G126" s="93">
        <f t="shared" si="14"/>
        <v>0</v>
      </c>
      <c r="H126" s="93">
        <f t="shared" si="15"/>
        <v>0</v>
      </c>
      <c r="I126" s="93">
        <f t="shared" si="16"/>
        <v>0</v>
      </c>
      <c r="J126" s="93">
        <f t="shared" si="17"/>
        <v>0</v>
      </c>
      <c r="K126" s="309">
        <f t="shared" si="10"/>
        <v>0</v>
      </c>
      <c r="L126" s="141">
        <f>K126*D126*'B) D RI'!S128</f>
        <v>0</v>
      </c>
      <c r="M126" s="14">
        <f>(('B) D RI'!S128*C126)-L126)/'B) D RI'!S128</f>
        <v>100862.46201406649</v>
      </c>
      <c r="N126" s="144">
        <f t="shared" si="11"/>
        <v>35.291274322626485</v>
      </c>
      <c r="O126" s="83">
        <f t="shared" si="12"/>
        <v>0.80903157600640874</v>
      </c>
    </row>
    <row r="127" spans="1:15" x14ac:dyDescent="0.25">
      <c r="A127" s="61">
        <f>'A) Base RI'!A129</f>
        <v>5609</v>
      </c>
      <c r="B127" s="62" t="str">
        <f>'A) Base RI'!B129</f>
        <v>Rivaz</v>
      </c>
      <c r="C127" s="13">
        <f>'B) D RI'!U129</f>
        <v>16122.244409448818</v>
      </c>
      <c r="D127" s="42">
        <f>'B) D RI'!AR129</f>
        <v>360</v>
      </c>
      <c r="E127" s="306">
        <f t="shared" si="18"/>
        <v>44.78401224846894</v>
      </c>
      <c r="F127" s="89">
        <f t="shared" si="13"/>
        <v>0.97708034790984266</v>
      </c>
      <c r="G127" s="93">
        <f t="shared" si="14"/>
        <v>0</v>
      </c>
      <c r="H127" s="93">
        <f t="shared" si="15"/>
        <v>0</v>
      </c>
      <c r="I127" s="93">
        <f t="shared" si="16"/>
        <v>0</v>
      </c>
      <c r="J127" s="93">
        <f t="shared" si="17"/>
        <v>0</v>
      </c>
      <c r="K127" s="309">
        <f t="shared" si="10"/>
        <v>0</v>
      </c>
      <c r="L127" s="141">
        <f>K127*D127*'B) D RI'!S129</f>
        <v>0</v>
      </c>
      <c r="M127" s="14">
        <f>(('B) D RI'!S129*C127)-L127)/'B) D RI'!S129</f>
        <v>16122.244409448818</v>
      </c>
      <c r="N127" s="144">
        <f t="shared" si="11"/>
        <v>44.78401224846894</v>
      </c>
      <c r="O127" s="83">
        <f t="shared" si="12"/>
        <v>1.0266469744913611</v>
      </c>
    </row>
    <row r="128" spans="1:15" x14ac:dyDescent="0.25">
      <c r="A128" s="61">
        <f>'A) Base RI'!A130</f>
        <v>5610</v>
      </c>
      <c r="B128" s="62" t="str">
        <f>'A) Base RI'!B130</f>
        <v>St-Saphorin (Lavaux)</v>
      </c>
      <c r="C128" s="13">
        <f>'B) D RI'!U130</f>
        <v>20974.487096774192</v>
      </c>
      <c r="D128" s="42">
        <f>'B) D RI'!AR130</f>
        <v>383</v>
      </c>
      <c r="E128" s="306">
        <f t="shared" si="18"/>
        <v>54.763673881916951</v>
      </c>
      <c r="F128" s="89">
        <f t="shared" si="13"/>
        <v>1.1948127656023921</v>
      </c>
      <c r="G128" s="93">
        <f t="shared" si="14"/>
        <v>0</v>
      </c>
      <c r="H128" s="93">
        <f t="shared" si="15"/>
        <v>0</v>
      </c>
      <c r="I128" s="93">
        <f t="shared" si="16"/>
        <v>0</v>
      </c>
      <c r="J128" s="93">
        <f t="shared" si="17"/>
        <v>0</v>
      </c>
      <c r="K128" s="309">
        <f t="shared" si="10"/>
        <v>0</v>
      </c>
      <c r="L128" s="141">
        <f>K128*D128*'B) D RI'!S130</f>
        <v>0</v>
      </c>
      <c r="M128" s="14">
        <f>(('B) D RI'!S130*C128)-L128)/'B) D RI'!S130</f>
        <v>20974.487096774192</v>
      </c>
      <c r="N128" s="144">
        <f t="shared" si="11"/>
        <v>54.763673881916951</v>
      </c>
      <c r="O128" s="83">
        <f t="shared" si="12"/>
        <v>1.2554248107777288</v>
      </c>
    </row>
    <row r="129" spans="1:15" x14ac:dyDescent="0.25">
      <c r="A129" s="61">
        <f>'A) Base RI'!A131</f>
        <v>5611</v>
      </c>
      <c r="B129" s="62" t="str">
        <f>'A) Base RI'!B131</f>
        <v>Savigny</v>
      </c>
      <c r="C129" s="13">
        <f>'B) D RI'!U131</f>
        <v>130312.40671641791</v>
      </c>
      <c r="D129" s="42">
        <f>'B) D RI'!AR131</f>
        <v>3304</v>
      </c>
      <c r="E129" s="306">
        <f t="shared" si="18"/>
        <v>39.440801064291136</v>
      </c>
      <c r="F129" s="89">
        <f t="shared" si="13"/>
        <v>0.86050422217491151</v>
      </c>
      <c r="G129" s="93">
        <f t="shared" si="14"/>
        <v>0</v>
      </c>
      <c r="H129" s="93">
        <f t="shared" si="15"/>
        <v>0</v>
      </c>
      <c r="I129" s="93">
        <f t="shared" si="16"/>
        <v>0</v>
      </c>
      <c r="J129" s="93">
        <f t="shared" si="17"/>
        <v>0</v>
      </c>
      <c r="K129" s="309">
        <f t="shared" si="10"/>
        <v>0</v>
      </c>
      <c r="L129" s="141">
        <f>K129*D129*'B) D RI'!S131</f>
        <v>0</v>
      </c>
      <c r="M129" s="14">
        <f>(('B) D RI'!S131*C129)-L129)/'B) D RI'!S131</f>
        <v>130312.40671641791</v>
      </c>
      <c r="N129" s="144">
        <f t="shared" si="11"/>
        <v>39.440801064291136</v>
      </c>
      <c r="O129" s="83">
        <f t="shared" si="12"/>
        <v>0.90415702057946956</v>
      </c>
    </row>
    <row r="130" spans="1:15" x14ac:dyDescent="0.25">
      <c r="A130" s="61">
        <f>'A) Base RI'!A132</f>
        <v>5613</v>
      </c>
      <c r="B130" s="62" t="str">
        <f>'A) Base RI'!B132</f>
        <v>Bourg-en-Lavaux</v>
      </c>
      <c r="C130" s="13">
        <f>'B) D RI'!U132</f>
        <v>295658.88923497271</v>
      </c>
      <c r="D130" s="42">
        <f>'B) D RI'!AR132</f>
        <v>5247</v>
      </c>
      <c r="E130" s="306">
        <f t="shared" si="18"/>
        <v>56.34817786067709</v>
      </c>
      <c r="F130" s="89">
        <f t="shared" si="13"/>
        <v>1.2293828637490676</v>
      </c>
      <c r="G130" s="93">
        <f t="shared" si="14"/>
        <v>1.3467495614339811</v>
      </c>
      <c r="H130" s="93">
        <f t="shared" si="15"/>
        <v>0</v>
      </c>
      <c r="I130" s="93">
        <f t="shared" si="16"/>
        <v>0</v>
      </c>
      <c r="J130" s="93">
        <f t="shared" si="17"/>
        <v>0</v>
      </c>
      <c r="K130" s="309">
        <f t="shared" si="10"/>
        <v>0.48482984211623315</v>
      </c>
      <c r="L130" s="141">
        <f>K130*D130*'B) D RI'!S132</f>
        <v>155178.03307661641</v>
      </c>
      <c r="M130" s="14">
        <f>(('B) D RI'!S132*C130)-L130)/'B) D RI'!S132</f>
        <v>293114.98705338885</v>
      </c>
      <c r="N130" s="144">
        <f t="shared" si="11"/>
        <v>55.863348018560863</v>
      </c>
      <c r="O130" s="83">
        <f t="shared" si="12"/>
        <v>1.2806341894963689</v>
      </c>
    </row>
    <row r="131" spans="1:15" x14ac:dyDescent="0.25">
      <c r="A131" s="61">
        <f>'A) Base RI'!A133</f>
        <v>5621</v>
      </c>
      <c r="B131" s="62" t="str">
        <f>'A) Base RI'!B133</f>
        <v>Aclens</v>
      </c>
      <c r="C131" s="13">
        <f>'B) D RI'!U133</f>
        <v>33759.339076246331</v>
      </c>
      <c r="D131" s="42">
        <f>'B) D RI'!AR133</f>
        <v>528</v>
      </c>
      <c r="E131" s="306">
        <f t="shared" si="18"/>
        <v>63.938142189860478</v>
      </c>
      <c r="F131" s="89">
        <f t="shared" si="13"/>
        <v>1.3949777851294165</v>
      </c>
      <c r="G131" s="93">
        <f t="shared" si="14"/>
        <v>8.9367138906173693</v>
      </c>
      <c r="H131" s="93">
        <f t="shared" si="15"/>
        <v>0</v>
      </c>
      <c r="I131" s="93">
        <f t="shared" si="16"/>
        <v>0</v>
      </c>
      <c r="J131" s="93">
        <f t="shared" si="17"/>
        <v>0</v>
      </c>
      <c r="K131" s="309">
        <f t="shared" si="10"/>
        <v>3.2172170006222527</v>
      </c>
      <c r="L131" s="141">
        <f>K131*D131*'B) D RI'!S133</f>
        <v>105318.81573237007</v>
      </c>
      <c r="M131" s="14">
        <f>(('B) D RI'!S133*C131)-L131)/'B) D RI'!S133</f>
        <v>32060.648499917781</v>
      </c>
      <c r="N131" s="144">
        <f t="shared" si="11"/>
        <v>60.720925189238223</v>
      </c>
      <c r="O131" s="83">
        <f t="shared" si="12"/>
        <v>1.3919912710808737</v>
      </c>
    </row>
    <row r="132" spans="1:15" x14ac:dyDescent="0.25">
      <c r="A132" s="61">
        <f>'A) Base RI'!A134</f>
        <v>5622</v>
      </c>
      <c r="B132" s="62" t="str">
        <f>'A) Base RI'!B134</f>
        <v>Bremblens</v>
      </c>
      <c r="C132" s="13">
        <f>'B) D RI'!U134</f>
        <v>28126.288636363635</v>
      </c>
      <c r="D132" s="42">
        <f>'B) D RI'!AR134</f>
        <v>511</v>
      </c>
      <c r="E132" s="306">
        <f t="shared" si="18"/>
        <v>55.041660736523745</v>
      </c>
      <c r="F132" s="89">
        <f t="shared" si="13"/>
        <v>1.200877775836549</v>
      </c>
      <c r="G132" s="93">
        <f t="shared" si="14"/>
        <v>4.0232437280636191E-2</v>
      </c>
      <c r="H132" s="93">
        <f t="shared" si="15"/>
        <v>0</v>
      </c>
      <c r="I132" s="93">
        <f t="shared" si="16"/>
        <v>0</v>
      </c>
      <c r="J132" s="93">
        <f t="shared" si="17"/>
        <v>0</v>
      </c>
      <c r="K132" s="309">
        <f t="shared" si="10"/>
        <v>1.4483677421029028E-2</v>
      </c>
      <c r="L132" s="141">
        <f>K132*D132*'B) D RI'!S134</f>
        <v>488.476504701625</v>
      </c>
      <c r="M132" s="14">
        <f>(('B) D RI'!S134*C132)-L132)/'B) D RI'!S134</f>
        <v>28118.887477201486</v>
      </c>
      <c r="N132" s="144">
        <f t="shared" si="11"/>
        <v>55.027177059102712</v>
      </c>
      <c r="O132" s="83">
        <f t="shared" si="12"/>
        <v>1.2614654651551371</v>
      </c>
    </row>
    <row r="133" spans="1:15" x14ac:dyDescent="0.25">
      <c r="A133" s="61">
        <f>'A) Base RI'!A135</f>
        <v>5623</v>
      </c>
      <c r="B133" s="62" t="str">
        <f>'A) Base RI'!B135</f>
        <v>Buchillon</v>
      </c>
      <c r="C133" s="13">
        <f>'B) D RI'!U135</f>
        <v>86045.549622641513</v>
      </c>
      <c r="D133" s="42">
        <f>'B) D RI'!AR135</f>
        <v>624</v>
      </c>
      <c r="E133" s="306">
        <f t="shared" si="18"/>
        <v>137.89350901064344</v>
      </c>
      <c r="F133" s="89">
        <f t="shared" si="13"/>
        <v>3.0085075229773484</v>
      </c>
      <c r="G133" s="93">
        <f t="shared" si="14"/>
        <v>82.892080711400325</v>
      </c>
      <c r="H133" s="93">
        <f t="shared" si="15"/>
        <v>69.141723636589546</v>
      </c>
      <c r="I133" s="93">
        <f t="shared" si="16"/>
        <v>46.224461845238253</v>
      </c>
      <c r="J133" s="93">
        <f t="shared" si="17"/>
        <v>0.38993826253565089</v>
      </c>
      <c r="K133" s="309">
        <f t="shared" ref="K133:K196" si="19">(G133-H133)*$G$3+(H133-I133)*$H$3+(I133-J133)*$I$3+(J133*$J$3)</f>
        <v>41.416761430540461</v>
      </c>
      <c r="L133" s="141">
        <f>K133*D133*'B) D RI'!S135</f>
        <v>1369735.1340308341</v>
      </c>
      <c r="M133" s="14">
        <f>(('B) D RI'!S135*C133)-L133)/'B) D RI'!S135</f>
        <v>60201.490489984266</v>
      </c>
      <c r="N133" s="144">
        <f t="shared" ref="N133:N196" si="20">M133/D133</f>
        <v>96.476747580102995</v>
      </c>
      <c r="O133" s="83">
        <f t="shared" ref="O133:O196" si="21">N133/N$323</f>
        <v>2.2116723365996687</v>
      </c>
    </row>
    <row r="134" spans="1:15" x14ac:dyDescent="0.25">
      <c r="A134" s="61">
        <f>'A) Base RI'!A136</f>
        <v>5624</v>
      </c>
      <c r="B134" s="62" t="str">
        <f>'A) Base RI'!B136</f>
        <v>Bussigny</v>
      </c>
      <c r="C134" s="13">
        <f>'B) D RI'!U136</f>
        <v>312174.83774193545</v>
      </c>
      <c r="D134" s="42">
        <f>'B) D RI'!AR136</f>
        <v>8215</v>
      </c>
      <c r="E134" s="306">
        <f t="shared" si="18"/>
        <v>38.000588891288551</v>
      </c>
      <c r="F134" s="89">
        <f t="shared" ref="F134:F197" si="22">E134/$E$323</f>
        <v>0.82908222712779589</v>
      </c>
      <c r="G134" s="93">
        <f t="shared" ref="G134:G197" si="23">IF(E134-$G$2&lt;0,0,E134-$G$2)</f>
        <v>0</v>
      </c>
      <c r="H134" s="93">
        <f t="shared" ref="H134:H197" si="24">IF(E134-$H$2&lt;0,0,E134-$H$2)</f>
        <v>0</v>
      </c>
      <c r="I134" s="93">
        <f t="shared" ref="I134:I197" si="25">IF(E134-$I$2&lt;0,0,E134-$I$2)</f>
        <v>0</v>
      </c>
      <c r="J134" s="93">
        <f t="shared" ref="J134:J197" si="26">IF(E134-$J$2&lt;0,0,E134-$J$2)</f>
        <v>0</v>
      </c>
      <c r="K134" s="309">
        <f t="shared" si="19"/>
        <v>0</v>
      </c>
      <c r="L134" s="141">
        <f>K134*D134*'B) D RI'!S136</f>
        <v>0</v>
      </c>
      <c r="M134" s="14">
        <f>(('B) D RI'!S136*C134)-L134)/'B) D RI'!S136</f>
        <v>312174.83774193545</v>
      </c>
      <c r="N134" s="144">
        <f t="shared" si="20"/>
        <v>38.000588891288551</v>
      </c>
      <c r="O134" s="83">
        <f t="shared" si="21"/>
        <v>0.87114100893148949</v>
      </c>
    </row>
    <row r="135" spans="1:15" x14ac:dyDescent="0.25">
      <c r="A135" s="61">
        <f>'A) Base RI'!A137</f>
        <v>5625</v>
      </c>
      <c r="B135" s="62" t="str">
        <f>'A) Base RI'!B137</f>
        <v>Bussy-Chardonney</v>
      </c>
      <c r="C135" s="13">
        <f>'B) D RI'!U137</f>
        <v>16172.617200854704</v>
      </c>
      <c r="D135" s="42">
        <f>'B) D RI'!AR137</f>
        <v>377</v>
      </c>
      <c r="E135" s="306">
        <f t="shared" si="18"/>
        <v>42.898188861683565</v>
      </c>
      <c r="F135" s="89">
        <f t="shared" si="22"/>
        <v>0.93593617885608027</v>
      </c>
      <c r="G135" s="93">
        <f t="shared" si="23"/>
        <v>0</v>
      </c>
      <c r="H135" s="93">
        <f t="shared" si="24"/>
        <v>0</v>
      </c>
      <c r="I135" s="93">
        <f t="shared" si="25"/>
        <v>0</v>
      </c>
      <c r="J135" s="93">
        <f t="shared" si="26"/>
        <v>0</v>
      </c>
      <c r="K135" s="309">
        <f t="shared" si="19"/>
        <v>0</v>
      </c>
      <c r="L135" s="141">
        <f>K135*D135*'B) D RI'!S137</f>
        <v>0</v>
      </c>
      <c r="M135" s="14">
        <f>(('B) D RI'!S137*C135)-L135)/'B) D RI'!S137</f>
        <v>16172.617200854704</v>
      </c>
      <c r="N135" s="144">
        <f t="shared" si="20"/>
        <v>42.898188861683565</v>
      </c>
      <c r="O135" s="83">
        <f t="shared" si="21"/>
        <v>0.98341558951123464</v>
      </c>
    </row>
    <row r="136" spans="1:15" x14ac:dyDescent="0.25">
      <c r="A136" s="61">
        <f>'A) Base RI'!A138</f>
        <v>5627</v>
      </c>
      <c r="B136" s="62" t="str">
        <f>'A) Base RI'!B138</f>
        <v>Chavannes-près-Renens</v>
      </c>
      <c r="C136" s="13">
        <f>'B) D RI'!U138</f>
        <v>162511.92244725736</v>
      </c>
      <c r="D136" s="42">
        <f>'B) D RI'!AR138</f>
        <v>7374</v>
      </c>
      <c r="E136" s="306">
        <f t="shared" si="18"/>
        <v>22.03850317972028</v>
      </c>
      <c r="F136" s="89">
        <f t="shared" si="22"/>
        <v>0.48082758272712472</v>
      </c>
      <c r="G136" s="93">
        <f t="shared" si="23"/>
        <v>0</v>
      </c>
      <c r="H136" s="93">
        <f t="shared" si="24"/>
        <v>0</v>
      </c>
      <c r="I136" s="93">
        <f t="shared" si="25"/>
        <v>0</v>
      </c>
      <c r="J136" s="93">
        <f t="shared" si="26"/>
        <v>0</v>
      </c>
      <c r="K136" s="309">
        <f t="shared" si="19"/>
        <v>0</v>
      </c>
      <c r="L136" s="141">
        <f>K136*D136*'B) D RI'!S138</f>
        <v>0</v>
      </c>
      <c r="M136" s="14">
        <f>(('B) D RI'!S138*C136)-L136)/'B) D RI'!S138</f>
        <v>162511.92244725736</v>
      </c>
      <c r="N136" s="144">
        <f t="shared" si="20"/>
        <v>22.03850317972028</v>
      </c>
      <c r="O136" s="83">
        <f t="shared" si="21"/>
        <v>0.50521964147041309</v>
      </c>
    </row>
    <row r="137" spans="1:15" x14ac:dyDescent="0.25">
      <c r="A137" s="61">
        <f>'A) Base RI'!A139</f>
        <v>5628</v>
      </c>
      <c r="B137" s="62" t="str">
        <f>'A) Base RI'!B139</f>
        <v>Chigny</v>
      </c>
      <c r="C137" s="13">
        <f>'B) D RI'!U139</f>
        <v>19064.278346774194</v>
      </c>
      <c r="D137" s="42">
        <f>'B) D RI'!AR139</f>
        <v>331</v>
      </c>
      <c r="E137" s="306">
        <f t="shared" si="18"/>
        <v>57.596007089952245</v>
      </c>
      <c r="F137" s="89">
        <f t="shared" si="22"/>
        <v>1.2566075217521906</v>
      </c>
      <c r="G137" s="93">
        <f t="shared" si="23"/>
        <v>2.5945787907091358</v>
      </c>
      <c r="H137" s="93">
        <f t="shared" si="24"/>
        <v>0</v>
      </c>
      <c r="I137" s="93">
        <f t="shared" si="25"/>
        <v>0</v>
      </c>
      <c r="J137" s="93">
        <f t="shared" si="26"/>
        <v>0</v>
      </c>
      <c r="K137" s="309">
        <f t="shared" si="19"/>
        <v>0.93404836465528884</v>
      </c>
      <c r="L137" s="141">
        <f>K137*D137*'B) D RI'!S139</f>
        <v>19168.540539455837</v>
      </c>
      <c r="M137" s="14">
        <f>(('B) D RI'!S139*C137)-L137)/'B) D RI'!S139</f>
        <v>18755.108338073293</v>
      </c>
      <c r="N137" s="144">
        <f t="shared" si="20"/>
        <v>56.661958725296955</v>
      </c>
      <c r="O137" s="83">
        <f t="shared" si="21"/>
        <v>1.298941867274727</v>
      </c>
    </row>
    <row r="138" spans="1:15" x14ac:dyDescent="0.25">
      <c r="A138" s="61">
        <f>'A) Base RI'!A140</f>
        <v>5629</v>
      </c>
      <c r="B138" s="62" t="str">
        <f>'A) Base RI'!B140</f>
        <v>Clarmont</v>
      </c>
      <c r="C138" s="13">
        <f>'B) D RI'!U140</f>
        <v>7581.8990666666659</v>
      </c>
      <c r="D138" s="42">
        <f>'B) D RI'!AR140</f>
        <v>160</v>
      </c>
      <c r="E138" s="306">
        <f t="shared" si="18"/>
        <v>47.386869166666663</v>
      </c>
      <c r="F138" s="89">
        <f t="shared" si="22"/>
        <v>1.0338684786624444</v>
      </c>
      <c r="G138" s="93">
        <f t="shared" si="23"/>
        <v>0</v>
      </c>
      <c r="H138" s="93">
        <f t="shared" si="24"/>
        <v>0</v>
      </c>
      <c r="I138" s="93">
        <f t="shared" si="25"/>
        <v>0</v>
      </c>
      <c r="J138" s="93">
        <f t="shared" si="26"/>
        <v>0</v>
      </c>
      <c r="K138" s="309">
        <f t="shared" si="19"/>
        <v>0</v>
      </c>
      <c r="L138" s="141">
        <f>K138*D138*'B) D RI'!S140</f>
        <v>0</v>
      </c>
      <c r="M138" s="14">
        <f>(('B) D RI'!S140*C138)-L138)/'B) D RI'!S140</f>
        <v>7581.8990666666659</v>
      </c>
      <c r="N138" s="144">
        <f t="shared" si="20"/>
        <v>47.386869166666663</v>
      </c>
      <c r="O138" s="83">
        <f t="shared" si="21"/>
        <v>1.0863159287886159</v>
      </c>
    </row>
    <row r="139" spans="1:15" x14ac:dyDescent="0.25">
      <c r="A139" s="61">
        <f>'A) Base RI'!A141</f>
        <v>5631</v>
      </c>
      <c r="B139" s="62" t="str">
        <f>'A) Base RI'!B141</f>
        <v>Denens</v>
      </c>
      <c r="C139" s="13">
        <f>'B) D RI'!U141</f>
        <v>34218.35955882354</v>
      </c>
      <c r="D139" s="42">
        <f>'B) D RI'!AR141</f>
        <v>714</v>
      </c>
      <c r="E139" s="306">
        <f t="shared" si="18"/>
        <v>47.924873331685632</v>
      </c>
      <c r="F139" s="89">
        <f t="shared" si="22"/>
        <v>1.0456064465295742</v>
      </c>
      <c r="G139" s="93">
        <f t="shared" si="23"/>
        <v>0</v>
      </c>
      <c r="H139" s="93">
        <f t="shared" si="24"/>
        <v>0</v>
      </c>
      <c r="I139" s="93">
        <f t="shared" si="25"/>
        <v>0</v>
      </c>
      <c r="J139" s="93">
        <f t="shared" si="26"/>
        <v>0</v>
      </c>
      <c r="K139" s="309">
        <f t="shared" si="19"/>
        <v>0</v>
      </c>
      <c r="L139" s="141">
        <f>K139*D139*'B) D RI'!S141</f>
        <v>0</v>
      </c>
      <c r="M139" s="14">
        <f>(('B) D RI'!S141*C139)-L139)/'B) D RI'!S141</f>
        <v>34218.35955882354</v>
      </c>
      <c r="N139" s="144">
        <f t="shared" si="20"/>
        <v>47.924873331685632</v>
      </c>
      <c r="O139" s="83">
        <f t="shared" si="21"/>
        <v>1.0986493558432533</v>
      </c>
    </row>
    <row r="140" spans="1:15" x14ac:dyDescent="0.25">
      <c r="A140" s="61">
        <f>'A) Base RI'!A142</f>
        <v>5632</v>
      </c>
      <c r="B140" s="62" t="str">
        <f>'A) Base RI'!B142</f>
        <v>Denges</v>
      </c>
      <c r="C140" s="13">
        <f>'B) D RI'!U142</f>
        <v>70599.599193548376</v>
      </c>
      <c r="D140" s="42">
        <f>'B) D RI'!AR142</f>
        <v>1651</v>
      </c>
      <c r="E140" s="306">
        <f t="shared" si="18"/>
        <v>42.761719681131666</v>
      </c>
      <c r="F140" s="89">
        <f t="shared" si="22"/>
        <v>0.93295874678338386</v>
      </c>
      <c r="G140" s="93">
        <f t="shared" si="23"/>
        <v>0</v>
      </c>
      <c r="H140" s="93">
        <f t="shared" si="24"/>
        <v>0</v>
      </c>
      <c r="I140" s="93">
        <f t="shared" si="25"/>
        <v>0</v>
      </c>
      <c r="J140" s="93">
        <f t="shared" si="26"/>
        <v>0</v>
      </c>
      <c r="K140" s="309">
        <f t="shared" si="19"/>
        <v>0</v>
      </c>
      <c r="L140" s="141">
        <f>K140*D140*'B) D RI'!S142</f>
        <v>0</v>
      </c>
      <c r="M140" s="14">
        <f>(('B) D RI'!S142*C140)-L140)/'B) D RI'!S142</f>
        <v>70599.599193548376</v>
      </c>
      <c r="N140" s="144">
        <f t="shared" si="20"/>
        <v>42.761719681131666</v>
      </c>
      <c r="O140" s="83">
        <f t="shared" si="21"/>
        <v>0.98028711431907023</v>
      </c>
    </row>
    <row r="141" spans="1:15" x14ac:dyDescent="0.25">
      <c r="A141" s="61">
        <f>'A) Base RI'!A143</f>
        <v>5633</v>
      </c>
      <c r="B141" s="62" t="str">
        <f>'A) Base RI'!B143</f>
        <v>Echandens</v>
      </c>
      <c r="C141" s="13">
        <f>'B) D RI'!U143</f>
        <v>123013.45645161292</v>
      </c>
      <c r="D141" s="42">
        <f>'B) D RI'!AR143</f>
        <v>2631</v>
      </c>
      <c r="E141" s="306">
        <f t="shared" si="18"/>
        <v>46.755399639533607</v>
      </c>
      <c r="F141" s="89">
        <f t="shared" si="22"/>
        <v>1.0200913194869237</v>
      </c>
      <c r="G141" s="93">
        <f t="shared" si="23"/>
        <v>0</v>
      </c>
      <c r="H141" s="93">
        <f t="shared" si="24"/>
        <v>0</v>
      </c>
      <c r="I141" s="93">
        <f t="shared" si="25"/>
        <v>0</v>
      </c>
      <c r="J141" s="93">
        <f t="shared" si="26"/>
        <v>0</v>
      </c>
      <c r="K141" s="309">
        <f t="shared" si="19"/>
        <v>0</v>
      </c>
      <c r="L141" s="141">
        <f>K141*D141*'B) D RI'!S143</f>
        <v>0</v>
      </c>
      <c r="M141" s="14">
        <f>(('B) D RI'!S143*C141)-L141)/'B) D RI'!S143</f>
        <v>123013.45645161292</v>
      </c>
      <c r="N141" s="144">
        <f t="shared" si="20"/>
        <v>46.755399639533607</v>
      </c>
      <c r="O141" s="83">
        <f t="shared" si="21"/>
        <v>1.0718398636268394</v>
      </c>
    </row>
    <row r="142" spans="1:15" x14ac:dyDescent="0.25">
      <c r="A142" s="61">
        <f>'A) Base RI'!A144</f>
        <v>5634</v>
      </c>
      <c r="B142" s="62" t="str">
        <f>'A) Base RI'!B144</f>
        <v>Echichens</v>
      </c>
      <c r="C142" s="13">
        <f>'B) D RI'!U144</f>
        <v>121660.2017647059</v>
      </c>
      <c r="D142" s="42">
        <f>'B) D RI'!AR144</f>
        <v>2585</v>
      </c>
      <c r="E142" s="306">
        <f t="shared" si="18"/>
        <v>47.063907839344644</v>
      </c>
      <c r="F142" s="89">
        <f t="shared" si="22"/>
        <v>1.0268222326871965</v>
      </c>
      <c r="G142" s="93">
        <f t="shared" si="23"/>
        <v>0</v>
      </c>
      <c r="H142" s="93">
        <f t="shared" si="24"/>
        <v>0</v>
      </c>
      <c r="I142" s="93">
        <f t="shared" si="25"/>
        <v>0</v>
      </c>
      <c r="J142" s="93">
        <f t="shared" si="26"/>
        <v>0</v>
      </c>
      <c r="K142" s="309">
        <f t="shared" si="19"/>
        <v>0</v>
      </c>
      <c r="L142" s="141">
        <f>K142*D142*'B) D RI'!S144</f>
        <v>0</v>
      </c>
      <c r="M142" s="14">
        <f>(('B) D RI'!S144*C142)-L142)/'B) D RI'!S144</f>
        <v>121660.2017647059</v>
      </c>
      <c r="N142" s="144">
        <f t="shared" si="20"/>
        <v>47.063907839344644</v>
      </c>
      <c r="O142" s="83">
        <f t="shared" si="21"/>
        <v>1.0789122315108179</v>
      </c>
    </row>
    <row r="143" spans="1:15" x14ac:dyDescent="0.25">
      <c r="A143" s="61">
        <f>'A) Base RI'!A145</f>
        <v>5635</v>
      </c>
      <c r="B143" s="62" t="str">
        <f>'A) Base RI'!B145</f>
        <v>Ecublens</v>
      </c>
      <c r="C143" s="13">
        <f>'B) D RI'!U145</f>
        <v>470087.75038200343</v>
      </c>
      <c r="D143" s="42">
        <f>'B) D RI'!AR145</f>
        <v>12288</v>
      </c>
      <c r="E143" s="306">
        <f t="shared" si="18"/>
        <v>38.255839061035438</v>
      </c>
      <c r="F143" s="89">
        <f t="shared" si="22"/>
        <v>0.83465117711996328</v>
      </c>
      <c r="G143" s="93">
        <f t="shared" si="23"/>
        <v>0</v>
      </c>
      <c r="H143" s="93">
        <f t="shared" si="24"/>
        <v>0</v>
      </c>
      <c r="I143" s="93">
        <f t="shared" si="25"/>
        <v>0</v>
      </c>
      <c r="J143" s="93">
        <f t="shared" si="26"/>
        <v>0</v>
      </c>
      <c r="K143" s="309">
        <f t="shared" si="19"/>
        <v>0</v>
      </c>
      <c r="L143" s="141">
        <f>K143*D143*'B) D RI'!S145</f>
        <v>0</v>
      </c>
      <c r="M143" s="14">
        <f>(('B) D RI'!S145*C143)-L143)/'B) D RI'!S145</f>
        <v>470087.75038200343</v>
      </c>
      <c r="N143" s="144">
        <f t="shared" si="20"/>
        <v>38.255839061035438</v>
      </c>
      <c r="O143" s="83">
        <f t="shared" si="21"/>
        <v>0.87699246799806752</v>
      </c>
    </row>
    <row r="144" spans="1:15" x14ac:dyDescent="0.25">
      <c r="A144" s="61">
        <f>'A) Base RI'!A146</f>
        <v>5636</v>
      </c>
      <c r="B144" s="62" t="str">
        <f>'A) Base RI'!B146</f>
        <v>Etoy</v>
      </c>
      <c r="C144" s="13">
        <f>'B) D RI'!U146</f>
        <v>158779.04229508198</v>
      </c>
      <c r="D144" s="42">
        <f>'B) D RI'!AR146</f>
        <v>2932</v>
      </c>
      <c r="E144" s="306">
        <f t="shared" si="18"/>
        <v>54.153834343479531</v>
      </c>
      <c r="F144" s="89">
        <f t="shared" si="22"/>
        <v>1.1815075211977668</v>
      </c>
      <c r="G144" s="93">
        <f t="shared" si="23"/>
        <v>0</v>
      </c>
      <c r="H144" s="93">
        <f t="shared" si="24"/>
        <v>0</v>
      </c>
      <c r="I144" s="93">
        <f t="shared" si="25"/>
        <v>0</v>
      </c>
      <c r="J144" s="93">
        <f t="shared" si="26"/>
        <v>0</v>
      </c>
      <c r="K144" s="309">
        <f t="shared" si="19"/>
        <v>0</v>
      </c>
      <c r="L144" s="141">
        <f>K144*D144*'B) D RI'!S146</f>
        <v>0</v>
      </c>
      <c r="M144" s="14">
        <f>(('B) D RI'!S146*C144)-L144)/'B) D RI'!S146</f>
        <v>158779.04229508198</v>
      </c>
      <c r="N144" s="144">
        <f t="shared" si="20"/>
        <v>54.153834343479531</v>
      </c>
      <c r="O144" s="83">
        <f t="shared" si="21"/>
        <v>1.2414446003046622</v>
      </c>
    </row>
    <row r="145" spans="1:15" x14ac:dyDescent="0.25">
      <c r="A145" s="61">
        <f>'A) Base RI'!A147</f>
        <v>5637</v>
      </c>
      <c r="B145" s="62" t="str">
        <f>'A) Base RI'!B147</f>
        <v>Lavigny</v>
      </c>
      <c r="C145" s="13">
        <f>'B) D RI'!U147</f>
        <v>31075.388277404931</v>
      </c>
      <c r="D145" s="42">
        <f>'B) D RI'!AR147</f>
        <v>981</v>
      </c>
      <c r="E145" s="306">
        <f t="shared" si="18"/>
        <v>31.677256144143659</v>
      </c>
      <c r="F145" s="89">
        <f t="shared" si="22"/>
        <v>0.69112218624867039</v>
      </c>
      <c r="G145" s="93">
        <f t="shared" si="23"/>
        <v>0</v>
      </c>
      <c r="H145" s="93">
        <f t="shared" si="24"/>
        <v>0</v>
      </c>
      <c r="I145" s="93">
        <f t="shared" si="25"/>
        <v>0</v>
      </c>
      <c r="J145" s="93">
        <f t="shared" si="26"/>
        <v>0</v>
      </c>
      <c r="K145" s="309">
        <f t="shared" si="19"/>
        <v>0</v>
      </c>
      <c r="L145" s="141">
        <f>K145*D145*'B) D RI'!S147</f>
        <v>0</v>
      </c>
      <c r="M145" s="14">
        <f>(('B) D RI'!S147*C145)-L145)/'B) D RI'!S147</f>
        <v>31075.388277404931</v>
      </c>
      <c r="N145" s="144">
        <f t="shared" si="20"/>
        <v>31.677256144143659</v>
      </c>
      <c r="O145" s="83">
        <f t="shared" si="21"/>
        <v>0.72618234829294004</v>
      </c>
    </row>
    <row r="146" spans="1:15" x14ac:dyDescent="0.25">
      <c r="A146" s="61">
        <f>'A) Base RI'!A148</f>
        <v>5638</v>
      </c>
      <c r="B146" s="62" t="str">
        <f>'A) Base RI'!B148</f>
        <v>Lonay</v>
      </c>
      <c r="C146" s="13">
        <f>'B) D RI'!U148</f>
        <v>152475.57054545457</v>
      </c>
      <c r="D146" s="42">
        <f>'B) D RI'!AR148</f>
        <v>2536</v>
      </c>
      <c r="E146" s="306">
        <f t="shared" si="18"/>
        <v>60.124436334958425</v>
      </c>
      <c r="F146" s="89">
        <f t="shared" si="22"/>
        <v>1.3117718181682743</v>
      </c>
      <c r="G146" s="93">
        <f t="shared" si="23"/>
        <v>5.1230080357153156</v>
      </c>
      <c r="H146" s="93">
        <f t="shared" si="24"/>
        <v>0</v>
      </c>
      <c r="I146" s="93">
        <f t="shared" si="25"/>
        <v>0</v>
      </c>
      <c r="J146" s="93">
        <f t="shared" si="26"/>
        <v>0</v>
      </c>
      <c r="K146" s="309">
        <f t="shared" si="19"/>
        <v>1.8442828928575135</v>
      </c>
      <c r="L146" s="141">
        <f>K146*D146*'B) D RI'!S148</f>
        <v>257240.57789576598</v>
      </c>
      <c r="M146" s="14">
        <f>(('B) D RI'!S148*C146)-L146)/'B) D RI'!S148</f>
        <v>147798.4691291679</v>
      </c>
      <c r="N146" s="144">
        <f t="shared" si="20"/>
        <v>58.280153442100911</v>
      </c>
      <c r="O146" s="83">
        <f t="shared" si="21"/>
        <v>1.3360380233968594</v>
      </c>
    </row>
    <row r="147" spans="1:15" x14ac:dyDescent="0.25">
      <c r="A147" s="61">
        <f>'A) Base RI'!A149</f>
        <v>5639</v>
      </c>
      <c r="B147" s="62" t="str">
        <f>'A) Base RI'!B149</f>
        <v>Lully</v>
      </c>
      <c r="C147" s="13">
        <f>'B) D RI'!U149</f>
        <v>42318.428360655736</v>
      </c>
      <c r="D147" s="42">
        <f>'B) D RI'!AR149</f>
        <v>760</v>
      </c>
      <c r="E147" s="306">
        <f t="shared" si="18"/>
        <v>55.682142579810183</v>
      </c>
      <c r="F147" s="89">
        <f t="shared" si="22"/>
        <v>1.2148515622582792</v>
      </c>
      <c r="G147" s="93">
        <f t="shared" si="23"/>
        <v>0.68071428056707362</v>
      </c>
      <c r="H147" s="93">
        <f t="shared" si="24"/>
        <v>0</v>
      </c>
      <c r="I147" s="93">
        <f t="shared" si="25"/>
        <v>0</v>
      </c>
      <c r="J147" s="93">
        <f t="shared" si="26"/>
        <v>0</v>
      </c>
      <c r="K147" s="309">
        <f t="shared" si="19"/>
        <v>0.24505714100414649</v>
      </c>
      <c r="L147" s="141">
        <f>K147*D147*'B) D RI'!S149</f>
        <v>11360.849056952231</v>
      </c>
      <c r="M147" s="14">
        <f>(('B) D RI'!S149*C147)-L147)/'B) D RI'!S149</f>
        <v>42132.184933492586</v>
      </c>
      <c r="N147" s="144">
        <f t="shared" si="20"/>
        <v>55.437085438806037</v>
      </c>
      <c r="O147" s="83">
        <f t="shared" si="21"/>
        <v>1.2708623721474412</v>
      </c>
    </row>
    <row r="148" spans="1:15" x14ac:dyDescent="0.25">
      <c r="A148" s="61">
        <f>'A) Base RI'!A150</f>
        <v>5640</v>
      </c>
      <c r="B148" s="62" t="str">
        <f>'A) Base RI'!B150</f>
        <v>Lussy-sur-Morges</v>
      </c>
      <c r="C148" s="13">
        <f>'B) D RI'!U150</f>
        <v>45310.844393939391</v>
      </c>
      <c r="D148" s="42">
        <f>'B) D RI'!AR150</f>
        <v>646</v>
      </c>
      <c r="E148" s="306">
        <f t="shared" si="18"/>
        <v>70.140625996810201</v>
      </c>
      <c r="F148" s="89">
        <f t="shared" si="22"/>
        <v>1.5303011903298247</v>
      </c>
      <c r="G148" s="93">
        <f t="shared" si="23"/>
        <v>15.139197697567091</v>
      </c>
      <c r="H148" s="93">
        <f t="shared" si="24"/>
        <v>1.3888406227563053</v>
      </c>
      <c r="I148" s="93">
        <f t="shared" si="25"/>
        <v>0</v>
      </c>
      <c r="J148" s="93">
        <f t="shared" si="26"/>
        <v>0</v>
      </c>
      <c r="K148" s="309">
        <f t="shared" si="19"/>
        <v>5.5889952333997837</v>
      </c>
      <c r="L148" s="141">
        <f>K148*D148*'B) D RI'!S150</f>
        <v>238292.40077123317</v>
      </c>
      <c r="M148" s="14">
        <f>(('B) D RI'!S150*C148)-L148)/'B) D RI'!S150</f>
        <v>41700.35347316313</v>
      </c>
      <c r="N148" s="144">
        <f t="shared" si="20"/>
        <v>64.551630763410415</v>
      </c>
      <c r="O148" s="83">
        <f t="shared" si="21"/>
        <v>1.4798079290897934</v>
      </c>
    </row>
    <row r="149" spans="1:15" x14ac:dyDescent="0.25">
      <c r="A149" s="61">
        <f>'A) Base RI'!A151</f>
        <v>5642</v>
      </c>
      <c r="B149" s="62" t="str">
        <f>'A) Base RI'!B151</f>
        <v>Morges</v>
      </c>
      <c r="C149" s="13">
        <f>'B) D RI'!U151</f>
        <v>715380.13065693423</v>
      </c>
      <c r="D149" s="42">
        <f>'B) D RI'!AR151</f>
        <v>15623</v>
      </c>
      <c r="E149" s="306">
        <f t="shared" si="18"/>
        <v>45.790189506300599</v>
      </c>
      <c r="F149" s="89">
        <f t="shared" si="22"/>
        <v>0.99903273617926891</v>
      </c>
      <c r="G149" s="93">
        <f t="shared" si="23"/>
        <v>0</v>
      </c>
      <c r="H149" s="93">
        <f t="shared" si="24"/>
        <v>0</v>
      </c>
      <c r="I149" s="93">
        <f t="shared" si="25"/>
        <v>0</v>
      </c>
      <c r="J149" s="93">
        <f t="shared" si="26"/>
        <v>0</v>
      </c>
      <c r="K149" s="309">
        <f t="shared" si="19"/>
        <v>0</v>
      </c>
      <c r="L149" s="141">
        <f>K149*D149*'B) D RI'!S151</f>
        <v>0</v>
      </c>
      <c r="M149" s="14">
        <f>(('B) D RI'!S151*C149)-L149)/'B) D RI'!S151</f>
        <v>715380.13065693423</v>
      </c>
      <c r="N149" s="144">
        <f t="shared" si="20"/>
        <v>45.790189506300599</v>
      </c>
      <c r="O149" s="83">
        <f t="shared" si="21"/>
        <v>1.0497129926012101</v>
      </c>
    </row>
    <row r="150" spans="1:15" x14ac:dyDescent="0.25">
      <c r="A150" s="61">
        <f>'A) Base RI'!A152</f>
        <v>5643</v>
      </c>
      <c r="B150" s="62" t="str">
        <f>'A) Base RI'!B152</f>
        <v>Préverenges</v>
      </c>
      <c r="C150" s="13">
        <f>'B) D RI'!U152</f>
        <v>249793.53640625</v>
      </c>
      <c r="D150" s="42">
        <f>'B) D RI'!AR152</f>
        <v>5263</v>
      </c>
      <c r="E150" s="306">
        <f t="shared" si="18"/>
        <v>47.462195783060992</v>
      </c>
      <c r="F150" s="89">
        <f t="shared" si="22"/>
        <v>1.0355119257958789</v>
      </c>
      <c r="G150" s="93">
        <f t="shared" si="23"/>
        <v>0</v>
      </c>
      <c r="H150" s="93">
        <f t="shared" si="24"/>
        <v>0</v>
      </c>
      <c r="I150" s="93">
        <f t="shared" si="25"/>
        <v>0</v>
      </c>
      <c r="J150" s="93">
        <f t="shared" si="26"/>
        <v>0</v>
      </c>
      <c r="K150" s="309">
        <f t="shared" si="19"/>
        <v>0</v>
      </c>
      <c r="L150" s="141">
        <f>K150*D150*'B) D RI'!S152</f>
        <v>0</v>
      </c>
      <c r="M150" s="14">
        <f>(('B) D RI'!S152*C150)-L150)/'B) D RI'!S152</f>
        <v>249793.53640625</v>
      </c>
      <c r="N150" s="144">
        <f t="shared" si="20"/>
        <v>47.462195783060992</v>
      </c>
      <c r="O150" s="83">
        <f t="shared" si="21"/>
        <v>1.088042746885906</v>
      </c>
    </row>
    <row r="151" spans="1:15" x14ac:dyDescent="0.25">
      <c r="A151" s="61">
        <f>'A) Base RI'!A153</f>
        <v>5644</v>
      </c>
      <c r="B151" s="62" t="str">
        <f>'A) Base RI'!B153</f>
        <v>Reverolle</v>
      </c>
      <c r="C151" s="13">
        <f>'B) D RI'!U153</f>
        <v>15594.857631578949</v>
      </c>
      <c r="D151" s="42">
        <f>'B) D RI'!AR153</f>
        <v>360</v>
      </c>
      <c r="E151" s="306">
        <f t="shared" si="18"/>
        <v>43.319048976608194</v>
      </c>
      <c r="F151" s="89">
        <f t="shared" si="22"/>
        <v>0.9451183429112</v>
      </c>
      <c r="G151" s="93">
        <f t="shared" si="23"/>
        <v>0</v>
      </c>
      <c r="H151" s="93">
        <f t="shared" si="24"/>
        <v>0</v>
      </c>
      <c r="I151" s="93">
        <f t="shared" si="25"/>
        <v>0</v>
      </c>
      <c r="J151" s="93">
        <f t="shared" si="26"/>
        <v>0</v>
      </c>
      <c r="K151" s="309">
        <f t="shared" si="19"/>
        <v>0</v>
      </c>
      <c r="L151" s="141">
        <f>K151*D151*'B) D RI'!S153</f>
        <v>0</v>
      </c>
      <c r="M151" s="14">
        <f>(('B) D RI'!S153*C151)-L151)/'B) D RI'!S153</f>
        <v>15594.857631578949</v>
      </c>
      <c r="N151" s="144">
        <f t="shared" si="20"/>
        <v>43.319048976608194</v>
      </c>
      <c r="O151" s="83">
        <f t="shared" si="21"/>
        <v>0.99306355855148576</v>
      </c>
    </row>
    <row r="152" spans="1:15" x14ac:dyDescent="0.25">
      <c r="A152" s="61">
        <f>'A) Base RI'!A154</f>
        <v>5645</v>
      </c>
      <c r="B152" s="62" t="str">
        <f>'A) Base RI'!B154</f>
        <v>Romanel-sur-Morges</v>
      </c>
      <c r="C152" s="13">
        <f>'B) D RI'!U154</f>
        <v>25378.60526785714</v>
      </c>
      <c r="D152" s="42">
        <f>'B) D RI'!AR154</f>
        <v>459</v>
      </c>
      <c r="E152" s="306">
        <f t="shared" si="18"/>
        <v>55.291079014939299</v>
      </c>
      <c r="F152" s="89">
        <f t="shared" si="22"/>
        <v>1.2063194878675578</v>
      </c>
      <c r="G152" s="93">
        <f t="shared" si="23"/>
        <v>0.28965071569619028</v>
      </c>
      <c r="H152" s="93">
        <f t="shared" si="24"/>
        <v>0</v>
      </c>
      <c r="I152" s="93">
        <f t="shared" si="25"/>
        <v>0</v>
      </c>
      <c r="J152" s="93">
        <f t="shared" si="26"/>
        <v>0</v>
      </c>
      <c r="K152" s="309">
        <f t="shared" si="19"/>
        <v>0.10427425765062849</v>
      </c>
      <c r="L152" s="141">
        <f>K152*D152*'B) D RI'!S154</f>
        <v>2680.265518651755</v>
      </c>
      <c r="M152" s="14">
        <f>(('B) D RI'!S154*C152)-L152)/'B) D RI'!S154</f>
        <v>25330.743383595498</v>
      </c>
      <c r="N152" s="144">
        <f t="shared" si="20"/>
        <v>55.18680475728867</v>
      </c>
      <c r="O152" s="83">
        <f t="shared" si="21"/>
        <v>1.2651248356572349</v>
      </c>
    </row>
    <row r="153" spans="1:15" x14ac:dyDescent="0.25">
      <c r="A153" s="61">
        <f>'A) Base RI'!A155</f>
        <v>5646</v>
      </c>
      <c r="B153" s="62" t="str">
        <f>'A) Base RI'!B155</f>
        <v>Saint-Prex</v>
      </c>
      <c r="C153" s="13">
        <f>'B) D RI'!U155</f>
        <v>307317.64145454549</v>
      </c>
      <c r="D153" s="42">
        <f>'B) D RI'!AR155</f>
        <v>5604</v>
      </c>
      <c r="E153" s="306">
        <f t="shared" si="18"/>
        <v>54.838979560054511</v>
      </c>
      <c r="F153" s="89">
        <f t="shared" si="22"/>
        <v>1.1964557559129969</v>
      </c>
      <c r="G153" s="93">
        <f t="shared" si="23"/>
        <v>0</v>
      </c>
      <c r="H153" s="93">
        <f t="shared" si="24"/>
        <v>0</v>
      </c>
      <c r="I153" s="93">
        <f t="shared" si="25"/>
        <v>0</v>
      </c>
      <c r="J153" s="93">
        <f t="shared" si="26"/>
        <v>0</v>
      </c>
      <c r="K153" s="309">
        <f t="shared" si="19"/>
        <v>0</v>
      </c>
      <c r="L153" s="141">
        <f>K153*D153*'B) D RI'!S155</f>
        <v>0</v>
      </c>
      <c r="M153" s="14">
        <f>(('B) D RI'!S155*C153)-L153)/'B) D RI'!S155</f>
        <v>307317.64145454549</v>
      </c>
      <c r="N153" s="144">
        <f t="shared" si="20"/>
        <v>54.838979560054511</v>
      </c>
      <c r="O153" s="83">
        <f t="shared" si="21"/>
        <v>1.257151148877875</v>
      </c>
    </row>
    <row r="154" spans="1:15" x14ac:dyDescent="0.25">
      <c r="A154" s="61">
        <f>'A) Base RI'!A156</f>
        <v>5648</v>
      </c>
      <c r="B154" s="62" t="str">
        <f>'A) Base RI'!B156</f>
        <v>Saint-Sulpice</v>
      </c>
      <c r="C154" s="13">
        <f>'B) D RI'!U156</f>
        <v>307335.61263636366</v>
      </c>
      <c r="D154" s="42">
        <f>'B) D RI'!AR156</f>
        <v>3898</v>
      </c>
      <c r="E154" s="306">
        <f t="shared" si="18"/>
        <v>78.844436284341626</v>
      </c>
      <c r="F154" s="89">
        <f t="shared" si="22"/>
        <v>1.7201975742603024</v>
      </c>
      <c r="G154" s="93">
        <f t="shared" si="23"/>
        <v>23.843007985098517</v>
      </c>
      <c r="H154" s="93">
        <f t="shared" si="24"/>
        <v>10.09265091028773</v>
      </c>
      <c r="I154" s="93">
        <f t="shared" si="25"/>
        <v>0</v>
      </c>
      <c r="J154" s="93">
        <f t="shared" si="26"/>
        <v>0</v>
      </c>
      <c r="K154" s="309">
        <f t="shared" si="19"/>
        <v>9.5927479656642394</v>
      </c>
      <c r="L154" s="141">
        <f>K154*D154*'B) D RI'!S156</f>
        <v>2056589.2363587562</v>
      </c>
      <c r="M154" s="14">
        <f>(('B) D RI'!S156*C154)-L154)/'B) D RI'!S156</f>
        <v>269943.08106620441</v>
      </c>
      <c r="N154" s="144">
        <f t="shared" si="20"/>
        <v>69.251688318677381</v>
      </c>
      <c r="O154" s="83">
        <f t="shared" si="21"/>
        <v>1.5875539667221197</v>
      </c>
    </row>
    <row r="155" spans="1:15" x14ac:dyDescent="0.25">
      <c r="A155" s="61">
        <f>'A) Base RI'!A157</f>
        <v>5649</v>
      </c>
      <c r="B155" s="62" t="str">
        <f>'A) Base RI'!B157</f>
        <v>Tolochenaz</v>
      </c>
      <c r="C155" s="13">
        <f>'B) D RI'!U157</f>
        <v>109360.12415384616</v>
      </c>
      <c r="D155" s="42">
        <f>'B) D RI'!AR157</f>
        <v>1855</v>
      </c>
      <c r="E155" s="306">
        <f t="shared" si="18"/>
        <v>58.954244826871246</v>
      </c>
      <c r="F155" s="89">
        <f t="shared" si="22"/>
        <v>1.286241030093741</v>
      </c>
      <c r="G155" s="93">
        <f t="shared" si="23"/>
        <v>3.9528165276281371</v>
      </c>
      <c r="H155" s="93">
        <f t="shared" si="24"/>
        <v>0</v>
      </c>
      <c r="I155" s="93">
        <f t="shared" si="25"/>
        <v>0</v>
      </c>
      <c r="J155" s="93">
        <f t="shared" si="26"/>
        <v>0</v>
      </c>
      <c r="K155" s="309">
        <f t="shared" si="19"/>
        <v>1.4230139499461294</v>
      </c>
      <c r="L155" s="141">
        <f>K155*D155*'B) D RI'!S157</f>
        <v>171579.90701475454</v>
      </c>
      <c r="M155" s="14">
        <f>(('B) D RI'!S157*C155)-L155)/'B) D RI'!S157</f>
        <v>106720.43327669609</v>
      </c>
      <c r="N155" s="144">
        <f t="shared" si="20"/>
        <v>57.531230876925115</v>
      </c>
      <c r="O155" s="83">
        <f t="shared" si="21"/>
        <v>1.31886941685486</v>
      </c>
    </row>
    <row r="156" spans="1:15" x14ac:dyDescent="0.25">
      <c r="A156" s="61">
        <f>'A) Base RI'!A158</f>
        <v>5650</v>
      </c>
      <c r="B156" s="62" t="str">
        <f>'A) Base RI'!B158</f>
        <v>Vaux-sur-Morges</v>
      </c>
      <c r="C156" s="13">
        <f>'B) D RI'!U158</f>
        <v>185061.46846153846</v>
      </c>
      <c r="D156" s="42">
        <f>'B) D RI'!AR158</f>
        <v>203</v>
      </c>
      <c r="E156" s="306">
        <f t="shared" si="18"/>
        <v>911.63284956422888</v>
      </c>
      <c r="F156" s="89">
        <f t="shared" si="22"/>
        <v>19.889654747240971</v>
      </c>
      <c r="G156" s="93">
        <f t="shared" si="23"/>
        <v>856.63142126498576</v>
      </c>
      <c r="H156" s="93">
        <f t="shared" si="24"/>
        <v>842.88106419017504</v>
      </c>
      <c r="I156" s="93">
        <f t="shared" si="25"/>
        <v>819.96380239882365</v>
      </c>
      <c r="J156" s="93">
        <f t="shared" si="26"/>
        <v>774.12927881612109</v>
      </c>
      <c r="K156" s="309">
        <f t="shared" si="19"/>
        <v>552.08472619590691</v>
      </c>
      <c r="L156" s="141">
        <f>K156*D156*'B) D RI'!S158</f>
        <v>4370854.7772929948</v>
      </c>
      <c r="M156" s="14">
        <f>(('B) D RI'!S158*C156)-L156)/'B) D RI'!S158</f>
        <v>72988.269043769353</v>
      </c>
      <c r="N156" s="144">
        <f t="shared" si="20"/>
        <v>359.54812336832191</v>
      </c>
      <c r="O156" s="83">
        <f t="shared" si="21"/>
        <v>8.2424279225395658</v>
      </c>
    </row>
    <row r="157" spans="1:15" x14ac:dyDescent="0.25">
      <c r="A157" s="61">
        <f>'A) Base RI'!A159</f>
        <v>5651</v>
      </c>
      <c r="B157" s="62" t="str">
        <f>'A) Base RI'!B159</f>
        <v>Villars-Sainte-Croix</v>
      </c>
      <c r="C157" s="13">
        <f>'B) D RI'!U159</f>
        <v>37823.297796610175</v>
      </c>
      <c r="D157" s="42">
        <f>'B) D RI'!AR159</f>
        <v>709</v>
      </c>
      <c r="E157" s="306">
        <f t="shared" si="18"/>
        <v>53.347387583371194</v>
      </c>
      <c r="F157" s="89">
        <f t="shared" si="22"/>
        <v>1.163912776078333</v>
      </c>
      <c r="G157" s="93">
        <f t="shared" si="23"/>
        <v>0</v>
      </c>
      <c r="H157" s="93">
        <f t="shared" si="24"/>
        <v>0</v>
      </c>
      <c r="I157" s="93">
        <f t="shared" si="25"/>
        <v>0</v>
      </c>
      <c r="J157" s="93">
        <f t="shared" si="26"/>
        <v>0</v>
      </c>
      <c r="K157" s="309">
        <f t="shared" si="19"/>
        <v>0</v>
      </c>
      <c r="L157" s="141">
        <f>K157*D157*'B) D RI'!S159</f>
        <v>0</v>
      </c>
      <c r="M157" s="14">
        <f>(('B) D RI'!S159*C157)-L157)/'B) D RI'!S159</f>
        <v>37823.297796610175</v>
      </c>
      <c r="N157" s="144">
        <f t="shared" si="20"/>
        <v>53.347387583371194</v>
      </c>
      <c r="O157" s="83">
        <f t="shared" si="21"/>
        <v>1.2229572856406687</v>
      </c>
    </row>
    <row r="158" spans="1:15" x14ac:dyDescent="0.25">
      <c r="A158" s="61">
        <f>'A) Base RI'!A160</f>
        <v>5652</v>
      </c>
      <c r="B158" s="62" t="str">
        <f>'A) Base RI'!B160</f>
        <v>Villars-sous-Yens</v>
      </c>
      <c r="C158" s="13">
        <f>'B) D RI'!U160</f>
        <v>23640.281403508772</v>
      </c>
      <c r="D158" s="42">
        <f>'B) D RI'!AR160</f>
        <v>564</v>
      </c>
      <c r="E158" s="306">
        <f t="shared" si="18"/>
        <v>41.915392559412716</v>
      </c>
      <c r="F158" s="89">
        <f t="shared" si="22"/>
        <v>0.9144939072789029</v>
      </c>
      <c r="G158" s="93">
        <f t="shared" si="23"/>
        <v>0</v>
      </c>
      <c r="H158" s="93">
        <f t="shared" si="24"/>
        <v>0</v>
      </c>
      <c r="I158" s="93">
        <f t="shared" si="25"/>
        <v>0</v>
      </c>
      <c r="J158" s="93">
        <f t="shared" si="26"/>
        <v>0</v>
      </c>
      <c r="K158" s="309">
        <f t="shared" si="19"/>
        <v>0</v>
      </c>
      <c r="L158" s="141">
        <f>K158*D158*'B) D RI'!S160</f>
        <v>0</v>
      </c>
      <c r="M158" s="14">
        <f>(('B) D RI'!S160*C158)-L158)/'B) D RI'!S160</f>
        <v>23640.281403508772</v>
      </c>
      <c r="N158" s="144">
        <f t="shared" si="20"/>
        <v>41.915392559412716</v>
      </c>
      <c r="O158" s="83">
        <f t="shared" si="21"/>
        <v>0.96088556596913544</v>
      </c>
    </row>
    <row r="159" spans="1:15" x14ac:dyDescent="0.25">
      <c r="A159" s="61">
        <f>'A) Base RI'!A161</f>
        <v>5653</v>
      </c>
      <c r="B159" s="62" t="str">
        <f>'A) Base RI'!B161</f>
        <v>Vufflens-le-Château</v>
      </c>
      <c r="C159" s="13">
        <f>'B) D RI'!U161</f>
        <v>59809.956818181818</v>
      </c>
      <c r="D159" s="42">
        <f>'B) D RI'!AR161</f>
        <v>821</v>
      </c>
      <c r="E159" s="306">
        <f t="shared" si="18"/>
        <v>72.850130107407821</v>
      </c>
      <c r="F159" s="89">
        <f t="shared" si="22"/>
        <v>1.5894161084920841</v>
      </c>
      <c r="G159" s="93">
        <f t="shared" si="23"/>
        <v>17.848701808164712</v>
      </c>
      <c r="H159" s="93">
        <f t="shared" si="24"/>
        <v>4.098344733353926</v>
      </c>
      <c r="I159" s="93">
        <f t="shared" si="25"/>
        <v>0</v>
      </c>
      <c r="J159" s="93">
        <f t="shared" si="26"/>
        <v>0</v>
      </c>
      <c r="K159" s="309">
        <f t="shared" si="19"/>
        <v>6.835367124274689</v>
      </c>
      <c r="L159" s="141">
        <f>K159*D159*'B) D RI'!S161</f>
        <v>308651.00249662361</v>
      </c>
      <c r="M159" s="14">
        <f>(('B) D RI'!S161*C159)-L159)/'B) D RI'!S161</f>
        <v>54198.120409152303</v>
      </c>
      <c r="N159" s="144">
        <f t="shared" si="20"/>
        <v>66.014762983133139</v>
      </c>
      <c r="O159" s="83">
        <f t="shared" si="21"/>
        <v>1.513349369243149</v>
      </c>
    </row>
    <row r="160" spans="1:15" x14ac:dyDescent="0.25">
      <c r="A160" s="61">
        <f>'A) Base RI'!A162</f>
        <v>5654</v>
      </c>
      <c r="B160" s="62" t="str">
        <f>'A) Base RI'!B162</f>
        <v>Vullierens</v>
      </c>
      <c r="C160" s="13">
        <f>'B) D RI'!U162</f>
        <v>16948.890394736845</v>
      </c>
      <c r="D160" s="42">
        <f>'B) D RI'!AR162</f>
        <v>460</v>
      </c>
      <c r="E160" s="306">
        <f t="shared" si="18"/>
        <v>36.845413901601837</v>
      </c>
      <c r="F160" s="89">
        <f t="shared" si="22"/>
        <v>0.80387906367389095</v>
      </c>
      <c r="G160" s="93">
        <f t="shared" si="23"/>
        <v>0</v>
      </c>
      <c r="H160" s="93">
        <f t="shared" si="24"/>
        <v>0</v>
      </c>
      <c r="I160" s="93">
        <f t="shared" si="25"/>
        <v>0</v>
      </c>
      <c r="J160" s="93">
        <f t="shared" si="26"/>
        <v>0</v>
      </c>
      <c r="K160" s="309">
        <f t="shared" si="19"/>
        <v>0</v>
      </c>
      <c r="L160" s="141">
        <f>K160*D160*'B) D RI'!S162</f>
        <v>0</v>
      </c>
      <c r="M160" s="14">
        <f>(('B) D RI'!S162*C160)-L160)/'B) D RI'!S162</f>
        <v>16948.890394736845</v>
      </c>
      <c r="N160" s="144">
        <f t="shared" si="20"/>
        <v>36.845413901601837</v>
      </c>
      <c r="O160" s="83">
        <f t="shared" si="21"/>
        <v>0.84465930600612238</v>
      </c>
    </row>
    <row r="161" spans="1:15" x14ac:dyDescent="0.25">
      <c r="A161" s="61">
        <f>'A) Base RI'!A163</f>
        <v>5655</v>
      </c>
      <c r="B161" s="62" t="str">
        <f>'A) Base RI'!B163</f>
        <v>Yens</v>
      </c>
      <c r="C161" s="13">
        <f>'B) D RI'!U163</f>
        <v>68107.282191780832</v>
      </c>
      <c r="D161" s="42">
        <f>'B) D RI'!AR163</f>
        <v>1405</v>
      </c>
      <c r="E161" s="306">
        <f t="shared" si="18"/>
        <v>48.474933944327994</v>
      </c>
      <c r="F161" s="89">
        <f t="shared" si="22"/>
        <v>1.0576074573320504</v>
      </c>
      <c r="G161" s="93">
        <f t="shared" si="23"/>
        <v>0</v>
      </c>
      <c r="H161" s="93">
        <f t="shared" si="24"/>
        <v>0</v>
      </c>
      <c r="I161" s="93">
        <f t="shared" si="25"/>
        <v>0</v>
      </c>
      <c r="J161" s="93">
        <f t="shared" si="26"/>
        <v>0</v>
      </c>
      <c r="K161" s="309">
        <f t="shared" si="19"/>
        <v>0</v>
      </c>
      <c r="L161" s="141">
        <f>K161*D161*'B) D RI'!S163</f>
        <v>0</v>
      </c>
      <c r="M161" s="14">
        <f>(('B) D RI'!S163*C161)-L161)/'B) D RI'!S163</f>
        <v>68107.282191780832</v>
      </c>
      <c r="N161" s="144">
        <f t="shared" si="20"/>
        <v>48.474933944327994</v>
      </c>
      <c r="O161" s="83">
        <f t="shared" si="21"/>
        <v>1.1112591698238095</v>
      </c>
    </row>
    <row r="162" spans="1:15" x14ac:dyDescent="0.25">
      <c r="A162" s="61">
        <f>'A) Base RI'!A164</f>
        <v>5661</v>
      </c>
      <c r="B162" s="62" t="str">
        <f>'A) Base RI'!B164</f>
        <v>Boulens</v>
      </c>
      <c r="C162" s="13">
        <f>'B) D RI'!U164</f>
        <v>7277.4751898734185</v>
      </c>
      <c r="D162" s="42">
        <f>'B) D RI'!AR164</f>
        <v>325</v>
      </c>
      <c r="E162" s="306">
        <f t="shared" si="18"/>
        <v>22.392231353456673</v>
      </c>
      <c r="F162" s="89">
        <f t="shared" si="22"/>
        <v>0.48854508791943102</v>
      </c>
      <c r="G162" s="93">
        <f t="shared" si="23"/>
        <v>0</v>
      </c>
      <c r="H162" s="93">
        <f t="shared" si="24"/>
        <v>0</v>
      </c>
      <c r="I162" s="93">
        <f t="shared" si="25"/>
        <v>0</v>
      </c>
      <c r="J162" s="93">
        <f t="shared" si="26"/>
        <v>0</v>
      </c>
      <c r="K162" s="309">
        <f t="shared" si="19"/>
        <v>0</v>
      </c>
      <c r="L162" s="141">
        <f>K162*D162*'B) D RI'!S164</f>
        <v>0</v>
      </c>
      <c r="M162" s="14">
        <f>(('B) D RI'!S164*C162)-L162)/'B) D RI'!S164</f>
        <v>7277.4751898734185</v>
      </c>
      <c r="N162" s="144">
        <f t="shared" si="20"/>
        <v>22.392231353456673</v>
      </c>
      <c r="O162" s="83">
        <f t="shared" si="21"/>
        <v>0.51332865049229315</v>
      </c>
    </row>
    <row r="163" spans="1:15" x14ac:dyDescent="0.25">
      <c r="A163" s="61">
        <f>'A) Base RI'!A165</f>
        <v>5662</v>
      </c>
      <c r="B163" s="62" t="str">
        <f>'A) Base RI'!B165</f>
        <v>Brenles</v>
      </c>
      <c r="C163" s="13">
        <f>'B) D RI'!U165</f>
        <v>4680.0413390313388</v>
      </c>
      <c r="D163" s="42">
        <f>'B) D RI'!AR165</f>
        <v>144</v>
      </c>
      <c r="E163" s="306">
        <f t="shared" si="18"/>
        <v>32.500287076606519</v>
      </c>
      <c r="F163" s="89">
        <f t="shared" si="22"/>
        <v>0.70907875845952373</v>
      </c>
      <c r="G163" s="93">
        <f t="shared" si="23"/>
        <v>0</v>
      </c>
      <c r="H163" s="93">
        <f t="shared" si="24"/>
        <v>0</v>
      </c>
      <c r="I163" s="93">
        <f t="shared" si="25"/>
        <v>0</v>
      </c>
      <c r="J163" s="93">
        <f t="shared" si="26"/>
        <v>0</v>
      </c>
      <c r="K163" s="309">
        <f t="shared" si="19"/>
        <v>0</v>
      </c>
      <c r="L163" s="141">
        <f>K163*D163*'B) D RI'!S165</f>
        <v>0</v>
      </c>
      <c r="M163" s="14">
        <f>(('B) D RI'!S165*C163)-L163)/'B) D RI'!S165</f>
        <v>4680.0413390313388</v>
      </c>
      <c r="N163" s="144">
        <f t="shared" si="20"/>
        <v>32.500287076606519</v>
      </c>
      <c r="O163" s="83">
        <f t="shared" si="21"/>
        <v>0.74504984529249008</v>
      </c>
    </row>
    <row r="164" spans="1:15" x14ac:dyDescent="0.25">
      <c r="A164" s="61">
        <f>'A) Base RI'!A166</f>
        <v>5663</v>
      </c>
      <c r="B164" s="62" t="str">
        <f>'A) Base RI'!B166</f>
        <v>Bussy-sur-Moudon</v>
      </c>
      <c r="C164" s="13">
        <f>'B) D RI'!U166</f>
        <v>4999.1039999999994</v>
      </c>
      <c r="D164" s="42">
        <f>'B) D RI'!AR166</f>
        <v>198</v>
      </c>
      <c r="E164" s="306">
        <f t="shared" si="18"/>
        <v>25.247999999999998</v>
      </c>
      <c r="F164" s="89">
        <f t="shared" si="22"/>
        <v>0.55085114944945768</v>
      </c>
      <c r="G164" s="93">
        <f t="shared" si="23"/>
        <v>0</v>
      </c>
      <c r="H164" s="93">
        <f t="shared" si="24"/>
        <v>0</v>
      </c>
      <c r="I164" s="93">
        <f t="shared" si="25"/>
        <v>0</v>
      </c>
      <c r="J164" s="93">
        <f t="shared" si="26"/>
        <v>0</v>
      </c>
      <c r="K164" s="309">
        <f t="shared" si="19"/>
        <v>0</v>
      </c>
      <c r="L164" s="141">
        <f>K164*D164*'B) D RI'!S166</f>
        <v>0</v>
      </c>
      <c r="M164" s="14">
        <f>(('B) D RI'!S166*C164)-L164)/'B) D RI'!S166</f>
        <v>4999.1039999999994</v>
      </c>
      <c r="N164" s="144">
        <f t="shared" si="20"/>
        <v>25.247999999999998</v>
      </c>
      <c r="O164" s="83">
        <f t="shared" si="21"/>
        <v>0.57879545647105457</v>
      </c>
    </row>
    <row r="165" spans="1:15" x14ac:dyDescent="0.25">
      <c r="A165" s="61">
        <f>'A) Base RI'!A167</f>
        <v>5665</v>
      </c>
      <c r="B165" s="62" t="str">
        <f>'A) Base RI'!B167</f>
        <v>Chavannes-sur-Moudon</v>
      </c>
      <c r="C165" s="13">
        <f>'B) D RI'!U167</f>
        <v>4834.5158333333329</v>
      </c>
      <c r="D165" s="42">
        <f>'B) D RI'!AR167</f>
        <v>224</v>
      </c>
      <c r="E165" s="306">
        <f t="shared" si="18"/>
        <v>21.582659970238094</v>
      </c>
      <c r="F165" s="89">
        <f t="shared" si="22"/>
        <v>0.47088217097522389</v>
      </c>
      <c r="G165" s="93">
        <f t="shared" si="23"/>
        <v>0</v>
      </c>
      <c r="H165" s="93">
        <f t="shared" si="24"/>
        <v>0</v>
      </c>
      <c r="I165" s="93">
        <f t="shared" si="25"/>
        <v>0</v>
      </c>
      <c r="J165" s="93">
        <f t="shared" si="26"/>
        <v>0</v>
      </c>
      <c r="K165" s="309">
        <f t="shared" si="19"/>
        <v>0</v>
      </c>
      <c r="L165" s="141">
        <f>K165*D165*'B) D RI'!S167</f>
        <v>0</v>
      </c>
      <c r="M165" s="14">
        <f>(('B) D RI'!S167*C165)-L165)/'B) D RI'!S167</f>
        <v>4834.5158333333329</v>
      </c>
      <c r="N165" s="144">
        <f t="shared" si="20"/>
        <v>21.582659970238094</v>
      </c>
      <c r="O165" s="83">
        <f t="shared" si="21"/>
        <v>0.49476970569286743</v>
      </c>
    </row>
    <row r="166" spans="1:15" x14ac:dyDescent="0.25">
      <c r="A166" s="61">
        <f>'A) Base RI'!A168</f>
        <v>5666</v>
      </c>
      <c r="B166" s="62" t="str">
        <f>'A) Base RI'!B168</f>
        <v>Chesalles-sur-Moudon</v>
      </c>
      <c r="C166" s="13">
        <f>'B) D RI'!U168</f>
        <v>3561.2682666666665</v>
      </c>
      <c r="D166" s="42">
        <f>'B) D RI'!AR168</f>
        <v>169</v>
      </c>
      <c r="E166" s="306">
        <f t="shared" si="18"/>
        <v>21.0725932938856</v>
      </c>
      <c r="F166" s="89">
        <f t="shared" si="22"/>
        <v>0.45975373248644713</v>
      </c>
      <c r="G166" s="93">
        <f t="shared" si="23"/>
        <v>0</v>
      </c>
      <c r="H166" s="93">
        <f t="shared" si="24"/>
        <v>0</v>
      </c>
      <c r="I166" s="93">
        <f t="shared" si="25"/>
        <v>0</v>
      </c>
      <c r="J166" s="93">
        <f t="shared" si="26"/>
        <v>0</v>
      </c>
      <c r="K166" s="309">
        <f t="shared" si="19"/>
        <v>0</v>
      </c>
      <c r="L166" s="141">
        <f>K166*D166*'B) D RI'!S168</f>
        <v>0</v>
      </c>
      <c r="M166" s="14">
        <f>(('B) D RI'!S168*C166)-L166)/'B) D RI'!S168</f>
        <v>3561.2682666666665</v>
      </c>
      <c r="N166" s="144">
        <f t="shared" si="20"/>
        <v>21.0725932938856</v>
      </c>
      <c r="O166" s="83">
        <f t="shared" si="21"/>
        <v>0.48307672903055299</v>
      </c>
    </row>
    <row r="167" spans="1:15" x14ac:dyDescent="0.25">
      <c r="A167" s="61">
        <f>'A) Base RI'!A169</f>
        <v>5668</v>
      </c>
      <c r="B167" s="62" t="str">
        <f>'A) Base RI'!B169</f>
        <v>Cremin</v>
      </c>
      <c r="C167" s="13">
        <f>'B) D RI'!U169</f>
        <v>902.96818181818162</v>
      </c>
      <c r="D167" s="42">
        <f>'B) D RI'!AR169</f>
        <v>58</v>
      </c>
      <c r="E167" s="306">
        <f t="shared" si="18"/>
        <v>15.568416927899683</v>
      </c>
      <c r="F167" s="89">
        <f t="shared" si="22"/>
        <v>0.33966573034861913</v>
      </c>
      <c r="G167" s="93">
        <f t="shared" si="23"/>
        <v>0</v>
      </c>
      <c r="H167" s="93">
        <f t="shared" si="24"/>
        <v>0</v>
      </c>
      <c r="I167" s="93">
        <f t="shared" si="25"/>
        <v>0</v>
      </c>
      <c r="J167" s="93">
        <f t="shared" si="26"/>
        <v>0</v>
      </c>
      <c r="K167" s="309">
        <f t="shared" si="19"/>
        <v>0</v>
      </c>
      <c r="L167" s="141">
        <f>K167*D167*'B) D RI'!S169</f>
        <v>0</v>
      </c>
      <c r="M167" s="14">
        <f>(('B) D RI'!S169*C167)-L167)/'B) D RI'!S169</f>
        <v>902.96818181818162</v>
      </c>
      <c r="N167" s="144">
        <f t="shared" si="20"/>
        <v>15.568416927899683</v>
      </c>
      <c r="O167" s="83">
        <f t="shared" si="21"/>
        <v>0.35689674359614193</v>
      </c>
    </row>
    <row r="168" spans="1:15" x14ac:dyDescent="0.25">
      <c r="A168" s="61">
        <f>'A) Base RI'!A170</f>
        <v>5669</v>
      </c>
      <c r="B168" s="62" t="str">
        <f>'A) Base RI'!B170</f>
        <v>Curtilles</v>
      </c>
      <c r="C168" s="13">
        <f>'B) D RI'!U170</f>
        <v>8707.7998611111107</v>
      </c>
      <c r="D168" s="42">
        <f>'B) D RI'!AR170</f>
        <v>311</v>
      </c>
      <c r="E168" s="306">
        <f t="shared" si="18"/>
        <v>27.999356466595213</v>
      </c>
      <c r="F168" s="89">
        <f t="shared" si="22"/>
        <v>0.61087918621154469</v>
      </c>
      <c r="G168" s="93">
        <f t="shared" si="23"/>
        <v>0</v>
      </c>
      <c r="H168" s="93">
        <f t="shared" si="24"/>
        <v>0</v>
      </c>
      <c r="I168" s="93">
        <f t="shared" si="25"/>
        <v>0</v>
      </c>
      <c r="J168" s="93">
        <f t="shared" si="26"/>
        <v>0</v>
      </c>
      <c r="K168" s="309">
        <f t="shared" si="19"/>
        <v>0</v>
      </c>
      <c r="L168" s="141">
        <f>K168*D168*'B) D RI'!S170</f>
        <v>0</v>
      </c>
      <c r="M168" s="14">
        <f>(('B) D RI'!S170*C168)-L168)/'B) D RI'!S170</f>
        <v>8707.7998611111107</v>
      </c>
      <c r="N168" s="144">
        <f t="shared" si="20"/>
        <v>27.999356466595213</v>
      </c>
      <c r="O168" s="83">
        <f t="shared" si="21"/>
        <v>0.64186867502292266</v>
      </c>
    </row>
    <row r="169" spans="1:15" x14ac:dyDescent="0.25">
      <c r="A169" s="61">
        <f>'A) Base RI'!A171</f>
        <v>5671</v>
      </c>
      <c r="B169" s="62" t="str">
        <f>'A) Base RI'!B171</f>
        <v>Dompierre</v>
      </c>
      <c r="C169" s="13">
        <f>'B) D RI'!U171</f>
        <v>6226.6947500000006</v>
      </c>
      <c r="D169" s="42">
        <f>'B) D RI'!AR171</f>
        <v>247</v>
      </c>
      <c r="E169" s="306">
        <f t="shared" si="18"/>
        <v>25.20929048582996</v>
      </c>
      <c r="F169" s="89">
        <f t="shared" si="22"/>
        <v>0.55000660016336789</v>
      </c>
      <c r="G169" s="93">
        <f t="shared" si="23"/>
        <v>0</v>
      </c>
      <c r="H169" s="93">
        <f t="shared" si="24"/>
        <v>0</v>
      </c>
      <c r="I169" s="93">
        <f t="shared" si="25"/>
        <v>0</v>
      </c>
      <c r="J169" s="93">
        <f t="shared" si="26"/>
        <v>0</v>
      </c>
      <c r="K169" s="309">
        <f t="shared" si="19"/>
        <v>0</v>
      </c>
      <c r="L169" s="141">
        <f>K169*D169*'B) D RI'!S171</f>
        <v>0</v>
      </c>
      <c r="M169" s="14">
        <f>(('B) D RI'!S171*C169)-L169)/'B) D RI'!S171</f>
        <v>6226.6947500000006</v>
      </c>
      <c r="N169" s="144">
        <f t="shared" si="20"/>
        <v>25.20929048582996</v>
      </c>
      <c r="O169" s="83">
        <f t="shared" si="21"/>
        <v>0.57790806376969928</v>
      </c>
    </row>
    <row r="170" spans="1:15" x14ac:dyDescent="0.25">
      <c r="A170" s="61">
        <f>'A) Base RI'!A172</f>
        <v>5672</v>
      </c>
      <c r="B170" s="62" t="str">
        <f>'A) Base RI'!B172</f>
        <v>Forel-sur-Lucens</v>
      </c>
      <c r="C170" s="13">
        <f>'B) D RI'!U172</f>
        <v>4324.9200666666666</v>
      </c>
      <c r="D170" s="42">
        <f>'B) D RI'!AR172</f>
        <v>154</v>
      </c>
      <c r="E170" s="306">
        <f t="shared" ref="E170:E225" si="27">C170/D170</f>
        <v>28.083896536796537</v>
      </c>
      <c r="F170" s="89">
        <f t="shared" si="22"/>
        <v>0.61272364893512421</v>
      </c>
      <c r="G170" s="93">
        <f t="shared" si="23"/>
        <v>0</v>
      </c>
      <c r="H170" s="93">
        <f t="shared" si="24"/>
        <v>0</v>
      </c>
      <c r="I170" s="93">
        <f t="shared" si="25"/>
        <v>0</v>
      </c>
      <c r="J170" s="93">
        <f t="shared" si="26"/>
        <v>0</v>
      </c>
      <c r="K170" s="309">
        <f t="shared" si="19"/>
        <v>0</v>
      </c>
      <c r="L170" s="141">
        <f>K170*D170*'B) D RI'!S172</f>
        <v>0</v>
      </c>
      <c r="M170" s="14">
        <f>(('B) D RI'!S172*C170)-L170)/'B) D RI'!S172</f>
        <v>4324.9200666666666</v>
      </c>
      <c r="N170" s="144">
        <f t="shared" si="20"/>
        <v>28.083896536796537</v>
      </c>
      <c r="O170" s="83">
        <f t="shared" si="21"/>
        <v>0.64380670609557289</v>
      </c>
    </row>
    <row r="171" spans="1:15" x14ac:dyDescent="0.25">
      <c r="A171" s="61">
        <f>'A) Base RI'!A173</f>
        <v>5673</v>
      </c>
      <c r="B171" s="62" t="str">
        <f>'A) Base RI'!B173</f>
        <v>Hermenches</v>
      </c>
      <c r="C171" s="13">
        <f>'B) D RI'!U173</f>
        <v>8854.2944888888887</v>
      </c>
      <c r="D171" s="42">
        <f>'B) D RI'!AR173</f>
        <v>382</v>
      </c>
      <c r="E171" s="306">
        <f t="shared" si="27"/>
        <v>23.178781384525887</v>
      </c>
      <c r="F171" s="89">
        <f t="shared" si="22"/>
        <v>0.5057057338602573</v>
      </c>
      <c r="G171" s="93">
        <f t="shared" si="23"/>
        <v>0</v>
      </c>
      <c r="H171" s="93">
        <f t="shared" si="24"/>
        <v>0</v>
      </c>
      <c r="I171" s="93">
        <f t="shared" si="25"/>
        <v>0</v>
      </c>
      <c r="J171" s="93">
        <f t="shared" si="26"/>
        <v>0</v>
      </c>
      <c r="K171" s="309">
        <f t="shared" si="19"/>
        <v>0</v>
      </c>
      <c r="L171" s="141">
        <f>K171*D171*'B) D RI'!S173</f>
        <v>0</v>
      </c>
      <c r="M171" s="14">
        <f>(('B) D RI'!S173*C171)-L171)/'B) D RI'!S173</f>
        <v>8854.2944888888887</v>
      </c>
      <c r="N171" s="144">
        <f t="shared" si="20"/>
        <v>23.178781384525887</v>
      </c>
      <c r="O171" s="83">
        <f t="shared" si="21"/>
        <v>0.53135984441933803</v>
      </c>
    </row>
    <row r="172" spans="1:15" x14ac:dyDescent="0.25">
      <c r="A172" s="61">
        <f>'A) Base RI'!A174</f>
        <v>5674</v>
      </c>
      <c r="B172" s="62" t="str">
        <f>'A) Base RI'!B174</f>
        <v>Lovatens</v>
      </c>
      <c r="C172" s="13">
        <f>'B) D RI'!U174</f>
        <v>3347.4317333333333</v>
      </c>
      <c r="D172" s="42">
        <f>'B) D RI'!AR174</f>
        <v>151</v>
      </c>
      <c r="E172" s="306">
        <f t="shared" si="27"/>
        <v>22.168422075055187</v>
      </c>
      <c r="F172" s="89">
        <f t="shared" si="22"/>
        <v>0.48366210319727826</v>
      </c>
      <c r="G172" s="93">
        <f t="shared" si="23"/>
        <v>0</v>
      </c>
      <c r="H172" s="93">
        <f t="shared" si="24"/>
        <v>0</v>
      </c>
      <c r="I172" s="93">
        <f t="shared" si="25"/>
        <v>0</v>
      </c>
      <c r="J172" s="93">
        <f t="shared" si="26"/>
        <v>0</v>
      </c>
      <c r="K172" s="309">
        <f t="shared" si="19"/>
        <v>0</v>
      </c>
      <c r="L172" s="141">
        <f>K172*D172*'B) D RI'!S174</f>
        <v>0</v>
      </c>
      <c r="M172" s="14">
        <f>(('B) D RI'!S174*C172)-L172)/'B) D RI'!S174</f>
        <v>3347.4317333333333</v>
      </c>
      <c r="N172" s="144">
        <f t="shared" si="20"/>
        <v>22.168422075055187</v>
      </c>
      <c r="O172" s="83">
        <f t="shared" si="21"/>
        <v>0.50819795525089395</v>
      </c>
    </row>
    <row r="173" spans="1:15" x14ac:dyDescent="0.25">
      <c r="A173" s="61">
        <f>'A) Base RI'!A175</f>
        <v>5675</v>
      </c>
      <c r="B173" s="62" t="str">
        <f>'A) Base RI'!B175</f>
        <v>Lucens</v>
      </c>
      <c r="C173" s="13">
        <f>'B) D RI'!U175</f>
        <v>76574.855468319569</v>
      </c>
      <c r="D173" s="42">
        <f>'B) D RI'!AR175</f>
        <v>3285</v>
      </c>
      <c r="E173" s="306">
        <f t="shared" si="27"/>
        <v>23.310458285637615</v>
      </c>
      <c r="F173" s="89">
        <f t="shared" si="22"/>
        <v>0.50857860982403025</v>
      </c>
      <c r="G173" s="93">
        <f t="shared" si="23"/>
        <v>0</v>
      </c>
      <c r="H173" s="93">
        <f t="shared" si="24"/>
        <v>0</v>
      </c>
      <c r="I173" s="93">
        <f t="shared" si="25"/>
        <v>0</v>
      </c>
      <c r="J173" s="93">
        <f t="shared" si="26"/>
        <v>0</v>
      </c>
      <c r="K173" s="309">
        <f t="shared" si="19"/>
        <v>0</v>
      </c>
      <c r="L173" s="141">
        <f>K173*D173*'B) D RI'!S175</f>
        <v>0</v>
      </c>
      <c r="M173" s="14">
        <f>(('B) D RI'!S175*C173)-L173)/'B) D RI'!S175</f>
        <v>76574.855468319569</v>
      </c>
      <c r="N173" s="144">
        <f t="shared" si="20"/>
        <v>23.310458285637615</v>
      </c>
      <c r="O173" s="83">
        <f t="shared" si="21"/>
        <v>0.534378459441742</v>
      </c>
    </row>
    <row r="174" spans="1:15" x14ac:dyDescent="0.25">
      <c r="A174" s="61">
        <f>'A) Base RI'!A176</f>
        <v>5678</v>
      </c>
      <c r="B174" s="62" t="str">
        <f>'A) Base RI'!B176</f>
        <v>Moudon</v>
      </c>
      <c r="C174" s="13">
        <f>'B) D RI'!U176</f>
        <v>122060.45639999998</v>
      </c>
      <c r="D174" s="42">
        <f>'B) D RI'!AR176</f>
        <v>5770</v>
      </c>
      <c r="E174" s="306">
        <f t="shared" si="27"/>
        <v>21.154325199306754</v>
      </c>
      <c r="F174" s="89">
        <f t="shared" si="22"/>
        <v>0.46153692775133687</v>
      </c>
      <c r="G174" s="93">
        <f t="shared" si="23"/>
        <v>0</v>
      </c>
      <c r="H174" s="93">
        <f t="shared" si="24"/>
        <v>0</v>
      </c>
      <c r="I174" s="93">
        <f t="shared" si="25"/>
        <v>0</v>
      </c>
      <c r="J174" s="93">
        <f t="shared" si="26"/>
        <v>0</v>
      </c>
      <c r="K174" s="309">
        <f t="shared" si="19"/>
        <v>0</v>
      </c>
      <c r="L174" s="141">
        <f>K174*D174*'B) D RI'!S176</f>
        <v>0</v>
      </c>
      <c r="M174" s="14">
        <f>(('B) D RI'!S176*C174)-L174)/'B) D RI'!S176</f>
        <v>122060.45639999998</v>
      </c>
      <c r="N174" s="144">
        <f t="shared" si="20"/>
        <v>21.154325199306754</v>
      </c>
      <c r="O174" s="83">
        <f t="shared" si="21"/>
        <v>0.48495038458768563</v>
      </c>
    </row>
    <row r="175" spans="1:15" x14ac:dyDescent="0.25">
      <c r="A175" s="61">
        <f>'A) Base RI'!A177</f>
        <v>5680</v>
      </c>
      <c r="B175" s="62" t="str">
        <f>'A) Base RI'!B177</f>
        <v>Ogens</v>
      </c>
      <c r="C175" s="13">
        <f>'B) D RI'!U177</f>
        <v>8163.3689316239324</v>
      </c>
      <c r="D175" s="42">
        <f>'B) D RI'!AR177</f>
        <v>283</v>
      </c>
      <c r="E175" s="306">
        <f t="shared" si="27"/>
        <v>28.845826613512127</v>
      </c>
      <c r="F175" s="89">
        <f t="shared" si="22"/>
        <v>0.62934714618476362</v>
      </c>
      <c r="G175" s="93">
        <f t="shared" si="23"/>
        <v>0</v>
      </c>
      <c r="H175" s="93">
        <f t="shared" si="24"/>
        <v>0</v>
      </c>
      <c r="I175" s="93">
        <f t="shared" si="25"/>
        <v>0</v>
      </c>
      <c r="J175" s="93">
        <f t="shared" si="26"/>
        <v>0</v>
      </c>
      <c r="K175" s="309">
        <f t="shared" si="19"/>
        <v>0</v>
      </c>
      <c r="L175" s="141">
        <f>K175*D175*'B) D RI'!S177</f>
        <v>0</v>
      </c>
      <c r="M175" s="14">
        <f>(('B) D RI'!S177*C175)-L175)/'B) D RI'!S177</f>
        <v>8163.3689316239324</v>
      </c>
      <c r="N175" s="144">
        <f t="shared" si="20"/>
        <v>28.845826613512127</v>
      </c>
      <c r="O175" s="83">
        <f t="shared" si="21"/>
        <v>0.66127350214086855</v>
      </c>
    </row>
    <row r="176" spans="1:15" x14ac:dyDescent="0.25">
      <c r="A176" s="61">
        <f>'A) Base RI'!A178</f>
        <v>5683</v>
      </c>
      <c r="B176" s="62" t="str">
        <f>'A) Base RI'!B178</f>
        <v>Prévonloup</v>
      </c>
      <c r="C176" s="13">
        <f>'B) D RI'!U178</f>
        <v>3618.5018918918922</v>
      </c>
      <c r="D176" s="42">
        <f>'B) D RI'!AR178</f>
        <v>172</v>
      </c>
      <c r="E176" s="306">
        <f t="shared" si="27"/>
        <v>21.037801697045886</v>
      </c>
      <c r="F176" s="89">
        <f t="shared" si="22"/>
        <v>0.45899466281319223</v>
      </c>
      <c r="G176" s="93">
        <f t="shared" si="23"/>
        <v>0</v>
      </c>
      <c r="H176" s="93">
        <f t="shared" si="24"/>
        <v>0</v>
      </c>
      <c r="I176" s="93">
        <f t="shared" si="25"/>
        <v>0</v>
      </c>
      <c r="J176" s="93">
        <f t="shared" si="26"/>
        <v>0</v>
      </c>
      <c r="K176" s="309">
        <f t="shared" si="19"/>
        <v>0</v>
      </c>
      <c r="L176" s="141">
        <f>K176*D176*'B) D RI'!S178</f>
        <v>0</v>
      </c>
      <c r="M176" s="14">
        <f>(('B) D RI'!S178*C176)-L176)/'B) D RI'!S178</f>
        <v>3618.5018918918922</v>
      </c>
      <c r="N176" s="144">
        <f t="shared" si="20"/>
        <v>21.037801697045886</v>
      </c>
      <c r="O176" s="83">
        <f t="shared" si="21"/>
        <v>0.48227915226509832</v>
      </c>
    </row>
    <row r="177" spans="1:15" x14ac:dyDescent="0.25">
      <c r="A177" s="61">
        <f>'A) Base RI'!A179</f>
        <v>5684</v>
      </c>
      <c r="B177" s="62" t="str">
        <f>'A) Base RI'!B179</f>
        <v>Rossenges</v>
      </c>
      <c r="C177" s="13">
        <f>'B) D RI'!U179</f>
        <v>2611.7396666666664</v>
      </c>
      <c r="D177" s="42">
        <f>'B) D RI'!AR179</f>
        <v>65</v>
      </c>
      <c r="E177" s="306">
        <f t="shared" si="27"/>
        <v>40.180610256410255</v>
      </c>
      <c r="F177" s="89">
        <f t="shared" si="22"/>
        <v>0.87664509447577066</v>
      </c>
      <c r="G177" s="93">
        <f t="shared" si="23"/>
        <v>0</v>
      </c>
      <c r="H177" s="93">
        <f t="shared" si="24"/>
        <v>0</v>
      </c>
      <c r="I177" s="93">
        <f t="shared" si="25"/>
        <v>0</v>
      </c>
      <c r="J177" s="93">
        <f t="shared" si="26"/>
        <v>0</v>
      </c>
      <c r="K177" s="309">
        <f t="shared" si="19"/>
        <v>0</v>
      </c>
      <c r="L177" s="141">
        <f>K177*D177*'B) D RI'!S179</f>
        <v>0</v>
      </c>
      <c r="M177" s="14">
        <f>(('B) D RI'!S179*C177)-L177)/'B) D RI'!S179</f>
        <v>2611.7396666666664</v>
      </c>
      <c r="N177" s="144">
        <f t="shared" si="20"/>
        <v>40.180610256410255</v>
      </c>
      <c r="O177" s="83">
        <f t="shared" si="21"/>
        <v>0.92111670843807492</v>
      </c>
    </row>
    <row r="178" spans="1:15" x14ac:dyDescent="0.25">
      <c r="A178" s="61">
        <f>'A) Base RI'!A180</f>
        <v>5686</v>
      </c>
      <c r="B178" s="62" t="str">
        <f>'A) Base RI'!B180</f>
        <v>Sarzens</v>
      </c>
      <c r="C178" s="13">
        <f>'B) D RI'!U180</f>
        <v>1857.3194594594593</v>
      </c>
      <c r="D178" s="42">
        <f>'B) D RI'!AR180</f>
        <v>80</v>
      </c>
      <c r="E178" s="306">
        <f t="shared" si="27"/>
        <v>23.216493243243242</v>
      </c>
      <c r="F178" s="89">
        <f t="shared" si="22"/>
        <v>0.50652851668354359</v>
      </c>
      <c r="G178" s="93">
        <f t="shared" si="23"/>
        <v>0</v>
      </c>
      <c r="H178" s="93">
        <f t="shared" si="24"/>
        <v>0</v>
      </c>
      <c r="I178" s="93">
        <f t="shared" si="25"/>
        <v>0</v>
      </c>
      <c r="J178" s="93">
        <f t="shared" si="26"/>
        <v>0</v>
      </c>
      <c r="K178" s="309">
        <f t="shared" si="19"/>
        <v>0</v>
      </c>
      <c r="L178" s="141">
        <f>K178*D178*'B) D RI'!S180</f>
        <v>0</v>
      </c>
      <c r="M178" s="14">
        <f>(('B) D RI'!S180*C178)-L178)/'B) D RI'!S180</f>
        <v>1857.3194594594593</v>
      </c>
      <c r="N178" s="144">
        <f t="shared" si="20"/>
        <v>23.216493243243242</v>
      </c>
      <c r="O178" s="83">
        <f t="shared" si="21"/>
        <v>0.53222436645992277</v>
      </c>
    </row>
    <row r="179" spans="1:15" x14ac:dyDescent="0.25">
      <c r="A179" s="61">
        <f>'A) Base RI'!A181</f>
        <v>5688</v>
      </c>
      <c r="B179" s="62" t="str">
        <f>'A) Base RI'!B181</f>
        <v>Syens</v>
      </c>
      <c r="C179" s="13">
        <f>'B) D RI'!U181</f>
        <v>5385.636772486775</v>
      </c>
      <c r="D179" s="42">
        <f>'B) D RI'!AR181</f>
        <v>139</v>
      </c>
      <c r="E179" s="306">
        <f t="shared" si="27"/>
        <v>38.745588291271766</v>
      </c>
      <c r="F179" s="89">
        <f t="shared" si="22"/>
        <v>0.84533633738682279</v>
      </c>
      <c r="G179" s="93">
        <f t="shared" si="23"/>
        <v>0</v>
      </c>
      <c r="H179" s="93">
        <f t="shared" si="24"/>
        <v>0</v>
      </c>
      <c r="I179" s="93">
        <f t="shared" si="25"/>
        <v>0</v>
      </c>
      <c r="J179" s="93">
        <f t="shared" si="26"/>
        <v>0</v>
      </c>
      <c r="K179" s="309">
        <f t="shared" si="19"/>
        <v>0</v>
      </c>
      <c r="L179" s="141">
        <f>K179*D179*'B) D RI'!S181</f>
        <v>0</v>
      </c>
      <c r="M179" s="14">
        <f>(('B) D RI'!S181*C179)-L179)/'B) D RI'!S181</f>
        <v>5385.636772486775</v>
      </c>
      <c r="N179" s="144">
        <f t="shared" si="20"/>
        <v>38.745588291271766</v>
      </c>
      <c r="O179" s="83">
        <f t="shared" si="21"/>
        <v>0.88821967923345191</v>
      </c>
    </row>
    <row r="180" spans="1:15" x14ac:dyDescent="0.25">
      <c r="A180" s="61">
        <f>'A) Base RI'!A182</f>
        <v>5690</v>
      </c>
      <c r="B180" s="62" t="str">
        <f>'A) Base RI'!B182</f>
        <v>Villars-le-Comte</v>
      </c>
      <c r="C180" s="13">
        <f>'B) D RI'!U182</f>
        <v>3468.3659210526316</v>
      </c>
      <c r="D180" s="42">
        <f>'B) D RI'!AR182</f>
        <v>150</v>
      </c>
      <c r="E180" s="306">
        <f t="shared" si="27"/>
        <v>23.12243947368421</v>
      </c>
      <c r="F180" s="89">
        <f t="shared" si="22"/>
        <v>0.50447648772791753</v>
      </c>
      <c r="G180" s="93">
        <f t="shared" si="23"/>
        <v>0</v>
      </c>
      <c r="H180" s="93">
        <f t="shared" si="24"/>
        <v>0</v>
      </c>
      <c r="I180" s="93">
        <f t="shared" si="25"/>
        <v>0</v>
      </c>
      <c r="J180" s="93">
        <f t="shared" si="26"/>
        <v>0</v>
      </c>
      <c r="K180" s="309">
        <f t="shared" si="19"/>
        <v>0</v>
      </c>
      <c r="L180" s="141">
        <f>K180*D180*'B) D RI'!S182</f>
        <v>0</v>
      </c>
      <c r="M180" s="14">
        <f>(('B) D RI'!S182*C180)-L180)/'B) D RI'!S182</f>
        <v>3468.3659210526316</v>
      </c>
      <c r="N180" s="144">
        <f t="shared" si="20"/>
        <v>23.12243947368421</v>
      </c>
      <c r="O180" s="83">
        <f t="shared" si="21"/>
        <v>0.53006823946036852</v>
      </c>
    </row>
    <row r="181" spans="1:15" x14ac:dyDescent="0.25">
      <c r="A181" s="61">
        <f>'A) Base RI'!A183</f>
        <v>5692</v>
      </c>
      <c r="B181" s="62" t="str">
        <f>'A) Base RI'!B183</f>
        <v>Vucherens</v>
      </c>
      <c r="C181" s="13">
        <f>'B) D RI'!U183</f>
        <v>15125.888354430383</v>
      </c>
      <c r="D181" s="42">
        <f>'B) D RI'!AR183</f>
        <v>543</v>
      </c>
      <c r="E181" s="306">
        <f t="shared" si="27"/>
        <v>27.856147982376395</v>
      </c>
      <c r="F181" s="89">
        <f t="shared" si="22"/>
        <v>0.60775471860449259</v>
      </c>
      <c r="G181" s="93">
        <f t="shared" si="23"/>
        <v>0</v>
      </c>
      <c r="H181" s="93">
        <f t="shared" si="24"/>
        <v>0</v>
      </c>
      <c r="I181" s="93">
        <f t="shared" si="25"/>
        <v>0</v>
      </c>
      <c r="J181" s="93">
        <f t="shared" si="26"/>
        <v>0</v>
      </c>
      <c r="K181" s="309">
        <f t="shared" si="19"/>
        <v>0</v>
      </c>
      <c r="L181" s="141">
        <f>K181*D181*'B) D RI'!S183</f>
        <v>0</v>
      </c>
      <c r="M181" s="14">
        <f>(('B) D RI'!S183*C181)-L181)/'B) D RI'!S183</f>
        <v>15125.888354430383</v>
      </c>
      <c r="N181" s="144">
        <f t="shared" si="20"/>
        <v>27.856147982376395</v>
      </c>
      <c r="O181" s="83">
        <f t="shared" si="21"/>
        <v>0.63858570528298453</v>
      </c>
    </row>
    <row r="182" spans="1:15" x14ac:dyDescent="0.25">
      <c r="A182" s="61">
        <f>'A) Base RI'!A184</f>
        <v>5693</v>
      </c>
      <c r="B182" s="62" t="str">
        <f>'A) Base RI'!B184</f>
        <v>Montanaire</v>
      </c>
      <c r="C182" s="13">
        <f>'B) D RI'!U184</f>
        <v>62987.795555555575</v>
      </c>
      <c r="D182" s="42">
        <f>'B) D RI'!AR184</f>
        <v>2421</v>
      </c>
      <c r="E182" s="306">
        <f>C182/D182</f>
        <v>26.017263756941585</v>
      </c>
      <c r="F182" s="89">
        <f t="shared" si="22"/>
        <v>0.56763465011252334</v>
      </c>
      <c r="G182" s="93">
        <f t="shared" si="23"/>
        <v>0</v>
      </c>
      <c r="H182" s="93">
        <f t="shared" si="24"/>
        <v>0</v>
      </c>
      <c r="I182" s="93">
        <f t="shared" si="25"/>
        <v>0</v>
      </c>
      <c r="J182" s="93">
        <f t="shared" si="26"/>
        <v>0</v>
      </c>
      <c r="K182" s="309">
        <f t="shared" si="19"/>
        <v>0</v>
      </c>
      <c r="L182" s="141">
        <f>K182*D182*'B) D RI'!S184</f>
        <v>0</v>
      </c>
      <c r="M182" s="14">
        <f>(('B) D RI'!S184*C182)-L182)/'B) D RI'!S184</f>
        <v>62987.795555555575</v>
      </c>
      <c r="N182" s="144">
        <f t="shared" si="20"/>
        <v>26.017263756941585</v>
      </c>
      <c r="O182" s="83">
        <f t="shared" si="21"/>
        <v>0.59643037279494737</v>
      </c>
    </row>
    <row r="183" spans="1:15" x14ac:dyDescent="0.25">
      <c r="A183" s="61">
        <f>'A) Base RI'!A185</f>
        <v>5701</v>
      </c>
      <c r="B183" s="62" t="str">
        <f>'A) Base RI'!B185</f>
        <v>Arnex-sur-Nyon</v>
      </c>
      <c r="C183" s="13">
        <f>'B) D RI'!U185</f>
        <v>14386.456307692306</v>
      </c>
      <c r="D183" s="42">
        <f>'B) D RI'!AR185</f>
        <v>208</v>
      </c>
      <c r="E183" s="306">
        <f>C183/D183</f>
        <v>69.16565532544378</v>
      </c>
      <c r="F183" s="89">
        <f t="shared" si="22"/>
        <v>1.50902965535669</v>
      </c>
      <c r="G183" s="93">
        <f t="shared" si="23"/>
        <v>14.16422702620067</v>
      </c>
      <c r="H183" s="93">
        <f t="shared" si="24"/>
        <v>0.41386995138988425</v>
      </c>
      <c r="I183" s="93">
        <f t="shared" si="25"/>
        <v>0</v>
      </c>
      <c r="J183" s="93">
        <f t="shared" si="26"/>
        <v>0</v>
      </c>
      <c r="K183" s="309">
        <f t="shared" si="19"/>
        <v>5.1405087245712302</v>
      </c>
      <c r="L183" s="141">
        <f>K183*D183*'B) D RI'!S185</f>
        <v>69499.677956203042</v>
      </c>
      <c r="M183" s="14">
        <f>(('B) D RI'!S185*C183)-L183)/'B) D RI'!S185</f>
        <v>13317.230492981491</v>
      </c>
      <c r="N183" s="144">
        <f t="shared" si="20"/>
        <v>64.025146600872546</v>
      </c>
      <c r="O183" s="83">
        <f t="shared" si="21"/>
        <v>1.4677385912736938</v>
      </c>
    </row>
    <row r="184" spans="1:15" x14ac:dyDescent="0.25">
      <c r="A184" s="61">
        <f>'A) Base RI'!A186</f>
        <v>5702</v>
      </c>
      <c r="B184" s="62" t="str">
        <f>'A) Base RI'!B186</f>
        <v>Arzier-Le Muids</v>
      </c>
      <c r="C184" s="13">
        <f>'B) D RI'!U186</f>
        <v>137336.67807291666</v>
      </c>
      <c r="D184" s="42">
        <f>'B) D RI'!AR186</f>
        <v>2506</v>
      </c>
      <c r="E184" s="306">
        <f t="shared" si="27"/>
        <v>54.80314368432429</v>
      </c>
      <c r="F184" s="89">
        <f t="shared" si="22"/>
        <v>1.195673902564711</v>
      </c>
      <c r="G184" s="93">
        <f t="shared" si="23"/>
        <v>0</v>
      </c>
      <c r="H184" s="93">
        <f t="shared" si="24"/>
        <v>0</v>
      </c>
      <c r="I184" s="93">
        <f t="shared" si="25"/>
        <v>0</v>
      </c>
      <c r="J184" s="93">
        <f t="shared" si="26"/>
        <v>0</v>
      </c>
      <c r="K184" s="309">
        <f t="shared" si="19"/>
        <v>0</v>
      </c>
      <c r="L184" s="141">
        <f>K184*D184*'B) D RI'!S186</f>
        <v>0</v>
      </c>
      <c r="M184" s="14">
        <f>(('B) D RI'!S186*C184)-L184)/'B) D RI'!S186</f>
        <v>137336.67807291666</v>
      </c>
      <c r="N184" s="144">
        <f t="shared" si="20"/>
        <v>54.80314368432429</v>
      </c>
      <c r="O184" s="83">
        <f t="shared" si="21"/>
        <v>1.2563296326369326</v>
      </c>
    </row>
    <row r="185" spans="1:15" x14ac:dyDescent="0.25">
      <c r="A185" s="61">
        <f>'A) Base RI'!A187</f>
        <v>5703</v>
      </c>
      <c r="B185" s="62" t="str">
        <f>'A) Base RI'!B187</f>
        <v>Bassins</v>
      </c>
      <c r="C185" s="13">
        <f>'B) D RI'!U187</f>
        <v>51617.647746478862</v>
      </c>
      <c r="D185" s="42">
        <f>'B) D RI'!AR187</f>
        <v>1320</v>
      </c>
      <c r="E185" s="306">
        <f t="shared" si="27"/>
        <v>39.10427859581732</v>
      </c>
      <c r="F185" s="89">
        <f t="shared" si="22"/>
        <v>0.8531621044398684</v>
      </c>
      <c r="G185" s="93">
        <f t="shared" si="23"/>
        <v>0</v>
      </c>
      <c r="H185" s="93">
        <f t="shared" si="24"/>
        <v>0</v>
      </c>
      <c r="I185" s="93">
        <f t="shared" si="25"/>
        <v>0</v>
      </c>
      <c r="J185" s="93">
        <f t="shared" si="26"/>
        <v>0</v>
      </c>
      <c r="K185" s="309">
        <f t="shared" si="19"/>
        <v>0</v>
      </c>
      <c r="L185" s="141">
        <f>K185*D185*'B) D RI'!S187</f>
        <v>0</v>
      </c>
      <c r="M185" s="14">
        <f>(('B) D RI'!S187*C185)-L185)/'B) D RI'!S187</f>
        <v>51617.647746478862</v>
      </c>
      <c r="N185" s="144">
        <f t="shared" si="20"/>
        <v>39.10427859581732</v>
      </c>
      <c r="O185" s="83">
        <f t="shared" si="21"/>
        <v>0.8964424421671966</v>
      </c>
    </row>
    <row r="186" spans="1:15" x14ac:dyDescent="0.25">
      <c r="A186" s="61">
        <f>'A) Base RI'!A188</f>
        <v>5704</v>
      </c>
      <c r="B186" s="62" t="str">
        <f>'A) Base RI'!B188</f>
        <v>Begnins</v>
      </c>
      <c r="C186" s="13">
        <f>'B) D RI'!U188</f>
        <v>109192.54039800997</v>
      </c>
      <c r="D186" s="42">
        <f>'B) D RI'!AR188</f>
        <v>1802</v>
      </c>
      <c r="E186" s="306">
        <f t="shared" si="27"/>
        <v>60.595194449506089</v>
      </c>
      <c r="F186" s="89">
        <f t="shared" si="22"/>
        <v>1.3220426375801579</v>
      </c>
      <c r="G186" s="93">
        <f t="shared" si="23"/>
        <v>5.5937661502629794</v>
      </c>
      <c r="H186" s="93">
        <f t="shared" si="24"/>
        <v>0</v>
      </c>
      <c r="I186" s="93">
        <f t="shared" si="25"/>
        <v>0</v>
      </c>
      <c r="J186" s="93">
        <f t="shared" si="26"/>
        <v>0</v>
      </c>
      <c r="K186" s="309">
        <f t="shared" si="19"/>
        <v>2.0137558140946723</v>
      </c>
      <c r="L186" s="141">
        <f>K186*D186*'B) D RI'!S188</f>
        <v>243128.79445890617</v>
      </c>
      <c r="M186" s="14">
        <f>(('B) D RI'!S188*C186)-L186)/'B) D RI'!S188</f>
        <v>105563.75242101138</v>
      </c>
      <c r="N186" s="144">
        <f t="shared" si="20"/>
        <v>58.581438635411416</v>
      </c>
      <c r="O186" s="83">
        <f t="shared" si="21"/>
        <v>1.3429448081318929</v>
      </c>
    </row>
    <row r="187" spans="1:15" x14ac:dyDescent="0.25">
      <c r="A187" s="61">
        <f>'A) Base RI'!A189</f>
        <v>5705</v>
      </c>
      <c r="B187" s="62" t="str">
        <f>'A) Base RI'!B189</f>
        <v>Bogis-Bossey</v>
      </c>
      <c r="C187" s="13">
        <f>'B) D RI'!U189</f>
        <v>49393.857499999991</v>
      </c>
      <c r="D187" s="42">
        <f>'B) D RI'!AR189</f>
        <v>830</v>
      </c>
      <c r="E187" s="306">
        <f t="shared" si="27"/>
        <v>59.510671686746974</v>
      </c>
      <c r="F187" s="89">
        <f t="shared" si="22"/>
        <v>1.2983809372288446</v>
      </c>
      <c r="G187" s="93">
        <f t="shared" si="23"/>
        <v>4.5092433875038651</v>
      </c>
      <c r="H187" s="93">
        <f t="shared" si="24"/>
        <v>0</v>
      </c>
      <c r="I187" s="93">
        <f t="shared" si="25"/>
        <v>0</v>
      </c>
      <c r="J187" s="93">
        <f t="shared" si="26"/>
        <v>0</v>
      </c>
      <c r="K187" s="309">
        <f t="shared" si="19"/>
        <v>1.6233276195013915</v>
      </c>
      <c r="L187" s="141">
        <f>K187*D187*'B) D RI'!S189</f>
        <v>86231.163147913918</v>
      </c>
      <c r="M187" s="14">
        <f>(('B) D RI'!S189*C187)-L187)/'B) D RI'!S189</f>
        <v>48046.495575813839</v>
      </c>
      <c r="N187" s="144">
        <f t="shared" si="20"/>
        <v>57.887344067245586</v>
      </c>
      <c r="O187" s="83">
        <f t="shared" si="21"/>
        <v>1.3270331009703109</v>
      </c>
    </row>
    <row r="188" spans="1:15" x14ac:dyDescent="0.25">
      <c r="A188" s="61">
        <f>'A) Base RI'!A190</f>
        <v>5706</v>
      </c>
      <c r="B188" s="62" t="str">
        <f>'A) Base RI'!B190</f>
        <v>Borex</v>
      </c>
      <c r="C188" s="13">
        <f>'B) D RI'!U190</f>
        <v>61064.931696969696</v>
      </c>
      <c r="D188" s="42">
        <f>'B) D RI'!AR190</f>
        <v>1049</v>
      </c>
      <c r="E188" s="306">
        <f t="shared" si="27"/>
        <v>58.212518300257095</v>
      </c>
      <c r="F188" s="89">
        <f t="shared" si="22"/>
        <v>1.2700583261265928</v>
      </c>
      <c r="G188" s="93">
        <f t="shared" si="23"/>
        <v>3.2110900010139858</v>
      </c>
      <c r="H188" s="93">
        <f t="shared" si="24"/>
        <v>0</v>
      </c>
      <c r="I188" s="93">
        <f t="shared" si="25"/>
        <v>0</v>
      </c>
      <c r="J188" s="93">
        <f t="shared" si="26"/>
        <v>0</v>
      </c>
      <c r="K188" s="309">
        <f t="shared" si="19"/>
        <v>1.1559924003650348</v>
      </c>
      <c r="L188" s="141">
        <f>K188*D188*'B) D RI'!S190</f>
        <v>66694.981539060682</v>
      </c>
      <c r="M188" s="14">
        <f>(('B) D RI'!S190*C188)-L188)/'B) D RI'!S190</f>
        <v>59852.295668986771</v>
      </c>
      <c r="N188" s="144">
        <f t="shared" si="20"/>
        <v>57.056525899892058</v>
      </c>
      <c r="O188" s="83">
        <f t="shared" si="21"/>
        <v>1.3079870862199214</v>
      </c>
    </row>
    <row r="189" spans="1:15" x14ac:dyDescent="0.25">
      <c r="A189" s="61">
        <f>'A) Base RI'!A191</f>
        <v>5707</v>
      </c>
      <c r="B189" s="62" t="str">
        <f>'A) Base RI'!B191</f>
        <v>Chavannes-de-Bogis</v>
      </c>
      <c r="C189" s="13">
        <f>'B) D RI'!U191</f>
        <v>90099.169661016946</v>
      </c>
      <c r="D189" s="42">
        <f>'B) D RI'!AR191</f>
        <v>1155</v>
      </c>
      <c r="E189" s="306">
        <f t="shared" si="27"/>
        <v>78.007939100447572</v>
      </c>
      <c r="F189" s="89">
        <f t="shared" si="22"/>
        <v>1.7019472005570675</v>
      </c>
      <c r="G189" s="93">
        <f t="shared" si="23"/>
        <v>23.006510801204463</v>
      </c>
      <c r="H189" s="93">
        <f t="shared" si="24"/>
        <v>9.2561537263936771</v>
      </c>
      <c r="I189" s="93">
        <f t="shared" si="25"/>
        <v>0</v>
      </c>
      <c r="J189" s="93">
        <f t="shared" si="26"/>
        <v>0</v>
      </c>
      <c r="K189" s="309">
        <f t="shared" si="19"/>
        <v>9.2079592610729755</v>
      </c>
      <c r="L189" s="141">
        <f>K189*D189*'B) D RI'!S191</f>
        <v>627476.38384581788</v>
      </c>
      <c r="M189" s="14">
        <f>(('B) D RI'!S191*C189)-L189)/'B) D RI'!S191</f>
        <v>79463.976714477656</v>
      </c>
      <c r="N189" s="144">
        <f t="shared" si="20"/>
        <v>68.7999798393746</v>
      </c>
      <c r="O189" s="83">
        <f t="shared" si="21"/>
        <v>1.5771988171867151</v>
      </c>
    </row>
    <row r="190" spans="1:15" x14ac:dyDescent="0.25">
      <c r="A190" s="61">
        <f>'A) Base RI'!A192</f>
        <v>5708</v>
      </c>
      <c r="B190" s="62" t="str">
        <f>'A) Base RI'!B192</f>
        <v>Chavannes-des-Bois</v>
      </c>
      <c r="C190" s="13">
        <f>'B) D RI'!U192</f>
        <v>61956.418196721308</v>
      </c>
      <c r="D190" s="42">
        <f>'B) D RI'!AR192</f>
        <v>807</v>
      </c>
      <c r="E190" s="306">
        <f t="shared" si="27"/>
        <v>76.773752412294058</v>
      </c>
      <c r="F190" s="89">
        <f t="shared" si="22"/>
        <v>1.6750201902669621</v>
      </c>
      <c r="G190" s="93">
        <f t="shared" si="23"/>
        <v>21.772324113050949</v>
      </c>
      <c r="H190" s="93">
        <f t="shared" si="24"/>
        <v>8.0219670382401631</v>
      </c>
      <c r="I190" s="93">
        <f t="shared" si="25"/>
        <v>0</v>
      </c>
      <c r="J190" s="93">
        <f t="shared" si="26"/>
        <v>0</v>
      </c>
      <c r="K190" s="309">
        <f t="shared" si="19"/>
        <v>8.6402333845223573</v>
      </c>
      <c r="L190" s="141">
        <f>K190*D190*'B) D RI'!S192</f>
        <v>425332.76881988207</v>
      </c>
      <c r="M190" s="14">
        <f>(('B) D RI'!S192*C190)-L190)/'B) D RI'!S192</f>
        <v>54983.749855411763</v>
      </c>
      <c r="N190" s="144">
        <f t="shared" si="20"/>
        <v>68.133519027771698</v>
      </c>
      <c r="O190" s="83">
        <f t="shared" si="21"/>
        <v>1.561920597538752</v>
      </c>
    </row>
    <row r="191" spans="1:15" x14ac:dyDescent="0.25">
      <c r="A191" s="61">
        <f>'A) Base RI'!A193</f>
        <v>5709</v>
      </c>
      <c r="B191" s="62" t="str">
        <f>'A) Base RI'!B193</f>
        <v>Chéserex</v>
      </c>
      <c r="C191" s="13">
        <f>'B) D RI'!U193</f>
        <v>139220.21615384615</v>
      </c>
      <c r="D191" s="42">
        <f>'B) D RI'!AR193</f>
        <v>1174</v>
      </c>
      <c r="E191" s="306">
        <f t="shared" si="27"/>
        <v>118.58621478181104</v>
      </c>
      <c r="F191" s="89">
        <f t="shared" si="22"/>
        <v>2.58726840626667</v>
      </c>
      <c r="G191" s="93">
        <f t="shared" si="23"/>
        <v>63.584786482567928</v>
      </c>
      <c r="H191" s="93">
        <f t="shared" si="24"/>
        <v>49.834429407757142</v>
      </c>
      <c r="I191" s="93">
        <f t="shared" si="25"/>
        <v>26.917167616405848</v>
      </c>
      <c r="J191" s="93">
        <f t="shared" si="26"/>
        <v>0</v>
      </c>
      <c r="K191" s="309">
        <f t="shared" si="19"/>
        <v>30.565682836140756</v>
      </c>
      <c r="L191" s="141">
        <f>K191*D191*'B) D RI'!S193</f>
        <v>1865973.8057807207</v>
      </c>
      <c r="M191" s="14">
        <f>(('B) D RI'!S193*C191)-L191)/'B) D RI'!S193</f>
        <v>103336.10450421691</v>
      </c>
      <c r="N191" s="144">
        <f t="shared" si="20"/>
        <v>88.020531945670285</v>
      </c>
      <c r="O191" s="83">
        <f t="shared" si="21"/>
        <v>2.0178185981590335</v>
      </c>
    </row>
    <row r="192" spans="1:15" x14ac:dyDescent="0.25">
      <c r="A192" s="61">
        <f>'A) Base RI'!A194</f>
        <v>5710</v>
      </c>
      <c r="B192" s="62" t="str">
        <f>'A) Base RI'!B194</f>
        <v>Coinsins</v>
      </c>
      <c r="C192" s="13">
        <f>'B) D RI'!U194</f>
        <v>112738.70512195122</v>
      </c>
      <c r="D192" s="42">
        <f>'B) D RI'!AR194</f>
        <v>435</v>
      </c>
      <c r="E192" s="306">
        <f t="shared" si="27"/>
        <v>259.16943706195684</v>
      </c>
      <c r="F192" s="89">
        <f t="shared" si="22"/>
        <v>5.6544590584500876</v>
      </c>
      <c r="G192" s="93">
        <f t="shared" si="23"/>
        <v>204.16800876271373</v>
      </c>
      <c r="H192" s="93">
        <f t="shared" si="24"/>
        <v>190.41765168790295</v>
      </c>
      <c r="I192" s="93">
        <f t="shared" si="25"/>
        <v>167.50038989655167</v>
      </c>
      <c r="J192" s="93">
        <f t="shared" si="26"/>
        <v>121.66586631384905</v>
      </c>
      <c r="K192" s="309">
        <f t="shared" si="19"/>
        <v>121.45887394440732</v>
      </c>
      <c r="L192" s="141">
        <f>K192*D192*'B) D RI'!S194</f>
        <v>2166219.0167985046</v>
      </c>
      <c r="M192" s="14">
        <f>(('B) D RI'!S194*C192)-L192)/'B) D RI'!S194</f>
        <v>59904.094956134039</v>
      </c>
      <c r="N192" s="144">
        <f t="shared" si="20"/>
        <v>137.71056311754953</v>
      </c>
      <c r="O192" s="83">
        <f t="shared" si="21"/>
        <v>3.1569331527450912</v>
      </c>
    </row>
    <row r="193" spans="1:15" x14ac:dyDescent="0.25">
      <c r="A193" s="61">
        <f>'A) Base RI'!A195</f>
        <v>5711</v>
      </c>
      <c r="B193" s="62" t="str">
        <f>'A) Base RI'!B195</f>
        <v>Commugny</v>
      </c>
      <c r="C193" s="13">
        <f>'B) D RI'!U195</f>
        <v>236913.245596817</v>
      </c>
      <c r="D193" s="42">
        <f>'B) D RI'!AR195</f>
        <v>2591</v>
      </c>
      <c r="E193" s="306">
        <f t="shared" si="27"/>
        <v>91.436991739412193</v>
      </c>
      <c r="F193" s="89">
        <f t="shared" si="22"/>
        <v>1.9949371040025259</v>
      </c>
      <c r="G193" s="93">
        <f t="shared" si="23"/>
        <v>36.435563440169084</v>
      </c>
      <c r="H193" s="93">
        <f t="shared" si="24"/>
        <v>22.685206365358297</v>
      </c>
      <c r="I193" s="93">
        <f t="shared" si="25"/>
        <v>0</v>
      </c>
      <c r="J193" s="93">
        <f t="shared" si="26"/>
        <v>0</v>
      </c>
      <c r="K193" s="309">
        <f t="shared" si="19"/>
        <v>15.385323474996699</v>
      </c>
      <c r="L193" s="141">
        <f>K193*D193*'B) D RI'!S195</f>
        <v>2312075.6411755541</v>
      </c>
      <c r="M193" s="14">
        <f>(('B) D RI'!S195*C193)-L193)/'B) D RI'!S195</f>
        <v>197049.87247310052</v>
      </c>
      <c r="N193" s="144">
        <f t="shared" si="20"/>
        <v>76.051668264415483</v>
      </c>
      <c r="O193" s="83">
        <f t="shared" si="21"/>
        <v>1.7434394822753321</v>
      </c>
    </row>
    <row r="194" spans="1:15" x14ac:dyDescent="0.25">
      <c r="A194" s="61">
        <f>'A) Base RI'!A196</f>
        <v>5712</v>
      </c>
      <c r="B194" s="62" t="str">
        <f>'A) Base RI'!B196</f>
        <v>Coppet</v>
      </c>
      <c r="C194" s="13">
        <f>'B) D RI'!U196</f>
        <v>309642.37182389939</v>
      </c>
      <c r="D194" s="42">
        <f>'B) D RI'!AR196</f>
        <v>2936</v>
      </c>
      <c r="E194" s="306">
        <f t="shared" si="27"/>
        <v>105.46402310078317</v>
      </c>
      <c r="F194" s="89">
        <f t="shared" si="22"/>
        <v>2.3009734771320725</v>
      </c>
      <c r="G194" s="93">
        <f t="shared" si="23"/>
        <v>50.462594801540057</v>
      </c>
      <c r="H194" s="93">
        <f t="shared" si="24"/>
        <v>36.712237726729271</v>
      </c>
      <c r="I194" s="93">
        <f t="shared" si="25"/>
        <v>13.794975935377977</v>
      </c>
      <c r="J194" s="93">
        <f t="shared" si="26"/>
        <v>0</v>
      </c>
      <c r="K194" s="309">
        <f t="shared" si="19"/>
        <v>23.217255494765148</v>
      </c>
      <c r="L194" s="141">
        <f>K194*D194*'B) D RI'!S196</f>
        <v>3612790.6930294149</v>
      </c>
      <c r="M194" s="14">
        <f>(('B) D RI'!S196*C194)-L194)/'B) D RI'!S196</f>
        <v>241476.5096912689</v>
      </c>
      <c r="N194" s="144">
        <f t="shared" si="20"/>
        <v>82.246767606018025</v>
      </c>
      <c r="O194" s="83">
        <f t="shared" si="21"/>
        <v>1.8854584679893043</v>
      </c>
    </row>
    <row r="195" spans="1:15" x14ac:dyDescent="0.25">
      <c r="A195" s="61">
        <f>'A) Base RI'!A197</f>
        <v>5713</v>
      </c>
      <c r="B195" s="62" t="str">
        <f>'A) Base RI'!B197</f>
        <v>Crans-près-Céligny</v>
      </c>
      <c r="C195" s="13">
        <f>'B) D RI'!U197</f>
        <v>259331.62150943396</v>
      </c>
      <c r="D195" s="42">
        <f>'B) D RI'!AR197</f>
        <v>2044</v>
      </c>
      <c r="E195" s="306">
        <f t="shared" si="27"/>
        <v>126.87457021009489</v>
      </c>
      <c r="F195" s="89">
        <f t="shared" si="22"/>
        <v>2.7681005559306358</v>
      </c>
      <c r="G195" s="93">
        <f t="shared" si="23"/>
        <v>71.873141910851785</v>
      </c>
      <c r="H195" s="93">
        <f t="shared" si="24"/>
        <v>58.122784836040992</v>
      </c>
      <c r="I195" s="93">
        <f t="shared" si="25"/>
        <v>35.205523044689699</v>
      </c>
      <c r="J195" s="93">
        <f t="shared" si="26"/>
        <v>0</v>
      </c>
      <c r="K195" s="309">
        <f t="shared" si="19"/>
        <v>35.207161875979708</v>
      </c>
      <c r="L195" s="141">
        <f>K195*D195*'B) D RI'!S197</f>
        <v>3814062.2603486334</v>
      </c>
      <c r="M195" s="14">
        <f>(('B) D RI'!S197*C195)-L195)/'B) D RI'!S197</f>
        <v>187368.18263493144</v>
      </c>
      <c r="N195" s="144">
        <f t="shared" si="20"/>
        <v>91.66740833411518</v>
      </c>
      <c r="O195" s="83">
        <f t="shared" si="21"/>
        <v>2.1014210808881004</v>
      </c>
    </row>
    <row r="196" spans="1:15" x14ac:dyDescent="0.25">
      <c r="A196" s="61">
        <f>'A) Base RI'!A198</f>
        <v>5714</v>
      </c>
      <c r="B196" s="62" t="str">
        <f>'A) Base RI'!B198</f>
        <v>Crassier</v>
      </c>
      <c r="C196" s="13">
        <f>'B) D RI'!U198</f>
        <v>74990.560937499991</v>
      </c>
      <c r="D196" s="42">
        <f>'B) D RI'!AR198</f>
        <v>1141</v>
      </c>
      <c r="E196" s="306">
        <f t="shared" si="27"/>
        <v>65.723541575372479</v>
      </c>
      <c r="F196" s="89">
        <f t="shared" si="22"/>
        <v>1.4339309419630526</v>
      </c>
      <c r="G196" s="93">
        <f t="shared" si="23"/>
        <v>10.72211327612937</v>
      </c>
      <c r="H196" s="93">
        <f t="shared" si="24"/>
        <v>0</v>
      </c>
      <c r="I196" s="93">
        <f t="shared" si="25"/>
        <v>0</v>
      </c>
      <c r="J196" s="93">
        <f t="shared" si="26"/>
        <v>0</v>
      </c>
      <c r="K196" s="309">
        <f t="shared" si="19"/>
        <v>3.8599607794065731</v>
      </c>
      <c r="L196" s="141">
        <f>K196*D196*'B) D RI'!S198</f>
        <v>281869.77595538559</v>
      </c>
      <c r="M196" s="14">
        <f>(('B) D RI'!S198*C196)-L196)/'B) D RI'!S198</f>
        <v>70586.345688197092</v>
      </c>
      <c r="N196" s="144">
        <f t="shared" si="20"/>
        <v>61.863580795965902</v>
      </c>
      <c r="O196" s="83">
        <f t="shared" si="21"/>
        <v>1.4181859745617498</v>
      </c>
    </row>
    <row r="197" spans="1:15" x14ac:dyDescent="0.25">
      <c r="A197" s="61">
        <f>'A) Base RI'!A199</f>
        <v>5715</v>
      </c>
      <c r="B197" s="62" t="str">
        <f>'A) Base RI'!B199</f>
        <v>Duillier</v>
      </c>
      <c r="C197" s="13">
        <f>'B) D RI'!U199</f>
        <v>58313.27166666666</v>
      </c>
      <c r="D197" s="42">
        <f>'B) D RI'!AR199</f>
        <v>998</v>
      </c>
      <c r="E197" s="306">
        <f t="shared" si="27"/>
        <v>58.430131930527715</v>
      </c>
      <c r="F197" s="89">
        <f t="shared" si="22"/>
        <v>1.2748061365816956</v>
      </c>
      <c r="G197" s="93">
        <f t="shared" si="23"/>
        <v>3.4287036312846055</v>
      </c>
      <c r="H197" s="93">
        <f t="shared" si="24"/>
        <v>0</v>
      </c>
      <c r="I197" s="93">
        <f t="shared" si="25"/>
        <v>0</v>
      </c>
      <c r="J197" s="93">
        <f t="shared" si="26"/>
        <v>0</v>
      </c>
      <c r="K197" s="309">
        <f t="shared" ref="K197:K260" si="28">(G197-H197)*$G$3+(H197-I197)*$H$3+(I197-J197)*$I$3+(J197*$J$3)</f>
        <v>1.234333307262458</v>
      </c>
      <c r="L197" s="141">
        <f>K197*D197*'B) D RI'!S199</f>
        <v>81303.066282763582</v>
      </c>
      <c r="M197" s="14">
        <f>(('B) D RI'!S199*C197)-L197)/'B) D RI'!S199</f>
        <v>57081.407026018729</v>
      </c>
      <c r="N197" s="144">
        <f t="shared" ref="N197:N260" si="29">M197/D197</f>
        <v>57.195798623265262</v>
      </c>
      <c r="O197" s="83">
        <f t="shared" ref="O197:O260" si="30">N197/N$323</f>
        <v>1.311179830971932</v>
      </c>
    </row>
    <row r="198" spans="1:15" x14ac:dyDescent="0.25">
      <c r="A198" s="61">
        <f>'A) Base RI'!A200</f>
        <v>5716</v>
      </c>
      <c r="B198" s="62" t="str">
        <f>'A) Base RI'!B200</f>
        <v>Eysins</v>
      </c>
      <c r="C198" s="13">
        <f>'B) D RI'!U200</f>
        <v>124360.51655737706</v>
      </c>
      <c r="D198" s="42">
        <f>'B) D RI'!AR200</f>
        <v>1469</v>
      </c>
      <c r="E198" s="306">
        <f t="shared" si="27"/>
        <v>84.656580365811479</v>
      </c>
      <c r="F198" s="89">
        <f t="shared" ref="F198:F261" si="31">E198/$E$323</f>
        <v>1.8470046975193142</v>
      </c>
      <c r="G198" s="93">
        <f t="shared" ref="G198:G261" si="32">IF(E198-$G$2&lt;0,0,E198-$G$2)</f>
        <v>29.65515206656837</v>
      </c>
      <c r="H198" s="93">
        <f t="shared" ref="H198:H261" si="33">IF(E198-$H$2&lt;0,0,E198-$H$2)</f>
        <v>15.904794991757583</v>
      </c>
      <c r="I198" s="93">
        <f t="shared" ref="I198:I261" si="34">IF(E198-$I$2&lt;0,0,E198-$I$2)</f>
        <v>0</v>
      </c>
      <c r="J198" s="93">
        <f t="shared" ref="J198:J261" si="35">IF(E198-$J$2&lt;0,0,E198-$J$2)</f>
        <v>0</v>
      </c>
      <c r="K198" s="309">
        <f t="shared" si="28"/>
        <v>12.266334243140372</v>
      </c>
      <c r="L198" s="141">
        <f>K198*D198*'B) D RI'!S200</f>
        <v>1099173.9451935657</v>
      </c>
      <c r="M198" s="14">
        <f>(('B) D RI'!S200*C198)-L198)/'B) D RI'!S200</f>
        <v>106341.27155420385</v>
      </c>
      <c r="N198" s="144">
        <f t="shared" si="29"/>
        <v>72.390246122671101</v>
      </c>
      <c r="O198" s="83">
        <f t="shared" si="30"/>
        <v>1.6595035467610668</v>
      </c>
    </row>
    <row r="199" spans="1:15" x14ac:dyDescent="0.25">
      <c r="A199" s="61">
        <f>'A) Base RI'!A201</f>
        <v>5717</v>
      </c>
      <c r="B199" s="62" t="str">
        <f>'A) Base RI'!B201</f>
        <v>Founex</v>
      </c>
      <c r="C199" s="13">
        <f>'B) D RI'!U201</f>
        <v>345595.68736842106</v>
      </c>
      <c r="D199" s="42">
        <f>'B) D RI'!AR201</f>
        <v>3372</v>
      </c>
      <c r="E199" s="306">
        <f t="shared" si="27"/>
        <v>102.48982424923518</v>
      </c>
      <c r="F199" s="89">
        <f t="shared" si="31"/>
        <v>2.23608355095707</v>
      </c>
      <c r="G199" s="93">
        <f t="shared" si="32"/>
        <v>47.488395949992075</v>
      </c>
      <c r="H199" s="93">
        <f t="shared" si="33"/>
        <v>33.738038875181289</v>
      </c>
      <c r="I199" s="93">
        <f t="shared" si="34"/>
        <v>10.820777083829995</v>
      </c>
      <c r="J199" s="93">
        <f t="shared" si="35"/>
        <v>0</v>
      </c>
      <c r="K199" s="309">
        <f t="shared" si="28"/>
        <v>21.551704137898277</v>
      </c>
      <c r="L199" s="141">
        <f>K199*D199*'B) D RI'!S201</f>
        <v>4142323.7421206003</v>
      </c>
      <c r="M199" s="14">
        <f>(('B) D RI'!S201*C199)-L199)/'B) D RI'!S201</f>
        <v>272923.34101542807</v>
      </c>
      <c r="N199" s="144">
        <f t="shared" si="29"/>
        <v>80.938120111336914</v>
      </c>
      <c r="O199" s="83">
        <f t="shared" si="30"/>
        <v>1.855458498722683</v>
      </c>
    </row>
    <row r="200" spans="1:15" x14ac:dyDescent="0.25">
      <c r="A200" s="61">
        <f>'A) Base RI'!A202</f>
        <v>5718</v>
      </c>
      <c r="B200" s="62" t="str">
        <f>'A) Base RI'!B202</f>
        <v>Genolier</v>
      </c>
      <c r="C200" s="13">
        <f>'B) D RI'!U202</f>
        <v>147563.83054545455</v>
      </c>
      <c r="D200" s="42">
        <f>'B) D RI'!AR202</f>
        <v>1890</v>
      </c>
      <c r="E200" s="306">
        <f t="shared" si="27"/>
        <v>78.076100817700819</v>
      </c>
      <c r="F200" s="89">
        <f t="shared" si="31"/>
        <v>1.7034343266778453</v>
      </c>
      <c r="G200" s="93">
        <f t="shared" si="32"/>
        <v>23.07467251845771</v>
      </c>
      <c r="H200" s="93">
        <f t="shared" si="33"/>
        <v>9.324315443646924</v>
      </c>
      <c r="I200" s="93">
        <f t="shared" si="34"/>
        <v>0</v>
      </c>
      <c r="J200" s="93">
        <f t="shared" si="35"/>
        <v>0</v>
      </c>
      <c r="K200" s="309">
        <f t="shared" si="28"/>
        <v>9.2393136510094678</v>
      </c>
      <c r="L200" s="141">
        <f>K200*D200*'B) D RI'!S202</f>
        <v>960426.65402243426</v>
      </c>
      <c r="M200" s="14">
        <f>(('B) D RI'!S202*C200)-L200)/'B) D RI'!S202</f>
        <v>130101.52774504664</v>
      </c>
      <c r="N200" s="144">
        <f t="shared" si="29"/>
        <v>68.836787166691337</v>
      </c>
      <c r="O200" s="83">
        <f t="shared" si="30"/>
        <v>1.5780426033803054</v>
      </c>
    </row>
    <row r="201" spans="1:15" x14ac:dyDescent="0.25">
      <c r="A201" s="61">
        <f>'A) Base RI'!A203</f>
        <v>5719</v>
      </c>
      <c r="B201" s="62" t="str">
        <f>'A) Base RI'!B203</f>
        <v>Gingins</v>
      </c>
      <c r="C201" s="13">
        <f>'B) D RI'!U203</f>
        <v>96514.726140350875</v>
      </c>
      <c r="D201" s="42">
        <f>'B) D RI'!AR203</f>
        <v>1204</v>
      </c>
      <c r="E201" s="306">
        <f t="shared" si="27"/>
        <v>80.161732674710024</v>
      </c>
      <c r="F201" s="89">
        <f t="shared" si="31"/>
        <v>1.748937840055615</v>
      </c>
      <c r="G201" s="93">
        <f t="shared" si="32"/>
        <v>25.160304375466914</v>
      </c>
      <c r="H201" s="93">
        <f t="shared" si="33"/>
        <v>11.409947300656128</v>
      </c>
      <c r="I201" s="93">
        <f t="shared" si="34"/>
        <v>0</v>
      </c>
      <c r="J201" s="93">
        <f t="shared" si="35"/>
        <v>0</v>
      </c>
      <c r="K201" s="309">
        <f t="shared" si="28"/>
        <v>10.198704305233703</v>
      </c>
      <c r="L201" s="141">
        <f>K201*D201*'B) D RI'!S203</f>
        <v>699916.67905957857</v>
      </c>
      <c r="M201" s="14">
        <f>(('B) D RI'!S203*C201)-L201)/'B) D RI'!S203</f>
        <v>84235.486156849482</v>
      </c>
      <c r="N201" s="144">
        <f t="shared" si="29"/>
        <v>69.963028369476319</v>
      </c>
      <c r="O201" s="83">
        <f t="shared" si="30"/>
        <v>1.6038610163659852</v>
      </c>
    </row>
    <row r="202" spans="1:15" x14ac:dyDescent="0.25">
      <c r="A202" s="61">
        <f>'A) Base RI'!A204</f>
        <v>5720</v>
      </c>
      <c r="B202" s="62" t="str">
        <f>'A) Base RI'!B204</f>
        <v>Givrins</v>
      </c>
      <c r="C202" s="13">
        <f>'B) D RI'!U204</f>
        <v>81037.865428051009</v>
      </c>
      <c r="D202" s="42">
        <f>'B) D RI'!AR204</f>
        <v>971</v>
      </c>
      <c r="E202" s="306">
        <f t="shared" si="27"/>
        <v>83.458151831154495</v>
      </c>
      <c r="F202" s="89">
        <f t="shared" si="31"/>
        <v>1.8208578448637047</v>
      </c>
      <c r="G202" s="93">
        <f t="shared" si="32"/>
        <v>28.456723531911386</v>
      </c>
      <c r="H202" s="93">
        <f t="shared" si="33"/>
        <v>14.7063664571006</v>
      </c>
      <c r="I202" s="93">
        <f t="shared" si="34"/>
        <v>0</v>
      </c>
      <c r="J202" s="93">
        <f t="shared" si="35"/>
        <v>0</v>
      </c>
      <c r="K202" s="309">
        <f t="shared" si="28"/>
        <v>11.71505711719816</v>
      </c>
      <c r="L202" s="141">
        <f>K202*D202*'B) D RI'!S204</f>
        <v>693894.54810876423</v>
      </c>
      <c r="M202" s="14">
        <f>(('B) D RI'!S204*C202)-L202)/'B) D RI'!S204</f>
        <v>69662.544967251597</v>
      </c>
      <c r="N202" s="144">
        <f t="shared" si="29"/>
        <v>71.743094713956324</v>
      </c>
      <c r="O202" s="83">
        <f t="shared" si="30"/>
        <v>1.6446679837456615</v>
      </c>
    </row>
    <row r="203" spans="1:15" x14ac:dyDescent="0.25">
      <c r="A203" s="61">
        <f>'A) Base RI'!A205</f>
        <v>5721</v>
      </c>
      <c r="B203" s="62" t="str">
        <f>'A) Base RI'!B205</f>
        <v>Gland</v>
      </c>
      <c r="C203" s="13">
        <f>'B) D RI'!U205</f>
        <v>556574.85335272714</v>
      </c>
      <c r="D203" s="42">
        <f>'B) D RI'!AR205</f>
        <v>12663</v>
      </c>
      <c r="E203" s="306">
        <f t="shared" si="27"/>
        <v>43.952843192981689</v>
      </c>
      <c r="F203" s="89">
        <f t="shared" si="31"/>
        <v>0.95894622126210927</v>
      </c>
      <c r="G203" s="93">
        <f t="shared" si="32"/>
        <v>0</v>
      </c>
      <c r="H203" s="93">
        <f t="shared" si="33"/>
        <v>0</v>
      </c>
      <c r="I203" s="93">
        <f t="shared" si="34"/>
        <v>0</v>
      </c>
      <c r="J203" s="93">
        <f t="shared" si="35"/>
        <v>0</v>
      </c>
      <c r="K203" s="309">
        <f t="shared" si="28"/>
        <v>0</v>
      </c>
      <c r="L203" s="141">
        <f>K203*D203*'B) D RI'!S205</f>
        <v>0</v>
      </c>
      <c r="M203" s="14">
        <f>(('B) D RI'!S205*C203)-L203)/'B) D RI'!S205</f>
        <v>556574.85335272714</v>
      </c>
      <c r="N203" s="144">
        <f t="shared" si="29"/>
        <v>43.952843192981689</v>
      </c>
      <c r="O203" s="83">
        <f t="shared" si="30"/>
        <v>1.0075929158381862</v>
      </c>
    </row>
    <row r="204" spans="1:15" x14ac:dyDescent="0.25">
      <c r="A204" s="61">
        <f>'A) Base RI'!A206</f>
        <v>5722</v>
      </c>
      <c r="B204" s="62" t="str">
        <f>'A) Base RI'!B206</f>
        <v>Grens</v>
      </c>
      <c r="C204" s="13">
        <f>'B) D RI'!U206</f>
        <v>25010.62</v>
      </c>
      <c r="D204" s="42">
        <f>'B) D RI'!AR206</f>
        <v>380</v>
      </c>
      <c r="E204" s="306">
        <f t="shared" si="27"/>
        <v>65.817421052631573</v>
      </c>
      <c r="F204" s="89">
        <f t="shared" si="31"/>
        <v>1.4359791682763403</v>
      </c>
      <c r="G204" s="93">
        <f t="shared" si="32"/>
        <v>10.815992753388464</v>
      </c>
      <c r="H204" s="93">
        <f t="shared" si="33"/>
        <v>0</v>
      </c>
      <c r="I204" s="93">
        <f t="shared" si="34"/>
        <v>0</v>
      </c>
      <c r="J204" s="93">
        <f t="shared" si="35"/>
        <v>0</v>
      </c>
      <c r="K204" s="309">
        <f t="shared" si="28"/>
        <v>3.8937573912198471</v>
      </c>
      <c r="L204" s="141">
        <f>K204*D204*'B) D RI'!S206</f>
        <v>84338.785093821891</v>
      </c>
      <c r="M204" s="14">
        <f>(('B) D RI'!S206*C204)-L204)/'B) D RI'!S206</f>
        <v>23530.992191336456</v>
      </c>
      <c r="N204" s="144">
        <f t="shared" si="29"/>
        <v>61.923663661411723</v>
      </c>
      <c r="O204" s="83">
        <f t="shared" si="30"/>
        <v>1.419563338690861</v>
      </c>
    </row>
    <row r="205" spans="1:15" x14ac:dyDescent="0.25">
      <c r="A205" s="61">
        <f>'A) Base RI'!A207</f>
        <v>5723</v>
      </c>
      <c r="B205" s="62" t="str">
        <f>'A) Base RI'!B207</f>
        <v>Mies</v>
      </c>
      <c r="C205" s="13">
        <f>'B) D RI'!U207</f>
        <v>265838.70510204078</v>
      </c>
      <c r="D205" s="42">
        <f>'B) D RI'!AR207</f>
        <v>1778</v>
      </c>
      <c r="E205" s="306">
        <f t="shared" si="27"/>
        <v>149.51558217212641</v>
      </c>
      <c r="F205" s="89">
        <f t="shared" si="31"/>
        <v>3.2620734434458445</v>
      </c>
      <c r="G205" s="93">
        <f t="shared" si="32"/>
        <v>94.514153872883298</v>
      </c>
      <c r="H205" s="93">
        <f t="shared" si="33"/>
        <v>80.763796798072519</v>
      </c>
      <c r="I205" s="93">
        <f t="shared" si="34"/>
        <v>57.846535006721226</v>
      </c>
      <c r="J205" s="93">
        <f t="shared" si="35"/>
        <v>12.012011424018624</v>
      </c>
      <c r="K205" s="309">
        <f t="shared" si="28"/>
        <v>49.087329717119225</v>
      </c>
      <c r="L205" s="141">
        <f>K205*D205*'B) D RI'!S207</f>
        <v>4276586.3396148607</v>
      </c>
      <c r="M205" s="14">
        <f>(('B) D RI'!S207*C205)-L205)/'B) D RI'!S207</f>
        <v>178561.43286500283</v>
      </c>
      <c r="N205" s="144">
        <f t="shared" si="29"/>
        <v>100.42825245500721</v>
      </c>
      <c r="O205" s="83">
        <f t="shared" si="30"/>
        <v>2.3022582470804109</v>
      </c>
    </row>
    <row r="206" spans="1:15" x14ac:dyDescent="0.25">
      <c r="A206" s="61">
        <f>'A) Base RI'!A208</f>
        <v>5724</v>
      </c>
      <c r="B206" s="62" t="str">
        <f>'A) Base RI'!B208</f>
        <v>Nyon</v>
      </c>
      <c r="C206" s="13">
        <f>'B) D RI'!U208</f>
        <v>1373447.3453593946</v>
      </c>
      <c r="D206" s="42">
        <f>'B) D RI'!AR208</f>
        <v>19861</v>
      </c>
      <c r="E206" s="306">
        <f t="shared" si="27"/>
        <v>69.152980482321865</v>
      </c>
      <c r="F206" s="89">
        <f t="shared" si="31"/>
        <v>1.5087531205062941</v>
      </c>
      <c r="G206" s="93">
        <f t="shared" si="32"/>
        <v>14.151552183078756</v>
      </c>
      <c r="H206" s="93">
        <f t="shared" si="33"/>
        <v>0.40119510826797011</v>
      </c>
      <c r="I206" s="93">
        <f t="shared" si="34"/>
        <v>0</v>
      </c>
      <c r="J206" s="93">
        <f t="shared" si="35"/>
        <v>0</v>
      </c>
      <c r="K206" s="309">
        <f t="shared" si="28"/>
        <v>5.1346782967351494</v>
      </c>
      <c r="L206" s="141">
        <f>K206*D206*'B) D RI'!S208</f>
        <v>6220770.5847388655</v>
      </c>
      <c r="M206" s="14">
        <f>(('B) D RI'!S208*C206)-L206)/'B) D RI'!S208</f>
        <v>1271467.4997079377</v>
      </c>
      <c r="N206" s="144">
        <f t="shared" si="29"/>
        <v>64.01830218558672</v>
      </c>
      <c r="O206" s="83">
        <f t="shared" si="30"/>
        <v>1.4675816871042691</v>
      </c>
    </row>
    <row r="207" spans="1:15" x14ac:dyDescent="0.25">
      <c r="A207" s="61">
        <f>'A) Base RI'!A209</f>
        <v>5725</v>
      </c>
      <c r="B207" s="62" t="str">
        <f>'A) Base RI'!B209</f>
        <v>Prangins</v>
      </c>
      <c r="C207" s="13">
        <f>'B) D RI'!U209</f>
        <v>279071.20818877552</v>
      </c>
      <c r="D207" s="42">
        <f>'B) D RI'!AR209</f>
        <v>3976</v>
      </c>
      <c r="E207" s="306">
        <f t="shared" si="27"/>
        <v>70.188935661160841</v>
      </c>
      <c r="F207" s="89">
        <f t="shared" si="31"/>
        <v>1.5313551919987516</v>
      </c>
      <c r="G207" s="93">
        <f t="shared" si="32"/>
        <v>15.187507361917731</v>
      </c>
      <c r="H207" s="93">
        <f t="shared" si="33"/>
        <v>1.4371502871069453</v>
      </c>
      <c r="I207" s="93">
        <f t="shared" si="34"/>
        <v>0</v>
      </c>
      <c r="J207" s="93">
        <f t="shared" si="35"/>
        <v>0</v>
      </c>
      <c r="K207" s="309">
        <f t="shared" si="28"/>
        <v>5.6112176790010784</v>
      </c>
      <c r="L207" s="141">
        <f>K207*D207*'B) D RI'!S209</f>
        <v>1249371.2835356642</v>
      </c>
      <c r="M207" s="14">
        <f>(('B) D RI'!S209*C207)-L207)/'B) D RI'!S209</f>
        <v>256761.00669706723</v>
      </c>
      <c r="N207" s="144">
        <f t="shared" si="29"/>
        <v>64.577717982159768</v>
      </c>
      <c r="O207" s="83">
        <f t="shared" si="30"/>
        <v>1.4804059631393853</v>
      </c>
    </row>
    <row r="208" spans="1:15" x14ac:dyDescent="0.25">
      <c r="A208" s="61">
        <f>'A) Base RI'!A210</f>
        <v>5726</v>
      </c>
      <c r="B208" s="62" t="str">
        <f>'A) Base RI'!B210</f>
        <v>La Rippe</v>
      </c>
      <c r="C208" s="13">
        <f>'B) D RI'!U210</f>
        <v>60430.074769230778</v>
      </c>
      <c r="D208" s="42">
        <f>'B) D RI'!AR210</f>
        <v>1104</v>
      </c>
      <c r="E208" s="306">
        <f t="shared" si="27"/>
        <v>54.737386566332226</v>
      </c>
      <c r="F208" s="89">
        <f t="shared" si="31"/>
        <v>1.1942392390654075</v>
      </c>
      <c r="G208" s="93">
        <f t="shared" si="32"/>
        <v>0</v>
      </c>
      <c r="H208" s="93">
        <f t="shared" si="33"/>
        <v>0</v>
      </c>
      <c r="I208" s="93">
        <f t="shared" si="34"/>
        <v>0</v>
      </c>
      <c r="J208" s="93">
        <f t="shared" si="35"/>
        <v>0</v>
      </c>
      <c r="K208" s="309">
        <f t="shared" si="28"/>
        <v>0</v>
      </c>
      <c r="L208" s="141">
        <f>K208*D208*'B) D RI'!S210</f>
        <v>0</v>
      </c>
      <c r="M208" s="14">
        <f>(('B) D RI'!S210*C208)-L208)/'B) D RI'!S210</f>
        <v>60430.074769230778</v>
      </c>
      <c r="N208" s="144">
        <f t="shared" si="29"/>
        <v>54.737386566332226</v>
      </c>
      <c r="O208" s="83">
        <f t="shared" si="30"/>
        <v>1.2548221896266174</v>
      </c>
    </row>
    <row r="209" spans="1:15" x14ac:dyDescent="0.25">
      <c r="A209" s="61">
        <f>'A) Base RI'!A211</f>
        <v>5727</v>
      </c>
      <c r="B209" s="62" t="str">
        <f>'A) Base RI'!B211</f>
        <v>Saint-Cergue</v>
      </c>
      <c r="C209" s="13">
        <f>'B) D RI'!U211</f>
        <v>92384.571565656559</v>
      </c>
      <c r="D209" s="42">
        <f>'B) D RI'!AR211</f>
        <v>2406</v>
      </c>
      <c r="E209" s="306">
        <f t="shared" si="27"/>
        <v>38.397577541835645</v>
      </c>
      <c r="F209" s="89">
        <f t="shared" si="31"/>
        <v>0.83774357275803424</v>
      </c>
      <c r="G209" s="93">
        <f t="shared" si="32"/>
        <v>0</v>
      </c>
      <c r="H209" s="93">
        <f t="shared" si="33"/>
        <v>0</v>
      </c>
      <c r="I209" s="93">
        <f t="shared" si="34"/>
        <v>0</v>
      </c>
      <c r="J209" s="93">
        <f t="shared" si="35"/>
        <v>0</v>
      </c>
      <c r="K209" s="309">
        <f t="shared" si="28"/>
        <v>0</v>
      </c>
      <c r="L209" s="141">
        <f>K209*D209*'B) D RI'!S211</f>
        <v>0</v>
      </c>
      <c r="M209" s="14">
        <f>(('B) D RI'!S211*C209)-L209)/'B) D RI'!S211</f>
        <v>92384.571565656559</v>
      </c>
      <c r="N209" s="144">
        <f t="shared" si="29"/>
        <v>38.397577541835645</v>
      </c>
      <c r="O209" s="83">
        <f t="shared" si="30"/>
        <v>0.8802417387796847</v>
      </c>
    </row>
    <row r="210" spans="1:15" x14ac:dyDescent="0.25">
      <c r="A210" s="61">
        <f>'A) Base RI'!A212</f>
        <v>5728</v>
      </c>
      <c r="B210" s="62" t="str">
        <f>'A) Base RI'!B212</f>
        <v>Signy-Avenex</v>
      </c>
      <c r="C210" s="13">
        <f>'B) D RI'!U212</f>
        <v>31185.312142857143</v>
      </c>
      <c r="D210" s="42">
        <f>'B) D RI'!AR212</f>
        <v>481</v>
      </c>
      <c r="E210" s="306">
        <f t="shared" si="27"/>
        <v>64.834328779328786</v>
      </c>
      <c r="F210" s="89">
        <f t="shared" si="31"/>
        <v>1.4145304393170675</v>
      </c>
      <c r="G210" s="93">
        <f t="shared" si="32"/>
        <v>9.8329004800856765</v>
      </c>
      <c r="H210" s="93">
        <f t="shared" si="33"/>
        <v>0</v>
      </c>
      <c r="I210" s="93">
        <f t="shared" si="34"/>
        <v>0</v>
      </c>
      <c r="J210" s="93">
        <f t="shared" si="35"/>
        <v>0</v>
      </c>
      <c r="K210" s="309">
        <f t="shared" si="28"/>
        <v>3.5398441728308434</v>
      </c>
      <c r="L210" s="141">
        <f>K210*D210*'B) D RI'!S212</f>
        <v>95349.242639371601</v>
      </c>
      <c r="M210" s="14">
        <f>(('B) D RI'!S212*C210)-L210)/'B) D RI'!S212</f>
        <v>29482.647095725504</v>
      </c>
      <c r="N210" s="144">
        <f t="shared" si="29"/>
        <v>61.294484606497932</v>
      </c>
      <c r="O210" s="83">
        <f t="shared" si="30"/>
        <v>1.4051397812490496</v>
      </c>
    </row>
    <row r="211" spans="1:15" x14ac:dyDescent="0.25">
      <c r="A211" s="61">
        <f>'A) Base RI'!A213</f>
        <v>5729</v>
      </c>
      <c r="B211" s="62" t="str">
        <f>'A) Base RI'!B213</f>
        <v>Tannay</v>
      </c>
      <c r="C211" s="13">
        <f>'B) D RI'!U213</f>
        <v>138438.0717486339</v>
      </c>
      <c r="D211" s="42">
        <f>'B) D RI'!AR213</f>
        <v>1448</v>
      </c>
      <c r="E211" s="306">
        <f t="shared" si="27"/>
        <v>95.606403141321749</v>
      </c>
      <c r="F211" s="89">
        <f t="shared" si="31"/>
        <v>2.0859037177251794</v>
      </c>
      <c r="G211" s="93">
        <f t="shared" si="32"/>
        <v>40.60497484207864</v>
      </c>
      <c r="H211" s="93">
        <f t="shared" si="33"/>
        <v>26.854617767267854</v>
      </c>
      <c r="I211" s="93">
        <f t="shared" si="34"/>
        <v>3.9373559759165602</v>
      </c>
      <c r="J211" s="93">
        <f t="shared" si="35"/>
        <v>0</v>
      </c>
      <c r="K211" s="309">
        <f t="shared" si="28"/>
        <v>17.696988317466754</v>
      </c>
      <c r="L211" s="141">
        <f>K211*D211*'B) D RI'!S213</f>
        <v>1563139.5841052034</v>
      </c>
      <c r="M211" s="14">
        <f>(('B) D RI'!S213*C211)-L211)/'B) D RI'!S213</f>
        <v>112812.83266494203</v>
      </c>
      <c r="N211" s="144">
        <f t="shared" si="29"/>
        <v>77.909414823855002</v>
      </c>
      <c r="O211" s="83">
        <f t="shared" si="30"/>
        <v>1.7860272226063811</v>
      </c>
    </row>
    <row r="212" spans="1:15" x14ac:dyDescent="0.25">
      <c r="A212" s="61">
        <f>'A) Base RI'!A214</f>
        <v>5730</v>
      </c>
      <c r="B212" s="62" t="str">
        <f>'A) Base RI'!B214</f>
        <v>Trélex</v>
      </c>
      <c r="C212" s="13">
        <f>'B) D RI'!U214</f>
        <v>149022.17830188677</v>
      </c>
      <c r="D212" s="42">
        <f>'B) D RI'!AR214</f>
        <v>1394</v>
      </c>
      <c r="E212" s="306">
        <f t="shared" si="27"/>
        <v>106.90256693105221</v>
      </c>
      <c r="F212" s="89">
        <f t="shared" si="31"/>
        <v>2.3323590729193477</v>
      </c>
      <c r="G212" s="93">
        <f t="shared" si="32"/>
        <v>51.901138631809097</v>
      </c>
      <c r="H212" s="93">
        <f t="shared" si="33"/>
        <v>38.150781556998311</v>
      </c>
      <c r="I212" s="93">
        <f t="shared" si="34"/>
        <v>15.233519765647017</v>
      </c>
      <c r="J212" s="93">
        <f t="shared" si="35"/>
        <v>0</v>
      </c>
      <c r="K212" s="309">
        <f t="shared" si="28"/>
        <v>24.02284003971581</v>
      </c>
      <c r="L212" s="141">
        <f>K212*D212*'B) D RI'!S214</f>
        <v>1774855.4678142834</v>
      </c>
      <c r="M212" s="14">
        <f>(('B) D RI'!S214*C212)-L212)/'B) D RI'!S214</f>
        <v>115534.33928652294</v>
      </c>
      <c r="N212" s="144">
        <f t="shared" si="29"/>
        <v>82.879726891336404</v>
      </c>
      <c r="O212" s="83">
        <f t="shared" si="30"/>
        <v>1.8999686849757367</v>
      </c>
    </row>
    <row r="213" spans="1:15" x14ac:dyDescent="0.25">
      <c r="A213" s="61">
        <f>'A) Base RI'!A215</f>
        <v>5731</v>
      </c>
      <c r="B213" s="62" t="str">
        <f>'A) Base RI'!B215</f>
        <v>Le Vaud</v>
      </c>
      <c r="C213" s="13">
        <f>'B) D RI'!U215</f>
        <v>46449.882799999999</v>
      </c>
      <c r="D213" s="42">
        <f>'B) D RI'!AR215</f>
        <v>1243</v>
      </c>
      <c r="E213" s="306">
        <f t="shared" si="27"/>
        <v>37.369173612228479</v>
      </c>
      <c r="F213" s="89">
        <f t="shared" si="31"/>
        <v>0.81530625151585867</v>
      </c>
      <c r="G213" s="93">
        <f t="shared" si="32"/>
        <v>0</v>
      </c>
      <c r="H213" s="93">
        <f t="shared" si="33"/>
        <v>0</v>
      </c>
      <c r="I213" s="93">
        <f t="shared" si="34"/>
        <v>0</v>
      </c>
      <c r="J213" s="93">
        <f t="shared" si="35"/>
        <v>0</v>
      </c>
      <c r="K213" s="309">
        <f t="shared" si="28"/>
        <v>0</v>
      </c>
      <c r="L213" s="141">
        <f>K213*D213*'B) D RI'!S215</f>
        <v>0</v>
      </c>
      <c r="M213" s="14">
        <f>(('B) D RI'!S215*C213)-L213)/'B) D RI'!S215</f>
        <v>46449.882799999999</v>
      </c>
      <c r="N213" s="144">
        <f t="shared" si="29"/>
        <v>37.369173612228479</v>
      </c>
      <c r="O213" s="83">
        <f t="shared" si="30"/>
        <v>0.85666618737467815</v>
      </c>
    </row>
    <row r="214" spans="1:15" x14ac:dyDescent="0.25">
      <c r="A214" s="61">
        <f>'A) Base RI'!A216</f>
        <v>5732</v>
      </c>
      <c r="B214" s="62" t="str">
        <f>'A) Base RI'!B216</f>
        <v>Vich</v>
      </c>
      <c r="C214" s="13">
        <f>'B) D RI'!U216</f>
        <v>57292.894852941186</v>
      </c>
      <c r="D214" s="42">
        <f>'B) D RI'!AR216</f>
        <v>882</v>
      </c>
      <c r="E214" s="306">
        <f t="shared" si="27"/>
        <v>64.957930672268915</v>
      </c>
      <c r="F214" s="89">
        <f t="shared" si="31"/>
        <v>1.417227137859534</v>
      </c>
      <c r="G214" s="93">
        <f t="shared" si="32"/>
        <v>9.9565023730258062</v>
      </c>
      <c r="H214" s="93">
        <f t="shared" si="33"/>
        <v>0</v>
      </c>
      <c r="I214" s="93">
        <f t="shared" si="34"/>
        <v>0</v>
      </c>
      <c r="J214" s="93">
        <f t="shared" si="35"/>
        <v>0</v>
      </c>
      <c r="K214" s="309">
        <f t="shared" si="28"/>
        <v>3.5843408542892901</v>
      </c>
      <c r="L214" s="141">
        <f>K214*D214*'B) D RI'!S216</f>
        <v>214974.42707685445</v>
      </c>
      <c r="M214" s="14">
        <f>(('B) D RI'!S216*C214)-L214)/'B) D RI'!S216</f>
        <v>54131.506219458031</v>
      </c>
      <c r="N214" s="144">
        <f t="shared" si="29"/>
        <v>61.373589817979628</v>
      </c>
      <c r="O214" s="83">
        <f t="shared" si="30"/>
        <v>1.4069532214022811</v>
      </c>
    </row>
    <row r="215" spans="1:15" x14ac:dyDescent="0.25">
      <c r="A215" s="61">
        <f>'A) Base RI'!A217</f>
        <v>5741</v>
      </c>
      <c r="B215" s="62" t="str">
        <f>'A) Base RI'!B217</f>
        <v>L'Abergement</v>
      </c>
      <c r="C215" s="13">
        <f>'B) D RI'!U217</f>
        <v>6994.8889917695487</v>
      </c>
      <c r="D215" s="42">
        <f>'B) D RI'!AR217</f>
        <v>250</v>
      </c>
      <c r="E215" s="306">
        <f t="shared" si="27"/>
        <v>27.979555967078195</v>
      </c>
      <c r="F215" s="89">
        <f t="shared" si="31"/>
        <v>0.61044718653162455</v>
      </c>
      <c r="G215" s="93">
        <f t="shared" si="32"/>
        <v>0</v>
      </c>
      <c r="H215" s="93">
        <f t="shared" si="33"/>
        <v>0</v>
      </c>
      <c r="I215" s="93">
        <f t="shared" si="34"/>
        <v>0</v>
      </c>
      <c r="J215" s="93">
        <f t="shared" si="35"/>
        <v>0</v>
      </c>
      <c r="K215" s="309">
        <f t="shared" si="28"/>
        <v>0</v>
      </c>
      <c r="L215" s="141">
        <f>K215*D215*'B) D RI'!S217</f>
        <v>0</v>
      </c>
      <c r="M215" s="14">
        <f>(('B) D RI'!S217*C215)-L215)/'B) D RI'!S217</f>
        <v>6994.8889917695487</v>
      </c>
      <c r="N215" s="144">
        <f t="shared" si="29"/>
        <v>27.979555967078195</v>
      </c>
      <c r="O215" s="83">
        <f t="shared" si="30"/>
        <v>0.6414147602908129</v>
      </c>
    </row>
    <row r="216" spans="1:15" x14ac:dyDescent="0.25">
      <c r="A216" s="61">
        <f>'A) Base RI'!A218</f>
        <v>5742</v>
      </c>
      <c r="B216" s="62" t="str">
        <f>'A) Base RI'!B218</f>
        <v>Agiez</v>
      </c>
      <c r="C216" s="13">
        <f>'B) D RI'!U218</f>
        <v>9274.0430263157905</v>
      </c>
      <c r="D216" s="42">
        <f>'B) D RI'!AR218</f>
        <v>308</v>
      </c>
      <c r="E216" s="306">
        <f t="shared" si="27"/>
        <v>30.110529306220098</v>
      </c>
      <c r="F216" s="89">
        <f t="shared" si="31"/>
        <v>0.65693994292074309</v>
      </c>
      <c r="G216" s="93">
        <f t="shared" si="32"/>
        <v>0</v>
      </c>
      <c r="H216" s="93">
        <f t="shared" si="33"/>
        <v>0</v>
      </c>
      <c r="I216" s="93">
        <f t="shared" si="34"/>
        <v>0</v>
      </c>
      <c r="J216" s="93">
        <f t="shared" si="35"/>
        <v>0</v>
      </c>
      <c r="K216" s="309">
        <f t="shared" si="28"/>
        <v>0</v>
      </c>
      <c r="L216" s="141">
        <f>K216*D216*'B) D RI'!S218</f>
        <v>0</v>
      </c>
      <c r="M216" s="14">
        <f>(('B) D RI'!S218*C216)-L216)/'B) D RI'!S218</f>
        <v>9274.0430263157905</v>
      </c>
      <c r="N216" s="144">
        <f t="shared" si="29"/>
        <v>30.110529306220098</v>
      </c>
      <c r="O216" s="83">
        <f t="shared" si="30"/>
        <v>0.69026606283185721</v>
      </c>
    </row>
    <row r="217" spans="1:15" x14ac:dyDescent="0.25">
      <c r="A217" s="61">
        <f>'A) Base RI'!A219</f>
        <v>5743</v>
      </c>
      <c r="B217" s="62" t="str">
        <f>'A) Base RI'!B219</f>
        <v>Arnex-sur-Orbe</v>
      </c>
      <c r="C217" s="13">
        <f>'B) D RI'!U219</f>
        <v>17348.834349315071</v>
      </c>
      <c r="D217" s="42">
        <f>'B) D RI'!AR219</f>
        <v>625</v>
      </c>
      <c r="E217" s="306">
        <f t="shared" si="27"/>
        <v>27.758134958904115</v>
      </c>
      <c r="F217" s="89">
        <f t="shared" si="31"/>
        <v>0.60561630817037015</v>
      </c>
      <c r="G217" s="93">
        <f t="shared" si="32"/>
        <v>0</v>
      </c>
      <c r="H217" s="93">
        <f t="shared" si="33"/>
        <v>0</v>
      </c>
      <c r="I217" s="93">
        <f t="shared" si="34"/>
        <v>0</v>
      </c>
      <c r="J217" s="93">
        <f t="shared" si="35"/>
        <v>0</v>
      </c>
      <c r="K217" s="309">
        <f t="shared" si="28"/>
        <v>0</v>
      </c>
      <c r="L217" s="141">
        <f>K217*D217*'B) D RI'!S219</f>
        <v>0</v>
      </c>
      <c r="M217" s="14">
        <f>(('B) D RI'!S219*C217)-L217)/'B) D RI'!S219</f>
        <v>17348.834349315071</v>
      </c>
      <c r="N217" s="144">
        <f t="shared" si="29"/>
        <v>27.758134958904115</v>
      </c>
      <c r="O217" s="83">
        <f t="shared" si="30"/>
        <v>0.63633881473083209</v>
      </c>
    </row>
    <row r="218" spans="1:15" x14ac:dyDescent="0.25">
      <c r="A218" s="61">
        <f>'A) Base RI'!A220</f>
        <v>5744</v>
      </c>
      <c r="B218" s="62" t="str">
        <f>'A) Base RI'!B220</f>
        <v>Ballaigues</v>
      </c>
      <c r="C218" s="13">
        <f>'B) D RI'!U220</f>
        <v>53212.458333333336</v>
      </c>
      <c r="D218" s="42">
        <f>'B) D RI'!AR220</f>
        <v>1069</v>
      </c>
      <c r="E218" s="306">
        <f t="shared" si="27"/>
        <v>49.777790770190208</v>
      </c>
      <c r="F218" s="89">
        <f t="shared" si="31"/>
        <v>1.0860326862648084</v>
      </c>
      <c r="G218" s="93">
        <f t="shared" si="32"/>
        <v>0</v>
      </c>
      <c r="H218" s="93">
        <f t="shared" si="33"/>
        <v>0</v>
      </c>
      <c r="I218" s="93">
        <f t="shared" si="34"/>
        <v>0</v>
      </c>
      <c r="J218" s="93">
        <f t="shared" si="35"/>
        <v>0</v>
      </c>
      <c r="K218" s="309">
        <f t="shared" si="28"/>
        <v>0</v>
      </c>
      <c r="L218" s="141">
        <f>K218*D218*'B) D RI'!S220</f>
        <v>0</v>
      </c>
      <c r="M218" s="14">
        <f>(('B) D RI'!S220*C218)-L218)/'B) D RI'!S220</f>
        <v>53212.458333333336</v>
      </c>
      <c r="N218" s="144">
        <f t="shared" si="29"/>
        <v>49.777790770190208</v>
      </c>
      <c r="O218" s="83">
        <f t="shared" si="30"/>
        <v>1.1411263914350798</v>
      </c>
    </row>
    <row r="219" spans="1:15" x14ac:dyDescent="0.25">
      <c r="A219" s="61">
        <f>'A) Base RI'!A221</f>
        <v>5745</v>
      </c>
      <c r="B219" s="62" t="str">
        <f>'A) Base RI'!B221</f>
        <v>Baulmes</v>
      </c>
      <c r="C219" s="13">
        <f>'B) D RI'!U221</f>
        <v>27522.151666666668</v>
      </c>
      <c r="D219" s="42">
        <f>'B) D RI'!AR221</f>
        <v>1034</v>
      </c>
      <c r="E219" s="306">
        <f t="shared" si="27"/>
        <v>26.617167956157321</v>
      </c>
      <c r="F219" s="89">
        <f t="shared" si="31"/>
        <v>0.58072312910878221</v>
      </c>
      <c r="G219" s="93">
        <f t="shared" si="32"/>
        <v>0</v>
      </c>
      <c r="H219" s="93">
        <f t="shared" si="33"/>
        <v>0</v>
      </c>
      <c r="I219" s="93">
        <f t="shared" si="34"/>
        <v>0</v>
      </c>
      <c r="J219" s="93">
        <f t="shared" si="35"/>
        <v>0</v>
      </c>
      <c r="K219" s="309">
        <f t="shared" si="28"/>
        <v>0</v>
      </c>
      <c r="L219" s="141">
        <f>K219*D219*'B) D RI'!S221</f>
        <v>0</v>
      </c>
      <c r="M219" s="14">
        <f>(('B) D RI'!S221*C219)-L219)/'B) D RI'!S221</f>
        <v>27522.151666666668</v>
      </c>
      <c r="N219" s="144">
        <f t="shared" si="29"/>
        <v>26.617167956157321</v>
      </c>
      <c r="O219" s="83">
        <f t="shared" si="30"/>
        <v>0.61018282149678416</v>
      </c>
    </row>
    <row r="220" spans="1:15" x14ac:dyDescent="0.25">
      <c r="A220" s="61">
        <f>'A) Base RI'!A222</f>
        <v>5746</v>
      </c>
      <c r="B220" s="62" t="str">
        <f>'A) Base RI'!B222</f>
        <v>Bavois</v>
      </c>
      <c r="C220" s="13">
        <f>'B) D RI'!U222</f>
        <v>23930.083584474884</v>
      </c>
      <c r="D220" s="42">
        <f>'B) D RI'!AR222</f>
        <v>939</v>
      </c>
      <c r="E220" s="306">
        <f t="shared" si="27"/>
        <v>25.484647054818833</v>
      </c>
      <c r="F220" s="89">
        <f t="shared" si="31"/>
        <v>0.55601422383795507</v>
      </c>
      <c r="G220" s="93">
        <f t="shared" si="32"/>
        <v>0</v>
      </c>
      <c r="H220" s="93">
        <f t="shared" si="33"/>
        <v>0</v>
      </c>
      <c r="I220" s="93">
        <f t="shared" si="34"/>
        <v>0</v>
      </c>
      <c r="J220" s="93">
        <f t="shared" si="35"/>
        <v>0</v>
      </c>
      <c r="K220" s="309">
        <f t="shared" si="28"/>
        <v>0</v>
      </c>
      <c r="L220" s="141">
        <f>K220*D220*'B) D RI'!S222</f>
        <v>0</v>
      </c>
      <c r="M220" s="14">
        <f>(('B) D RI'!S222*C220)-L220)/'B) D RI'!S222</f>
        <v>23930.083584474884</v>
      </c>
      <c r="N220" s="144">
        <f t="shared" si="29"/>
        <v>25.484647054818833</v>
      </c>
      <c r="O220" s="83">
        <f t="shared" si="30"/>
        <v>0.58422045013852919</v>
      </c>
    </row>
    <row r="221" spans="1:15" x14ac:dyDescent="0.25">
      <c r="A221" s="61">
        <f>'A) Base RI'!A223</f>
        <v>5747</v>
      </c>
      <c r="B221" s="62" t="str">
        <f>'A) Base RI'!B223</f>
        <v>Bofflens</v>
      </c>
      <c r="C221" s="13">
        <f>'B) D RI'!U223</f>
        <v>5183.441884057971</v>
      </c>
      <c r="D221" s="42">
        <f>'B) D RI'!AR223</f>
        <v>187</v>
      </c>
      <c r="E221" s="306">
        <f t="shared" si="27"/>
        <v>27.718940556459739</v>
      </c>
      <c r="F221" s="89">
        <f t="shared" si="31"/>
        <v>0.60476117977847899</v>
      </c>
      <c r="G221" s="93">
        <f t="shared" si="32"/>
        <v>0</v>
      </c>
      <c r="H221" s="93">
        <f t="shared" si="33"/>
        <v>0</v>
      </c>
      <c r="I221" s="93">
        <f t="shared" si="34"/>
        <v>0</v>
      </c>
      <c r="J221" s="93">
        <f t="shared" si="35"/>
        <v>0</v>
      </c>
      <c r="K221" s="309">
        <f t="shared" si="28"/>
        <v>0</v>
      </c>
      <c r="L221" s="141">
        <f>K221*D221*'B) D RI'!S223</f>
        <v>0</v>
      </c>
      <c r="M221" s="14">
        <f>(('B) D RI'!S223*C221)-L221)/'B) D RI'!S223</f>
        <v>5183.441884057971</v>
      </c>
      <c r="N221" s="144">
        <f t="shared" si="29"/>
        <v>27.718940556459739</v>
      </c>
      <c r="O221" s="83">
        <f t="shared" si="30"/>
        <v>0.63544030625277825</v>
      </c>
    </row>
    <row r="222" spans="1:15" x14ac:dyDescent="0.25">
      <c r="A222" s="61">
        <f>'A) Base RI'!A224</f>
        <v>5748</v>
      </c>
      <c r="B222" s="62" t="str">
        <f>'A) Base RI'!B224</f>
        <v>Bretonnières</v>
      </c>
      <c r="C222" s="13">
        <f>'B) D RI'!U224</f>
        <v>6140.8540277777784</v>
      </c>
      <c r="D222" s="42">
        <f>'B) D RI'!AR224</f>
        <v>252</v>
      </c>
      <c r="E222" s="306">
        <f t="shared" si="27"/>
        <v>24.368468364197533</v>
      </c>
      <c r="F222" s="89">
        <f t="shared" si="31"/>
        <v>0.53166186663264248</v>
      </c>
      <c r="G222" s="93">
        <f t="shared" si="32"/>
        <v>0</v>
      </c>
      <c r="H222" s="93">
        <f t="shared" si="33"/>
        <v>0</v>
      </c>
      <c r="I222" s="93">
        <f t="shared" si="34"/>
        <v>0</v>
      </c>
      <c r="J222" s="93">
        <f t="shared" si="35"/>
        <v>0</v>
      </c>
      <c r="K222" s="309">
        <f t="shared" si="28"/>
        <v>0</v>
      </c>
      <c r="L222" s="141">
        <f>K222*D222*'B) D RI'!S224</f>
        <v>0</v>
      </c>
      <c r="M222" s="14">
        <f>(('B) D RI'!S224*C222)-L222)/'B) D RI'!S224</f>
        <v>6140.8540277777784</v>
      </c>
      <c r="N222" s="144">
        <f t="shared" si="29"/>
        <v>24.368468364197533</v>
      </c>
      <c r="O222" s="83">
        <f t="shared" si="30"/>
        <v>0.55863271428850469</v>
      </c>
    </row>
    <row r="223" spans="1:15" x14ac:dyDescent="0.25">
      <c r="A223" s="61">
        <f>'A) Base RI'!A225</f>
        <v>5749</v>
      </c>
      <c r="B223" s="62" t="str">
        <f>'A) Base RI'!B225</f>
        <v>Chavornay</v>
      </c>
      <c r="C223" s="13">
        <f>'B) D RI'!U225</f>
        <v>110381.46250000001</v>
      </c>
      <c r="D223" s="42">
        <f>'B) D RI'!AR225</f>
        <v>4156</v>
      </c>
      <c r="E223" s="306">
        <f t="shared" si="27"/>
        <v>26.559543431183833</v>
      </c>
      <c r="F223" s="89">
        <f t="shared" si="31"/>
        <v>0.57946589939481974</v>
      </c>
      <c r="G223" s="93">
        <f t="shared" si="32"/>
        <v>0</v>
      </c>
      <c r="H223" s="93">
        <f t="shared" si="33"/>
        <v>0</v>
      </c>
      <c r="I223" s="93">
        <f t="shared" si="34"/>
        <v>0</v>
      </c>
      <c r="J223" s="93">
        <f t="shared" si="35"/>
        <v>0</v>
      </c>
      <c r="K223" s="309">
        <f t="shared" si="28"/>
        <v>0</v>
      </c>
      <c r="L223" s="141">
        <f>K223*D223*'B) D RI'!S225</f>
        <v>0</v>
      </c>
      <c r="M223" s="14">
        <f>(('B) D RI'!S225*C223)-L223)/'B) D RI'!S225</f>
        <v>110381.46250000001</v>
      </c>
      <c r="N223" s="144">
        <f t="shared" si="29"/>
        <v>26.559543431183833</v>
      </c>
      <c r="O223" s="83">
        <f t="shared" si="30"/>
        <v>0.60886181336798351</v>
      </c>
    </row>
    <row r="224" spans="1:15" x14ac:dyDescent="0.25">
      <c r="A224" s="61">
        <f>'A) Base RI'!A226</f>
        <v>5750</v>
      </c>
      <c r="B224" s="62" t="str">
        <f>'A) Base RI'!B226</f>
        <v>Les Clées</v>
      </c>
      <c r="C224" s="13">
        <f>'B) D RI'!U226</f>
        <v>4366.1146666666664</v>
      </c>
      <c r="D224" s="42">
        <f>'B) D RI'!AR226</f>
        <v>186</v>
      </c>
      <c r="E224" s="306">
        <f t="shared" si="27"/>
        <v>23.473734767025089</v>
      </c>
      <c r="F224" s="89">
        <f t="shared" si="31"/>
        <v>0.51214091327184208</v>
      </c>
      <c r="G224" s="93">
        <f t="shared" si="32"/>
        <v>0</v>
      </c>
      <c r="H224" s="93">
        <f t="shared" si="33"/>
        <v>0</v>
      </c>
      <c r="I224" s="93">
        <f t="shared" si="34"/>
        <v>0</v>
      </c>
      <c r="J224" s="93">
        <f t="shared" si="35"/>
        <v>0</v>
      </c>
      <c r="K224" s="309">
        <f t="shared" si="28"/>
        <v>0</v>
      </c>
      <c r="L224" s="141">
        <f>K224*D224*'B) D RI'!S226</f>
        <v>0</v>
      </c>
      <c r="M224" s="14">
        <f>(('B) D RI'!S226*C224)-L224)/'B) D RI'!S226</f>
        <v>4366.1146666666664</v>
      </c>
      <c r="N224" s="144">
        <f t="shared" si="29"/>
        <v>23.473734767025089</v>
      </c>
      <c r="O224" s="83">
        <f t="shared" si="30"/>
        <v>0.53812147613912997</v>
      </c>
    </row>
    <row r="225" spans="1:15" x14ac:dyDescent="0.25">
      <c r="A225" s="61">
        <f>'A) Base RI'!A227</f>
        <v>5751</v>
      </c>
      <c r="B225" s="62" t="str">
        <f>'A) Base RI'!B227</f>
        <v>Corcelles-sur-Chavornay</v>
      </c>
      <c r="C225" s="13">
        <f>'B) D RI'!U227</f>
        <v>8804.0960526315775</v>
      </c>
      <c r="D225" s="42">
        <f>'B) D RI'!AR227</f>
        <v>352</v>
      </c>
      <c r="E225" s="306">
        <f t="shared" si="27"/>
        <v>25.011636513157892</v>
      </c>
      <c r="F225" s="89">
        <f t="shared" si="31"/>
        <v>0.54569426183796943</v>
      </c>
      <c r="G225" s="93">
        <f t="shared" si="32"/>
        <v>0</v>
      </c>
      <c r="H225" s="93">
        <f t="shared" si="33"/>
        <v>0</v>
      </c>
      <c r="I225" s="93">
        <f t="shared" si="34"/>
        <v>0</v>
      </c>
      <c r="J225" s="93">
        <f t="shared" si="35"/>
        <v>0</v>
      </c>
      <c r="K225" s="309">
        <f t="shared" si="28"/>
        <v>0</v>
      </c>
      <c r="L225" s="141">
        <f>K225*D225*'B) D RI'!S227</f>
        <v>0</v>
      </c>
      <c r="M225" s="14">
        <f>(('B) D RI'!S227*C225)-L225)/'B) D RI'!S227</f>
        <v>8804.0960526315775</v>
      </c>
      <c r="N225" s="144">
        <f t="shared" si="29"/>
        <v>25.011636513157892</v>
      </c>
      <c r="O225" s="83">
        <f t="shared" si="30"/>
        <v>0.57337696343161126</v>
      </c>
    </row>
    <row r="226" spans="1:15" x14ac:dyDescent="0.25">
      <c r="A226" s="61">
        <f>'A) Base RI'!A228</f>
        <v>5752</v>
      </c>
      <c r="B226" s="62" t="str">
        <f>'A) Base RI'!B228</f>
        <v>Croy</v>
      </c>
      <c r="C226" s="13">
        <f>'B) D RI'!U228</f>
        <v>14303.968204633204</v>
      </c>
      <c r="D226" s="42">
        <f>'B) D RI'!AR228</f>
        <v>335</v>
      </c>
      <c r="E226" s="306">
        <f t="shared" ref="E226:E272" si="36">C226/D226</f>
        <v>42.698412551143889</v>
      </c>
      <c r="F226" s="89">
        <f t="shared" si="31"/>
        <v>0.93157753617968797</v>
      </c>
      <c r="G226" s="93">
        <f t="shared" si="32"/>
        <v>0</v>
      </c>
      <c r="H226" s="93">
        <f t="shared" si="33"/>
        <v>0</v>
      </c>
      <c r="I226" s="93">
        <f t="shared" si="34"/>
        <v>0</v>
      </c>
      <c r="J226" s="93">
        <f t="shared" si="35"/>
        <v>0</v>
      </c>
      <c r="K226" s="309">
        <f t="shared" si="28"/>
        <v>0</v>
      </c>
      <c r="L226" s="141">
        <f>K226*D226*'B) D RI'!S228</f>
        <v>0</v>
      </c>
      <c r="M226" s="14">
        <f>(('B) D RI'!S228*C226)-L226)/'B) D RI'!S228</f>
        <v>14303.968204633204</v>
      </c>
      <c r="N226" s="144">
        <f t="shared" si="29"/>
        <v>42.698412551143889</v>
      </c>
      <c r="O226" s="83">
        <f t="shared" si="30"/>
        <v>0.97883583583367939</v>
      </c>
    </row>
    <row r="227" spans="1:15" x14ac:dyDescent="0.25">
      <c r="A227" s="61">
        <f>'A) Base RI'!A229</f>
        <v>5754</v>
      </c>
      <c r="B227" s="62" t="str">
        <f>'A) Base RI'!B229</f>
        <v>Juriens</v>
      </c>
      <c r="C227" s="13">
        <f>'B) D RI'!U229</f>
        <v>6475.8115189873415</v>
      </c>
      <c r="D227" s="42">
        <f>'B) D RI'!AR229</f>
        <v>302</v>
      </c>
      <c r="E227" s="306">
        <f t="shared" si="36"/>
        <v>21.443084499958083</v>
      </c>
      <c r="F227" s="89">
        <f t="shared" si="31"/>
        <v>0.46783696706843153</v>
      </c>
      <c r="G227" s="93">
        <f t="shared" si="32"/>
        <v>0</v>
      </c>
      <c r="H227" s="93">
        <f t="shared" si="33"/>
        <v>0</v>
      </c>
      <c r="I227" s="93">
        <f t="shared" si="34"/>
        <v>0</v>
      </c>
      <c r="J227" s="93">
        <f t="shared" si="35"/>
        <v>0</v>
      </c>
      <c r="K227" s="309">
        <f t="shared" si="28"/>
        <v>0</v>
      </c>
      <c r="L227" s="141">
        <f>K227*D227*'B) D RI'!S229</f>
        <v>0</v>
      </c>
      <c r="M227" s="14">
        <f>(('B) D RI'!S229*C227)-L227)/'B) D RI'!S229</f>
        <v>6475.8115189873415</v>
      </c>
      <c r="N227" s="144">
        <f t="shared" si="29"/>
        <v>21.443084499958083</v>
      </c>
      <c r="O227" s="83">
        <f t="shared" si="30"/>
        <v>0.49157002064720517</v>
      </c>
    </row>
    <row r="228" spans="1:15" x14ac:dyDescent="0.25">
      <c r="A228" s="61">
        <f>'A) Base RI'!A230</f>
        <v>5755</v>
      </c>
      <c r="B228" s="62" t="str">
        <f>'A) Base RI'!B230</f>
        <v>Lignerolle</v>
      </c>
      <c r="C228" s="13">
        <f>'B) D RI'!U230</f>
        <v>8871.4906525573169</v>
      </c>
      <c r="D228" s="42">
        <f>'B) D RI'!AR230</f>
        <v>394</v>
      </c>
      <c r="E228" s="306">
        <f t="shared" si="36"/>
        <v>22.516473737455119</v>
      </c>
      <c r="F228" s="89">
        <f t="shared" si="31"/>
        <v>0.49125576044936942</v>
      </c>
      <c r="G228" s="93">
        <f t="shared" si="32"/>
        <v>0</v>
      </c>
      <c r="H228" s="93">
        <f t="shared" si="33"/>
        <v>0</v>
      </c>
      <c r="I228" s="93">
        <f t="shared" si="34"/>
        <v>0</v>
      </c>
      <c r="J228" s="93">
        <f t="shared" si="35"/>
        <v>0</v>
      </c>
      <c r="K228" s="309">
        <f t="shared" si="28"/>
        <v>0</v>
      </c>
      <c r="L228" s="141">
        <f>K228*D228*'B) D RI'!S230</f>
        <v>0</v>
      </c>
      <c r="M228" s="14">
        <f>(('B) D RI'!S230*C228)-L228)/'B) D RI'!S230</f>
        <v>8871.4906525573169</v>
      </c>
      <c r="N228" s="144">
        <f t="shared" si="29"/>
        <v>22.516473737455119</v>
      </c>
      <c r="O228" s="83">
        <f t="shared" si="30"/>
        <v>0.51617683361014144</v>
      </c>
    </row>
    <row r="229" spans="1:15" x14ac:dyDescent="0.25">
      <c r="A229" s="61">
        <f>'A) Base RI'!A231</f>
        <v>5756</v>
      </c>
      <c r="B229" s="62" t="str">
        <f>'A) Base RI'!B231</f>
        <v>Montcherand</v>
      </c>
      <c r="C229" s="13">
        <f>'B) D RI'!U231</f>
        <v>14808.245169082125</v>
      </c>
      <c r="D229" s="42">
        <f>'B) D RI'!AR231</f>
        <v>474</v>
      </c>
      <c r="E229" s="306">
        <f t="shared" si="36"/>
        <v>31.241023563464399</v>
      </c>
      <c r="F229" s="89">
        <f t="shared" si="31"/>
        <v>0.68160463165050522</v>
      </c>
      <c r="G229" s="93">
        <f t="shared" si="32"/>
        <v>0</v>
      </c>
      <c r="H229" s="93">
        <f t="shared" si="33"/>
        <v>0</v>
      </c>
      <c r="I229" s="93">
        <f t="shared" si="34"/>
        <v>0</v>
      </c>
      <c r="J229" s="93">
        <f t="shared" si="35"/>
        <v>0</v>
      </c>
      <c r="K229" s="309">
        <f t="shared" si="28"/>
        <v>0</v>
      </c>
      <c r="L229" s="141">
        <f>K229*D229*'B) D RI'!S231</f>
        <v>0</v>
      </c>
      <c r="M229" s="14">
        <f>(('B) D RI'!S231*C229)-L229)/'B) D RI'!S231</f>
        <v>14808.245169082125</v>
      </c>
      <c r="N229" s="144">
        <f t="shared" si="29"/>
        <v>31.241023563464399</v>
      </c>
      <c r="O229" s="83">
        <f t="shared" si="30"/>
        <v>0.71618197457376231</v>
      </c>
    </row>
    <row r="230" spans="1:15" x14ac:dyDescent="0.25">
      <c r="A230" s="61">
        <f>'A) Base RI'!A232</f>
        <v>5757</v>
      </c>
      <c r="B230" s="62" t="str">
        <f>'A) Base RI'!B232</f>
        <v>Orbe</v>
      </c>
      <c r="C230" s="13">
        <f>'B) D RI'!U232</f>
        <v>210430.38166666671</v>
      </c>
      <c r="D230" s="42">
        <f>'B) D RI'!AR232</f>
        <v>6767</v>
      </c>
      <c r="E230" s="306">
        <f t="shared" si="36"/>
        <v>31.096554110634951</v>
      </c>
      <c r="F230" s="89">
        <f t="shared" si="31"/>
        <v>0.67845265271548327</v>
      </c>
      <c r="G230" s="93">
        <f t="shared" si="32"/>
        <v>0</v>
      </c>
      <c r="H230" s="93">
        <f t="shared" si="33"/>
        <v>0</v>
      </c>
      <c r="I230" s="93">
        <f t="shared" si="34"/>
        <v>0</v>
      </c>
      <c r="J230" s="93">
        <f t="shared" si="35"/>
        <v>0</v>
      </c>
      <c r="K230" s="309">
        <f t="shared" si="28"/>
        <v>0</v>
      </c>
      <c r="L230" s="141">
        <f>K230*D230*'B) D RI'!S232</f>
        <v>0</v>
      </c>
      <c r="M230" s="14">
        <f>(('B) D RI'!S232*C230)-L230)/'B) D RI'!S232</f>
        <v>210430.38166666671</v>
      </c>
      <c r="N230" s="144">
        <f t="shared" si="29"/>
        <v>31.096554110634951</v>
      </c>
      <c r="O230" s="83">
        <f t="shared" si="30"/>
        <v>0.71287009787475475</v>
      </c>
    </row>
    <row r="231" spans="1:15" x14ac:dyDescent="0.25">
      <c r="A231" s="61">
        <f>'A) Base RI'!A233</f>
        <v>5758</v>
      </c>
      <c r="B231" s="62" t="str">
        <f>'A) Base RI'!B233</f>
        <v>La Praz</v>
      </c>
      <c r="C231" s="13">
        <f>'B) D RI'!U233</f>
        <v>3864.2083668005353</v>
      </c>
      <c r="D231" s="42">
        <f>'B) D RI'!AR233</f>
        <v>160</v>
      </c>
      <c r="E231" s="306">
        <f t="shared" si="36"/>
        <v>24.151302292503345</v>
      </c>
      <c r="F231" s="89">
        <f t="shared" si="31"/>
        <v>0.52692382083835509</v>
      </c>
      <c r="G231" s="93">
        <f t="shared" si="32"/>
        <v>0</v>
      </c>
      <c r="H231" s="93">
        <f t="shared" si="33"/>
        <v>0</v>
      </c>
      <c r="I231" s="93">
        <f t="shared" si="34"/>
        <v>0</v>
      </c>
      <c r="J231" s="93">
        <f t="shared" si="35"/>
        <v>0</v>
      </c>
      <c r="K231" s="309">
        <f t="shared" si="28"/>
        <v>0</v>
      </c>
      <c r="L231" s="141">
        <f>K231*D231*'B) D RI'!S233</f>
        <v>0</v>
      </c>
      <c r="M231" s="14">
        <f>(('B) D RI'!S233*C231)-L231)/'B) D RI'!S233</f>
        <v>3864.2083668005353</v>
      </c>
      <c r="N231" s="144">
        <f t="shared" si="29"/>
        <v>24.151302292503345</v>
      </c>
      <c r="O231" s="83">
        <f t="shared" si="30"/>
        <v>0.55365431062895687</v>
      </c>
    </row>
    <row r="232" spans="1:15" x14ac:dyDescent="0.25">
      <c r="A232" s="61">
        <f>'A) Base RI'!A234</f>
        <v>5759</v>
      </c>
      <c r="B232" s="62" t="str">
        <f>'A) Base RI'!B234</f>
        <v>Premier</v>
      </c>
      <c r="C232" s="13">
        <f>'B) D RI'!U234</f>
        <v>4558.7250617283944</v>
      </c>
      <c r="D232" s="42">
        <f>'B) D RI'!AR234</f>
        <v>185</v>
      </c>
      <c r="E232" s="306">
        <f t="shared" si="36"/>
        <v>24.641757090423752</v>
      </c>
      <c r="F232" s="89">
        <f t="shared" si="31"/>
        <v>0.53762437490946802</v>
      </c>
      <c r="G232" s="93">
        <f t="shared" si="32"/>
        <v>0</v>
      </c>
      <c r="H232" s="93">
        <f t="shared" si="33"/>
        <v>0</v>
      </c>
      <c r="I232" s="93">
        <f t="shared" si="34"/>
        <v>0</v>
      </c>
      <c r="J232" s="93">
        <f t="shared" si="35"/>
        <v>0</v>
      </c>
      <c r="K232" s="309">
        <f t="shared" si="28"/>
        <v>0</v>
      </c>
      <c r="L232" s="141">
        <f>K232*D232*'B) D RI'!S234</f>
        <v>0</v>
      </c>
      <c r="M232" s="14">
        <f>(('B) D RI'!S234*C232)-L232)/'B) D RI'!S234</f>
        <v>4558.7250617283944</v>
      </c>
      <c r="N232" s="144">
        <f t="shared" si="29"/>
        <v>24.641757090423752</v>
      </c>
      <c r="O232" s="83">
        <f t="shared" si="30"/>
        <v>0.5648976965858945</v>
      </c>
    </row>
    <row r="233" spans="1:15" x14ac:dyDescent="0.25">
      <c r="A233" s="61">
        <f>'A) Base RI'!A235</f>
        <v>5760</v>
      </c>
      <c r="B233" s="62" t="str">
        <f>'A) Base RI'!B235</f>
        <v>Rances</v>
      </c>
      <c r="C233" s="13">
        <f>'B) D RI'!U235</f>
        <v>11470.274871794873</v>
      </c>
      <c r="D233" s="42">
        <f>'B) D RI'!AR235</f>
        <v>460</v>
      </c>
      <c r="E233" s="306">
        <f t="shared" si="36"/>
        <v>24.935380156075809</v>
      </c>
      <c r="F233" s="89">
        <f t="shared" si="31"/>
        <v>0.54403052997994128</v>
      </c>
      <c r="G233" s="93">
        <f t="shared" si="32"/>
        <v>0</v>
      </c>
      <c r="H233" s="93">
        <f t="shared" si="33"/>
        <v>0</v>
      </c>
      <c r="I233" s="93">
        <f t="shared" si="34"/>
        <v>0</v>
      </c>
      <c r="J233" s="93">
        <f t="shared" si="35"/>
        <v>0</v>
      </c>
      <c r="K233" s="309">
        <f t="shared" si="28"/>
        <v>0</v>
      </c>
      <c r="L233" s="141">
        <f>K233*D233*'B) D RI'!S235</f>
        <v>0</v>
      </c>
      <c r="M233" s="14">
        <f>(('B) D RI'!S235*C233)-L233)/'B) D RI'!S235</f>
        <v>11470.274871794873</v>
      </c>
      <c r="N233" s="144">
        <f t="shared" si="29"/>
        <v>24.935380156075809</v>
      </c>
      <c r="O233" s="83">
        <f t="shared" si="30"/>
        <v>0.57162883157933997</v>
      </c>
    </row>
    <row r="234" spans="1:15" x14ac:dyDescent="0.25">
      <c r="A234" s="61">
        <f>'A) Base RI'!A236</f>
        <v>5761</v>
      </c>
      <c r="B234" s="62" t="str">
        <f>'A) Base RI'!B236</f>
        <v>Romainmôtier-Envy</v>
      </c>
      <c r="C234" s="13">
        <f>'B) D RI'!U236</f>
        <v>11347.35572368421</v>
      </c>
      <c r="D234" s="42">
        <f>'B) D RI'!AR236</f>
        <v>525</v>
      </c>
      <c r="E234" s="306">
        <f t="shared" si="36"/>
        <v>21.614010902255639</v>
      </c>
      <c r="F234" s="89">
        <f t="shared" si="31"/>
        <v>0.47156617354723657</v>
      </c>
      <c r="G234" s="93">
        <f t="shared" si="32"/>
        <v>0</v>
      </c>
      <c r="H234" s="93">
        <f t="shared" si="33"/>
        <v>0</v>
      </c>
      <c r="I234" s="93">
        <f t="shared" si="34"/>
        <v>0</v>
      </c>
      <c r="J234" s="93">
        <f t="shared" si="35"/>
        <v>0</v>
      </c>
      <c r="K234" s="309">
        <f t="shared" si="28"/>
        <v>0</v>
      </c>
      <c r="L234" s="141">
        <f>K234*D234*'B) D RI'!S236</f>
        <v>0</v>
      </c>
      <c r="M234" s="14">
        <f>(('B) D RI'!S236*C234)-L234)/'B) D RI'!S236</f>
        <v>11347.35572368421</v>
      </c>
      <c r="N234" s="144">
        <f t="shared" si="29"/>
        <v>21.614010902255639</v>
      </c>
      <c r="O234" s="83">
        <f t="shared" si="30"/>
        <v>0.49548840725369953</v>
      </c>
    </row>
    <row r="235" spans="1:15" x14ac:dyDescent="0.25">
      <c r="A235" s="61">
        <f>'A) Base RI'!A237</f>
        <v>5762</v>
      </c>
      <c r="B235" s="62" t="str">
        <f>'A) Base RI'!B237</f>
        <v>Sergey</v>
      </c>
      <c r="C235" s="13">
        <f>'B) D RI'!U237</f>
        <v>3104.8092592592593</v>
      </c>
      <c r="D235" s="42">
        <f>'B) D RI'!AR237</f>
        <v>144</v>
      </c>
      <c r="E235" s="306">
        <f t="shared" si="36"/>
        <v>21.561175411522633</v>
      </c>
      <c r="F235" s="89">
        <f t="shared" si="31"/>
        <v>0.47041342913967943</v>
      </c>
      <c r="G235" s="93">
        <f t="shared" si="32"/>
        <v>0</v>
      </c>
      <c r="H235" s="93">
        <f t="shared" si="33"/>
        <v>0</v>
      </c>
      <c r="I235" s="93">
        <f t="shared" si="34"/>
        <v>0</v>
      </c>
      <c r="J235" s="93">
        <f t="shared" si="35"/>
        <v>0</v>
      </c>
      <c r="K235" s="309">
        <f t="shared" si="28"/>
        <v>0</v>
      </c>
      <c r="L235" s="141">
        <f>K235*D235*'B) D RI'!S237</f>
        <v>0</v>
      </c>
      <c r="M235" s="14">
        <f>(('B) D RI'!S237*C235)-L235)/'B) D RI'!S237</f>
        <v>3104.8092592592593</v>
      </c>
      <c r="N235" s="144">
        <f t="shared" si="29"/>
        <v>21.561175411522633</v>
      </c>
      <c r="O235" s="83">
        <f t="shared" si="30"/>
        <v>0.49427718490037714</v>
      </c>
    </row>
    <row r="236" spans="1:15" x14ac:dyDescent="0.25">
      <c r="A236" s="61">
        <f>'A) Base RI'!A238</f>
        <v>5763</v>
      </c>
      <c r="B236" s="62" t="str">
        <f>'A) Base RI'!B238</f>
        <v>Valeyres-sous-Rances</v>
      </c>
      <c r="C236" s="13">
        <f>'B) D RI'!U238</f>
        <v>16129.151764705883</v>
      </c>
      <c r="D236" s="42">
        <f>'B) D RI'!AR238</f>
        <v>600</v>
      </c>
      <c r="E236" s="306">
        <f t="shared" si="36"/>
        <v>26.881919607843137</v>
      </c>
      <c r="F236" s="89">
        <f t="shared" si="31"/>
        <v>0.58649937877805403</v>
      </c>
      <c r="G236" s="93">
        <f t="shared" si="32"/>
        <v>0</v>
      </c>
      <c r="H236" s="93">
        <f t="shared" si="33"/>
        <v>0</v>
      </c>
      <c r="I236" s="93">
        <f t="shared" si="34"/>
        <v>0</v>
      </c>
      <c r="J236" s="93">
        <f t="shared" si="35"/>
        <v>0</v>
      </c>
      <c r="K236" s="309">
        <f t="shared" si="28"/>
        <v>0</v>
      </c>
      <c r="L236" s="141">
        <f>K236*D236*'B) D RI'!S238</f>
        <v>0</v>
      </c>
      <c r="M236" s="14">
        <f>(('B) D RI'!S238*C236)-L236)/'B) D RI'!S238</f>
        <v>16129.151764705883</v>
      </c>
      <c r="N236" s="144">
        <f t="shared" si="29"/>
        <v>26.881919607843137</v>
      </c>
      <c r="O236" s="83">
        <f t="shared" si="30"/>
        <v>0.61625209641317191</v>
      </c>
    </row>
    <row r="237" spans="1:15" x14ac:dyDescent="0.25">
      <c r="A237" s="61">
        <f>'A) Base RI'!A239</f>
        <v>5764</v>
      </c>
      <c r="B237" s="62" t="str">
        <f>'A) Base RI'!B239</f>
        <v>Vallorbe</v>
      </c>
      <c r="C237" s="13">
        <f>'B) D RI'!U239</f>
        <v>84393.993513513502</v>
      </c>
      <c r="D237" s="42">
        <f>'B) D RI'!AR239</f>
        <v>3650</v>
      </c>
      <c r="E237" s="306">
        <f t="shared" si="36"/>
        <v>23.12164205849685</v>
      </c>
      <c r="F237" s="89">
        <f t="shared" si="31"/>
        <v>0.50445909003017719</v>
      </c>
      <c r="G237" s="93">
        <f t="shared" si="32"/>
        <v>0</v>
      </c>
      <c r="H237" s="93">
        <f t="shared" si="33"/>
        <v>0</v>
      </c>
      <c r="I237" s="93">
        <f t="shared" si="34"/>
        <v>0</v>
      </c>
      <c r="J237" s="93">
        <f t="shared" si="35"/>
        <v>0</v>
      </c>
      <c r="K237" s="309">
        <f t="shared" si="28"/>
        <v>0</v>
      </c>
      <c r="L237" s="141">
        <f>K237*D237*'B) D RI'!S239</f>
        <v>0</v>
      </c>
      <c r="M237" s="14">
        <f>(('B) D RI'!S239*C237)-L237)/'B) D RI'!S239</f>
        <v>84393.993513513502</v>
      </c>
      <c r="N237" s="144">
        <f t="shared" si="29"/>
        <v>23.12164205849685</v>
      </c>
      <c r="O237" s="83">
        <f t="shared" si="30"/>
        <v>0.53004995918916431</v>
      </c>
    </row>
    <row r="238" spans="1:15" x14ac:dyDescent="0.25">
      <c r="A238" s="61">
        <f>'A) Base RI'!A240</f>
        <v>5765</v>
      </c>
      <c r="B238" s="62" t="str">
        <f>'A) Base RI'!B240</f>
        <v>Vaulion</v>
      </c>
      <c r="C238" s="13">
        <f>'B) D RI'!U240</f>
        <v>9305.5603703703709</v>
      </c>
      <c r="D238" s="42">
        <f>'B) D RI'!AR240</f>
        <v>491</v>
      </c>
      <c r="E238" s="306">
        <f t="shared" si="36"/>
        <v>18.952261446782831</v>
      </c>
      <c r="F238" s="89">
        <f t="shared" si="31"/>
        <v>0.41349314807616305</v>
      </c>
      <c r="G238" s="93">
        <f t="shared" si="32"/>
        <v>0</v>
      </c>
      <c r="H238" s="93">
        <f t="shared" si="33"/>
        <v>0</v>
      </c>
      <c r="I238" s="93">
        <f t="shared" si="34"/>
        <v>0</v>
      </c>
      <c r="J238" s="93">
        <f t="shared" si="35"/>
        <v>0</v>
      </c>
      <c r="K238" s="309">
        <f t="shared" si="28"/>
        <v>0</v>
      </c>
      <c r="L238" s="141">
        <f>K238*D238*'B) D RI'!S240</f>
        <v>0</v>
      </c>
      <c r="M238" s="14">
        <f>(('B) D RI'!S240*C238)-L238)/'B) D RI'!S240</f>
        <v>9305.5603703703709</v>
      </c>
      <c r="N238" s="144">
        <f t="shared" si="29"/>
        <v>18.952261446782831</v>
      </c>
      <c r="O238" s="83">
        <f t="shared" si="30"/>
        <v>0.43446937639612798</v>
      </c>
    </row>
    <row r="239" spans="1:15" x14ac:dyDescent="0.25">
      <c r="A239" s="61">
        <f>'A) Base RI'!A241</f>
        <v>5766</v>
      </c>
      <c r="B239" s="62" t="str">
        <f>'A) Base RI'!B241</f>
        <v>Vuiteboeuf</v>
      </c>
      <c r="C239" s="13">
        <f>'B) D RI'!U241</f>
        <v>11614.965899814471</v>
      </c>
      <c r="D239" s="42">
        <f>'B) D RI'!AR241</f>
        <v>538</v>
      </c>
      <c r="E239" s="306">
        <f t="shared" si="36"/>
        <v>21.589155947610543</v>
      </c>
      <c r="F239" s="89">
        <f t="shared" si="31"/>
        <v>0.47102389771011027</v>
      </c>
      <c r="G239" s="93">
        <f t="shared" si="32"/>
        <v>0</v>
      </c>
      <c r="H239" s="93">
        <f t="shared" si="33"/>
        <v>0</v>
      </c>
      <c r="I239" s="93">
        <f t="shared" si="34"/>
        <v>0</v>
      </c>
      <c r="J239" s="93">
        <f t="shared" si="35"/>
        <v>0</v>
      </c>
      <c r="K239" s="309">
        <f t="shared" si="28"/>
        <v>0</v>
      </c>
      <c r="L239" s="141">
        <f>K239*D239*'B) D RI'!S241</f>
        <v>0</v>
      </c>
      <c r="M239" s="14">
        <f>(('B) D RI'!S241*C239)-L239)/'B) D RI'!S241</f>
        <v>11614.965899814471</v>
      </c>
      <c r="N239" s="144">
        <f t="shared" si="29"/>
        <v>21.589155947610543</v>
      </c>
      <c r="O239" s="83">
        <f t="shared" si="30"/>
        <v>0.49491862212935794</v>
      </c>
    </row>
    <row r="240" spans="1:15" x14ac:dyDescent="0.25">
      <c r="A240" s="61">
        <f>'A) Base RI'!A242</f>
        <v>5782</v>
      </c>
      <c r="B240" s="62" t="str">
        <f>'A) Base RI'!B242</f>
        <v>Carrouge</v>
      </c>
      <c r="C240" s="13">
        <f>'B) D RI'!U242</f>
        <v>30069.638421052627</v>
      </c>
      <c r="D240" s="42">
        <f>'B) D RI'!AR242</f>
        <v>1204</v>
      </c>
      <c r="E240" s="306">
        <f t="shared" si="36"/>
        <v>24.974782741738061</v>
      </c>
      <c r="F240" s="89">
        <f t="shared" si="31"/>
        <v>0.54489020043317848</v>
      </c>
      <c r="G240" s="93">
        <f t="shared" si="32"/>
        <v>0</v>
      </c>
      <c r="H240" s="93">
        <f t="shared" si="33"/>
        <v>0</v>
      </c>
      <c r="I240" s="93">
        <f t="shared" si="34"/>
        <v>0</v>
      </c>
      <c r="J240" s="93">
        <f t="shared" si="35"/>
        <v>0</v>
      </c>
      <c r="K240" s="309">
        <f t="shared" si="28"/>
        <v>0</v>
      </c>
      <c r="L240" s="141">
        <f>K240*D240*'B) D RI'!S242</f>
        <v>0</v>
      </c>
      <c r="M240" s="14">
        <f>(('B) D RI'!S242*C240)-L240)/'B) D RI'!S242</f>
        <v>30069.638421052627</v>
      </c>
      <c r="N240" s="144">
        <f t="shared" si="29"/>
        <v>24.974782741738061</v>
      </c>
      <c r="O240" s="83">
        <f t="shared" si="30"/>
        <v>0.57253211253444625</v>
      </c>
    </row>
    <row r="241" spans="1:15" x14ac:dyDescent="0.25">
      <c r="A241" s="61">
        <f>'A) Base RI'!A243</f>
        <v>5785</v>
      </c>
      <c r="B241" s="62" t="str">
        <f>'A) Base RI'!B243</f>
        <v>Corcelles-le-Jorat</v>
      </c>
      <c r="C241" s="13">
        <f>'B) D RI'!U243</f>
        <v>12293.058354430379</v>
      </c>
      <c r="D241" s="42">
        <f>'B) D RI'!AR243</f>
        <v>421</v>
      </c>
      <c r="E241" s="306">
        <f t="shared" si="36"/>
        <v>29.199663549715865</v>
      </c>
      <c r="F241" s="89">
        <f t="shared" si="31"/>
        <v>0.6370670243147345</v>
      </c>
      <c r="G241" s="93">
        <f t="shared" si="32"/>
        <v>0</v>
      </c>
      <c r="H241" s="93">
        <f t="shared" si="33"/>
        <v>0</v>
      </c>
      <c r="I241" s="93">
        <f t="shared" si="34"/>
        <v>0</v>
      </c>
      <c r="J241" s="93">
        <f t="shared" si="35"/>
        <v>0</v>
      </c>
      <c r="K241" s="309">
        <f t="shared" si="28"/>
        <v>0</v>
      </c>
      <c r="L241" s="141">
        <f>K241*D241*'B) D RI'!S243</f>
        <v>0</v>
      </c>
      <c r="M241" s="14">
        <f>(('B) D RI'!S243*C241)-L241)/'B) D RI'!S243</f>
        <v>12293.058354430379</v>
      </c>
      <c r="N241" s="144">
        <f t="shared" si="29"/>
        <v>29.199663549715865</v>
      </c>
      <c r="O241" s="83">
        <f t="shared" si="30"/>
        <v>0.66938500447793925</v>
      </c>
    </row>
    <row r="242" spans="1:15" x14ac:dyDescent="0.25">
      <c r="A242" s="61">
        <f>'A) Base RI'!A244</f>
        <v>5788</v>
      </c>
      <c r="B242" s="62" t="str">
        <f>'A) Base RI'!B244</f>
        <v>Essertes</v>
      </c>
      <c r="C242" s="13">
        <f>'B) D RI'!U244</f>
        <v>10412.319857142857</v>
      </c>
      <c r="D242" s="42">
        <f>'B) D RI'!AR244</f>
        <v>330</v>
      </c>
      <c r="E242" s="306">
        <f t="shared" si="36"/>
        <v>31.552484415584413</v>
      </c>
      <c r="F242" s="89">
        <f t="shared" si="31"/>
        <v>0.68839996468277787</v>
      </c>
      <c r="G242" s="93">
        <f t="shared" si="32"/>
        <v>0</v>
      </c>
      <c r="H242" s="93">
        <f t="shared" si="33"/>
        <v>0</v>
      </c>
      <c r="I242" s="93">
        <f t="shared" si="34"/>
        <v>0</v>
      </c>
      <c r="J242" s="93">
        <f t="shared" si="35"/>
        <v>0</v>
      </c>
      <c r="K242" s="309">
        <f t="shared" si="28"/>
        <v>0</v>
      </c>
      <c r="L242" s="141">
        <f>K242*D242*'B) D RI'!S244</f>
        <v>0</v>
      </c>
      <c r="M242" s="14">
        <f>(('B) D RI'!S244*C242)-L242)/'B) D RI'!S244</f>
        <v>10412.319857142857</v>
      </c>
      <c r="N242" s="144">
        <f t="shared" si="29"/>
        <v>31.552484415584413</v>
      </c>
      <c r="O242" s="83">
        <f t="shared" si="30"/>
        <v>0.7233220302643385</v>
      </c>
    </row>
    <row r="243" spans="1:15" x14ac:dyDescent="0.25">
      <c r="A243" s="61">
        <f>'A) Base RI'!A245</f>
        <v>5789</v>
      </c>
      <c r="B243" s="62" t="str">
        <f>'A) Base RI'!B245</f>
        <v>Ferlens</v>
      </c>
      <c r="C243" s="13">
        <f>'B) D RI'!U245</f>
        <v>10073.464805194806</v>
      </c>
      <c r="D243" s="42">
        <f>'B) D RI'!AR245</f>
        <v>336</v>
      </c>
      <c r="E243" s="306">
        <f t="shared" si="36"/>
        <v>29.980550015460732</v>
      </c>
      <c r="F243" s="89">
        <f t="shared" si="31"/>
        <v>0.65410410476645675</v>
      </c>
      <c r="G243" s="93">
        <f t="shared" si="32"/>
        <v>0</v>
      </c>
      <c r="H243" s="93">
        <f t="shared" si="33"/>
        <v>0</v>
      </c>
      <c r="I243" s="93">
        <f t="shared" si="34"/>
        <v>0</v>
      </c>
      <c r="J243" s="93">
        <f t="shared" si="35"/>
        <v>0</v>
      </c>
      <c r="K243" s="309">
        <f t="shared" si="28"/>
        <v>0</v>
      </c>
      <c r="L243" s="141">
        <f>K243*D243*'B) D RI'!S245</f>
        <v>0</v>
      </c>
      <c r="M243" s="14">
        <f>(('B) D RI'!S245*C243)-L243)/'B) D RI'!S245</f>
        <v>10073.464805194806</v>
      </c>
      <c r="N243" s="144">
        <f t="shared" si="29"/>
        <v>29.980550015460732</v>
      </c>
      <c r="O243" s="83">
        <f t="shared" si="30"/>
        <v>0.68728636452201675</v>
      </c>
    </row>
    <row r="244" spans="1:15" x14ac:dyDescent="0.25">
      <c r="A244" s="61">
        <f>'A) Base RI'!A246</f>
        <v>5790</v>
      </c>
      <c r="B244" s="62" t="str">
        <f>'A) Base RI'!B246</f>
        <v>Maracon</v>
      </c>
      <c r="C244" s="13">
        <f>'B) D RI'!U246</f>
        <v>12107.709078947366</v>
      </c>
      <c r="D244" s="42">
        <f>'B) D RI'!AR246</f>
        <v>444</v>
      </c>
      <c r="E244" s="306">
        <f t="shared" si="36"/>
        <v>27.269615042674246</v>
      </c>
      <c r="F244" s="89">
        <f t="shared" si="31"/>
        <v>0.59495796860350647</v>
      </c>
      <c r="G244" s="93">
        <f t="shared" si="32"/>
        <v>0</v>
      </c>
      <c r="H244" s="93">
        <f t="shared" si="33"/>
        <v>0</v>
      </c>
      <c r="I244" s="93">
        <f t="shared" si="34"/>
        <v>0</v>
      </c>
      <c r="J244" s="93">
        <f t="shared" si="35"/>
        <v>0</v>
      </c>
      <c r="K244" s="309">
        <f t="shared" si="28"/>
        <v>0</v>
      </c>
      <c r="L244" s="141">
        <f>K244*D244*'B) D RI'!S246</f>
        <v>0</v>
      </c>
      <c r="M244" s="14">
        <f>(('B) D RI'!S246*C244)-L244)/'B) D RI'!S246</f>
        <v>12107.709078947366</v>
      </c>
      <c r="N244" s="144">
        <f t="shared" si="29"/>
        <v>27.269615042674246</v>
      </c>
      <c r="O244" s="83">
        <f t="shared" si="30"/>
        <v>0.62513978479145194</v>
      </c>
    </row>
    <row r="245" spans="1:15" x14ac:dyDescent="0.25">
      <c r="A245" s="61">
        <f>'A) Base RI'!A247</f>
        <v>5791</v>
      </c>
      <c r="B245" s="62" t="str">
        <f>'A) Base RI'!B247</f>
        <v>Mézières</v>
      </c>
      <c r="C245" s="13">
        <f>'B) D RI'!U247</f>
        <v>42914.858070175447</v>
      </c>
      <c r="D245" s="42">
        <f>'B) D RI'!AR247</f>
        <v>1215</v>
      </c>
      <c r="E245" s="306">
        <f t="shared" si="36"/>
        <v>35.320870839650574</v>
      </c>
      <c r="F245" s="89">
        <f t="shared" si="31"/>
        <v>0.77061716973928041</v>
      </c>
      <c r="G245" s="93">
        <f t="shared" si="32"/>
        <v>0</v>
      </c>
      <c r="H245" s="93">
        <f t="shared" si="33"/>
        <v>0</v>
      </c>
      <c r="I245" s="93">
        <f t="shared" si="34"/>
        <v>0</v>
      </c>
      <c r="J245" s="93">
        <f t="shared" si="35"/>
        <v>0</v>
      </c>
      <c r="K245" s="309">
        <f t="shared" si="28"/>
        <v>0</v>
      </c>
      <c r="L245" s="141">
        <f>K245*D245*'B) D RI'!S247</f>
        <v>0</v>
      </c>
      <c r="M245" s="14">
        <f>(('B) D RI'!S247*C245)-L245)/'B) D RI'!S247</f>
        <v>42914.858070175447</v>
      </c>
      <c r="N245" s="144">
        <f t="shared" si="29"/>
        <v>35.320870839650574</v>
      </c>
      <c r="O245" s="83">
        <f t="shared" si="30"/>
        <v>0.80971005864190104</v>
      </c>
    </row>
    <row r="246" spans="1:15" x14ac:dyDescent="0.25">
      <c r="A246" s="61">
        <f>'A) Base RI'!A248</f>
        <v>5792</v>
      </c>
      <c r="B246" s="62" t="str">
        <f>'A) Base RI'!B248</f>
        <v>Montpreveyres</v>
      </c>
      <c r="C246" s="13">
        <f>'B) D RI'!U248</f>
        <v>19088.494155844161</v>
      </c>
      <c r="D246" s="42">
        <f>'B) D RI'!AR248</f>
        <v>628</v>
      </c>
      <c r="E246" s="306">
        <f t="shared" si="36"/>
        <v>30.395691330962038</v>
      </c>
      <c r="F246" s="89">
        <f t="shared" si="31"/>
        <v>0.66316149825615311</v>
      </c>
      <c r="G246" s="93">
        <f t="shared" si="32"/>
        <v>0</v>
      </c>
      <c r="H246" s="93">
        <f t="shared" si="33"/>
        <v>0</v>
      </c>
      <c r="I246" s="93">
        <f t="shared" si="34"/>
        <v>0</v>
      </c>
      <c r="J246" s="93">
        <f t="shared" si="35"/>
        <v>0</v>
      </c>
      <c r="K246" s="309">
        <f t="shared" si="28"/>
        <v>0</v>
      </c>
      <c r="L246" s="141">
        <f>K246*D246*'B) D RI'!S248</f>
        <v>0</v>
      </c>
      <c r="M246" s="14">
        <f>(('B) D RI'!S248*C246)-L246)/'B) D RI'!S248</f>
        <v>19088.494155844161</v>
      </c>
      <c r="N246" s="144">
        <f t="shared" si="29"/>
        <v>30.395691330962038</v>
      </c>
      <c r="O246" s="83">
        <f t="shared" si="30"/>
        <v>0.69680323347027295</v>
      </c>
    </row>
    <row r="247" spans="1:15" x14ac:dyDescent="0.25">
      <c r="A247" s="61">
        <f>'A) Base RI'!A249</f>
        <v>5798</v>
      </c>
      <c r="B247" s="62" t="str">
        <f>'A) Base RI'!B249</f>
        <v>Ropraz</v>
      </c>
      <c r="C247" s="13">
        <f>'B) D RI'!U249</f>
        <v>9558.3067096774193</v>
      </c>
      <c r="D247" s="42">
        <f>'B) D RI'!AR249</f>
        <v>405</v>
      </c>
      <c r="E247" s="306">
        <f t="shared" si="36"/>
        <v>23.60075730784548</v>
      </c>
      <c r="F247" s="89">
        <f t="shared" si="31"/>
        <v>0.5149122421936142</v>
      </c>
      <c r="G247" s="93">
        <f t="shared" si="32"/>
        <v>0</v>
      </c>
      <c r="H247" s="93">
        <f t="shared" si="33"/>
        <v>0</v>
      </c>
      <c r="I247" s="93">
        <f t="shared" si="34"/>
        <v>0</v>
      </c>
      <c r="J247" s="93">
        <f t="shared" si="35"/>
        <v>0</v>
      </c>
      <c r="K247" s="309">
        <f t="shared" si="28"/>
        <v>0</v>
      </c>
      <c r="L247" s="141">
        <f>K247*D247*'B) D RI'!S249</f>
        <v>0</v>
      </c>
      <c r="M247" s="14">
        <f>(('B) D RI'!S249*C247)-L247)/'B) D RI'!S249</f>
        <v>9558.3067096774193</v>
      </c>
      <c r="N247" s="144">
        <f t="shared" si="29"/>
        <v>23.60075730784548</v>
      </c>
      <c r="O247" s="83">
        <f t="shared" si="30"/>
        <v>0.54103339270663042</v>
      </c>
    </row>
    <row r="248" spans="1:15" x14ac:dyDescent="0.25">
      <c r="A248" s="61">
        <f>'A) Base RI'!A250</f>
        <v>5799</v>
      </c>
      <c r="B248" s="62" t="str">
        <f>'A) Base RI'!B250</f>
        <v>Servion</v>
      </c>
      <c r="C248" s="13">
        <f>'B) D RI'!U250</f>
        <v>51366.477681159435</v>
      </c>
      <c r="D248" s="42">
        <f>'B) D RI'!AR250</f>
        <v>1908</v>
      </c>
      <c r="E248" s="306">
        <f t="shared" si="36"/>
        <v>26.921634004800541</v>
      </c>
      <c r="F248" s="89">
        <f t="shared" si="31"/>
        <v>0.58736585221015469</v>
      </c>
      <c r="G248" s="93">
        <f t="shared" si="32"/>
        <v>0</v>
      </c>
      <c r="H248" s="93">
        <f t="shared" si="33"/>
        <v>0</v>
      </c>
      <c r="I248" s="93">
        <f t="shared" si="34"/>
        <v>0</v>
      </c>
      <c r="J248" s="93">
        <f t="shared" si="35"/>
        <v>0</v>
      </c>
      <c r="K248" s="309">
        <f t="shared" si="28"/>
        <v>0</v>
      </c>
      <c r="L248" s="141">
        <f>K248*D248*'B) D RI'!S250</f>
        <v>0</v>
      </c>
      <c r="M248" s="14">
        <f>(('B) D RI'!S250*C248)-L248)/'B) D RI'!S250</f>
        <v>51366.477681159435</v>
      </c>
      <c r="N248" s="144">
        <f t="shared" si="29"/>
        <v>26.921634004800541</v>
      </c>
      <c r="O248" s="83">
        <f t="shared" si="30"/>
        <v>0.61716252545766781</v>
      </c>
    </row>
    <row r="249" spans="1:15" x14ac:dyDescent="0.25">
      <c r="A249" s="61">
        <f>'A) Base RI'!A251</f>
        <v>5803</v>
      </c>
      <c r="B249" s="62" t="str">
        <f>'A) Base RI'!B251</f>
        <v>Vulliens</v>
      </c>
      <c r="C249" s="13">
        <f>'B) D RI'!U251</f>
        <v>12589.149382716048</v>
      </c>
      <c r="D249" s="42">
        <f>'B) D RI'!AR251</f>
        <v>462</v>
      </c>
      <c r="E249" s="306">
        <f t="shared" si="36"/>
        <v>27.249241088129974</v>
      </c>
      <c r="F249" s="89">
        <f t="shared" si="31"/>
        <v>0.59451345750244722</v>
      </c>
      <c r="G249" s="93">
        <f t="shared" si="32"/>
        <v>0</v>
      </c>
      <c r="H249" s="93">
        <f t="shared" si="33"/>
        <v>0</v>
      </c>
      <c r="I249" s="93">
        <f t="shared" si="34"/>
        <v>0</v>
      </c>
      <c r="J249" s="93">
        <f t="shared" si="35"/>
        <v>0</v>
      </c>
      <c r="K249" s="309">
        <f t="shared" si="28"/>
        <v>0</v>
      </c>
      <c r="L249" s="141">
        <f>K249*D249*'B) D RI'!S251</f>
        <v>0</v>
      </c>
      <c r="M249" s="14">
        <f>(('B) D RI'!S251*C249)-L249)/'B) D RI'!S251</f>
        <v>12589.149382716048</v>
      </c>
      <c r="N249" s="144">
        <f t="shared" si="29"/>
        <v>27.249241088129974</v>
      </c>
      <c r="O249" s="83">
        <f t="shared" si="30"/>
        <v>0.62467272394225315</v>
      </c>
    </row>
    <row r="250" spans="1:15" x14ac:dyDescent="0.25">
      <c r="A250" s="61">
        <f>'A) Base RI'!A252</f>
        <v>5804</v>
      </c>
      <c r="B250" s="62" t="str">
        <f>'A) Base RI'!B252</f>
        <v>Jorat-Menthue</v>
      </c>
      <c r="C250" s="13">
        <f>'B) D RI'!U252</f>
        <v>41163.666944444441</v>
      </c>
      <c r="D250" s="42">
        <f>'B) D RI'!AR252</f>
        <v>1518</v>
      </c>
      <c r="E250" s="306">
        <f>C250/D250</f>
        <v>27.117040147855363</v>
      </c>
      <c r="F250" s="89">
        <f t="shared" si="31"/>
        <v>0.5916291482538506</v>
      </c>
      <c r="G250" s="93">
        <f t="shared" si="32"/>
        <v>0</v>
      </c>
      <c r="H250" s="93">
        <f t="shared" si="33"/>
        <v>0</v>
      </c>
      <c r="I250" s="93">
        <f t="shared" si="34"/>
        <v>0</v>
      </c>
      <c r="J250" s="93">
        <f t="shared" si="35"/>
        <v>0</v>
      </c>
      <c r="K250" s="309">
        <f t="shared" si="28"/>
        <v>0</v>
      </c>
      <c r="L250" s="141">
        <f>K250*D250*'B) D RI'!S252</f>
        <v>0</v>
      </c>
      <c r="M250" s="14">
        <f>(('B) D RI'!S252*C250)-L250)/'B) D RI'!S252</f>
        <v>41163.666944444441</v>
      </c>
      <c r="N250" s="144">
        <f t="shared" si="29"/>
        <v>27.117040147855363</v>
      </c>
      <c r="O250" s="83">
        <f t="shared" si="30"/>
        <v>0.62164209563220296</v>
      </c>
    </row>
    <row r="251" spans="1:15" x14ac:dyDescent="0.25">
      <c r="A251" s="61">
        <f>'A) Base RI'!A253</f>
        <v>5805</v>
      </c>
      <c r="B251" s="62" t="str">
        <f>'A) Base RI'!B253</f>
        <v>Oron</v>
      </c>
      <c r="C251" s="13">
        <f>'B) D RI'!U253</f>
        <v>146504.50986824767</v>
      </c>
      <c r="D251" s="42">
        <f>'B) D RI'!AR253</f>
        <v>5297</v>
      </c>
      <c r="E251" s="306">
        <f>C251/D251</f>
        <v>27.65801583315984</v>
      </c>
      <c r="F251" s="89">
        <f t="shared" si="31"/>
        <v>0.60343194760723218</v>
      </c>
      <c r="G251" s="93">
        <f t="shared" si="32"/>
        <v>0</v>
      </c>
      <c r="H251" s="93">
        <f t="shared" si="33"/>
        <v>0</v>
      </c>
      <c r="I251" s="93">
        <f t="shared" si="34"/>
        <v>0</v>
      </c>
      <c r="J251" s="93">
        <f t="shared" si="35"/>
        <v>0</v>
      </c>
      <c r="K251" s="309">
        <f t="shared" si="28"/>
        <v>0</v>
      </c>
      <c r="L251" s="141">
        <f>K251*D251*'B) D RI'!S253</f>
        <v>0</v>
      </c>
      <c r="M251" s="14">
        <f>(('B) D RI'!S253*C251)-L251)/'B) D RI'!S253</f>
        <v>146504.50986824767</v>
      </c>
      <c r="N251" s="144">
        <f t="shared" si="29"/>
        <v>27.65801583315984</v>
      </c>
      <c r="O251" s="83">
        <f t="shared" si="30"/>
        <v>0.63404364303063243</v>
      </c>
    </row>
    <row r="252" spans="1:15" x14ac:dyDescent="0.25">
      <c r="A252" s="61">
        <f>'A) Base RI'!A254</f>
        <v>5812</v>
      </c>
      <c r="B252" s="62" t="str">
        <f>'A) Base RI'!B254</f>
        <v>Champtauroz</v>
      </c>
      <c r="C252" s="13">
        <f>'B) D RI'!U254</f>
        <v>2420.1879870129869</v>
      </c>
      <c r="D252" s="42">
        <f>'B) D RI'!AR254</f>
        <v>133</v>
      </c>
      <c r="E252" s="306">
        <f>C252/D252</f>
        <v>18.196902157992383</v>
      </c>
      <c r="F252" s="89">
        <f t="shared" si="31"/>
        <v>0.39701300974926418</v>
      </c>
      <c r="G252" s="93">
        <f t="shared" si="32"/>
        <v>0</v>
      </c>
      <c r="H252" s="93">
        <f t="shared" si="33"/>
        <v>0</v>
      </c>
      <c r="I252" s="93">
        <f t="shared" si="34"/>
        <v>0</v>
      </c>
      <c r="J252" s="93">
        <f t="shared" si="35"/>
        <v>0</v>
      </c>
      <c r="K252" s="309">
        <f t="shared" si="28"/>
        <v>0</v>
      </c>
      <c r="L252" s="141">
        <f>K252*D252*'B) D RI'!S254</f>
        <v>0</v>
      </c>
      <c r="M252" s="14">
        <f>(('B) D RI'!S254*C252)-L252)/'B) D RI'!S254</f>
        <v>2420.1879870129869</v>
      </c>
      <c r="N252" s="144">
        <f t="shared" si="29"/>
        <v>18.196902157992383</v>
      </c>
      <c r="O252" s="83">
        <f t="shared" si="30"/>
        <v>0.41715321177496523</v>
      </c>
    </row>
    <row r="253" spans="1:15" x14ac:dyDescent="0.25">
      <c r="A253" s="61">
        <f>'A) Base RI'!A255</f>
        <v>5813</v>
      </c>
      <c r="B253" s="62" t="str">
        <f>'A) Base RI'!B255</f>
        <v>Chevroux</v>
      </c>
      <c r="C253" s="13">
        <f>'B) D RI'!U255</f>
        <v>11590.298571428571</v>
      </c>
      <c r="D253" s="42">
        <f>'B) D RI'!AR255</f>
        <v>430</v>
      </c>
      <c r="E253" s="306">
        <f t="shared" si="36"/>
        <v>26.95418272425249</v>
      </c>
      <c r="F253" s="89">
        <f t="shared" si="31"/>
        <v>0.58807598764754432</v>
      </c>
      <c r="G253" s="93">
        <f t="shared" si="32"/>
        <v>0</v>
      </c>
      <c r="H253" s="93">
        <f t="shared" si="33"/>
        <v>0</v>
      </c>
      <c r="I253" s="93">
        <f t="shared" si="34"/>
        <v>0</v>
      </c>
      <c r="J253" s="93">
        <f t="shared" si="35"/>
        <v>0</v>
      </c>
      <c r="K253" s="309">
        <f t="shared" si="28"/>
        <v>0</v>
      </c>
      <c r="L253" s="141">
        <f>K253*D253*'B) D RI'!S255</f>
        <v>0</v>
      </c>
      <c r="M253" s="14">
        <f>(('B) D RI'!S255*C253)-L253)/'B) D RI'!S255</f>
        <v>11590.298571428571</v>
      </c>
      <c r="N253" s="144">
        <f t="shared" si="29"/>
        <v>26.95418272425249</v>
      </c>
      <c r="O253" s="83">
        <f t="shared" si="30"/>
        <v>0.61790868558649936</v>
      </c>
    </row>
    <row r="254" spans="1:15" x14ac:dyDescent="0.25">
      <c r="A254" s="61">
        <f>'A) Base RI'!A256</f>
        <v>5816</v>
      </c>
      <c r="B254" s="62" t="str">
        <f>'A) Base RI'!B256</f>
        <v>Corcelles-près-Payerne</v>
      </c>
      <c r="C254" s="13">
        <f>'B) D RI'!U256</f>
        <v>52953.608154761903</v>
      </c>
      <c r="D254" s="42">
        <f>'B) D RI'!AR256</f>
        <v>2229</v>
      </c>
      <c r="E254" s="306">
        <f t="shared" si="36"/>
        <v>23.756665838834412</v>
      </c>
      <c r="F254" s="89">
        <f t="shared" si="31"/>
        <v>0.51831379453456117</v>
      </c>
      <c r="G254" s="93">
        <f t="shared" si="32"/>
        <v>0</v>
      </c>
      <c r="H254" s="93">
        <f t="shared" si="33"/>
        <v>0</v>
      </c>
      <c r="I254" s="93">
        <f t="shared" si="34"/>
        <v>0</v>
      </c>
      <c r="J254" s="93">
        <f t="shared" si="35"/>
        <v>0</v>
      </c>
      <c r="K254" s="309">
        <f t="shared" si="28"/>
        <v>0</v>
      </c>
      <c r="L254" s="141">
        <f>K254*D254*'B) D RI'!S256</f>
        <v>0</v>
      </c>
      <c r="M254" s="14">
        <f>(('B) D RI'!S256*C254)-L254)/'B) D RI'!S256</f>
        <v>52953.608154761903</v>
      </c>
      <c r="N254" s="144">
        <f t="shared" si="29"/>
        <v>23.756665838834412</v>
      </c>
      <c r="O254" s="83">
        <f t="shared" si="30"/>
        <v>0.54460750350199916</v>
      </c>
    </row>
    <row r="255" spans="1:15" x14ac:dyDescent="0.25">
      <c r="A255" s="61">
        <f>'A) Base RI'!A257</f>
        <v>5817</v>
      </c>
      <c r="B255" s="62" t="str">
        <f>'A) Base RI'!B257</f>
        <v>Grandcour</v>
      </c>
      <c r="C255" s="13">
        <f>'B) D RI'!U257</f>
        <v>20895.78968553459</v>
      </c>
      <c r="D255" s="42">
        <f>'B) D RI'!AR257</f>
        <v>856</v>
      </c>
      <c r="E255" s="306">
        <f t="shared" si="36"/>
        <v>24.410969258802091</v>
      </c>
      <c r="F255" s="89">
        <f t="shared" si="31"/>
        <v>0.53258913479826153</v>
      </c>
      <c r="G255" s="93">
        <f t="shared" si="32"/>
        <v>0</v>
      </c>
      <c r="H255" s="93">
        <f t="shared" si="33"/>
        <v>0</v>
      </c>
      <c r="I255" s="93">
        <f t="shared" si="34"/>
        <v>0</v>
      </c>
      <c r="J255" s="93">
        <f t="shared" si="35"/>
        <v>0</v>
      </c>
      <c r="K255" s="309">
        <f t="shared" si="28"/>
        <v>0</v>
      </c>
      <c r="L255" s="141">
        <f>K255*D255*'B) D RI'!S257</f>
        <v>0</v>
      </c>
      <c r="M255" s="14">
        <f>(('B) D RI'!S257*C255)-L255)/'B) D RI'!S257</f>
        <v>20895.78968553459</v>
      </c>
      <c r="N255" s="144">
        <f t="shared" si="29"/>
        <v>24.410969258802091</v>
      </c>
      <c r="O255" s="83">
        <f t="shared" si="30"/>
        <v>0.55960702214231772</v>
      </c>
    </row>
    <row r="256" spans="1:15" x14ac:dyDescent="0.25">
      <c r="A256" s="61">
        <f>'A) Base RI'!A258</f>
        <v>5819</v>
      </c>
      <c r="B256" s="62" t="str">
        <f>'A) Base RI'!B258</f>
        <v>Henniez</v>
      </c>
      <c r="C256" s="13">
        <f>'B) D RI'!U258</f>
        <v>13106.979402985076</v>
      </c>
      <c r="D256" s="42">
        <f>'B) D RI'!AR258</f>
        <v>339</v>
      </c>
      <c r="E256" s="306">
        <f t="shared" si="36"/>
        <v>38.663656056003177</v>
      </c>
      <c r="F256" s="89">
        <f t="shared" si="31"/>
        <v>0.84354877140240159</v>
      </c>
      <c r="G256" s="93">
        <f t="shared" si="32"/>
        <v>0</v>
      </c>
      <c r="H256" s="93">
        <f t="shared" si="33"/>
        <v>0</v>
      </c>
      <c r="I256" s="93">
        <f t="shared" si="34"/>
        <v>0</v>
      </c>
      <c r="J256" s="93">
        <f t="shared" si="35"/>
        <v>0</v>
      </c>
      <c r="K256" s="309">
        <f t="shared" si="28"/>
        <v>0</v>
      </c>
      <c r="L256" s="141">
        <f>K256*D256*'B) D RI'!S258</f>
        <v>0</v>
      </c>
      <c r="M256" s="14">
        <f>(('B) D RI'!S258*C256)-L256)/'B) D RI'!S258</f>
        <v>13106.979402985076</v>
      </c>
      <c r="N256" s="144">
        <f t="shared" si="29"/>
        <v>38.663656056003177</v>
      </c>
      <c r="O256" s="83">
        <f t="shared" si="30"/>
        <v>0.88634143123313591</v>
      </c>
    </row>
    <row r="257" spans="1:15" x14ac:dyDescent="0.25">
      <c r="A257" s="61">
        <f>'A) Base RI'!A259</f>
        <v>5821</v>
      </c>
      <c r="B257" s="62" t="str">
        <f>'A) Base RI'!B259</f>
        <v>Missy</v>
      </c>
      <c r="C257" s="13">
        <f>'B) D RI'!U259</f>
        <v>7313.8070833333331</v>
      </c>
      <c r="D257" s="42">
        <f>'B) D RI'!AR259</f>
        <v>350</v>
      </c>
      <c r="E257" s="306">
        <f t="shared" si="36"/>
        <v>20.896591666666666</v>
      </c>
      <c r="F257" s="89">
        <f t="shared" si="31"/>
        <v>0.45591379670307713</v>
      </c>
      <c r="G257" s="93">
        <f t="shared" si="32"/>
        <v>0</v>
      </c>
      <c r="H257" s="93">
        <f t="shared" si="33"/>
        <v>0</v>
      </c>
      <c r="I257" s="93">
        <f t="shared" si="34"/>
        <v>0</v>
      </c>
      <c r="J257" s="93">
        <f t="shared" si="35"/>
        <v>0</v>
      </c>
      <c r="K257" s="309">
        <f t="shared" si="28"/>
        <v>0</v>
      </c>
      <c r="L257" s="141">
        <f>K257*D257*'B) D RI'!S259</f>
        <v>0</v>
      </c>
      <c r="M257" s="14">
        <f>(('B) D RI'!S259*C257)-L257)/'B) D RI'!S259</f>
        <v>7313.8070833333331</v>
      </c>
      <c r="N257" s="144">
        <f t="shared" si="29"/>
        <v>20.896591666666666</v>
      </c>
      <c r="O257" s="83">
        <f t="shared" si="30"/>
        <v>0.47904199589660845</v>
      </c>
    </row>
    <row r="258" spans="1:15" x14ac:dyDescent="0.25">
      <c r="A258" s="61">
        <f>'A) Base RI'!A260</f>
        <v>5822</v>
      </c>
      <c r="B258" s="62" t="str">
        <f>'A) Base RI'!B260</f>
        <v>Payerne</v>
      </c>
      <c r="C258" s="13">
        <f>'B) D RI'!U260</f>
        <v>224445.50853333328</v>
      </c>
      <c r="D258" s="42">
        <f>'B) D RI'!AR260</f>
        <v>9302</v>
      </c>
      <c r="E258" s="306">
        <f t="shared" si="36"/>
        <v>24.128736673116887</v>
      </c>
      <c r="F258" s="89">
        <f t="shared" si="31"/>
        <v>0.52643149283704538</v>
      </c>
      <c r="G258" s="93">
        <f t="shared" si="32"/>
        <v>0</v>
      </c>
      <c r="H258" s="93">
        <f t="shared" si="33"/>
        <v>0</v>
      </c>
      <c r="I258" s="93">
        <f t="shared" si="34"/>
        <v>0</v>
      </c>
      <c r="J258" s="93">
        <f t="shared" si="35"/>
        <v>0</v>
      </c>
      <c r="K258" s="309">
        <f t="shared" si="28"/>
        <v>0</v>
      </c>
      <c r="L258" s="141">
        <f>K258*D258*'B) D RI'!S260</f>
        <v>0</v>
      </c>
      <c r="M258" s="14">
        <f>(('B) D RI'!S260*C258)-L258)/'B) D RI'!S260</f>
        <v>224445.50853333328</v>
      </c>
      <c r="N258" s="144">
        <f t="shared" si="29"/>
        <v>24.128736673116887</v>
      </c>
      <c r="O258" s="83">
        <f t="shared" si="30"/>
        <v>0.55313700716043113</v>
      </c>
    </row>
    <row r="259" spans="1:15" x14ac:dyDescent="0.25">
      <c r="A259" s="61">
        <f>'A) Base RI'!A261</f>
        <v>5827</v>
      </c>
      <c r="B259" s="62" t="str">
        <f>'A) Base RI'!B261</f>
        <v>Trey</v>
      </c>
      <c r="C259" s="13">
        <f>'B) D RI'!U261</f>
        <v>6544.3336250000011</v>
      </c>
      <c r="D259" s="42">
        <f>'B) D RI'!AR261</f>
        <v>255</v>
      </c>
      <c r="E259" s="306">
        <f t="shared" si="36"/>
        <v>25.664053431372555</v>
      </c>
      <c r="F259" s="89">
        <f t="shared" si="31"/>
        <v>0.55992844313228263</v>
      </c>
      <c r="G259" s="93">
        <f t="shared" si="32"/>
        <v>0</v>
      </c>
      <c r="H259" s="93">
        <f t="shared" si="33"/>
        <v>0</v>
      </c>
      <c r="I259" s="93">
        <f t="shared" si="34"/>
        <v>0</v>
      </c>
      <c r="J259" s="93">
        <f t="shared" si="35"/>
        <v>0</v>
      </c>
      <c r="K259" s="309">
        <f t="shared" si="28"/>
        <v>0</v>
      </c>
      <c r="L259" s="141">
        <f>K259*D259*'B) D RI'!S261</f>
        <v>0</v>
      </c>
      <c r="M259" s="14">
        <f>(('B) D RI'!S261*C259)-L259)/'B) D RI'!S261</f>
        <v>6544.3336250000011</v>
      </c>
      <c r="N259" s="144">
        <f t="shared" si="29"/>
        <v>25.664053431372555</v>
      </c>
      <c r="O259" s="83">
        <f t="shared" si="30"/>
        <v>0.58833323513580538</v>
      </c>
    </row>
    <row r="260" spans="1:15" x14ac:dyDescent="0.25">
      <c r="A260" s="61">
        <f>'A) Base RI'!A262</f>
        <v>5828</v>
      </c>
      <c r="B260" s="62" t="str">
        <f>'A) Base RI'!B262</f>
        <v>Treytorrens (Payerne)</v>
      </c>
      <c r="C260" s="13">
        <f>'B) D RI'!U262</f>
        <v>2136.5168650793653</v>
      </c>
      <c r="D260" s="42">
        <f>'B) D RI'!AR262</f>
        <v>124</v>
      </c>
      <c r="E260" s="306">
        <f t="shared" si="36"/>
        <v>17.229974718381978</v>
      </c>
      <c r="F260" s="89">
        <f t="shared" si="31"/>
        <v>0.37591695891182703</v>
      </c>
      <c r="G260" s="93">
        <f t="shared" si="32"/>
        <v>0</v>
      </c>
      <c r="H260" s="93">
        <f t="shared" si="33"/>
        <v>0</v>
      </c>
      <c r="I260" s="93">
        <f t="shared" si="34"/>
        <v>0</v>
      </c>
      <c r="J260" s="93">
        <f t="shared" si="35"/>
        <v>0</v>
      </c>
      <c r="K260" s="309">
        <f t="shared" si="28"/>
        <v>0</v>
      </c>
      <c r="L260" s="141">
        <f>K260*D260*'B) D RI'!S262</f>
        <v>0</v>
      </c>
      <c r="M260" s="14">
        <f>(('B) D RI'!S262*C260)-L260)/'B) D RI'!S262</f>
        <v>2136.5168650793653</v>
      </c>
      <c r="N260" s="144">
        <f t="shared" si="29"/>
        <v>17.229974718381978</v>
      </c>
      <c r="O260" s="83">
        <f t="shared" si="30"/>
        <v>0.39498697251705595</v>
      </c>
    </row>
    <row r="261" spans="1:15" x14ac:dyDescent="0.25">
      <c r="A261" s="61">
        <f>'A) Base RI'!A263</f>
        <v>5830</v>
      </c>
      <c r="B261" s="62" t="str">
        <f>'A) Base RI'!B263</f>
        <v>Villarzel</v>
      </c>
      <c r="C261" s="13">
        <f>'B) D RI'!U263</f>
        <v>10236.981518987341</v>
      </c>
      <c r="D261" s="42">
        <f>'B) D RI'!AR263</f>
        <v>415</v>
      </c>
      <c r="E261" s="306">
        <f t="shared" si="36"/>
        <v>24.667425346957447</v>
      </c>
      <c r="F261" s="89">
        <f t="shared" si="31"/>
        <v>0.53818439505426952</v>
      </c>
      <c r="G261" s="93">
        <f t="shared" si="32"/>
        <v>0</v>
      </c>
      <c r="H261" s="93">
        <f t="shared" si="33"/>
        <v>0</v>
      </c>
      <c r="I261" s="93">
        <f t="shared" si="34"/>
        <v>0</v>
      </c>
      <c r="J261" s="93">
        <f t="shared" si="35"/>
        <v>0</v>
      </c>
      <c r="K261" s="309">
        <f t="shared" ref="K261:K322" si="37">(G261-H261)*$G$3+(H261-I261)*$H$3+(I261-J261)*$I$3+(J261*$J$3)</f>
        <v>0</v>
      </c>
      <c r="L261" s="141">
        <f>K261*D261*'B) D RI'!S263</f>
        <v>0</v>
      </c>
      <c r="M261" s="14">
        <f>(('B) D RI'!S263*C261)-L261)/'B) D RI'!S263</f>
        <v>10236.981518987341</v>
      </c>
      <c r="N261" s="144">
        <f t="shared" ref="N261:N323" si="38">M261/D261</f>
        <v>24.667425346957447</v>
      </c>
      <c r="O261" s="83">
        <f t="shared" ref="O261:O316" si="39">N261/N$323</f>
        <v>0.56548612617466332</v>
      </c>
    </row>
    <row r="262" spans="1:15" x14ac:dyDescent="0.25">
      <c r="A262" s="61">
        <f>'A) Base RI'!A264</f>
        <v>5831</v>
      </c>
      <c r="B262" s="62" t="str">
        <f>'A) Base RI'!B264</f>
        <v>Valbroye</v>
      </c>
      <c r="C262" s="13">
        <f>'B) D RI'!U264</f>
        <v>78037.716438356161</v>
      </c>
      <c r="D262" s="42">
        <f>'B) D RI'!AR264</f>
        <v>2960</v>
      </c>
      <c r="E262" s="306">
        <f>C262/D262</f>
        <v>26.364093391336542</v>
      </c>
      <c r="F262" s="89">
        <f t="shared" ref="F262:F322" si="40">E262/$E$323</f>
        <v>0.57520164562779574</v>
      </c>
      <c r="G262" s="93">
        <f t="shared" ref="G262:G322" si="41">IF(E262-$G$2&lt;0,0,E262-$G$2)</f>
        <v>0</v>
      </c>
      <c r="H262" s="93">
        <f t="shared" ref="H262:H322" si="42">IF(E262-$H$2&lt;0,0,E262-$H$2)</f>
        <v>0</v>
      </c>
      <c r="I262" s="93">
        <f t="shared" ref="I262:I322" si="43">IF(E262-$I$2&lt;0,0,E262-$I$2)</f>
        <v>0</v>
      </c>
      <c r="J262" s="93">
        <f t="shared" ref="J262:J322" si="44">IF(E262-$J$2&lt;0,0,E262-$J$2)</f>
        <v>0</v>
      </c>
      <c r="K262" s="309">
        <f t="shared" si="37"/>
        <v>0</v>
      </c>
      <c r="L262" s="141">
        <f>K262*D262*'B) D RI'!S264</f>
        <v>0</v>
      </c>
      <c r="M262" s="14">
        <f>(('B) D RI'!S264*C262)-L262)/'B) D RI'!S264</f>
        <v>78037.716438356161</v>
      </c>
      <c r="N262" s="144">
        <f t="shared" si="38"/>
        <v>26.364093391336542</v>
      </c>
      <c r="O262" s="83">
        <f t="shared" si="39"/>
        <v>0.60438123688546219</v>
      </c>
    </row>
    <row r="263" spans="1:15" x14ac:dyDescent="0.25">
      <c r="A263" s="61">
        <f>'A) Base RI'!A265</f>
        <v>5841</v>
      </c>
      <c r="B263" s="62" t="str">
        <f>'A) Base RI'!B265</f>
        <v>Château-d'Oex</v>
      </c>
      <c r="C263" s="13">
        <f>'B) D RI'!U265</f>
        <v>107525.73574297188</v>
      </c>
      <c r="D263" s="42">
        <f>'B) D RI'!AR265</f>
        <v>3408</v>
      </c>
      <c r="E263" s="306">
        <f>C263/D263</f>
        <v>31.550978797820388</v>
      </c>
      <c r="F263" s="89">
        <f t="shared" si="40"/>
        <v>0.68836711569371156</v>
      </c>
      <c r="G263" s="93">
        <f t="shared" si="41"/>
        <v>0</v>
      </c>
      <c r="H263" s="93">
        <f t="shared" si="42"/>
        <v>0</v>
      </c>
      <c r="I263" s="93">
        <f t="shared" si="43"/>
        <v>0</v>
      </c>
      <c r="J263" s="93">
        <f t="shared" si="44"/>
        <v>0</v>
      </c>
      <c r="K263" s="309">
        <f t="shared" si="37"/>
        <v>0</v>
      </c>
      <c r="L263" s="141">
        <f>K263*D263*'B) D RI'!S265</f>
        <v>0</v>
      </c>
      <c r="M263" s="14">
        <f>(('B) D RI'!S265*C263)-L263)/'B) D RI'!S265</f>
        <v>107525.73574297188</v>
      </c>
      <c r="N263" s="144">
        <f t="shared" si="38"/>
        <v>31.550978797820388</v>
      </c>
      <c r="O263" s="83">
        <f t="shared" si="39"/>
        <v>0.72328751486822795</v>
      </c>
    </row>
    <row r="264" spans="1:15" x14ac:dyDescent="0.25">
      <c r="A264" s="61">
        <f>'A) Base RI'!A266</f>
        <v>5842</v>
      </c>
      <c r="B264" s="62" t="str">
        <f>'A) Base RI'!B266</f>
        <v>Rossinière</v>
      </c>
      <c r="C264" s="13">
        <f>'B) D RI'!U266</f>
        <v>16554.125349794238</v>
      </c>
      <c r="D264" s="42">
        <f>'B) D RI'!AR266</f>
        <v>565</v>
      </c>
      <c r="E264" s="306">
        <f t="shared" si="36"/>
        <v>29.299336902290687</v>
      </c>
      <c r="F264" s="89">
        <f t="shared" si="40"/>
        <v>0.63924165917037934</v>
      </c>
      <c r="G264" s="93">
        <f t="shared" si="41"/>
        <v>0</v>
      </c>
      <c r="H264" s="93">
        <f t="shared" si="42"/>
        <v>0</v>
      </c>
      <c r="I264" s="93">
        <f t="shared" si="43"/>
        <v>0</v>
      </c>
      <c r="J264" s="93">
        <f t="shared" si="44"/>
        <v>0</v>
      </c>
      <c r="K264" s="309">
        <f t="shared" si="37"/>
        <v>0</v>
      </c>
      <c r="L264" s="141">
        <f>K264*D264*'B) D RI'!S266</f>
        <v>0</v>
      </c>
      <c r="M264" s="14">
        <f>(('B) D RI'!S266*C264)-L264)/'B) D RI'!S266</f>
        <v>16554.125349794238</v>
      </c>
      <c r="N264" s="144">
        <f t="shared" si="38"/>
        <v>29.299336902290687</v>
      </c>
      <c r="O264" s="83">
        <f t="shared" si="39"/>
        <v>0.67166995709206889</v>
      </c>
    </row>
    <row r="265" spans="1:15" x14ac:dyDescent="0.25">
      <c r="A265" s="61">
        <f>'A) Base RI'!A267</f>
        <v>5843</v>
      </c>
      <c r="B265" s="62" t="str">
        <f>'A) Base RI'!B267</f>
        <v>Rougemont</v>
      </c>
      <c r="C265" s="13">
        <f>'B) D RI'!U267</f>
        <v>92297.453816425128</v>
      </c>
      <c r="D265" s="42">
        <f>'B) D RI'!AR267</f>
        <v>881</v>
      </c>
      <c r="E265" s="306">
        <f t="shared" si="36"/>
        <v>104.7644197689275</v>
      </c>
      <c r="F265" s="89">
        <f t="shared" si="40"/>
        <v>2.2857098008206274</v>
      </c>
      <c r="G265" s="93">
        <f t="shared" si="41"/>
        <v>49.762991469684387</v>
      </c>
      <c r="H265" s="93">
        <f t="shared" si="42"/>
        <v>36.012634394873601</v>
      </c>
      <c r="I265" s="93">
        <f t="shared" si="43"/>
        <v>13.095372603522307</v>
      </c>
      <c r="J265" s="93">
        <f t="shared" si="44"/>
        <v>0</v>
      </c>
      <c r="K265" s="309">
        <f t="shared" si="37"/>
        <v>22.825477628925974</v>
      </c>
      <c r="L265" s="141">
        <f>K265*D265*'B) D RI'!S267</f>
        <v>1387537.959584781</v>
      </c>
      <c r="M265" s="14">
        <f>(('B) D RI'!S267*C265)-L265)/'B) D RI'!S267</f>
        <v>72188.208025341344</v>
      </c>
      <c r="N265" s="144">
        <f t="shared" si="38"/>
        <v>81.938942140001529</v>
      </c>
      <c r="O265" s="83">
        <f t="shared" si="39"/>
        <v>1.8784017513734761</v>
      </c>
    </row>
    <row r="266" spans="1:15" x14ac:dyDescent="0.25">
      <c r="A266" s="61">
        <f>'A) Base RI'!A268</f>
        <v>5851</v>
      </c>
      <c r="B266" s="62" t="str">
        <f>'A) Base RI'!B268</f>
        <v>Allaman</v>
      </c>
      <c r="C266" s="13">
        <f>'B) D RI'!U268</f>
        <v>26311.895293255133</v>
      </c>
      <c r="D266" s="42">
        <f>'B) D RI'!AR268</f>
        <v>393</v>
      </c>
      <c r="E266" s="306">
        <f t="shared" si="36"/>
        <v>66.951387514644111</v>
      </c>
      <c r="F266" s="89">
        <f t="shared" si="40"/>
        <v>1.4607196122337522</v>
      </c>
      <c r="G266" s="93">
        <f t="shared" si="41"/>
        <v>11.949959215401002</v>
      </c>
      <c r="H266" s="93">
        <f t="shared" si="42"/>
        <v>0</v>
      </c>
      <c r="I266" s="93">
        <f t="shared" si="43"/>
        <v>0</v>
      </c>
      <c r="J266" s="93">
        <f t="shared" si="44"/>
        <v>0</v>
      </c>
      <c r="K266" s="309">
        <f t="shared" si="37"/>
        <v>4.3019853175443608</v>
      </c>
      <c r="L266" s="141">
        <f>K266*D266*'B) D RI'!S268</f>
        <v>104822.17424728589</v>
      </c>
      <c r="M266" s="14">
        <f>(('B) D RI'!S268*C266)-L266)/'B) D RI'!S268</f>
        <v>24621.2150634602</v>
      </c>
      <c r="N266" s="144">
        <f t="shared" si="38"/>
        <v>62.649402197099747</v>
      </c>
      <c r="O266" s="83">
        <f t="shared" si="39"/>
        <v>1.4362004650787803</v>
      </c>
    </row>
    <row r="267" spans="1:15" x14ac:dyDescent="0.25">
      <c r="A267" s="61">
        <f>'A) Base RI'!A269</f>
        <v>5852</v>
      </c>
      <c r="B267" s="62" t="str">
        <f>'A) Base RI'!B269</f>
        <v>Bursinel</v>
      </c>
      <c r="C267" s="13">
        <f>'B) D RI'!U269</f>
        <v>31632.546141732284</v>
      </c>
      <c r="D267" s="42">
        <f>'B) D RI'!AR269</f>
        <v>477</v>
      </c>
      <c r="E267" s="306">
        <f t="shared" si="36"/>
        <v>66.315610360025758</v>
      </c>
      <c r="F267" s="89">
        <f t="shared" si="40"/>
        <v>1.4468484708991822</v>
      </c>
      <c r="G267" s="93">
        <f t="shared" si="41"/>
        <v>11.314182060782649</v>
      </c>
      <c r="H267" s="93">
        <f t="shared" si="42"/>
        <v>0</v>
      </c>
      <c r="I267" s="93">
        <f t="shared" si="43"/>
        <v>0</v>
      </c>
      <c r="J267" s="93">
        <f t="shared" si="44"/>
        <v>0</v>
      </c>
      <c r="K267" s="309">
        <f t="shared" si="37"/>
        <v>4.0731055418817537</v>
      </c>
      <c r="L267" s="141">
        <f>K267*D267*'B) D RI'!S269</f>
        <v>123372.33031082738</v>
      </c>
      <c r="M267" s="14">
        <f>(('B) D RI'!S269*C267)-L267)/'B) D RI'!S269</f>
        <v>29689.674798254688</v>
      </c>
      <c r="N267" s="144">
        <f t="shared" si="38"/>
        <v>62.242504818143999</v>
      </c>
      <c r="O267" s="83">
        <f t="shared" si="39"/>
        <v>1.4268725834964937</v>
      </c>
    </row>
    <row r="268" spans="1:15" x14ac:dyDescent="0.25">
      <c r="A268" s="61">
        <f>'A) Base RI'!A270</f>
        <v>5853</v>
      </c>
      <c r="B268" s="62" t="str">
        <f>'A) Base RI'!B270</f>
        <v>Bursins</v>
      </c>
      <c r="C268" s="13">
        <f>'B) D RI'!U270</f>
        <v>37118.734366197183</v>
      </c>
      <c r="D268" s="42">
        <f>'B) D RI'!AR270</f>
        <v>772</v>
      </c>
      <c r="E268" s="306">
        <f t="shared" si="36"/>
        <v>48.08126213237977</v>
      </c>
      <c r="F268" s="89">
        <f t="shared" si="40"/>
        <v>1.0490184772101585</v>
      </c>
      <c r="G268" s="93">
        <f t="shared" si="41"/>
        <v>0</v>
      </c>
      <c r="H268" s="93">
        <f t="shared" si="42"/>
        <v>0</v>
      </c>
      <c r="I268" s="93">
        <f t="shared" si="43"/>
        <v>0</v>
      </c>
      <c r="J268" s="93">
        <f t="shared" si="44"/>
        <v>0</v>
      </c>
      <c r="K268" s="309">
        <f t="shared" si="37"/>
        <v>0</v>
      </c>
      <c r="L268" s="141">
        <f>K268*D268*'B) D RI'!S270</f>
        <v>0</v>
      </c>
      <c r="M268" s="14">
        <f>(('B) D RI'!S270*C268)-L268)/'B) D RI'!S270</f>
        <v>37118.734366197183</v>
      </c>
      <c r="N268" s="144">
        <f t="shared" si="38"/>
        <v>48.08126213237977</v>
      </c>
      <c r="O268" s="83">
        <f t="shared" si="39"/>
        <v>1.1022344765373568</v>
      </c>
    </row>
    <row r="269" spans="1:15" x14ac:dyDescent="0.25">
      <c r="A269" s="61">
        <f>'A) Base RI'!A271</f>
        <v>5854</v>
      </c>
      <c r="B269" s="62" t="str">
        <f>'A) Base RI'!B271</f>
        <v>Burtigny</v>
      </c>
      <c r="C269" s="13">
        <f>'B) D RI'!U271</f>
        <v>10244.164041666669</v>
      </c>
      <c r="D269" s="42">
        <f>'B) D RI'!AR271</f>
        <v>352</v>
      </c>
      <c r="E269" s="306">
        <f t="shared" si="36"/>
        <v>29.102738754734855</v>
      </c>
      <c r="F269" s="89">
        <f t="shared" si="40"/>
        <v>0.63495235643112224</v>
      </c>
      <c r="G269" s="93">
        <f t="shared" si="41"/>
        <v>0</v>
      </c>
      <c r="H269" s="93">
        <f t="shared" si="42"/>
        <v>0</v>
      </c>
      <c r="I269" s="93">
        <f t="shared" si="43"/>
        <v>0</v>
      </c>
      <c r="J269" s="93">
        <f t="shared" si="44"/>
        <v>0</v>
      </c>
      <c r="K269" s="309">
        <f t="shared" si="37"/>
        <v>0</v>
      </c>
      <c r="L269" s="141">
        <f>K269*D269*'B) D RI'!S271</f>
        <v>0</v>
      </c>
      <c r="M269" s="14">
        <f>(('B) D RI'!S271*C269)-L269)/'B) D RI'!S271</f>
        <v>10244.164041666669</v>
      </c>
      <c r="N269" s="144">
        <f t="shared" si="38"/>
        <v>29.102738754734855</v>
      </c>
      <c r="O269" s="83">
        <f t="shared" si="39"/>
        <v>0.66716306091985955</v>
      </c>
    </row>
    <row r="270" spans="1:15" x14ac:dyDescent="0.25">
      <c r="A270" s="61">
        <f>'A) Base RI'!A272</f>
        <v>5855</v>
      </c>
      <c r="B270" s="62" t="str">
        <f>'A) Base RI'!B272</f>
        <v>Dully</v>
      </c>
      <c r="C270" s="13">
        <f>'B) D RI'!U272</f>
        <v>65353.176326530607</v>
      </c>
      <c r="D270" s="42">
        <f>'B) D RI'!AR272</f>
        <v>636</v>
      </c>
      <c r="E270" s="306">
        <f t="shared" si="36"/>
        <v>102.75656655114875</v>
      </c>
      <c r="F270" s="89">
        <f t="shared" si="40"/>
        <v>2.2419032318670782</v>
      </c>
      <c r="G270" s="93">
        <f t="shared" si="41"/>
        <v>47.755138251905642</v>
      </c>
      <c r="H270" s="93">
        <f t="shared" si="42"/>
        <v>34.004781177094856</v>
      </c>
      <c r="I270" s="93">
        <f t="shared" si="43"/>
        <v>11.087519385743562</v>
      </c>
      <c r="J270" s="93">
        <f t="shared" si="44"/>
        <v>0</v>
      </c>
      <c r="K270" s="309">
        <f t="shared" si="37"/>
        <v>21.701079826969874</v>
      </c>
      <c r="L270" s="141">
        <f>K270*D270*'B) D RI'!S272</f>
        <v>676292.45172768913</v>
      </c>
      <c r="M270" s="14">
        <f>(('B) D RI'!S272*C270)-L270)/'B) D RI'!S272</f>
        <v>51551.289556577765</v>
      </c>
      <c r="N270" s="144">
        <f t="shared" si="38"/>
        <v>81.055486724178877</v>
      </c>
      <c r="O270" s="83">
        <f t="shared" si="39"/>
        <v>1.8581490588563303</v>
      </c>
    </row>
    <row r="271" spans="1:15" x14ac:dyDescent="0.25">
      <c r="A271" s="61">
        <f>'A) Base RI'!A273</f>
        <v>5856</v>
      </c>
      <c r="B271" s="62" t="str">
        <f>'A) Base RI'!B273</f>
        <v>Essertines-sur-Rolle</v>
      </c>
      <c r="C271" s="13">
        <f>'B) D RI'!U273</f>
        <v>28766.256402714938</v>
      </c>
      <c r="D271" s="42">
        <f>'B) D RI'!AR273</f>
        <v>700</v>
      </c>
      <c r="E271" s="306">
        <f t="shared" si="36"/>
        <v>41.094652003878487</v>
      </c>
      <c r="F271" s="89">
        <f t="shared" si="40"/>
        <v>0.89658730563062117</v>
      </c>
      <c r="G271" s="93">
        <f t="shared" si="41"/>
        <v>0</v>
      </c>
      <c r="H271" s="93">
        <f t="shared" si="42"/>
        <v>0</v>
      </c>
      <c r="I271" s="93">
        <f t="shared" si="43"/>
        <v>0</v>
      </c>
      <c r="J271" s="93">
        <f t="shared" si="44"/>
        <v>0</v>
      </c>
      <c r="K271" s="309">
        <f t="shared" si="37"/>
        <v>0</v>
      </c>
      <c r="L271" s="141">
        <f>K271*D271*'B) D RI'!S273</f>
        <v>0</v>
      </c>
      <c r="M271" s="14">
        <f>(('B) D RI'!S273*C271)-L271)/'B) D RI'!S273</f>
        <v>28766.256402714938</v>
      </c>
      <c r="N271" s="144">
        <f t="shared" si="38"/>
        <v>41.094652003878487</v>
      </c>
      <c r="O271" s="83">
        <f t="shared" si="39"/>
        <v>0.94207057450506937</v>
      </c>
    </row>
    <row r="272" spans="1:15" x14ac:dyDescent="0.25">
      <c r="A272" s="61">
        <f>'A) Base RI'!A274</f>
        <v>5857</v>
      </c>
      <c r="B272" s="62" t="str">
        <f>'A) Base RI'!B274</f>
        <v>Gilly</v>
      </c>
      <c r="C272" s="13">
        <f>'B) D RI'!U274</f>
        <v>55694.918787878785</v>
      </c>
      <c r="D272" s="42">
        <f>'B) D RI'!AR274</f>
        <v>1131</v>
      </c>
      <c r="E272" s="306">
        <f t="shared" si="36"/>
        <v>49.243960024649681</v>
      </c>
      <c r="F272" s="89">
        <f t="shared" si="40"/>
        <v>1.0743857724580728</v>
      </c>
      <c r="G272" s="93">
        <f t="shared" si="41"/>
        <v>0</v>
      </c>
      <c r="H272" s="93">
        <f t="shared" si="42"/>
        <v>0</v>
      </c>
      <c r="I272" s="93">
        <f t="shared" si="43"/>
        <v>0</v>
      </c>
      <c r="J272" s="93">
        <f t="shared" si="44"/>
        <v>0</v>
      </c>
      <c r="K272" s="309">
        <f t="shared" si="37"/>
        <v>0</v>
      </c>
      <c r="L272" s="141">
        <f>K272*D272*'B) D RI'!S274</f>
        <v>0</v>
      </c>
      <c r="M272" s="14">
        <f>(('B) D RI'!S274*C272)-L272)/'B) D RI'!S274</f>
        <v>55694.918787878785</v>
      </c>
      <c r="N272" s="144">
        <f t="shared" si="38"/>
        <v>49.243960024649681</v>
      </c>
      <c r="O272" s="83">
        <f t="shared" si="39"/>
        <v>1.1288886375518647</v>
      </c>
    </row>
    <row r="273" spans="1:15" x14ac:dyDescent="0.25">
      <c r="A273" s="61">
        <f>'A) Base RI'!A275</f>
        <v>5858</v>
      </c>
      <c r="B273" s="62" t="str">
        <f>'A) Base RI'!B275</f>
        <v>Luins</v>
      </c>
      <c r="C273" s="13">
        <f>'B) D RI'!U275</f>
        <v>33594.571611111111</v>
      </c>
      <c r="D273" s="42">
        <f>'B) D RI'!AR275</f>
        <v>633</v>
      </c>
      <c r="E273" s="306">
        <f t="shared" ref="E273:E322" si="45">C273/D273</f>
        <v>53.07199306652624</v>
      </c>
      <c r="F273" s="89">
        <f t="shared" si="40"/>
        <v>1.1579043244720226</v>
      </c>
      <c r="G273" s="93">
        <f t="shared" si="41"/>
        <v>0</v>
      </c>
      <c r="H273" s="93">
        <f t="shared" si="42"/>
        <v>0</v>
      </c>
      <c r="I273" s="93">
        <f t="shared" si="43"/>
        <v>0</v>
      </c>
      <c r="J273" s="93">
        <f t="shared" si="44"/>
        <v>0</v>
      </c>
      <c r="K273" s="309">
        <f t="shared" si="37"/>
        <v>0</v>
      </c>
      <c r="L273" s="141">
        <f>K273*D273*'B) D RI'!S275</f>
        <v>0</v>
      </c>
      <c r="M273" s="14">
        <f>(('B) D RI'!S275*C273)-L273)/'B) D RI'!S275</f>
        <v>33594.571611111111</v>
      </c>
      <c r="N273" s="144">
        <f t="shared" si="38"/>
        <v>53.07199306652624</v>
      </c>
      <c r="O273" s="83">
        <f t="shared" si="39"/>
        <v>1.2166440293396983</v>
      </c>
    </row>
    <row r="274" spans="1:15" x14ac:dyDescent="0.25">
      <c r="A274" s="61">
        <f>'A) Base RI'!A276</f>
        <v>5859</v>
      </c>
      <c r="B274" s="62" t="str">
        <f>'A) Base RI'!B276</f>
        <v>Mont-sur-Rolle</v>
      </c>
      <c r="C274" s="13">
        <f>'B) D RI'!U276</f>
        <v>147627.58999999997</v>
      </c>
      <c r="D274" s="42">
        <f>'B) D RI'!AR276</f>
        <v>2594</v>
      </c>
      <c r="E274" s="306">
        <f t="shared" si="45"/>
        <v>56.911175790285263</v>
      </c>
      <c r="F274" s="89">
        <f t="shared" si="40"/>
        <v>1.2416661359552752</v>
      </c>
      <c r="G274" s="93">
        <f t="shared" si="41"/>
        <v>1.9097474910421539</v>
      </c>
      <c r="H274" s="93">
        <f t="shared" si="42"/>
        <v>0</v>
      </c>
      <c r="I274" s="93">
        <f t="shared" si="43"/>
        <v>0</v>
      </c>
      <c r="J274" s="93">
        <f t="shared" si="44"/>
        <v>0</v>
      </c>
      <c r="K274" s="309">
        <f t="shared" si="37"/>
        <v>0.68750909677517535</v>
      </c>
      <c r="L274" s="141">
        <f>K274*D274*'B) D RI'!S276</f>
        <v>112354.11161319271</v>
      </c>
      <c r="M274" s="14">
        <f>(('B) D RI'!S276*C274)-L274)/'B) D RI'!S276</f>
        <v>145844.19140296514</v>
      </c>
      <c r="N274" s="144">
        <f t="shared" si="38"/>
        <v>56.223666693510076</v>
      </c>
      <c r="O274" s="83">
        <f t="shared" si="39"/>
        <v>1.2888942818578342</v>
      </c>
    </row>
    <row r="275" spans="1:15" x14ac:dyDescent="0.25">
      <c r="A275" s="61">
        <f>'A) Base RI'!A277</f>
        <v>5860</v>
      </c>
      <c r="B275" s="62" t="str">
        <f>'A) Base RI'!B277</f>
        <v>Perroy</v>
      </c>
      <c r="C275" s="13">
        <f>'B) D RI'!U277</f>
        <v>88241.731705128201</v>
      </c>
      <c r="D275" s="42">
        <f>'B) D RI'!AR277</f>
        <v>1464</v>
      </c>
      <c r="E275" s="306">
        <f t="shared" si="45"/>
        <v>60.274406902409972</v>
      </c>
      <c r="F275" s="89">
        <f t="shared" si="40"/>
        <v>1.315043818305484</v>
      </c>
      <c r="G275" s="93">
        <f t="shared" si="41"/>
        <v>5.2729786031668624</v>
      </c>
      <c r="H275" s="93">
        <f t="shared" si="42"/>
        <v>0</v>
      </c>
      <c r="I275" s="93">
        <f t="shared" si="43"/>
        <v>0</v>
      </c>
      <c r="J275" s="93">
        <f t="shared" si="44"/>
        <v>0</v>
      </c>
      <c r="K275" s="309">
        <f t="shared" si="37"/>
        <v>1.8982722971400703</v>
      </c>
      <c r="L275" s="141">
        <f>K275*D275*'B) D RI'!S277</f>
        <v>166744.23858078377</v>
      </c>
      <c r="M275" s="14">
        <f>(('B) D RI'!S277*C275)-L275)/'B) D RI'!S277</f>
        <v>85462.661062115134</v>
      </c>
      <c r="N275" s="144">
        <f t="shared" si="38"/>
        <v>58.376134605269897</v>
      </c>
      <c r="O275" s="83">
        <f t="shared" si="39"/>
        <v>1.3382383347541555</v>
      </c>
    </row>
    <row r="276" spans="1:15" x14ac:dyDescent="0.25">
      <c r="A276" s="61">
        <f>'A) Base RI'!A278</f>
        <v>5861</v>
      </c>
      <c r="B276" s="62" t="str">
        <f>'A) Base RI'!B278</f>
        <v>Rolle</v>
      </c>
      <c r="C276" s="13">
        <f>'B) D RI'!U278</f>
        <v>641127.68151260505</v>
      </c>
      <c r="D276" s="42">
        <f>'B) D RI'!AR278</f>
        <v>6047</v>
      </c>
      <c r="E276" s="306">
        <f t="shared" si="45"/>
        <v>106.02409153507608</v>
      </c>
      <c r="F276" s="89">
        <f t="shared" si="40"/>
        <v>2.3131928347366593</v>
      </c>
      <c r="G276" s="93">
        <f t="shared" si="41"/>
        <v>51.022663235832972</v>
      </c>
      <c r="H276" s="93">
        <f t="shared" si="42"/>
        <v>37.272306161022186</v>
      </c>
      <c r="I276" s="93">
        <f t="shared" si="43"/>
        <v>14.355044369670892</v>
      </c>
      <c r="J276" s="93">
        <f t="shared" si="44"/>
        <v>0</v>
      </c>
      <c r="K276" s="309">
        <f t="shared" si="37"/>
        <v>23.530893817969179</v>
      </c>
      <c r="L276" s="141">
        <f>K276*D276*'B) D RI'!S278</f>
        <v>8466333.2375769466</v>
      </c>
      <c r="M276" s="14">
        <f>(('B) D RI'!S278*C276)-L276)/'B) D RI'!S278</f>
        <v>498836.36659534537</v>
      </c>
      <c r="N276" s="144">
        <f t="shared" si="38"/>
        <v>82.493197717106895</v>
      </c>
      <c r="O276" s="83">
        <f t="shared" si="39"/>
        <v>1.8911077324314738</v>
      </c>
    </row>
    <row r="277" spans="1:15" x14ac:dyDescent="0.25">
      <c r="A277" s="61">
        <f>'A) Base RI'!A279</f>
        <v>5862</v>
      </c>
      <c r="B277" s="62" t="str">
        <f>'A) Base RI'!B279</f>
        <v>Tartegnin</v>
      </c>
      <c r="C277" s="13">
        <f>'B) D RI'!U279</f>
        <v>9990.8663492063497</v>
      </c>
      <c r="D277" s="42">
        <f>'B) D RI'!AR279</f>
        <v>230</v>
      </c>
      <c r="E277" s="306">
        <f t="shared" si="45"/>
        <v>43.438549344375431</v>
      </c>
      <c r="F277" s="89">
        <f t="shared" si="40"/>
        <v>0.94772555595556851</v>
      </c>
      <c r="G277" s="93">
        <f t="shared" si="41"/>
        <v>0</v>
      </c>
      <c r="H277" s="93">
        <f t="shared" si="42"/>
        <v>0</v>
      </c>
      <c r="I277" s="93">
        <f t="shared" si="43"/>
        <v>0</v>
      </c>
      <c r="J277" s="93">
        <f t="shared" si="44"/>
        <v>0</v>
      </c>
      <c r="K277" s="309">
        <f t="shared" si="37"/>
        <v>0</v>
      </c>
      <c r="L277" s="141">
        <f>K277*D277*'B) D RI'!S279</f>
        <v>0</v>
      </c>
      <c r="M277" s="14">
        <f>(('B) D RI'!S279*C277)-L277)/'B) D RI'!S279</f>
        <v>9990.8663492063497</v>
      </c>
      <c r="N277" s="144">
        <f t="shared" si="38"/>
        <v>43.438549344375431</v>
      </c>
      <c r="O277" s="83">
        <f t="shared" si="39"/>
        <v>0.99580303375388979</v>
      </c>
    </row>
    <row r="278" spans="1:15" x14ac:dyDescent="0.25">
      <c r="A278" s="61">
        <f>'A) Base RI'!A280</f>
        <v>5863</v>
      </c>
      <c r="B278" s="62" t="str">
        <f>'A) Base RI'!B280</f>
        <v>Vinzel</v>
      </c>
      <c r="C278" s="13">
        <f>'B) D RI'!U280</f>
        <v>25660.793857142853</v>
      </c>
      <c r="D278" s="42">
        <f>'B) D RI'!AR280</f>
        <v>349</v>
      </c>
      <c r="E278" s="306">
        <f t="shared" si="45"/>
        <v>73.526629963160033</v>
      </c>
      <c r="F278" s="89">
        <f t="shared" si="40"/>
        <v>1.6041757220513166</v>
      </c>
      <c r="G278" s="93">
        <f t="shared" si="41"/>
        <v>18.525201663916924</v>
      </c>
      <c r="H278" s="93">
        <f t="shared" si="42"/>
        <v>4.774844589106138</v>
      </c>
      <c r="I278" s="93">
        <f t="shared" si="43"/>
        <v>0</v>
      </c>
      <c r="J278" s="93">
        <f t="shared" si="44"/>
        <v>0</v>
      </c>
      <c r="K278" s="309">
        <f t="shared" si="37"/>
        <v>7.1465570579207069</v>
      </c>
      <c r="L278" s="141">
        <f>K278*D278*'B) D RI'!S280</f>
        <v>174590.38892500289</v>
      </c>
      <c r="M278" s="14">
        <f>(('B) D RI'!S280*C278)-L278)/'B) D RI'!S280</f>
        <v>23166.645443928526</v>
      </c>
      <c r="N278" s="144">
        <f t="shared" si="38"/>
        <v>66.380072905239331</v>
      </c>
      <c r="O278" s="83">
        <f t="shared" si="39"/>
        <v>1.5217238829915196</v>
      </c>
    </row>
    <row r="279" spans="1:15" x14ac:dyDescent="0.25">
      <c r="A279" s="61">
        <f>'A) Base RI'!A281</f>
        <v>5871</v>
      </c>
      <c r="B279" s="62" t="str">
        <f>'A) Base RI'!B281</f>
        <v>L'Abbaye</v>
      </c>
      <c r="C279" s="13">
        <f>'B) D RI'!U281</f>
        <v>49270.614706263776</v>
      </c>
      <c r="D279" s="42">
        <f>'B) D RI'!AR281</f>
        <v>1423</v>
      </c>
      <c r="E279" s="306">
        <f t="shared" si="45"/>
        <v>34.624465710656203</v>
      </c>
      <c r="F279" s="89">
        <f t="shared" si="40"/>
        <v>0.75542327058730607</v>
      </c>
      <c r="G279" s="93">
        <f t="shared" si="41"/>
        <v>0</v>
      </c>
      <c r="H279" s="93">
        <f t="shared" si="42"/>
        <v>0</v>
      </c>
      <c r="I279" s="93">
        <f t="shared" si="43"/>
        <v>0</v>
      </c>
      <c r="J279" s="93">
        <f t="shared" si="44"/>
        <v>0</v>
      </c>
      <c r="K279" s="309">
        <f t="shared" si="37"/>
        <v>0</v>
      </c>
      <c r="L279" s="141">
        <f>K279*D279*'B) D RI'!S281</f>
        <v>0</v>
      </c>
      <c r="M279" s="14">
        <f>(('B) D RI'!S281*C279)-L279)/'B) D RI'!S281</f>
        <v>49270.614706263776</v>
      </c>
      <c r="N279" s="144">
        <f t="shared" si="38"/>
        <v>34.624465710656203</v>
      </c>
      <c r="O279" s="83">
        <f t="shared" si="39"/>
        <v>0.79374538324087596</v>
      </c>
    </row>
    <row r="280" spans="1:15" x14ac:dyDescent="0.25">
      <c r="A280" s="61">
        <f>'A) Base RI'!A282</f>
        <v>5872</v>
      </c>
      <c r="B280" s="62" t="str">
        <f>'A) Base RI'!B282</f>
        <v>Le Chenit</v>
      </c>
      <c r="C280" s="13">
        <f>'B) D RI'!U282</f>
        <v>312565.48082674423</v>
      </c>
      <c r="D280" s="42">
        <f>'B) D RI'!AR282</f>
        <v>4614</v>
      </c>
      <c r="E280" s="306">
        <f t="shared" si="45"/>
        <v>67.742843698904252</v>
      </c>
      <c r="F280" s="89">
        <f t="shared" si="40"/>
        <v>1.4779872987371816</v>
      </c>
      <c r="G280" s="93">
        <f t="shared" si="41"/>
        <v>12.741415399661143</v>
      </c>
      <c r="H280" s="93">
        <f t="shared" si="42"/>
        <v>0</v>
      </c>
      <c r="I280" s="93">
        <f t="shared" si="43"/>
        <v>0</v>
      </c>
      <c r="J280" s="93">
        <f t="shared" si="44"/>
        <v>0</v>
      </c>
      <c r="K280" s="309">
        <f t="shared" si="37"/>
        <v>4.5869095438780114</v>
      </c>
      <c r="L280" s="141">
        <f>K280*D280*'B) D RI'!S282</f>
        <v>1475977.4043165022</v>
      </c>
      <c r="M280" s="14">
        <f>(('B) D RI'!S282*C280)-L280)/'B) D RI'!S282</f>
        <v>291401.48019129108</v>
      </c>
      <c r="N280" s="144">
        <f t="shared" si="38"/>
        <v>63.155934155026245</v>
      </c>
      <c r="O280" s="83">
        <f t="shared" si="39"/>
        <v>1.4478124104132719</v>
      </c>
    </row>
    <row r="281" spans="1:15" x14ac:dyDescent="0.25">
      <c r="A281" s="61">
        <f>'A) Base RI'!A283</f>
        <v>5873</v>
      </c>
      <c r="B281" s="62" t="str">
        <f>'A) Base RI'!B283</f>
        <v>Le Lieu</v>
      </c>
      <c r="C281" s="13">
        <f>'B) D RI'!U283</f>
        <v>35906.558461538458</v>
      </c>
      <c r="D281" s="42">
        <f>'B) D RI'!AR283</f>
        <v>859</v>
      </c>
      <c r="E281" s="306">
        <f t="shared" si="45"/>
        <v>41.800417300976086</v>
      </c>
      <c r="F281" s="89">
        <f t="shared" si="40"/>
        <v>0.91198542132880522</v>
      </c>
      <c r="G281" s="93">
        <f t="shared" si="41"/>
        <v>0</v>
      </c>
      <c r="H281" s="93">
        <f t="shared" si="42"/>
        <v>0</v>
      </c>
      <c r="I281" s="93">
        <f t="shared" si="43"/>
        <v>0</v>
      </c>
      <c r="J281" s="93">
        <f t="shared" si="44"/>
        <v>0</v>
      </c>
      <c r="K281" s="309">
        <f t="shared" si="37"/>
        <v>0</v>
      </c>
      <c r="L281" s="141">
        <f>K281*D281*'B) D RI'!S283</f>
        <v>0</v>
      </c>
      <c r="M281" s="14">
        <f>(('B) D RI'!S283*C281)-L281)/'B) D RI'!S283</f>
        <v>35906.558461538458</v>
      </c>
      <c r="N281" s="144">
        <f t="shared" si="38"/>
        <v>41.800417300976086</v>
      </c>
      <c r="O281" s="83">
        <f t="shared" si="39"/>
        <v>0.95824982621985999</v>
      </c>
    </row>
    <row r="282" spans="1:15" x14ac:dyDescent="0.25">
      <c r="A282" s="61">
        <f>'A) Base RI'!A284</f>
        <v>5881</v>
      </c>
      <c r="B282" s="62" t="str">
        <f>'A) Base RI'!B284</f>
        <v>Blonay</v>
      </c>
      <c r="C282" s="13">
        <f>'B) D RI'!U284</f>
        <v>350302.66257142869</v>
      </c>
      <c r="D282" s="42">
        <f>'B) D RI'!AR284</f>
        <v>6132</v>
      </c>
      <c r="E282" s="306">
        <f t="shared" si="45"/>
        <v>57.126983459137101</v>
      </c>
      <c r="F282" s="89">
        <f t="shared" si="40"/>
        <v>1.2463745446390142</v>
      </c>
      <c r="G282" s="93">
        <f t="shared" si="41"/>
        <v>2.1255551598939917</v>
      </c>
      <c r="H282" s="93">
        <f t="shared" si="42"/>
        <v>0</v>
      </c>
      <c r="I282" s="93">
        <f t="shared" si="43"/>
        <v>0</v>
      </c>
      <c r="J282" s="93">
        <f t="shared" si="44"/>
        <v>0</v>
      </c>
      <c r="K282" s="309">
        <f t="shared" si="37"/>
        <v>0.76519985756183695</v>
      </c>
      <c r="L282" s="141">
        <f>K282*D282*'B) D RI'!S284</f>
        <v>328454.38685984293</v>
      </c>
      <c r="M282" s="14">
        <f>(('B) D RI'!S284*C282)-L282)/'B) D RI'!S284</f>
        <v>345610.45704485953</v>
      </c>
      <c r="N282" s="144">
        <f t="shared" si="38"/>
        <v>56.361783601575269</v>
      </c>
      <c r="O282" s="83">
        <f t="shared" si="39"/>
        <v>1.2920605302280006</v>
      </c>
    </row>
    <row r="283" spans="1:15" x14ac:dyDescent="0.25">
      <c r="A283" s="61">
        <f>'A) Base RI'!A285</f>
        <v>5882</v>
      </c>
      <c r="B283" s="62" t="str">
        <f>'A) Base RI'!B285</f>
        <v>Chardonne</v>
      </c>
      <c r="C283" s="13">
        <f>'B) D RI'!U285</f>
        <v>162874.24803030302</v>
      </c>
      <c r="D283" s="42">
        <f>'B) D RI'!AR285</f>
        <v>2889</v>
      </c>
      <c r="E283" s="306">
        <f t="shared" si="45"/>
        <v>56.377379034372801</v>
      </c>
      <c r="F283" s="89">
        <f t="shared" si="40"/>
        <v>1.2300199637211666</v>
      </c>
      <c r="G283" s="93">
        <f t="shared" si="41"/>
        <v>1.3759507351296918</v>
      </c>
      <c r="H283" s="93">
        <f t="shared" si="42"/>
        <v>0</v>
      </c>
      <c r="I283" s="93">
        <f t="shared" si="43"/>
        <v>0</v>
      </c>
      <c r="J283" s="93">
        <f t="shared" si="44"/>
        <v>0</v>
      </c>
      <c r="K283" s="309">
        <f t="shared" si="37"/>
        <v>0.49534226464668901</v>
      </c>
      <c r="L283" s="141">
        <f>K283*D283*'B) D RI'!S285</f>
        <v>94448.890969242784</v>
      </c>
      <c r="M283" s="14">
        <f>(('B) D RI'!S285*C283)-L283)/'B) D RI'!S285</f>
        <v>161443.20422773872</v>
      </c>
      <c r="N283" s="144">
        <f t="shared" si="38"/>
        <v>55.882036769726106</v>
      </c>
      <c r="O283" s="83">
        <f t="shared" si="39"/>
        <v>1.2810626180555245</v>
      </c>
    </row>
    <row r="284" spans="1:15" x14ac:dyDescent="0.25">
      <c r="A284" s="61">
        <f>'A) Base RI'!A286</f>
        <v>5883</v>
      </c>
      <c r="B284" s="62" t="str">
        <f>'A) Base RI'!B286</f>
        <v>Corseaux</v>
      </c>
      <c r="C284" s="13">
        <f>'B) D RI'!U286</f>
        <v>144418.05406250001</v>
      </c>
      <c r="D284" s="42">
        <f>'B) D RI'!AR286</f>
        <v>2172</v>
      </c>
      <c r="E284" s="306">
        <f t="shared" si="45"/>
        <v>66.49081678752303</v>
      </c>
      <c r="F284" s="89">
        <f t="shared" si="40"/>
        <v>1.4506710573209902</v>
      </c>
      <c r="G284" s="93">
        <f t="shared" si="41"/>
        <v>11.489388488279921</v>
      </c>
      <c r="H284" s="93">
        <f t="shared" si="42"/>
        <v>0</v>
      </c>
      <c r="I284" s="93">
        <f t="shared" si="43"/>
        <v>0</v>
      </c>
      <c r="J284" s="93">
        <f t="shared" si="44"/>
        <v>0</v>
      </c>
      <c r="K284" s="309">
        <f t="shared" si="37"/>
        <v>4.1361798557807719</v>
      </c>
      <c r="L284" s="141">
        <f>K284*D284*'B) D RI'!S286</f>
        <v>574962.08939237357</v>
      </c>
      <c r="M284" s="14">
        <f>(('B) D RI'!S286*C284)-L284)/'B) D RI'!S286</f>
        <v>135434.27141574418</v>
      </c>
      <c r="N284" s="144">
        <f t="shared" si="38"/>
        <v>62.354636931742256</v>
      </c>
      <c r="O284" s="83">
        <f t="shared" si="39"/>
        <v>1.4294431458331212</v>
      </c>
    </row>
    <row r="285" spans="1:15" x14ac:dyDescent="0.25">
      <c r="A285" s="61">
        <f>'A) Base RI'!A287</f>
        <v>5884</v>
      </c>
      <c r="B285" s="62" t="str">
        <f>'A) Base RI'!B287</f>
        <v>Corsier-sur-Vevey</v>
      </c>
      <c r="C285" s="13">
        <f>'B) D RI'!U287</f>
        <v>132379.93277777778</v>
      </c>
      <c r="D285" s="42">
        <f>'B) D RI'!AR287</f>
        <v>3427</v>
      </c>
      <c r="E285" s="306">
        <f t="shared" si="45"/>
        <v>38.628518464481409</v>
      </c>
      <c r="F285" s="89">
        <f t="shared" si="40"/>
        <v>0.84278215295030046</v>
      </c>
      <c r="G285" s="93">
        <f t="shared" si="41"/>
        <v>0</v>
      </c>
      <c r="H285" s="93">
        <f t="shared" si="42"/>
        <v>0</v>
      </c>
      <c r="I285" s="93">
        <f t="shared" si="43"/>
        <v>0</v>
      </c>
      <c r="J285" s="93">
        <f t="shared" si="44"/>
        <v>0</v>
      </c>
      <c r="K285" s="309">
        <f t="shared" si="37"/>
        <v>0</v>
      </c>
      <c r="L285" s="141">
        <f>K285*D285*'B) D RI'!S287</f>
        <v>0</v>
      </c>
      <c r="M285" s="14">
        <f>(('B) D RI'!S287*C285)-L285)/'B) D RI'!S287</f>
        <v>132379.93277777778</v>
      </c>
      <c r="N285" s="144">
        <f t="shared" si="38"/>
        <v>38.628518464481409</v>
      </c>
      <c r="O285" s="83">
        <f t="shared" si="39"/>
        <v>0.88553592274437898</v>
      </c>
    </row>
    <row r="286" spans="1:15" x14ac:dyDescent="0.25">
      <c r="A286" s="61">
        <f>'A) Base RI'!A288</f>
        <v>5885</v>
      </c>
      <c r="B286" s="62" t="str">
        <f>'A) Base RI'!B288</f>
        <v>Jongny</v>
      </c>
      <c r="C286" s="13">
        <f>'B) D RI'!U288</f>
        <v>197476.07983091791</v>
      </c>
      <c r="D286" s="42">
        <f>'B) D RI'!AR288</f>
        <v>1493</v>
      </c>
      <c r="E286" s="306">
        <f t="shared" si="45"/>
        <v>132.26797041588608</v>
      </c>
      <c r="F286" s="89">
        <f t="shared" si="40"/>
        <v>2.8857716864281415</v>
      </c>
      <c r="G286" s="93">
        <f t="shared" si="41"/>
        <v>77.266542116642967</v>
      </c>
      <c r="H286" s="93">
        <f t="shared" si="42"/>
        <v>63.516185041832188</v>
      </c>
      <c r="I286" s="93">
        <f t="shared" si="43"/>
        <v>40.598923250480894</v>
      </c>
      <c r="J286" s="93">
        <f t="shared" si="44"/>
        <v>0</v>
      </c>
      <c r="K286" s="309">
        <f t="shared" si="37"/>
        <v>38.227465991222779</v>
      </c>
      <c r="L286" s="141">
        <f>K286*D286*'B) D RI'!S288</f>
        <v>3938078.8640177972</v>
      </c>
      <c r="M286" s="14">
        <f>(('B) D RI'!S288*C286)-L286)/'B) D RI'!S288</f>
        <v>140402.47310602231</v>
      </c>
      <c r="N286" s="144">
        <f t="shared" si="38"/>
        <v>94.040504424663311</v>
      </c>
      <c r="O286" s="83">
        <f t="shared" si="39"/>
        <v>2.1558229041999857</v>
      </c>
    </row>
    <row r="287" spans="1:15" x14ac:dyDescent="0.25">
      <c r="A287" s="61">
        <f>'A) Base RI'!A289</f>
        <v>5886</v>
      </c>
      <c r="B287" s="62" t="str">
        <f>'A) Base RI'!B289</f>
        <v>Montreux</v>
      </c>
      <c r="C287" s="13">
        <f>'B) D RI'!U289</f>
        <v>1113145.3400000003</v>
      </c>
      <c r="D287" s="42">
        <f>'B) D RI'!AR289</f>
        <v>26283</v>
      </c>
      <c r="E287" s="306">
        <f t="shared" si="45"/>
        <v>42.352293878172212</v>
      </c>
      <c r="F287" s="89">
        <f t="shared" si="40"/>
        <v>0.92402605214719558</v>
      </c>
      <c r="G287" s="93">
        <f t="shared" si="41"/>
        <v>0</v>
      </c>
      <c r="H287" s="93">
        <f t="shared" si="42"/>
        <v>0</v>
      </c>
      <c r="I287" s="93">
        <f t="shared" si="43"/>
        <v>0</v>
      </c>
      <c r="J287" s="93">
        <f t="shared" si="44"/>
        <v>0</v>
      </c>
      <c r="K287" s="309">
        <f t="shared" si="37"/>
        <v>0</v>
      </c>
      <c r="L287" s="141">
        <f>K287*D287*'B) D RI'!S289</f>
        <v>0</v>
      </c>
      <c r="M287" s="14">
        <f>(('B) D RI'!S289*C287)-L287)/'B) D RI'!S289</f>
        <v>1113145.3400000003</v>
      </c>
      <c r="N287" s="144">
        <f t="shared" si="38"/>
        <v>42.352293878172212</v>
      </c>
      <c r="O287" s="83">
        <f t="shared" si="39"/>
        <v>0.97090127011299665</v>
      </c>
    </row>
    <row r="288" spans="1:15" x14ac:dyDescent="0.25">
      <c r="A288" s="61">
        <f>'A) Base RI'!A290</f>
        <v>5888</v>
      </c>
      <c r="B288" s="62" t="str">
        <f>'A) Base RI'!B290</f>
        <v>Saint-Légier-La Chiésaz</v>
      </c>
      <c r="C288" s="13">
        <f>'B) D RI'!U290</f>
        <v>313348.84833333333</v>
      </c>
      <c r="D288" s="42">
        <f>'B) D RI'!AR290</f>
        <v>5071</v>
      </c>
      <c r="E288" s="306">
        <f t="shared" si="45"/>
        <v>61.79231874055084</v>
      </c>
      <c r="F288" s="89">
        <f t="shared" si="40"/>
        <v>1.3481610347504633</v>
      </c>
      <c r="G288" s="93">
        <f t="shared" si="41"/>
        <v>6.7908904413077309</v>
      </c>
      <c r="H288" s="93">
        <f t="shared" si="42"/>
        <v>0</v>
      </c>
      <c r="I288" s="93">
        <f t="shared" si="43"/>
        <v>0</v>
      </c>
      <c r="J288" s="93">
        <f t="shared" si="44"/>
        <v>0</v>
      </c>
      <c r="K288" s="309">
        <f t="shared" si="37"/>
        <v>2.4447205588707832</v>
      </c>
      <c r="L288" s="141">
        <f>K288*D288*'B) D RI'!S290</f>
        <v>818213.74496622686</v>
      </c>
      <c r="M288" s="14">
        <f>(('B) D RI'!S290*C288)-L288)/'B) D RI'!S290</f>
        <v>300951.67037929955</v>
      </c>
      <c r="N288" s="144">
        <f t="shared" si="38"/>
        <v>59.347598181680056</v>
      </c>
      <c r="O288" s="83">
        <f t="shared" si="39"/>
        <v>1.3605085622633968</v>
      </c>
    </row>
    <row r="289" spans="1:15" x14ac:dyDescent="0.25">
      <c r="A289" s="61">
        <f>'A) Base RI'!A291</f>
        <v>5889</v>
      </c>
      <c r="B289" s="62" t="str">
        <f>'A) Base RI'!B291</f>
        <v>La Tour-de-Peilz</v>
      </c>
      <c r="C289" s="13">
        <f>'B) D RI'!U291</f>
        <v>590141.45856770838</v>
      </c>
      <c r="D289" s="42">
        <f>'B) D RI'!AR291</f>
        <v>11421</v>
      </c>
      <c r="E289" s="306">
        <f t="shared" si="45"/>
        <v>51.671610066343433</v>
      </c>
      <c r="F289" s="89">
        <f t="shared" si="40"/>
        <v>1.1273513069926113</v>
      </c>
      <c r="G289" s="93">
        <f t="shared" si="41"/>
        <v>0</v>
      </c>
      <c r="H289" s="93">
        <f t="shared" si="42"/>
        <v>0</v>
      </c>
      <c r="I289" s="93">
        <f t="shared" si="43"/>
        <v>0</v>
      </c>
      <c r="J289" s="93">
        <f t="shared" si="44"/>
        <v>0</v>
      </c>
      <c r="K289" s="309">
        <f t="shared" si="37"/>
        <v>0</v>
      </c>
      <c r="L289" s="141">
        <f>K289*D289*'B) D RI'!S291</f>
        <v>0</v>
      </c>
      <c r="M289" s="14">
        <f>(('B) D RI'!S291*C289)-L289)/'B) D RI'!S291</f>
        <v>590141.45856770838</v>
      </c>
      <c r="N289" s="144">
        <f t="shared" si="38"/>
        <v>51.671610066343433</v>
      </c>
      <c r="O289" s="83">
        <f t="shared" si="39"/>
        <v>1.1845410779049268</v>
      </c>
    </row>
    <row r="290" spans="1:15" x14ac:dyDescent="0.25">
      <c r="A290" s="61">
        <f>'A) Base RI'!A292</f>
        <v>5890</v>
      </c>
      <c r="B290" s="62" t="str">
        <f>'A) Base RI'!B292</f>
        <v>Vevey</v>
      </c>
      <c r="C290" s="13">
        <f>'B) D RI'!U292</f>
        <v>922155.6933561645</v>
      </c>
      <c r="D290" s="42">
        <f>'B) D RI'!AR292</f>
        <v>19217</v>
      </c>
      <c r="E290" s="306">
        <f t="shared" si="45"/>
        <v>47.986454355839335</v>
      </c>
      <c r="F290" s="89">
        <f t="shared" si="40"/>
        <v>1.0469499976203276</v>
      </c>
      <c r="G290" s="93">
        <f t="shared" si="41"/>
        <v>0</v>
      </c>
      <c r="H290" s="93">
        <f t="shared" si="42"/>
        <v>0</v>
      </c>
      <c r="I290" s="93">
        <f t="shared" si="43"/>
        <v>0</v>
      </c>
      <c r="J290" s="93">
        <f t="shared" si="44"/>
        <v>0</v>
      </c>
      <c r="K290" s="309">
        <f t="shared" si="37"/>
        <v>0</v>
      </c>
      <c r="L290" s="141">
        <f>K290*D290*'B) D RI'!S292</f>
        <v>0</v>
      </c>
      <c r="M290" s="14">
        <f>(('B) D RI'!S292*C290)-L290)/'B) D RI'!S292</f>
        <v>922155.6933561645</v>
      </c>
      <c r="N290" s="144">
        <f t="shared" si="38"/>
        <v>47.986454355839335</v>
      </c>
      <c r="O290" s="83">
        <f t="shared" si="39"/>
        <v>1.1000610643740281</v>
      </c>
    </row>
    <row r="291" spans="1:15" x14ac:dyDescent="0.25">
      <c r="A291" s="61">
        <f>'A) Base RI'!A293</f>
        <v>5891</v>
      </c>
      <c r="B291" s="62" t="str">
        <f>'A) Base RI'!B293</f>
        <v>Veytaux</v>
      </c>
      <c r="C291" s="13">
        <f>'B) D RI'!U293</f>
        <v>37259.444879227056</v>
      </c>
      <c r="D291" s="42">
        <f>'B) D RI'!AR293</f>
        <v>854</v>
      </c>
      <c r="E291" s="306">
        <f t="shared" si="45"/>
        <v>43.629326556471959</v>
      </c>
      <c r="F291" s="89">
        <f t="shared" si="40"/>
        <v>0.95188785976466761</v>
      </c>
      <c r="G291" s="93">
        <f t="shared" si="41"/>
        <v>0</v>
      </c>
      <c r="H291" s="93">
        <f t="shared" si="42"/>
        <v>0</v>
      </c>
      <c r="I291" s="93">
        <f t="shared" si="43"/>
        <v>0</v>
      </c>
      <c r="J291" s="93">
        <f t="shared" si="44"/>
        <v>0</v>
      </c>
      <c r="K291" s="309">
        <f t="shared" si="37"/>
        <v>0</v>
      </c>
      <c r="L291" s="141">
        <f>K291*D291*'B) D RI'!S293</f>
        <v>0</v>
      </c>
      <c r="M291" s="14">
        <f>(('B) D RI'!S293*C291)-L291)/'B) D RI'!S293</f>
        <v>37259.444879227056</v>
      </c>
      <c r="N291" s="144">
        <f t="shared" si="38"/>
        <v>43.629326556471959</v>
      </c>
      <c r="O291" s="83">
        <f t="shared" si="39"/>
        <v>1.0001764884259305</v>
      </c>
    </row>
    <row r="292" spans="1:15" x14ac:dyDescent="0.25">
      <c r="A292" s="61">
        <f>'A) Base RI'!A294</f>
        <v>5902</v>
      </c>
      <c r="B292" s="62" t="str">
        <f>'A) Base RI'!B294</f>
        <v>Belmont-sur-Yverdon</v>
      </c>
      <c r="C292" s="13">
        <f>'B) D RI'!U294</f>
        <v>8642.2247368421067</v>
      </c>
      <c r="D292" s="42">
        <f>'B) D RI'!AR294</f>
        <v>369</v>
      </c>
      <c r="E292" s="306">
        <f t="shared" si="45"/>
        <v>23.420663243474543</v>
      </c>
      <c r="F292" s="89">
        <f t="shared" si="40"/>
        <v>0.51098301919108902</v>
      </c>
      <c r="G292" s="93">
        <f t="shared" si="41"/>
        <v>0</v>
      </c>
      <c r="H292" s="93">
        <f t="shared" si="42"/>
        <v>0</v>
      </c>
      <c r="I292" s="93">
        <f t="shared" si="43"/>
        <v>0</v>
      </c>
      <c r="J292" s="93">
        <f t="shared" si="44"/>
        <v>0</v>
      </c>
      <c r="K292" s="309">
        <f t="shared" si="37"/>
        <v>0</v>
      </c>
      <c r="L292" s="141">
        <f>K292*D292*'B) D RI'!S294</f>
        <v>0</v>
      </c>
      <c r="M292" s="14">
        <f>(('B) D RI'!S294*C292)-L292)/'B) D RI'!S294</f>
        <v>8642.2247368421067</v>
      </c>
      <c r="N292" s="144">
        <f t="shared" si="38"/>
        <v>23.420663243474543</v>
      </c>
      <c r="O292" s="83">
        <f t="shared" si="39"/>
        <v>0.5369048428731662</v>
      </c>
    </row>
    <row r="293" spans="1:15" x14ac:dyDescent="0.25">
      <c r="A293" s="61">
        <f>'A) Base RI'!A295</f>
        <v>5903</v>
      </c>
      <c r="B293" s="62" t="str">
        <f>'A) Base RI'!B295</f>
        <v>Bioley-Magnoux</v>
      </c>
      <c r="C293" s="13">
        <f>'B) D RI'!U295</f>
        <v>6046.5271621621623</v>
      </c>
      <c r="D293" s="42">
        <f>'B) D RI'!AR295</f>
        <v>201</v>
      </c>
      <c r="E293" s="306">
        <f t="shared" si="45"/>
        <v>30.082224687373941</v>
      </c>
      <c r="F293" s="89">
        <f t="shared" si="40"/>
        <v>0.6563224036373887</v>
      </c>
      <c r="G293" s="93">
        <f t="shared" si="41"/>
        <v>0</v>
      </c>
      <c r="H293" s="93">
        <f t="shared" si="42"/>
        <v>0</v>
      </c>
      <c r="I293" s="93">
        <f t="shared" si="43"/>
        <v>0</v>
      </c>
      <c r="J293" s="93">
        <f t="shared" si="44"/>
        <v>0</v>
      </c>
      <c r="K293" s="309">
        <f t="shared" si="37"/>
        <v>0</v>
      </c>
      <c r="L293" s="141">
        <f>K293*D293*'B) D RI'!S295</f>
        <v>0</v>
      </c>
      <c r="M293" s="14">
        <f>(('B) D RI'!S295*C293)-L293)/'B) D RI'!S295</f>
        <v>6046.5271621621623</v>
      </c>
      <c r="N293" s="144">
        <f t="shared" si="38"/>
        <v>30.082224687373941</v>
      </c>
      <c r="O293" s="83">
        <f t="shared" si="39"/>
        <v>0.68961719619745843</v>
      </c>
    </row>
    <row r="294" spans="1:15" x14ac:dyDescent="0.25">
      <c r="A294" s="61">
        <f>'A) Base RI'!A296</f>
        <v>5904</v>
      </c>
      <c r="B294" s="62" t="str">
        <f>'A) Base RI'!B296</f>
        <v>Chamblon</v>
      </c>
      <c r="C294" s="13">
        <f>'B) D RI'!U296</f>
        <v>20170.434545454544</v>
      </c>
      <c r="D294" s="42">
        <f>'B) D RI'!AR296</f>
        <v>568</v>
      </c>
      <c r="E294" s="306">
        <f t="shared" si="45"/>
        <v>35.511328425096025</v>
      </c>
      <c r="F294" s="89">
        <f t="shared" si="40"/>
        <v>0.77477250005708753</v>
      </c>
      <c r="G294" s="93">
        <f t="shared" si="41"/>
        <v>0</v>
      </c>
      <c r="H294" s="93">
        <f t="shared" si="42"/>
        <v>0</v>
      </c>
      <c r="I294" s="93">
        <f t="shared" si="43"/>
        <v>0</v>
      </c>
      <c r="J294" s="93">
        <f t="shared" si="44"/>
        <v>0</v>
      </c>
      <c r="K294" s="309">
        <f t="shared" si="37"/>
        <v>0</v>
      </c>
      <c r="L294" s="141">
        <f>K294*D294*'B) D RI'!S296</f>
        <v>0</v>
      </c>
      <c r="M294" s="14">
        <f>(('B) D RI'!S296*C294)-L294)/'B) D RI'!S296</f>
        <v>20170.434545454544</v>
      </c>
      <c r="N294" s="144">
        <f t="shared" si="38"/>
        <v>35.511328425096025</v>
      </c>
      <c r="O294" s="83">
        <f t="shared" si="39"/>
        <v>0.81407618606214327</v>
      </c>
    </row>
    <row r="295" spans="1:15" x14ac:dyDescent="0.25">
      <c r="A295" s="61">
        <f>'A) Base RI'!A297</f>
        <v>5905</v>
      </c>
      <c r="B295" s="62" t="str">
        <f>'A) Base RI'!B297</f>
        <v>Champvent</v>
      </c>
      <c r="C295" s="13">
        <f>'B) D RI'!U297</f>
        <v>18220.765633802814</v>
      </c>
      <c r="D295" s="42">
        <f>'B) D RI'!AR297</f>
        <v>617</v>
      </c>
      <c r="E295" s="306">
        <f t="shared" si="45"/>
        <v>29.531224690118012</v>
      </c>
      <c r="F295" s="89">
        <f t="shared" si="40"/>
        <v>0.64430089770285615</v>
      </c>
      <c r="G295" s="93">
        <f t="shared" si="41"/>
        <v>0</v>
      </c>
      <c r="H295" s="93">
        <f t="shared" si="42"/>
        <v>0</v>
      </c>
      <c r="I295" s="93">
        <f t="shared" si="43"/>
        <v>0</v>
      </c>
      <c r="J295" s="93">
        <f t="shared" si="44"/>
        <v>0</v>
      </c>
      <c r="K295" s="309">
        <f t="shared" si="37"/>
        <v>0</v>
      </c>
      <c r="L295" s="141">
        <f>K295*D295*'B) D RI'!S297</f>
        <v>0</v>
      </c>
      <c r="M295" s="14">
        <f>(('B) D RI'!S297*C295)-L295)/'B) D RI'!S297</f>
        <v>18220.765633802814</v>
      </c>
      <c r="N295" s="144">
        <f t="shared" si="38"/>
        <v>29.531224690118012</v>
      </c>
      <c r="O295" s="83">
        <f t="shared" si="39"/>
        <v>0.67698584738062961</v>
      </c>
    </row>
    <row r="296" spans="1:15" x14ac:dyDescent="0.25">
      <c r="A296" s="61">
        <f>'A) Base RI'!A298</f>
        <v>5907</v>
      </c>
      <c r="B296" s="62" t="str">
        <f>'A) Base RI'!B298</f>
        <v>Chavannes-le-Chêne</v>
      </c>
      <c r="C296" s="13">
        <f>'B) D RI'!U298</f>
        <v>6951.74782051282</v>
      </c>
      <c r="D296" s="42">
        <f>'B) D RI'!AR298</f>
        <v>278</v>
      </c>
      <c r="E296" s="306">
        <f t="shared" si="45"/>
        <v>25.006287124146834</v>
      </c>
      <c r="F296" s="89">
        <f t="shared" si="40"/>
        <v>0.54557755092678462</v>
      </c>
      <c r="G296" s="93">
        <f t="shared" si="41"/>
        <v>0</v>
      </c>
      <c r="H296" s="93">
        <f t="shared" si="42"/>
        <v>0</v>
      </c>
      <c r="I296" s="93">
        <f t="shared" si="43"/>
        <v>0</v>
      </c>
      <c r="J296" s="93">
        <f t="shared" si="44"/>
        <v>0</v>
      </c>
      <c r="K296" s="309">
        <f t="shared" si="37"/>
        <v>0</v>
      </c>
      <c r="L296" s="141">
        <f>K296*D296*'B) D RI'!S298</f>
        <v>0</v>
      </c>
      <c r="M296" s="14">
        <f>(('B) D RI'!S298*C296)-L296)/'B) D RI'!S298</f>
        <v>6951.74782051282</v>
      </c>
      <c r="N296" s="144">
        <f t="shared" si="38"/>
        <v>25.006287124146834</v>
      </c>
      <c r="O296" s="83">
        <f t="shared" si="39"/>
        <v>0.57325433185467456</v>
      </c>
    </row>
    <row r="297" spans="1:15" x14ac:dyDescent="0.25">
      <c r="A297" s="61">
        <f>'A) Base RI'!A299</f>
        <v>5908</v>
      </c>
      <c r="B297" s="62" t="str">
        <f>'A) Base RI'!B299</f>
        <v>Chêne-Pâquier</v>
      </c>
      <c r="C297" s="13">
        <f>'B) D RI'!U299</f>
        <v>2899.0017721518989</v>
      </c>
      <c r="D297" s="42">
        <f>'B) D RI'!AR299</f>
        <v>125</v>
      </c>
      <c r="E297" s="306">
        <f t="shared" si="45"/>
        <v>23.192014177215192</v>
      </c>
      <c r="F297" s="89">
        <f t="shared" si="40"/>
        <v>0.50599444183963516</v>
      </c>
      <c r="G297" s="93">
        <f t="shared" si="41"/>
        <v>0</v>
      </c>
      <c r="H297" s="93">
        <f t="shared" si="42"/>
        <v>0</v>
      </c>
      <c r="I297" s="93">
        <f t="shared" si="43"/>
        <v>0</v>
      </c>
      <c r="J297" s="93">
        <f t="shared" si="44"/>
        <v>0</v>
      </c>
      <c r="K297" s="309">
        <f t="shared" si="37"/>
        <v>0</v>
      </c>
      <c r="L297" s="141">
        <f>K297*D297*'B) D RI'!S299</f>
        <v>0</v>
      </c>
      <c r="M297" s="14">
        <f>(('B) D RI'!S299*C297)-L297)/'B) D RI'!S299</f>
        <v>2899.0017721518989</v>
      </c>
      <c r="N297" s="144">
        <f t="shared" si="38"/>
        <v>23.192014177215192</v>
      </c>
      <c r="O297" s="83">
        <f t="shared" si="39"/>
        <v>0.53166319835964981</v>
      </c>
    </row>
    <row r="298" spans="1:15" x14ac:dyDescent="0.25">
      <c r="A298" s="61">
        <f>'A) Base RI'!A300</f>
        <v>5909</v>
      </c>
      <c r="B298" s="62" t="str">
        <f>'A) Base RI'!B300</f>
        <v>Cheseaux-Noréaz</v>
      </c>
      <c r="C298" s="13">
        <f>'B) D RI'!U300</f>
        <v>22661.846714285719</v>
      </c>
      <c r="D298" s="42">
        <f>'B) D RI'!AR300</f>
        <v>664</v>
      </c>
      <c r="E298" s="306">
        <f t="shared" si="45"/>
        <v>34.12928722030982</v>
      </c>
      <c r="F298" s="89">
        <f t="shared" si="40"/>
        <v>0.74461965681235553</v>
      </c>
      <c r="G298" s="93">
        <f t="shared" si="41"/>
        <v>0</v>
      </c>
      <c r="H298" s="93">
        <f t="shared" si="42"/>
        <v>0</v>
      </c>
      <c r="I298" s="93">
        <f t="shared" si="43"/>
        <v>0</v>
      </c>
      <c r="J298" s="93">
        <f t="shared" si="44"/>
        <v>0</v>
      </c>
      <c r="K298" s="309">
        <f t="shared" si="37"/>
        <v>0</v>
      </c>
      <c r="L298" s="141">
        <f>K298*D298*'B) D RI'!S300</f>
        <v>0</v>
      </c>
      <c r="M298" s="14">
        <f>(('B) D RI'!S300*C298)-L298)/'B) D RI'!S300</f>
        <v>22661.846714285719</v>
      </c>
      <c r="N298" s="144">
        <f t="shared" si="38"/>
        <v>34.12928722030982</v>
      </c>
      <c r="O298" s="83">
        <f t="shared" si="39"/>
        <v>0.78239370943088382</v>
      </c>
    </row>
    <row r="299" spans="1:15" x14ac:dyDescent="0.25">
      <c r="A299" s="61">
        <f>'A) Base RI'!A301</f>
        <v>5910</v>
      </c>
      <c r="B299" s="62" t="str">
        <f>'A) Base RI'!B301</f>
        <v>Cronay</v>
      </c>
      <c r="C299" s="13">
        <f>'B) D RI'!U301</f>
        <v>10409.753209876544</v>
      </c>
      <c r="D299" s="42">
        <f>'B) D RI'!AR301</f>
        <v>364</v>
      </c>
      <c r="E299" s="306">
        <f t="shared" si="45"/>
        <v>28.598223104056441</v>
      </c>
      <c r="F299" s="89">
        <f t="shared" si="40"/>
        <v>0.62394502808466135</v>
      </c>
      <c r="G299" s="93">
        <f t="shared" si="41"/>
        <v>0</v>
      </c>
      <c r="H299" s="93">
        <f t="shared" si="42"/>
        <v>0</v>
      </c>
      <c r="I299" s="93">
        <f t="shared" si="43"/>
        <v>0</v>
      </c>
      <c r="J299" s="93">
        <f t="shared" si="44"/>
        <v>0</v>
      </c>
      <c r="K299" s="309">
        <f t="shared" si="37"/>
        <v>0</v>
      </c>
      <c r="L299" s="141">
        <f>K299*D299*'B) D RI'!S301</f>
        <v>0</v>
      </c>
      <c r="M299" s="14">
        <f>(('B) D RI'!S301*C299)-L299)/'B) D RI'!S301</f>
        <v>10409.753209876544</v>
      </c>
      <c r="N299" s="144">
        <f t="shared" si="38"/>
        <v>28.598223104056441</v>
      </c>
      <c r="O299" s="83">
        <f t="shared" si="39"/>
        <v>0.65559733823563882</v>
      </c>
    </row>
    <row r="300" spans="1:15" x14ac:dyDescent="0.25">
      <c r="A300" s="61">
        <f>'A) Base RI'!A302</f>
        <v>5911</v>
      </c>
      <c r="B300" s="62" t="str">
        <f>'A) Base RI'!B302</f>
        <v>Cuarny</v>
      </c>
      <c r="C300" s="13">
        <f>'B) D RI'!U302</f>
        <v>6783.6280246913584</v>
      </c>
      <c r="D300" s="42">
        <f>'B) D RI'!AR302</f>
        <v>216</v>
      </c>
      <c r="E300" s="306">
        <f t="shared" si="45"/>
        <v>31.40568529949703</v>
      </c>
      <c r="F300" s="89">
        <f t="shared" si="40"/>
        <v>0.68519715805116743</v>
      </c>
      <c r="G300" s="93">
        <f t="shared" si="41"/>
        <v>0</v>
      </c>
      <c r="H300" s="93">
        <f t="shared" si="42"/>
        <v>0</v>
      </c>
      <c r="I300" s="93">
        <f t="shared" si="43"/>
        <v>0</v>
      </c>
      <c r="J300" s="93">
        <f t="shared" si="44"/>
        <v>0</v>
      </c>
      <c r="K300" s="309">
        <f t="shared" si="37"/>
        <v>0</v>
      </c>
      <c r="L300" s="141">
        <f>K300*D300*'B) D RI'!S302</f>
        <v>0</v>
      </c>
      <c r="M300" s="14">
        <f>(('B) D RI'!S302*C300)-L300)/'B) D RI'!S302</f>
        <v>6783.6280246913584</v>
      </c>
      <c r="N300" s="144">
        <f t="shared" si="38"/>
        <v>31.40568529949703</v>
      </c>
      <c r="O300" s="83">
        <f t="shared" si="39"/>
        <v>0.71995674741400006</v>
      </c>
    </row>
    <row r="301" spans="1:15" x14ac:dyDescent="0.25">
      <c r="A301" s="61">
        <f>'A) Base RI'!A303</f>
        <v>5912</v>
      </c>
      <c r="B301" s="62" t="str">
        <f>'A) Base RI'!B303</f>
        <v>Démoret</v>
      </c>
      <c r="C301" s="13">
        <f>'B) D RI'!U303</f>
        <v>3146.6025925925924</v>
      </c>
      <c r="D301" s="42">
        <f>'B) D RI'!AR303</f>
        <v>123</v>
      </c>
      <c r="E301" s="306">
        <f t="shared" si="45"/>
        <v>25.582134899126768</v>
      </c>
      <c r="F301" s="89">
        <f t="shared" si="40"/>
        <v>0.55814117611514047</v>
      </c>
      <c r="G301" s="93">
        <f t="shared" si="41"/>
        <v>0</v>
      </c>
      <c r="H301" s="93">
        <f t="shared" si="42"/>
        <v>0</v>
      </c>
      <c r="I301" s="93">
        <f t="shared" si="43"/>
        <v>0</v>
      </c>
      <c r="J301" s="93">
        <f t="shared" si="44"/>
        <v>0</v>
      </c>
      <c r="K301" s="309">
        <f t="shared" si="37"/>
        <v>0</v>
      </c>
      <c r="L301" s="141">
        <f>K301*D301*'B) D RI'!S303</f>
        <v>0</v>
      </c>
      <c r="M301" s="14">
        <f>(('B) D RI'!S303*C301)-L301)/'B) D RI'!S303</f>
        <v>3146.6025925925924</v>
      </c>
      <c r="N301" s="144">
        <f t="shared" si="38"/>
        <v>25.582134899126768</v>
      </c>
      <c r="O301" s="83">
        <f t="shared" si="39"/>
        <v>0.58645530126917678</v>
      </c>
    </row>
    <row r="302" spans="1:15" x14ac:dyDescent="0.25">
      <c r="A302" s="61">
        <f>'A) Base RI'!A304</f>
        <v>5913</v>
      </c>
      <c r="B302" s="62" t="str">
        <f>'A) Base RI'!B304</f>
        <v>Donneloye</v>
      </c>
      <c r="C302" s="13">
        <f>'B) D RI'!U304</f>
        <v>23116.238767123283</v>
      </c>
      <c r="D302" s="42">
        <f>'B) D RI'!AR304</f>
        <v>765</v>
      </c>
      <c r="E302" s="306">
        <f t="shared" si="45"/>
        <v>30.21730557793893</v>
      </c>
      <c r="F302" s="89">
        <f t="shared" si="40"/>
        <v>0.65926954653331626</v>
      </c>
      <c r="G302" s="93">
        <f t="shared" si="41"/>
        <v>0</v>
      </c>
      <c r="H302" s="93">
        <f t="shared" si="42"/>
        <v>0</v>
      </c>
      <c r="I302" s="93">
        <f t="shared" si="43"/>
        <v>0</v>
      </c>
      <c r="J302" s="93">
        <f t="shared" si="44"/>
        <v>0</v>
      </c>
      <c r="K302" s="309">
        <f t="shared" si="37"/>
        <v>0</v>
      </c>
      <c r="L302" s="141">
        <f>K302*D302*'B) D RI'!S304</f>
        <v>0</v>
      </c>
      <c r="M302" s="14">
        <f>(('B) D RI'!S304*C302)-L302)/'B) D RI'!S304</f>
        <v>23116.238767123283</v>
      </c>
      <c r="N302" s="144">
        <f t="shared" si="38"/>
        <v>30.21730557793893</v>
      </c>
      <c r="O302" s="83">
        <f t="shared" si="39"/>
        <v>0.69271384566335981</v>
      </c>
    </row>
    <row r="303" spans="1:15" x14ac:dyDescent="0.25">
      <c r="A303" s="61">
        <f>'A) Base RI'!A305</f>
        <v>5914</v>
      </c>
      <c r="B303" s="62" t="str">
        <f>'A) Base RI'!B305</f>
        <v>Ependes</v>
      </c>
      <c r="C303" s="13">
        <f>'B) D RI'!U305</f>
        <v>8750.2923999999985</v>
      </c>
      <c r="D303" s="42">
        <f>'B) D RI'!AR305</f>
        <v>345</v>
      </c>
      <c r="E303" s="306">
        <f t="shared" si="45"/>
        <v>25.363166376811591</v>
      </c>
      <c r="F303" s="89">
        <f t="shared" si="40"/>
        <v>0.55336380514672456</v>
      </c>
      <c r="G303" s="93">
        <f t="shared" si="41"/>
        <v>0</v>
      </c>
      <c r="H303" s="93">
        <f t="shared" si="42"/>
        <v>0</v>
      </c>
      <c r="I303" s="93">
        <f t="shared" si="43"/>
        <v>0</v>
      </c>
      <c r="J303" s="93">
        <f t="shared" si="44"/>
        <v>0</v>
      </c>
      <c r="K303" s="309">
        <f t="shared" si="37"/>
        <v>0</v>
      </c>
      <c r="L303" s="141">
        <f>K303*D303*'B) D RI'!S305</f>
        <v>0</v>
      </c>
      <c r="M303" s="14">
        <f>(('B) D RI'!S305*C303)-L303)/'B) D RI'!S305</f>
        <v>8750.2923999999985</v>
      </c>
      <c r="N303" s="144">
        <f t="shared" si="38"/>
        <v>25.363166376811591</v>
      </c>
      <c r="O303" s="83">
        <f t="shared" si="39"/>
        <v>0.58143557749595898</v>
      </c>
    </row>
    <row r="304" spans="1:15" x14ac:dyDescent="0.25">
      <c r="A304" s="61">
        <f>'A) Base RI'!A306</f>
        <v>5915</v>
      </c>
      <c r="B304" s="62" t="str">
        <f>'A) Base RI'!B306</f>
        <v>Essert-Pittet</v>
      </c>
      <c r="C304" s="13">
        <f>'B) D RI'!U306</f>
        <v>5181.7059529411763</v>
      </c>
      <c r="D304" s="42">
        <f>'B) D RI'!AR306</f>
        <v>164</v>
      </c>
      <c r="E304" s="306">
        <f t="shared" si="45"/>
        <v>31.595768005738879</v>
      </c>
      <c r="F304" s="89">
        <f t="shared" si="40"/>
        <v>0.6893443093987508</v>
      </c>
      <c r="G304" s="93">
        <f t="shared" si="41"/>
        <v>0</v>
      </c>
      <c r="H304" s="93">
        <f t="shared" si="42"/>
        <v>0</v>
      </c>
      <c r="I304" s="93">
        <f t="shared" si="43"/>
        <v>0</v>
      </c>
      <c r="J304" s="93">
        <f t="shared" si="44"/>
        <v>0</v>
      </c>
      <c r="K304" s="309">
        <f t="shared" si="37"/>
        <v>0</v>
      </c>
      <c r="L304" s="141">
        <f>K304*D304*'B) D RI'!S306</f>
        <v>0</v>
      </c>
      <c r="M304" s="14">
        <f>(('B) D RI'!S306*C304)-L304)/'B) D RI'!S306</f>
        <v>5181.7059529411763</v>
      </c>
      <c r="N304" s="144">
        <f t="shared" si="38"/>
        <v>31.595768005738879</v>
      </c>
      <c r="O304" s="83">
        <f t="shared" si="39"/>
        <v>0.72431428095037942</v>
      </c>
    </row>
    <row r="305" spans="1:15" x14ac:dyDescent="0.25">
      <c r="A305" s="61">
        <f>'A) Base RI'!A307</f>
        <v>5919</v>
      </c>
      <c r="B305" s="62" t="str">
        <f>'A) Base RI'!B307</f>
        <v>Mathod</v>
      </c>
      <c r="C305" s="13">
        <f>'B) D RI'!U307</f>
        <v>16260.723851351351</v>
      </c>
      <c r="D305" s="42">
        <f>'B) D RI'!AR307</f>
        <v>581</v>
      </c>
      <c r="E305" s="306">
        <f t="shared" si="45"/>
        <v>27.987476508350003</v>
      </c>
      <c r="F305" s="89">
        <f t="shared" si="40"/>
        <v>0.6106199938535446</v>
      </c>
      <c r="G305" s="93">
        <f t="shared" si="41"/>
        <v>0</v>
      </c>
      <c r="H305" s="93">
        <f t="shared" si="42"/>
        <v>0</v>
      </c>
      <c r="I305" s="93">
        <f t="shared" si="43"/>
        <v>0</v>
      </c>
      <c r="J305" s="93">
        <f t="shared" si="44"/>
        <v>0</v>
      </c>
      <c r="K305" s="309">
        <f t="shared" si="37"/>
        <v>0</v>
      </c>
      <c r="L305" s="141">
        <f>K305*D305*'B) D RI'!S307</f>
        <v>0</v>
      </c>
      <c r="M305" s="14">
        <f>(('B) D RI'!S307*C305)-L305)/'B) D RI'!S307</f>
        <v>16260.723851351351</v>
      </c>
      <c r="N305" s="144">
        <f t="shared" si="38"/>
        <v>27.987476508350003</v>
      </c>
      <c r="O305" s="83">
        <f t="shared" si="39"/>
        <v>0.64159633401153993</v>
      </c>
    </row>
    <row r="306" spans="1:15" x14ac:dyDescent="0.25">
      <c r="A306" s="61">
        <f>'A) Base RI'!A308</f>
        <v>5921</v>
      </c>
      <c r="B306" s="62" t="str">
        <f>'A) Base RI'!B308</f>
        <v>Molondin</v>
      </c>
      <c r="C306" s="13">
        <f>'B) D RI'!U308</f>
        <v>4932.1140740740739</v>
      </c>
      <c r="D306" s="42">
        <f>'B) D RI'!AR308</f>
        <v>224</v>
      </c>
      <c r="E306" s="306">
        <f t="shared" si="45"/>
        <v>22.018366402116403</v>
      </c>
      <c r="F306" s="89">
        <f t="shared" si="40"/>
        <v>0.48038824626129362</v>
      </c>
      <c r="G306" s="93">
        <f t="shared" si="41"/>
        <v>0</v>
      </c>
      <c r="H306" s="93">
        <f t="shared" si="42"/>
        <v>0</v>
      </c>
      <c r="I306" s="93">
        <f t="shared" si="43"/>
        <v>0</v>
      </c>
      <c r="J306" s="93">
        <f t="shared" si="44"/>
        <v>0</v>
      </c>
      <c r="K306" s="309">
        <f t="shared" si="37"/>
        <v>0</v>
      </c>
      <c r="L306" s="141">
        <f>K306*D306*'B) D RI'!S308</f>
        <v>0</v>
      </c>
      <c r="M306" s="14">
        <f>(('B) D RI'!S308*C306)-L306)/'B) D RI'!S308</f>
        <v>4932.1140740740739</v>
      </c>
      <c r="N306" s="144">
        <f t="shared" si="38"/>
        <v>22.018366402116403</v>
      </c>
      <c r="O306" s="83">
        <f t="shared" si="39"/>
        <v>0.50475801776219487</v>
      </c>
    </row>
    <row r="307" spans="1:15" x14ac:dyDescent="0.25">
      <c r="A307" s="61">
        <f>'A) Base RI'!A309</f>
        <v>5922</v>
      </c>
      <c r="B307" s="62" t="str">
        <f>'A) Base RI'!B309</f>
        <v>Montagny-près-Yverdon</v>
      </c>
      <c r="C307" s="13">
        <f>'B) D RI'!U309</f>
        <v>54274.18045081968</v>
      </c>
      <c r="D307" s="42">
        <f>'B) D RI'!AR309</f>
        <v>713</v>
      </c>
      <c r="E307" s="306">
        <f t="shared" si="45"/>
        <v>76.120870197503052</v>
      </c>
      <c r="F307" s="89">
        <f t="shared" si="40"/>
        <v>1.6607758573109761</v>
      </c>
      <c r="G307" s="93">
        <f t="shared" si="41"/>
        <v>21.119441898259943</v>
      </c>
      <c r="H307" s="93">
        <f t="shared" si="42"/>
        <v>7.3690848234491568</v>
      </c>
      <c r="I307" s="93">
        <f t="shared" si="43"/>
        <v>0</v>
      </c>
      <c r="J307" s="93">
        <f t="shared" si="44"/>
        <v>0</v>
      </c>
      <c r="K307" s="309">
        <f t="shared" si="37"/>
        <v>8.3399075657184945</v>
      </c>
      <c r="L307" s="141">
        <f>K307*D307*'B) D RI'!S309</f>
        <v>362727.59975579445</v>
      </c>
      <c r="M307" s="14">
        <f>(('B) D RI'!S309*C307)-L307)/'B) D RI'!S309</f>
        <v>48327.826356462392</v>
      </c>
      <c r="N307" s="144">
        <f t="shared" si="38"/>
        <v>67.780962631784561</v>
      </c>
      <c r="O307" s="83">
        <f t="shared" si="39"/>
        <v>1.5538384508282337</v>
      </c>
    </row>
    <row r="308" spans="1:15" x14ac:dyDescent="0.25">
      <c r="A308" s="61">
        <f>'A) Base RI'!A310</f>
        <v>5923</v>
      </c>
      <c r="B308" s="62" t="str">
        <f>'A) Base RI'!B310</f>
        <v>Oppens</v>
      </c>
      <c r="C308" s="13">
        <f>'B) D RI'!U310</f>
        <v>4902.1274074074072</v>
      </c>
      <c r="D308" s="42">
        <f>'B) D RI'!AR310</f>
        <v>182</v>
      </c>
      <c r="E308" s="306">
        <f t="shared" si="45"/>
        <v>26.934765974765973</v>
      </c>
      <c r="F308" s="89">
        <f t="shared" si="40"/>
        <v>0.58765236047813607</v>
      </c>
      <c r="G308" s="93">
        <f t="shared" si="41"/>
        <v>0</v>
      </c>
      <c r="H308" s="93">
        <f t="shared" si="42"/>
        <v>0</v>
      </c>
      <c r="I308" s="93">
        <f t="shared" si="43"/>
        <v>0</v>
      </c>
      <c r="J308" s="93">
        <f t="shared" si="44"/>
        <v>0</v>
      </c>
      <c r="K308" s="309">
        <f t="shared" si="37"/>
        <v>0</v>
      </c>
      <c r="L308" s="141">
        <f>K308*D308*'B) D RI'!S310</f>
        <v>0</v>
      </c>
      <c r="M308" s="14">
        <f>(('B) D RI'!S310*C308)-L308)/'B) D RI'!S310</f>
        <v>4902.1274074074072</v>
      </c>
      <c r="N308" s="144">
        <f t="shared" si="38"/>
        <v>26.934765974765973</v>
      </c>
      <c r="O308" s="83">
        <f t="shared" si="39"/>
        <v>0.61746356809670877</v>
      </c>
    </row>
    <row r="309" spans="1:15" x14ac:dyDescent="0.25">
      <c r="A309" s="61">
        <f>'A) Base RI'!A311</f>
        <v>5924</v>
      </c>
      <c r="B309" s="62" t="str">
        <f>'A) Base RI'!B311</f>
        <v>Orges</v>
      </c>
      <c r="C309" s="13">
        <f>'B) D RI'!U311</f>
        <v>9002.8555405405405</v>
      </c>
      <c r="D309" s="42">
        <f>'B) D RI'!AR311</f>
        <v>275</v>
      </c>
      <c r="E309" s="306">
        <f t="shared" si="45"/>
        <v>32.737656511056514</v>
      </c>
      <c r="F309" s="89">
        <f t="shared" si="40"/>
        <v>0.71425759344886741</v>
      </c>
      <c r="G309" s="93">
        <f t="shared" si="41"/>
        <v>0</v>
      </c>
      <c r="H309" s="93">
        <f t="shared" si="42"/>
        <v>0</v>
      </c>
      <c r="I309" s="93">
        <f t="shared" si="43"/>
        <v>0</v>
      </c>
      <c r="J309" s="93">
        <f t="shared" si="44"/>
        <v>0</v>
      </c>
      <c r="K309" s="309">
        <f t="shared" si="37"/>
        <v>0</v>
      </c>
      <c r="L309" s="141">
        <f>K309*D309*'B) D RI'!S311</f>
        <v>0</v>
      </c>
      <c r="M309" s="14">
        <f>(('B) D RI'!S311*C309)-L309)/'B) D RI'!S311</f>
        <v>9002.8555405405405</v>
      </c>
      <c r="N309" s="144">
        <f t="shared" si="38"/>
        <v>32.737656511056514</v>
      </c>
      <c r="O309" s="83">
        <f t="shared" si="39"/>
        <v>0.75049139908545426</v>
      </c>
    </row>
    <row r="310" spans="1:15" x14ac:dyDescent="0.25">
      <c r="A310" s="61">
        <f>'A) Base RI'!A312</f>
        <v>5925</v>
      </c>
      <c r="B310" s="62" t="str">
        <f>'A) Base RI'!B312</f>
        <v>Orzens</v>
      </c>
      <c r="C310" s="13">
        <f>'B) D RI'!U312</f>
        <v>5053.7527848101263</v>
      </c>
      <c r="D310" s="42">
        <f>'B) D RI'!AR312</f>
        <v>211</v>
      </c>
      <c r="E310" s="306">
        <f t="shared" si="45"/>
        <v>23.951434999100126</v>
      </c>
      <c r="F310" s="89">
        <f t="shared" si="40"/>
        <v>0.52256319313285315</v>
      </c>
      <c r="G310" s="93">
        <f t="shared" si="41"/>
        <v>0</v>
      </c>
      <c r="H310" s="93">
        <f t="shared" si="42"/>
        <v>0</v>
      </c>
      <c r="I310" s="93">
        <f t="shared" si="43"/>
        <v>0</v>
      </c>
      <c r="J310" s="93">
        <f t="shared" si="44"/>
        <v>0</v>
      </c>
      <c r="K310" s="309">
        <f t="shared" si="37"/>
        <v>0</v>
      </c>
      <c r="L310" s="141">
        <f>K310*D310*'B) D RI'!S312</f>
        <v>0</v>
      </c>
      <c r="M310" s="14">
        <f>(('B) D RI'!S312*C310)-L310)/'B) D RI'!S312</f>
        <v>5053.7527848101263</v>
      </c>
      <c r="N310" s="144">
        <f t="shared" si="38"/>
        <v>23.951434999100126</v>
      </c>
      <c r="O310" s="83">
        <f t="shared" si="39"/>
        <v>0.54907247122310487</v>
      </c>
    </row>
    <row r="311" spans="1:15" x14ac:dyDescent="0.25">
      <c r="A311" s="61">
        <f>'A) Base RI'!A313</f>
        <v>5926</v>
      </c>
      <c r="B311" s="62" t="str">
        <f>'A) Base RI'!B313</f>
        <v>Pomy</v>
      </c>
      <c r="C311" s="13">
        <f>'B) D RI'!U313</f>
        <v>21029.126197183101</v>
      </c>
      <c r="D311" s="42">
        <f>'B) D RI'!AR313</f>
        <v>730</v>
      </c>
      <c r="E311" s="306">
        <f t="shared" si="45"/>
        <v>28.807022187922055</v>
      </c>
      <c r="F311" s="89">
        <f t="shared" si="40"/>
        <v>0.62850052615783014</v>
      </c>
      <c r="G311" s="93">
        <f t="shared" si="41"/>
        <v>0</v>
      </c>
      <c r="H311" s="93">
        <f t="shared" si="42"/>
        <v>0</v>
      </c>
      <c r="I311" s="93">
        <f t="shared" si="43"/>
        <v>0</v>
      </c>
      <c r="J311" s="93">
        <f t="shared" si="44"/>
        <v>0</v>
      </c>
      <c r="K311" s="309">
        <f t="shared" si="37"/>
        <v>0</v>
      </c>
      <c r="L311" s="141">
        <f>K311*D311*'B) D RI'!S313</f>
        <v>0</v>
      </c>
      <c r="M311" s="14">
        <f>(('B) D RI'!S313*C311)-L311)/'B) D RI'!S313</f>
        <v>21029.126197183101</v>
      </c>
      <c r="N311" s="144">
        <f t="shared" si="38"/>
        <v>28.807022187922055</v>
      </c>
      <c r="O311" s="83">
        <f t="shared" si="39"/>
        <v>0.66038393365138415</v>
      </c>
    </row>
    <row r="312" spans="1:15" x14ac:dyDescent="0.25">
      <c r="A312" s="61">
        <f>'A) Base RI'!A314</f>
        <v>5928</v>
      </c>
      <c r="B312" s="62" t="str">
        <f>'A) Base RI'!B314</f>
        <v>Rovray</v>
      </c>
      <c r="C312" s="13">
        <f>'B) D RI'!U314</f>
        <v>4897.1457333333328</v>
      </c>
      <c r="D312" s="42">
        <f>'B) D RI'!AR314</f>
        <v>176</v>
      </c>
      <c r="E312" s="306">
        <f t="shared" si="45"/>
        <v>27.824691666666663</v>
      </c>
      <c r="F312" s="89">
        <f t="shared" si="40"/>
        <v>0.60706841681163171</v>
      </c>
      <c r="G312" s="93">
        <f t="shared" si="41"/>
        <v>0</v>
      </c>
      <c r="H312" s="93">
        <f t="shared" si="42"/>
        <v>0</v>
      </c>
      <c r="I312" s="93">
        <f t="shared" si="43"/>
        <v>0</v>
      </c>
      <c r="J312" s="93">
        <f t="shared" si="44"/>
        <v>0</v>
      </c>
      <c r="K312" s="309">
        <f t="shared" si="37"/>
        <v>0</v>
      </c>
      <c r="L312" s="141">
        <f>K312*D312*'B) D RI'!S314</f>
        <v>0</v>
      </c>
      <c r="M312" s="14">
        <f>(('B) D RI'!S314*C312)-L312)/'B) D RI'!S314</f>
        <v>4897.1457333333328</v>
      </c>
      <c r="N312" s="144">
        <f t="shared" si="38"/>
        <v>27.824691666666663</v>
      </c>
      <c r="O312" s="83">
        <f t="shared" si="39"/>
        <v>0.63786458786338252</v>
      </c>
    </row>
    <row r="313" spans="1:15" x14ac:dyDescent="0.25">
      <c r="A313" s="61">
        <f>'A) Base RI'!A315</f>
        <v>5929</v>
      </c>
      <c r="B313" s="62" t="str">
        <f>'A) Base RI'!B315</f>
        <v>Suchy</v>
      </c>
      <c r="C313" s="13">
        <f>'B) D RI'!U315</f>
        <v>16083.913284313729</v>
      </c>
      <c r="D313" s="42">
        <f>'B) D RI'!AR315</f>
        <v>542</v>
      </c>
      <c r="E313" s="306">
        <f t="shared" si="45"/>
        <v>29.675116760726436</v>
      </c>
      <c r="F313" s="89">
        <f t="shared" si="40"/>
        <v>0.64744027953473637</v>
      </c>
      <c r="G313" s="93">
        <f t="shared" si="41"/>
        <v>0</v>
      </c>
      <c r="H313" s="93">
        <f t="shared" si="42"/>
        <v>0</v>
      </c>
      <c r="I313" s="93">
        <f t="shared" si="43"/>
        <v>0</v>
      </c>
      <c r="J313" s="93">
        <f t="shared" si="44"/>
        <v>0</v>
      </c>
      <c r="K313" s="309">
        <f t="shared" si="37"/>
        <v>0</v>
      </c>
      <c r="L313" s="141">
        <f>K313*D313*'B) D RI'!S315</f>
        <v>0</v>
      </c>
      <c r="M313" s="14">
        <f>(('B) D RI'!S315*C313)-L313)/'B) D RI'!S315</f>
        <v>16083.913284313729</v>
      </c>
      <c r="N313" s="144">
        <f t="shared" si="38"/>
        <v>29.675116760726436</v>
      </c>
      <c r="O313" s="83">
        <f t="shared" si="39"/>
        <v>0.68028448793395524</v>
      </c>
    </row>
    <row r="314" spans="1:15" x14ac:dyDescent="0.25">
      <c r="A314" s="61">
        <f>'A) Base RI'!A316</f>
        <v>5930</v>
      </c>
      <c r="B314" s="62" t="str">
        <f>'A) Base RI'!B316</f>
        <v>Suscévaz</v>
      </c>
      <c r="C314" s="13">
        <f>'B) D RI'!U316</f>
        <v>5208.083787878787</v>
      </c>
      <c r="D314" s="42">
        <f>'B) D RI'!AR316</f>
        <v>199</v>
      </c>
      <c r="E314" s="306">
        <f t="shared" si="45"/>
        <v>26.171275315973805</v>
      </c>
      <c r="F314" s="89">
        <f t="shared" si="40"/>
        <v>0.57099481504920746</v>
      </c>
      <c r="G314" s="93">
        <f t="shared" si="41"/>
        <v>0</v>
      </c>
      <c r="H314" s="93">
        <f t="shared" si="42"/>
        <v>0</v>
      </c>
      <c r="I314" s="93">
        <f t="shared" si="43"/>
        <v>0</v>
      </c>
      <c r="J314" s="93">
        <f t="shared" si="44"/>
        <v>0</v>
      </c>
      <c r="K314" s="309">
        <f t="shared" si="37"/>
        <v>0</v>
      </c>
      <c r="L314" s="141">
        <f>K314*D314*'B) D RI'!S316</f>
        <v>0</v>
      </c>
      <c r="M314" s="14">
        <f>(('B) D RI'!S316*C314)-L314)/'B) D RI'!S316</f>
        <v>5208.083787878787</v>
      </c>
      <c r="N314" s="144">
        <f t="shared" si="38"/>
        <v>26.171275315973805</v>
      </c>
      <c r="O314" s="83">
        <f t="shared" si="39"/>
        <v>0.59996099663096891</v>
      </c>
    </row>
    <row r="315" spans="1:15" x14ac:dyDescent="0.25">
      <c r="A315" s="61">
        <f>'A) Base RI'!A317</f>
        <v>5931</v>
      </c>
      <c r="B315" s="62" t="str">
        <f>'A) Base RI'!B317</f>
        <v>Treycovagnes</v>
      </c>
      <c r="C315" s="13">
        <f>'B) D RI'!U317</f>
        <v>13922.074155844155</v>
      </c>
      <c r="D315" s="42">
        <f>'B) D RI'!AR317</f>
        <v>462</v>
      </c>
      <c r="E315" s="306">
        <f t="shared" si="45"/>
        <v>30.134359644684316</v>
      </c>
      <c r="F315" s="89">
        <f t="shared" si="40"/>
        <v>0.65745986407627166</v>
      </c>
      <c r="G315" s="93">
        <f t="shared" si="41"/>
        <v>0</v>
      </c>
      <c r="H315" s="93">
        <f t="shared" si="42"/>
        <v>0</v>
      </c>
      <c r="I315" s="93">
        <f t="shared" si="43"/>
        <v>0</v>
      </c>
      <c r="J315" s="93">
        <f t="shared" si="44"/>
        <v>0</v>
      </c>
      <c r="K315" s="309">
        <f t="shared" si="37"/>
        <v>0</v>
      </c>
      <c r="L315" s="141">
        <f>K315*D315*'B) D RI'!S317</f>
        <v>0</v>
      </c>
      <c r="M315" s="14">
        <f>(('B) D RI'!S317*C315)-L315)/'B) D RI'!S317</f>
        <v>13922.074155844155</v>
      </c>
      <c r="N315" s="144">
        <f t="shared" si="38"/>
        <v>30.134359644684316</v>
      </c>
      <c r="O315" s="83">
        <f t="shared" si="39"/>
        <v>0.69081235923669149</v>
      </c>
    </row>
    <row r="316" spans="1:15" x14ac:dyDescent="0.25">
      <c r="A316" s="61">
        <f>'A) Base RI'!A318</f>
        <v>5932</v>
      </c>
      <c r="B316" s="62" t="str">
        <f>'A) Base RI'!B318</f>
        <v>Ursins</v>
      </c>
      <c r="C316" s="13">
        <f>'B) D RI'!U318</f>
        <v>5429.3069230769233</v>
      </c>
      <c r="D316" s="42">
        <f>'B) D RI'!AR318</f>
        <v>207</v>
      </c>
      <c r="E316" s="306">
        <f t="shared" si="45"/>
        <v>26.228535860274992</v>
      </c>
      <c r="F316" s="89">
        <f t="shared" si="40"/>
        <v>0.57224410357290878</v>
      </c>
      <c r="G316" s="93">
        <f t="shared" si="41"/>
        <v>0</v>
      </c>
      <c r="H316" s="93">
        <f t="shared" si="42"/>
        <v>0</v>
      </c>
      <c r="I316" s="93">
        <f t="shared" si="43"/>
        <v>0</v>
      </c>
      <c r="J316" s="93">
        <f t="shared" si="44"/>
        <v>0</v>
      </c>
      <c r="K316" s="309">
        <f t="shared" si="37"/>
        <v>0</v>
      </c>
      <c r="L316" s="141">
        <f>K316*D316*'B) D RI'!S318</f>
        <v>0</v>
      </c>
      <c r="M316" s="14">
        <f>(('B) D RI'!S318*C316)-L316)/'B) D RI'!S318</f>
        <v>5429.3069230769233</v>
      </c>
      <c r="N316" s="144">
        <f t="shared" si="38"/>
        <v>26.228535860274992</v>
      </c>
      <c r="O316" s="83">
        <f t="shared" si="39"/>
        <v>0.60127366071828625</v>
      </c>
    </row>
    <row r="317" spans="1:15" x14ac:dyDescent="0.25">
      <c r="A317" s="61">
        <f>'A) Base RI'!A319</f>
        <v>5933</v>
      </c>
      <c r="B317" s="62" t="str">
        <f>'A) Base RI'!B319</f>
        <v>Valeyres-sous-Montagny</v>
      </c>
      <c r="C317" s="13">
        <f>'B) D RI'!U319</f>
        <v>17165.971111111114</v>
      </c>
      <c r="D317" s="42">
        <f>'B) D RI'!AR319</f>
        <v>661</v>
      </c>
      <c r="E317" s="306">
        <f t="shared" si="45"/>
        <v>25.96969910909397</v>
      </c>
      <c r="F317" s="89">
        <f t="shared" si="40"/>
        <v>0.56659690292700293</v>
      </c>
      <c r="G317" s="93">
        <f t="shared" si="41"/>
        <v>0</v>
      </c>
      <c r="H317" s="93">
        <f t="shared" si="42"/>
        <v>0</v>
      </c>
      <c r="I317" s="93">
        <f t="shared" si="43"/>
        <v>0</v>
      </c>
      <c r="J317" s="93">
        <f t="shared" si="44"/>
        <v>0</v>
      </c>
      <c r="K317" s="309">
        <f t="shared" si="37"/>
        <v>0</v>
      </c>
      <c r="L317" s="141">
        <f>K317*D317*'B) D RI'!S319</f>
        <v>0</v>
      </c>
      <c r="M317" s="14">
        <f>(('B) D RI'!S319*C317)-L317)/'B) D RI'!S319</f>
        <v>17165.971111111114</v>
      </c>
      <c r="N317" s="144">
        <f t="shared" si="38"/>
        <v>25.96969910909397</v>
      </c>
      <c r="O317" s="83">
        <f t="shared" ref="O317:O322" si="46">N317/N$323</f>
        <v>0.5953399813951199</v>
      </c>
    </row>
    <row r="318" spans="1:15" x14ac:dyDescent="0.25">
      <c r="A318" s="61">
        <f>'A) Base RI'!A320</f>
        <v>5934</v>
      </c>
      <c r="B318" s="62" t="str">
        <f>'A) Base RI'!B320</f>
        <v>Valeyres-sous-Ursins</v>
      </c>
      <c r="C318" s="13">
        <f>'B) D RI'!U320</f>
        <v>6602.430506329114</v>
      </c>
      <c r="D318" s="42">
        <f>'B) D RI'!AR320</f>
        <v>245</v>
      </c>
      <c r="E318" s="306">
        <f t="shared" si="45"/>
        <v>26.948695944200466</v>
      </c>
      <c r="F318" s="89">
        <f t="shared" si="40"/>
        <v>0.58795627919149107</v>
      </c>
      <c r="G318" s="93">
        <f t="shared" si="41"/>
        <v>0</v>
      </c>
      <c r="H318" s="93">
        <f t="shared" si="42"/>
        <v>0</v>
      </c>
      <c r="I318" s="93">
        <f t="shared" si="43"/>
        <v>0</v>
      </c>
      <c r="J318" s="93">
        <f t="shared" si="44"/>
        <v>0</v>
      </c>
      <c r="K318" s="309">
        <f t="shared" si="37"/>
        <v>0</v>
      </c>
      <c r="L318" s="141">
        <f>K318*D318*'B) D RI'!S320</f>
        <v>0</v>
      </c>
      <c r="M318" s="14">
        <f>(('B) D RI'!S320*C318)-L318)/'B) D RI'!S320</f>
        <v>6602.430506329114</v>
      </c>
      <c r="N318" s="144">
        <f t="shared" si="38"/>
        <v>26.948695944200466</v>
      </c>
      <c r="O318" s="83">
        <f t="shared" si="46"/>
        <v>0.61778290440126615</v>
      </c>
    </row>
    <row r="319" spans="1:15" x14ac:dyDescent="0.25">
      <c r="A319" s="61">
        <f>'A) Base RI'!A321</f>
        <v>5935</v>
      </c>
      <c r="B319" s="62" t="str">
        <f>'A) Base RI'!B321</f>
        <v>Villars-Epeney</v>
      </c>
      <c r="C319" s="13">
        <f>'B) D RI'!U321</f>
        <v>7512.9308333333338</v>
      </c>
      <c r="D319" s="42">
        <f>'B) D RI'!AR321</f>
        <v>90</v>
      </c>
      <c r="E319" s="306">
        <f t="shared" si="45"/>
        <v>83.477009259259262</v>
      </c>
      <c r="F319" s="89">
        <f t="shared" si="40"/>
        <v>1.8212692689744132</v>
      </c>
      <c r="G319" s="93">
        <f t="shared" si="41"/>
        <v>28.475580960016153</v>
      </c>
      <c r="H319" s="93">
        <f t="shared" si="42"/>
        <v>14.725223885205367</v>
      </c>
      <c r="I319" s="93">
        <f t="shared" si="43"/>
        <v>0</v>
      </c>
      <c r="J319" s="93">
        <f t="shared" si="44"/>
        <v>0</v>
      </c>
      <c r="K319" s="309">
        <f t="shared" si="37"/>
        <v>11.723731534126351</v>
      </c>
      <c r="L319" s="141">
        <f>K319*D319*'B) D RI'!S321</f>
        <v>63308.150284282296</v>
      </c>
      <c r="M319" s="14">
        <f>(('B) D RI'!S321*C319)-L319)/'B) D RI'!S321</f>
        <v>6457.7949952619629</v>
      </c>
      <c r="N319" s="144">
        <f t="shared" si="38"/>
        <v>71.753277725132918</v>
      </c>
      <c r="O319" s="83">
        <f t="shared" si="46"/>
        <v>1.644901423249868</v>
      </c>
    </row>
    <row r="320" spans="1:15" x14ac:dyDescent="0.25">
      <c r="A320" s="61">
        <f>'A) Base RI'!A322</f>
        <v>5937</v>
      </c>
      <c r="B320" s="62" t="str">
        <f>'A) Base RI'!B322</f>
        <v>Vugelles-La Mothe</v>
      </c>
      <c r="C320" s="13">
        <f>'B) D RI'!U322</f>
        <v>2128.9780612244899</v>
      </c>
      <c r="D320" s="42">
        <f>'B) D RI'!AR322</f>
        <v>135</v>
      </c>
      <c r="E320" s="306">
        <f t="shared" si="45"/>
        <v>15.770207860922147</v>
      </c>
      <c r="F320" s="89">
        <f t="shared" si="40"/>
        <v>0.34406832728318432</v>
      </c>
      <c r="G320" s="93">
        <f t="shared" si="41"/>
        <v>0</v>
      </c>
      <c r="H320" s="93">
        <f t="shared" si="42"/>
        <v>0</v>
      </c>
      <c r="I320" s="93">
        <f t="shared" si="43"/>
        <v>0</v>
      </c>
      <c r="J320" s="93">
        <f t="shared" si="44"/>
        <v>0</v>
      </c>
      <c r="K320" s="309">
        <f t="shared" si="37"/>
        <v>0</v>
      </c>
      <c r="L320" s="141">
        <f>K320*D320*'B) D RI'!S322</f>
        <v>0</v>
      </c>
      <c r="M320" s="14">
        <f>(('B) D RI'!S322*C320)-L320)/'B) D RI'!S322</f>
        <v>2128.9780612244899</v>
      </c>
      <c r="N320" s="144">
        <f t="shared" si="38"/>
        <v>15.770207860922147</v>
      </c>
      <c r="O320" s="83">
        <f t="shared" si="46"/>
        <v>0.36152268130172088</v>
      </c>
    </row>
    <row r="321" spans="1:15" x14ac:dyDescent="0.25">
      <c r="A321" s="61">
        <f>'A) Base RI'!A323</f>
        <v>5938</v>
      </c>
      <c r="B321" s="62" t="str">
        <f>'A) Base RI'!B323</f>
        <v>Yverdon-les-Bains</v>
      </c>
      <c r="C321" s="13">
        <f>'B) D RI'!U323</f>
        <v>771340.02758169943</v>
      </c>
      <c r="D321" s="42">
        <f>'B) D RI'!AR323</f>
        <v>29308</v>
      </c>
      <c r="E321" s="306">
        <f t="shared" si="45"/>
        <v>26.318412296359337</v>
      </c>
      <c r="F321" s="89">
        <f t="shared" si="40"/>
        <v>0.57420499307407646</v>
      </c>
      <c r="G321" s="93">
        <f t="shared" si="41"/>
        <v>0</v>
      </c>
      <c r="H321" s="93">
        <f t="shared" si="42"/>
        <v>0</v>
      </c>
      <c r="I321" s="93">
        <f t="shared" si="43"/>
        <v>0</v>
      </c>
      <c r="J321" s="93">
        <f t="shared" si="44"/>
        <v>0</v>
      </c>
      <c r="K321" s="309">
        <f t="shared" si="37"/>
        <v>0</v>
      </c>
      <c r="L321" s="141">
        <f>K321*D321*'B) D RI'!S323</f>
        <v>0</v>
      </c>
      <c r="M321" s="14">
        <f>(('B) D RI'!S323*C321)-L321)/'B) D RI'!S323</f>
        <v>771340.02758169943</v>
      </c>
      <c r="N321" s="144">
        <f t="shared" si="38"/>
        <v>26.318412296359337</v>
      </c>
      <c r="O321" s="83">
        <f t="shared" si="46"/>
        <v>0.6033340248203708</v>
      </c>
    </row>
    <row r="322" spans="1:15" x14ac:dyDescent="0.25">
      <c r="A322" s="63">
        <f>'A) Base RI'!A324</f>
        <v>5939</v>
      </c>
      <c r="B322" s="66" t="str">
        <f>'A) Base RI'!B324</f>
        <v>Yvonand</v>
      </c>
      <c r="C322" s="130">
        <f>'B) D RI'!U324</f>
        <v>88221.551917808203</v>
      </c>
      <c r="D322" s="64">
        <f>'B) D RI'!AR324</f>
        <v>3152</v>
      </c>
      <c r="E322" s="307">
        <f t="shared" si="45"/>
        <v>27.989071039913771</v>
      </c>
      <c r="F322" s="90">
        <f t="shared" si="40"/>
        <v>0.61065478272968265</v>
      </c>
      <c r="G322" s="94">
        <f t="shared" si="41"/>
        <v>0</v>
      </c>
      <c r="H322" s="94">
        <f t="shared" si="42"/>
        <v>0</v>
      </c>
      <c r="I322" s="94">
        <f t="shared" si="43"/>
        <v>0</v>
      </c>
      <c r="J322" s="94">
        <f t="shared" si="44"/>
        <v>0</v>
      </c>
      <c r="K322" s="309">
        <f t="shared" si="37"/>
        <v>0</v>
      </c>
      <c r="L322" s="142">
        <f>K322*D322*'B) D RI'!S324</f>
        <v>0</v>
      </c>
      <c r="M322" s="25">
        <f>(('B) D RI'!S324*C322)-L322)/'B) D RI'!S324</f>
        <v>88221.551917808203</v>
      </c>
      <c r="N322" s="145">
        <f t="shared" si="38"/>
        <v>27.989071039913771</v>
      </c>
      <c r="O322" s="81">
        <f t="shared" si="46"/>
        <v>0.64163288770388416</v>
      </c>
    </row>
    <row r="323" spans="1:15" x14ac:dyDescent="0.25">
      <c r="A323" s="77"/>
      <c r="B323" s="76">
        <f>COUNTA(B5:B322)</f>
        <v>318</v>
      </c>
      <c r="C323" s="64">
        <f>SUM(C5:C322)</f>
        <v>35177813.511629909</v>
      </c>
      <c r="D323" s="64">
        <f>SUM(D5:D322)</f>
        <v>767496</v>
      </c>
      <c r="E323" s="84">
        <f>C323/D323</f>
        <v>45.834523582702595</v>
      </c>
      <c r="F323" s="81">
        <v>1</v>
      </c>
      <c r="G323" s="91"/>
      <c r="H323" s="91"/>
      <c r="I323" s="91"/>
      <c r="J323" s="91"/>
      <c r="K323" s="40"/>
      <c r="L323" s="149">
        <f>SUM(L5:L322)</f>
        <v>97297883.639521435</v>
      </c>
      <c r="M323" s="25">
        <f>SUM(M5:M322)</f>
        <v>33479424.883787204</v>
      </c>
      <c r="N323" s="146">
        <f t="shared" si="38"/>
        <v>43.621627844037235</v>
      </c>
      <c r="O323" s="85">
        <v>1</v>
      </c>
    </row>
    <row r="324" spans="1:15" x14ac:dyDescent="0.25">
      <c r="L324" s="18"/>
      <c r="M324" s="38"/>
    </row>
    <row r="326" spans="1:15" x14ac:dyDescent="0.25">
      <c r="F326" s="20"/>
    </row>
    <row r="327" spans="1:15" x14ac:dyDescent="0.25">
      <c r="F327" s="20"/>
    </row>
    <row r="328" spans="1:15" x14ac:dyDescent="0.25">
      <c r="F328" s="20"/>
      <c r="G328" s="24"/>
    </row>
    <row r="329" spans="1:15" x14ac:dyDescent="0.25">
      <c r="E329" s="38"/>
    </row>
  </sheetData>
  <sheetProtection sheet="1" objects="1" scenarios="1"/>
  <mergeCells count="9">
    <mergeCell ref="A3:A4"/>
    <mergeCell ref="B3:B4"/>
    <mergeCell ref="F3:F4"/>
    <mergeCell ref="C3:E3"/>
    <mergeCell ref="O3:O4"/>
    <mergeCell ref="N3:N4"/>
    <mergeCell ref="M3:M4"/>
    <mergeCell ref="L3:L4"/>
    <mergeCell ref="K3:K4"/>
  </mergeCells>
  <phoneticPr fontId="7"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341"/>
  <sheetViews>
    <sheetView workbookViewId="0"/>
  </sheetViews>
  <sheetFormatPr baseColWidth="10" defaultColWidth="10.75" defaultRowHeight="15" x14ac:dyDescent="0.25"/>
  <cols>
    <col min="1" max="1" width="7.25" style="18" customWidth="1"/>
    <col min="2" max="2" width="18" style="18" customWidth="1"/>
    <col min="3" max="3" width="10.375" style="18" customWidth="1"/>
    <col min="4" max="4" width="12.75" style="18" customWidth="1"/>
    <col min="5" max="5" width="9.125" style="18" bestFit="1" customWidth="1"/>
    <col min="6" max="6" width="15.125" style="18" customWidth="1"/>
    <col min="7" max="7" width="12.125" style="18" customWidth="1"/>
    <col min="8" max="8" width="9.25" style="18" customWidth="1"/>
    <col min="9" max="10" width="12.125" style="18" customWidth="1"/>
    <col min="11" max="12" width="9.25" style="18" customWidth="1"/>
    <col min="13" max="13" width="12.125" style="18" customWidth="1"/>
    <col min="14" max="14" width="14" style="18" customWidth="1"/>
    <col min="15" max="20" width="12.125" style="18" customWidth="1"/>
    <col min="21" max="23" width="8.125" style="18" customWidth="1"/>
    <col min="24" max="31" width="11" style="18" customWidth="1"/>
    <col min="32" max="32" width="9.25" style="18" customWidth="1"/>
    <col min="33" max="33" width="11" style="18" customWidth="1"/>
    <col min="34" max="16384" width="10.75" style="18"/>
  </cols>
  <sheetData>
    <row r="1" spans="1:33" s="54" customFormat="1" ht="20.25" customHeight="1" x14ac:dyDescent="0.25">
      <c r="A1" s="65" t="s">
        <v>118</v>
      </c>
      <c r="B1" s="53"/>
      <c r="C1" s="100"/>
      <c r="D1" s="100"/>
      <c r="E1" s="100"/>
      <c r="F1" s="100"/>
      <c r="G1" s="100"/>
      <c r="H1" s="100"/>
      <c r="I1" s="100"/>
      <c r="J1" s="100"/>
      <c r="K1" s="18"/>
      <c r="L1" s="18"/>
      <c r="M1" s="100"/>
      <c r="N1" s="18"/>
      <c r="O1" s="18"/>
      <c r="P1" s="18"/>
      <c r="Q1" s="18"/>
      <c r="R1" s="18"/>
      <c r="S1" s="18"/>
      <c r="T1" s="18"/>
      <c r="U1" s="18"/>
      <c r="V1" s="18"/>
      <c r="W1" s="18"/>
      <c r="X1" s="18"/>
      <c r="Y1" s="18"/>
      <c r="Z1" s="18"/>
      <c r="AA1" s="18"/>
      <c r="AB1" s="18"/>
      <c r="AC1" s="18"/>
      <c r="AD1" s="18"/>
      <c r="AE1" s="18"/>
      <c r="AF1" s="18"/>
      <c r="AG1" s="18"/>
    </row>
    <row r="2" spans="1:33" s="68" customFormat="1" x14ac:dyDescent="0.25">
      <c r="A2" s="37"/>
      <c r="D2" s="18"/>
      <c r="E2" s="18"/>
      <c r="F2" s="18"/>
      <c r="G2" s="18"/>
      <c r="K2" s="18"/>
      <c r="L2" s="18"/>
      <c r="N2" s="18"/>
      <c r="O2" s="18"/>
      <c r="P2" s="18"/>
      <c r="Q2" s="18"/>
      <c r="R2" s="18"/>
      <c r="S2" s="18"/>
      <c r="T2" s="18"/>
      <c r="U2" s="18"/>
      <c r="V2" s="18"/>
      <c r="W2" s="18"/>
      <c r="X2" s="18"/>
      <c r="Y2" s="18"/>
      <c r="Z2" s="18"/>
      <c r="AA2" s="18"/>
      <c r="AB2" s="18"/>
      <c r="AC2" s="18"/>
      <c r="AD2" s="18"/>
      <c r="AE2" s="18"/>
      <c r="AF2" s="18"/>
      <c r="AG2" s="18"/>
    </row>
    <row r="3" spans="1:33" s="68" customFormat="1" ht="30" x14ac:dyDescent="0.25">
      <c r="A3" s="511" t="s">
        <v>117</v>
      </c>
      <c r="B3" s="512"/>
      <c r="C3" s="513"/>
      <c r="D3" s="86" t="s">
        <v>3</v>
      </c>
      <c r="E3" s="96" t="s">
        <v>2</v>
      </c>
      <c r="F3" s="18"/>
      <c r="G3" s="18"/>
      <c r="K3" s="18"/>
      <c r="L3" s="18"/>
      <c r="N3" s="18"/>
      <c r="O3" s="18"/>
      <c r="P3" s="18"/>
      <c r="Q3" s="18"/>
      <c r="R3" s="18"/>
      <c r="S3" s="18"/>
      <c r="T3" s="18"/>
      <c r="U3" s="18"/>
      <c r="V3" s="18"/>
      <c r="W3" s="18"/>
      <c r="X3" s="18"/>
      <c r="Y3" s="18"/>
      <c r="Z3" s="18"/>
      <c r="AA3" s="18"/>
      <c r="AB3" s="18"/>
      <c r="AC3" s="18"/>
      <c r="AD3" s="18"/>
      <c r="AE3" s="18"/>
      <c r="AF3" s="18"/>
      <c r="AG3" s="18"/>
    </row>
    <row r="4" spans="1:33" s="68" customFormat="1" x14ac:dyDescent="0.25">
      <c r="A4" s="115" t="s">
        <v>452</v>
      </c>
      <c r="B4" s="116"/>
      <c r="C4" s="129">
        <f>+Paramètres!B53</f>
        <v>710289734</v>
      </c>
      <c r="D4" s="127">
        <f>C4/$E$4</f>
        <v>21.215708945584844</v>
      </c>
      <c r="E4" s="132">
        <f>'D) Ecrêtage'!M323</f>
        <v>33479424.883787204</v>
      </c>
      <c r="F4" s="18"/>
      <c r="G4" s="18"/>
      <c r="K4" s="18"/>
      <c r="L4" s="18"/>
      <c r="N4" s="18"/>
      <c r="O4" s="18"/>
      <c r="P4" s="18"/>
      <c r="Q4" s="18"/>
      <c r="R4" s="18"/>
      <c r="S4" s="18"/>
      <c r="T4" s="18"/>
      <c r="U4" s="18"/>
      <c r="V4" s="18"/>
      <c r="W4" s="18"/>
      <c r="X4" s="18"/>
      <c r="Y4" s="18"/>
      <c r="Z4" s="18"/>
      <c r="AA4" s="18"/>
      <c r="AB4" s="18"/>
      <c r="AC4" s="18"/>
      <c r="AD4" s="18"/>
      <c r="AE4" s="18"/>
      <c r="AF4" s="18"/>
      <c r="AG4" s="18"/>
    </row>
    <row r="5" spans="1:33" s="68" customFormat="1" x14ac:dyDescent="0.25">
      <c r="A5" s="117" t="s">
        <v>421</v>
      </c>
      <c r="B5" s="118"/>
      <c r="C5" s="13">
        <f>-'C) Prél. conj.'!H323</f>
        <v>-131886949.97500001</v>
      </c>
      <c r="D5" s="43">
        <f>C5/$E$4</f>
        <v>-3.9393433558910322</v>
      </c>
      <c r="E5" s="108"/>
      <c r="F5" s="18"/>
      <c r="G5" s="18"/>
      <c r="K5" s="18"/>
      <c r="L5" s="18"/>
      <c r="N5" s="18"/>
      <c r="O5" s="18"/>
      <c r="P5" s="18"/>
      <c r="Q5" s="18"/>
      <c r="R5" s="18"/>
      <c r="S5" s="18"/>
      <c r="T5" s="18"/>
      <c r="U5" s="18"/>
      <c r="V5" s="18"/>
      <c r="W5" s="18"/>
      <c r="X5" s="18"/>
      <c r="Y5" s="18"/>
      <c r="Z5" s="18"/>
      <c r="AA5" s="18"/>
      <c r="AB5" s="18"/>
      <c r="AC5" s="18"/>
      <c r="AD5" s="18"/>
      <c r="AE5" s="18"/>
      <c r="AF5" s="18"/>
      <c r="AG5" s="18"/>
    </row>
    <row r="6" spans="1:33" s="68" customFormat="1" x14ac:dyDescent="0.25">
      <c r="A6" s="119" t="s">
        <v>422</v>
      </c>
      <c r="B6" s="120"/>
      <c r="C6" s="130">
        <f>-'D) Ecrêtage'!L323</f>
        <v>-97297883.639521435</v>
      </c>
      <c r="D6" s="43">
        <f>C6/$E$4</f>
        <v>-2.9061993740113214</v>
      </c>
      <c r="E6" s="108"/>
      <c r="F6" s="18"/>
      <c r="G6" s="18"/>
      <c r="K6" s="18"/>
      <c r="L6" s="18"/>
      <c r="N6" s="18"/>
      <c r="O6" s="18"/>
      <c r="P6" s="18"/>
      <c r="Q6" s="18"/>
      <c r="R6" s="18"/>
      <c r="S6" s="18"/>
      <c r="T6" s="18"/>
      <c r="U6" s="18"/>
      <c r="V6" s="18"/>
      <c r="W6" s="18"/>
      <c r="X6" s="18"/>
      <c r="Y6" s="18"/>
      <c r="Z6" s="18"/>
      <c r="AA6" s="18"/>
      <c r="AB6" s="18"/>
      <c r="AC6" s="18"/>
      <c r="AD6" s="18"/>
      <c r="AE6" s="18"/>
      <c r="AF6" s="18"/>
      <c r="AG6" s="18"/>
    </row>
    <row r="7" spans="1:33" s="68" customFormat="1" x14ac:dyDescent="0.25">
      <c r="A7" s="111" t="s">
        <v>333</v>
      </c>
      <c r="B7" s="113"/>
      <c r="C7" s="131">
        <f>C4+C6+C5</f>
        <v>481104900.3854785</v>
      </c>
      <c r="D7" s="26">
        <f>C7/$E$4</f>
        <v>14.370166215682488</v>
      </c>
      <c r="E7" s="108"/>
      <c r="F7" s="18"/>
      <c r="G7" s="18"/>
      <c r="K7" s="18"/>
      <c r="L7" s="18"/>
      <c r="N7" s="18"/>
      <c r="O7" s="18"/>
      <c r="P7" s="18"/>
      <c r="Q7" s="18"/>
      <c r="R7" s="18"/>
      <c r="S7" s="18"/>
      <c r="T7" s="18"/>
      <c r="U7" s="18"/>
      <c r="V7" s="18"/>
      <c r="W7" s="18"/>
      <c r="X7" s="18"/>
      <c r="Y7" s="18"/>
      <c r="Z7" s="18"/>
      <c r="AA7" s="18"/>
      <c r="AB7" s="18"/>
      <c r="AC7" s="18"/>
      <c r="AD7" s="18"/>
      <c r="AE7" s="18"/>
      <c r="AF7" s="18"/>
      <c r="AG7" s="18"/>
    </row>
    <row r="8" spans="1:33" s="68" customFormat="1" x14ac:dyDescent="0.25">
      <c r="A8" s="37"/>
      <c r="D8" s="18"/>
      <c r="E8" s="18"/>
      <c r="F8" s="18"/>
      <c r="G8" s="18"/>
      <c r="K8" s="18"/>
      <c r="L8" s="18"/>
      <c r="N8" s="18"/>
      <c r="O8" s="18"/>
      <c r="P8" s="18"/>
      <c r="Q8" s="18"/>
      <c r="R8" s="18"/>
      <c r="S8" s="18"/>
      <c r="T8" s="18"/>
      <c r="U8" s="18"/>
      <c r="V8" s="18"/>
      <c r="W8" s="18"/>
      <c r="X8" s="18"/>
      <c r="Y8" s="18"/>
      <c r="Z8" s="18"/>
      <c r="AA8" s="18"/>
      <c r="AB8" s="18"/>
      <c r="AC8" s="18"/>
      <c r="AD8" s="18"/>
      <c r="AE8" s="18"/>
      <c r="AF8" s="18"/>
      <c r="AG8" s="18"/>
    </row>
    <row r="9" spans="1:33" ht="38.25" customHeight="1" x14ac:dyDescent="0.25">
      <c r="A9" s="497" t="s">
        <v>51</v>
      </c>
      <c r="B9" s="497" t="s">
        <v>121</v>
      </c>
      <c r="C9" s="497" t="s">
        <v>348</v>
      </c>
      <c r="D9" s="497" t="s">
        <v>495</v>
      </c>
      <c r="E9" s="516" t="s">
        <v>537</v>
      </c>
      <c r="F9" s="86" t="s">
        <v>496</v>
      </c>
      <c r="G9" s="514" t="s">
        <v>451</v>
      </c>
    </row>
    <row r="10" spans="1:33" x14ac:dyDescent="0.25">
      <c r="A10" s="499"/>
      <c r="B10" s="498"/>
      <c r="C10" s="499"/>
      <c r="D10" s="498"/>
      <c r="E10" s="517"/>
      <c r="F10" s="122">
        <f>D7</f>
        <v>14.370166215682488</v>
      </c>
      <c r="G10" s="515"/>
    </row>
    <row r="11" spans="1:33" x14ac:dyDescent="0.25">
      <c r="A11" s="57">
        <f>'A) Base RI'!A7</f>
        <v>5401</v>
      </c>
      <c r="B11" s="123" t="str">
        <f>'A) Base RI'!B7</f>
        <v>Aigle</v>
      </c>
      <c r="C11" s="69">
        <f>'A) Base RI'!AN7</f>
        <v>9757</v>
      </c>
      <c r="D11" s="126">
        <f>'C) Prél. conj.'!H5</f>
        <v>852944.81499999994</v>
      </c>
      <c r="E11" s="102">
        <f>'D) Ecrêtage'!L5</f>
        <v>0</v>
      </c>
      <c r="F11" s="52">
        <f>$F$10*'D) Ecrêtage'!M5</f>
        <v>3748392.4188172002</v>
      </c>
      <c r="G11" s="148">
        <f>D11+F11+E11</f>
        <v>4601337.2338172002</v>
      </c>
    </row>
    <row r="12" spans="1:33" x14ac:dyDescent="0.25">
      <c r="A12" s="61">
        <f>'A) Base RI'!A8</f>
        <v>5402</v>
      </c>
      <c r="B12" s="124" t="str">
        <f>'A) Base RI'!B8</f>
        <v>Bex</v>
      </c>
      <c r="C12" s="14">
        <f>'A) Base RI'!AN8</f>
        <v>7236</v>
      </c>
      <c r="D12" s="41">
        <f>'C) Prél. conj.'!H6</f>
        <v>919051.4</v>
      </c>
      <c r="E12" s="19">
        <f>'D) Ecrêtage'!L6</f>
        <v>0</v>
      </c>
      <c r="F12" s="52">
        <f>$F$10*'D) Ecrêtage'!M6</f>
        <v>2527581.5032334272</v>
      </c>
      <c r="G12" s="75">
        <f t="shared" ref="G12:G67" si="0">D12+F12+E12</f>
        <v>3446632.9032334271</v>
      </c>
    </row>
    <row r="13" spans="1:33" x14ac:dyDescent="0.25">
      <c r="A13" s="61">
        <f>'A) Base RI'!A9</f>
        <v>5403</v>
      </c>
      <c r="B13" s="124" t="str">
        <f>'A) Base RI'!B9</f>
        <v>Chessel</v>
      </c>
      <c r="C13" s="14">
        <f>'A) Base RI'!AN9</f>
        <v>396</v>
      </c>
      <c r="D13" s="41">
        <f>'C) Prél. conj.'!H7</f>
        <v>15229.285</v>
      </c>
      <c r="E13" s="19">
        <f>'D) Ecrêtage'!L7</f>
        <v>0</v>
      </c>
      <c r="F13" s="52">
        <f>$F$10*'D) Ecrêtage'!M7</f>
        <v>119050.76893738272</v>
      </c>
      <c r="G13" s="75">
        <f t="shared" si="0"/>
        <v>134280.05393738271</v>
      </c>
    </row>
    <row r="14" spans="1:33" x14ac:dyDescent="0.25">
      <c r="A14" s="61">
        <f>'A) Base RI'!A10</f>
        <v>5404</v>
      </c>
      <c r="B14" s="124" t="str">
        <f>'A) Base RI'!B10</f>
        <v>Corbeyrier</v>
      </c>
      <c r="C14" s="14">
        <f>'A) Base RI'!AN10</f>
        <v>433</v>
      </c>
      <c r="D14" s="41">
        <f>'C) Prél. conj.'!H8</f>
        <v>47581.440000000002</v>
      </c>
      <c r="E14" s="19">
        <f>'D) Ecrêtage'!L8</f>
        <v>0</v>
      </c>
      <c r="F14" s="52">
        <f>$F$10*'D) Ecrêtage'!M8</f>
        <v>143215.78630826378</v>
      </c>
      <c r="G14" s="75">
        <f t="shared" si="0"/>
        <v>190797.22630826378</v>
      </c>
    </row>
    <row r="15" spans="1:33" x14ac:dyDescent="0.25">
      <c r="A15" s="61">
        <f>'A) Base RI'!A11</f>
        <v>5405</v>
      </c>
      <c r="B15" s="124" t="str">
        <f>'A) Base RI'!B11</f>
        <v>Gryon</v>
      </c>
      <c r="C15" s="14">
        <f>'A) Base RI'!AN11</f>
        <v>1265</v>
      </c>
      <c r="D15" s="41">
        <f>'C) Prél. conj.'!H9</f>
        <v>342353.22499999998</v>
      </c>
      <c r="E15" s="19">
        <f>'D) Ecrêtage'!L9</f>
        <v>70533.010839351322</v>
      </c>
      <c r="F15" s="52">
        <f>$F$10*'D) Ecrêtage'!M9</f>
        <v>1023855.6672385415</v>
      </c>
      <c r="G15" s="75">
        <f t="shared" si="0"/>
        <v>1436741.9030778927</v>
      </c>
    </row>
    <row r="16" spans="1:33" x14ac:dyDescent="0.25">
      <c r="A16" s="61">
        <f>'A) Base RI'!A12</f>
        <v>5406</v>
      </c>
      <c r="B16" s="124" t="str">
        <f>'A) Base RI'!B12</f>
        <v>Lavey-Morcles</v>
      </c>
      <c r="C16" s="14">
        <f>'A) Base RI'!AN12</f>
        <v>907</v>
      </c>
      <c r="D16" s="41">
        <f>'C) Prél. conj.'!H10</f>
        <v>42071.574999999997</v>
      </c>
      <c r="E16" s="19">
        <f>'D) Ecrêtage'!L10</f>
        <v>0</v>
      </c>
      <c r="F16" s="52">
        <f>$F$10*'D) Ecrêtage'!M10</f>
        <v>284981.21629488032</v>
      </c>
      <c r="G16" s="75">
        <f t="shared" si="0"/>
        <v>327052.79129488033</v>
      </c>
    </row>
    <row r="17" spans="1:7" x14ac:dyDescent="0.25">
      <c r="A17" s="61">
        <f>'A) Base RI'!A13</f>
        <v>5407</v>
      </c>
      <c r="B17" s="124" t="str">
        <f>'A) Base RI'!B13</f>
        <v>Leysin</v>
      </c>
      <c r="C17" s="14">
        <f>'A) Base RI'!AN13</f>
        <v>4148</v>
      </c>
      <c r="D17" s="41">
        <f>'C) Prél. conj.'!H11</f>
        <v>392730.85000000003</v>
      </c>
      <c r="E17" s="19">
        <f>'D) Ecrêtage'!L11</f>
        <v>0</v>
      </c>
      <c r="F17" s="52">
        <f>$F$10*'D) Ecrêtage'!M11</f>
        <v>1477240.0230172065</v>
      </c>
      <c r="G17" s="75">
        <f t="shared" si="0"/>
        <v>1869970.8730172066</v>
      </c>
    </row>
    <row r="18" spans="1:7" x14ac:dyDescent="0.25">
      <c r="A18" s="61">
        <f>'A) Base RI'!A14</f>
        <v>5408</v>
      </c>
      <c r="B18" s="124" t="str">
        <f>'A) Base RI'!B14</f>
        <v>Noville</v>
      </c>
      <c r="C18" s="14">
        <f>'A) Base RI'!AN14</f>
        <v>1029</v>
      </c>
      <c r="D18" s="41">
        <f>'C) Prél. conj.'!H12</f>
        <v>142891.69</v>
      </c>
      <c r="E18" s="19">
        <f>'D) Ecrêtage'!L12</f>
        <v>0</v>
      </c>
      <c r="F18" s="52">
        <f>$F$10*'D) Ecrêtage'!M12</f>
        <v>499294.71962365025</v>
      </c>
      <c r="G18" s="75">
        <f t="shared" si="0"/>
        <v>642186.40962365025</v>
      </c>
    </row>
    <row r="19" spans="1:7" x14ac:dyDescent="0.25">
      <c r="A19" s="61">
        <f>'A) Base RI'!A15</f>
        <v>5409</v>
      </c>
      <c r="B19" s="124" t="str">
        <f>'A) Base RI'!B15</f>
        <v>Ollon</v>
      </c>
      <c r="C19" s="14">
        <f>'A) Base RI'!AN15</f>
        <v>7419</v>
      </c>
      <c r="D19" s="41">
        <f>'C) Prél. conj.'!H13</f>
        <v>9540825.2400000002</v>
      </c>
      <c r="E19" s="19">
        <f>'D) Ecrêtage'!L13</f>
        <v>5075004.4192660926</v>
      </c>
      <c r="F19" s="52">
        <f>$F$10*'D) Ecrêtage'!M13</f>
        <v>7441511.5391946426</v>
      </c>
      <c r="G19" s="75">
        <f t="shared" si="0"/>
        <v>22057341.198460735</v>
      </c>
    </row>
    <row r="20" spans="1:7" x14ac:dyDescent="0.25">
      <c r="A20" s="61">
        <f>'A) Base RI'!A16</f>
        <v>5410</v>
      </c>
      <c r="B20" s="124" t="str">
        <f>'A) Base RI'!B16</f>
        <v>Ormont-Dessous</v>
      </c>
      <c r="C20" s="14">
        <f>'A) Base RI'!AN16</f>
        <v>1119</v>
      </c>
      <c r="D20" s="41">
        <f>'C) Prél. conj.'!H14</f>
        <v>163754.90000000002</v>
      </c>
      <c r="E20" s="19">
        <f>'D) Ecrêtage'!L14</f>
        <v>0</v>
      </c>
      <c r="F20" s="52">
        <f>$F$10*'D) Ecrêtage'!M14</f>
        <v>506321.28423807974</v>
      </c>
      <c r="G20" s="75">
        <f t="shared" si="0"/>
        <v>670076.1842380797</v>
      </c>
    </row>
    <row r="21" spans="1:7" x14ac:dyDescent="0.25">
      <c r="A21" s="61">
        <f>'A) Base RI'!A17</f>
        <v>5411</v>
      </c>
      <c r="B21" s="124" t="str">
        <f>'A) Base RI'!B17</f>
        <v>Ormont-Dessus</v>
      </c>
      <c r="C21" s="14">
        <f>'A) Base RI'!AN17</f>
        <v>1481</v>
      </c>
      <c r="D21" s="41">
        <f>'C) Prél. conj.'!H15</f>
        <v>257708.465</v>
      </c>
      <c r="E21" s="19">
        <f>'D) Ecrêtage'!L15</f>
        <v>0</v>
      </c>
      <c r="F21" s="52">
        <f>$F$10*'D) Ecrêtage'!M15</f>
        <v>1031637.3058225507</v>
      </c>
      <c r="G21" s="75">
        <f t="shared" si="0"/>
        <v>1289345.7708225506</v>
      </c>
    </row>
    <row r="22" spans="1:7" x14ac:dyDescent="0.25">
      <c r="A22" s="61">
        <f>'A) Base RI'!A18</f>
        <v>5412</v>
      </c>
      <c r="B22" s="124" t="str">
        <f>'A) Base RI'!B18</f>
        <v>Rennaz</v>
      </c>
      <c r="C22" s="14">
        <f>'A) Base RI'!AN18</f>
        <v>843</v>
      </c>
      <c r="D22" s="41">
        <f>'C) Prél. conj.'!H16</f>
        <v>92034.03</v>
      </c>
      <c r="E22" s="19">
        <f>'D) Ecrêtage'!L16</f>
        <v>0</v>
      </c>
      <c r="F22" s="52">
        <f>$F$10*'D) Ecrêtage'!M16</f>
        <v>380834.40454697417</v>
      </c>
      <c r="G22" s="75">
        <f t="shared" si="0"/>
        <v>472868.43454697414</v>
      </c>
    </row>
    <row r="23" spans="1:7" x14ac:dyDescent="0.25">
      <c r="A23" s="61">
        <f>'A) Base RI'!A19</f>
        <v>5413</v>
      </c>
      <c r="B23" s="124" t="str">
        <f>'A) Base RI'!B19</f>
        <v>Roche</v>
      </c>
      <c r="C23" s="14">
        <f>'A) Base RI'!AN19</f>
        <v>1507</v>
      </c>
      <c r="D23" s="41">
        <f>'C) Prél. conj.'!H17</f>
        <v>170671.66999999998</v>
      </c>
      <c r="E23" s="19">
        <f>'D) Ecrêtage'!L17</f>
        <v>0</v>
      </c>
      <c r="F23" s="52">
        <f>$F$10*'D) Ecrêtage'!M17</f>
        <v>500961.5491273317</v>
      </c>
      <c r="G23" s="75">
        <f t="shared" si="0"/>
        <v>671633.21912733163</v>
      </c>
    </row>
    <row r="24" spans="1:7" x14ac:dyDescent="0.25">
      <c r="A24" s="61">
        <f>'A) Base RI'!A20</f>
        <v>5414</v>
      </c>
      <c r="B24" s="124" t="str">
        <f>'A) Base RI'!B20</f>
        <v>Villeneuve</v>
      </c>
      <c r="C24" s="14">
        <f>'A) Base RI'!AN20</f>
        <v>5428</v>
      </c>
      <c r="D24" s="41">
        <f>'C) Prél. conj.'!H18</f>
        <v>923904.875</v>
      </c>
      <c r="E24" s="19">
        <f>'D) Ecrêtage'!L18</f>
        <v>0</v>
      </c>
      <c r="F24" s="52">
        <f>$F$10*'D) Ecrêtage'!M18</f>
        <v>2414321.8625143189</v>
      </c>
      <c r="G24" s="75">
        <f t="shared" si="0"/>
        <v>3338226.7375143189</v>
      </c>
    </row>
    <row r="25" spans="1:7" x14ac:dyDescent="0.25">
      <c r="A25" s="61">
        <f>'A) Base RI'!A21</f>
        <v>5415</v>
      </c>
      <c r="B25" s="124" t="str">
        <f>'A) Base RI'!B21</f>
        <v>Yvorne</v>
      </c>
      <c r="C25" s="14">
        <f>'A) Base RI'!AN21</f>
        <v>1032</v>
      </c>
      <c r="D25" s="41">
        <f>'C) Prél. conj.'!H19</f>
        <v>76054.240000000005</v>
      </c>
      <c r="E25" s="19">
        <f>'D) Ecrêtage'!L19</f>
        <v>0</v>
      </c>
      <c r="F25" s="52">
        <f>$F$10*'D) Ecrêtage'!M19</f>
        <v>618721.49897221802</v>
      </c>
      <c r="G25" s="75">
        <f t="shared" si="0"/>
        <v>694775.73897221801</v>
      </c>
    </row>
    <row r="26" spans="1:7" x14ac:dyDescent="0.25">
      <c r="A26" s="61">
        <f>'A) Base RI'!A22</f>
        <v>5421</v>
      </c>
      <c r="B26" s="124" t="str">
        <f>'A) Base RI'!B22</f>
        <v>Apples</v>
      </c>
      <c r="C26" s="14">
        <f>'A) Base RI'!AN22</f>
        <v>1363</v>
      </c>
      <c r="D26" s="41">
        <f>'C) Prél. conj.'!H20</f>
        <v>302853.38500000001</v>
      </c>
      <c r="E26" s="19">
        <f>'D) Ecrêtage'!L20</f>
        <v>0</v>
      </c>
      <c r="F26" s="52">
        <f>$F$10*'D) Ecrêtage'!M20</f>
        <v>824728.14493859315</v>
      </c>
      <c r="G26" s="75">
        <f t="shared" si="0"/>
        <v>1127581.529938593</v>
      </c>
    </row>
    <row r="27" spans="1:7" x14ac:dyDescent="0.25">
      <c r="A27" s="61">
        <f>'A) Base RI'!A23</f>
        <v>5422</v>
      </c>
      <c r="B27" s="124" t="str">
        <f>'A) Base RI'!B23</f>
        <v>Aubonne</v>
      </c>
      <c r="C27" s="14">
        <f>'A) Base RI'!AN23</f>
        <v>3227</v>
      </c>
      <c r="D27" s="41">
        <f>'C) Prél. conj.'!H21</f>
        <v>718772.60000000009</v>
      </c>
      <c r="E27" s="19">
        <f>'D) Ecrêtage'!L21</f>
        <v>1389304.9443677347</v>
      </c>
      <c r="F27" s="52">
        <f>$F$10*'D) Ecrêtage'!M21</f>
        <v>3033828.7466644431</v>
      </c>
      <c r="G27" s="75">
        <f t="shared" si="0"/>
        <v>5141906.2910321783</v>
      </c>
    </row>
    <row r="28" spans="1:7" x14ac:dyDescent="0.25">
      <c r="A28" s="61">
        <f>'A) Base RI'!A24</f>
        <v>5423</v>
      </c>
      <c r="B28" s="124" t="str">
        <f>'A) Base RI'!B24</f>
        <v>Ballens</v>
      </c>
      <c r="C28" s="14">
        <f>'A) Base RI'!AN24</f>
        <v>509</v>
      </c>
      <c r="D28" s="41">
        <f>'C) Prél. conj.'!H22</f>
        <v>55469.375</v>
      </c>
      <c r="E28" s="19">
        <f>'D) Ecrêtage'!L22</f>
        <v>0</v>
      </c>
      <c r="F28" s="52">
        <f>$F$10*'D) Ecrêtage'!M22</f>
        <v>283981.38370693545</v>
      </c>
      <c r="G28" s="75">
        <f t="shared" si="0"/>
        <v>339450.75870693545</v>
      </c>
    </row>
    <row r="29" spans="1:7" x14ac:dyDescent="0.25">
      <c r="A29" s="61">
        <f>'A) Base RI'!A25</f>
        <v>5424</v>
      </c>
      <c r="B29" s="124" t="str">
        <f>'A) Base RI'!B25</f>
        <v>Berolle</v>
      </c>
      <c r="C29" s="14">
        <f>'A) Base RI'!AN25</f>
        <v>292</v>
      </c>
      <c r="D29" s="41">
        <f>'C) Prél. conj.'!H23</f>
        <v>25991.55</v>
      </c>
      <c r="E29" s="19">
        <f>'D) Ecrêtage'!L23</f>
        <v>0</v>
      </c>
      <c r="F29" s="52">
        <f>$F$10*'D) Ecrêtage'!M23</f>
        <v>134506.5697789909</v>
      </c>
      <c r="G29" s="75">
        <f t="shared" si="0"/>
        <v>160498.11977899089</v>
      </c>
    </row>
    <row r="30" spans="1:7" x14ac:dyDescent="0.25">
      <c r="A30" s="61">
        <f>'A) Base RI'!A26</f>
        <v>5425</v>
      </c>
      <c r="B30" s="124" t="str">
        <f>'A) Base RI'!B26</f>
        <v>Bière</v>
      </c>
      <c r="C30" s="14">
        <f>'A) Base RI'!AN26</f>
        <v>1550</v>
      </c>
      <c r="D30" s="41">
        <f>'C) Prél. conj.'!H24</f>
        <v>114559.755</v>
      </c>
      <c r="E30" s="19">
        <f>'D) Ecrêtage'!L24</f>
        <v>0</v>
      </c>
      <c r="F30" s="52">
        <f>$F$10*'D) Ecrêtage'!M24</f>
        <v>586121.77456354082</v>
      </c>
      <c r="G30" s="75">
        <f t="shared" si="0"/>
        <v>700681.52956354083</v>
      </c>
    </row>
    <row r="31" spans="1:7" x14ac:dyDescent="0.25">
      <c r="A31" s="61">
        <f>'A) Base RI'!A27</f>
        <v>5426</v>
      </c>
      <c r="B31" s="124" t="str">
        <f>'A) Base RI'!B27</f>
        <v>Bougy-Villars</v>
      </c>
      <c r="C31" s="14">
        <f>'A) Base RI'!AN27</f>
        <v>481</v>
      </c>
      <c r="D31" s="41">
        <f>'C) Prél. conj.'!H25</f>
        <v>123899.59</v>
      </c>
      <c r="E31" s="19">
        <f>'D) Ecrêtage'!L25</f>
        <v>405553.14995108626</v>
      </c>
      <c r="F31" s="52">
        <f>$F$10*'D) Ecrêtage'!M25</f>
        <v>511179.46734700381</v>
      </c>
      <c r="G31" s="75">
        <f t="shared" si="0"/>
        <v>1040632.2072980901</v>
      </c>
    </row>
    <row r="32" spans="1:7" x14ac:dyDescent="0.25">
      <c r="A32" s="61">
        <f>'A) Base RI'!A28</f>
        <v>5427</v>
      </c>
      <c r="B32" s="124" t="str">
        <f>'A) Base RI'!B28</f>
        <v>Féchy</v>
      </c>
      <c r="C32" s="14">
        <f>'A) Base RI'!AN28</f>
        <v>860</v>
      </c>
      <c r="D32" s="41">
        <f>'C) Prél. conj.'!H26</f>
        <v>122443.26999999999</v>
      </c>
      <c r="E32" s="19">
        <f>'D) Ecrêtage'!L26</f>
        <v>426442.2743471461</v>
      </c>
      <c r="F32" s="52">
        <f>$F$10*'D) Ecrêtage'!M26</f>
        <v>829071.1960866669</v>
      </c>
      <c r="G32" s="75">
        <f t="shared" si="0"/>
        <v>1377956.7404338131</v>
      </c>
    </row>
    <row r="33" spans="1:7" x14ac:dyDescent="0.25">
      <c r="A33" s="61">
        <f>'A) Base RI'!A29</f>
        <v>5428</v>
      </c>
      <c r="B33" s="124" t="str">
        <f>'A) Base RI'!B29</f>
        <v>Gimel</v>
      </c>
      <c r="C33" s="14">
        <f>'A) Base RI'!AN29</f>
        <v>1907</v>
      </c>
      <c r="D33" s="41">
        <f>'C) Prél. conj.'!H27</f>
        <v>270178.19500000001</v>
      </c>
      <c r="E33" s="19">
        <f>'D) Ecrêtage'!L27</f>
        <v>0</v>
      </c>
      <c r="F33" s="52">
        <f>$F$10*'D) Ecrêtage'!M27</f>
        <v>826946.35748596978</v>
      </c>
      <c r="G33" s="75">
        <f t="shared" si="0"/>
        <v>1097124.5524859698</v>
      </c>
    </row>
    <row r="34" spans="1:7" x14ac:dyDescent="0.25">
      <c r="A34" s="61">
        <f>'A) Base RI'!A30</f>
        <v>5429</v>
      </c>
      <c r="B34" s="124" t="str">
        <f>'A) Base RI'!B30</f>
        <v>Longirod</v>
      </c>
      <c r="C34" s="14">
        <f>'A) Base RI'!AN30</f>
        <v>463</v>
      </c>
      <c r="D34" s="41">
        <f>'C) Prél. conj.'!H28</f>
        <v>34518.775000000001</v>
      </c>
      <c r="E34" s="19">
        <f>'D) Ecrêtage'!L28</f>
        <v>0</v>
      </c>
      <c r="F34" s="52">
        <f>$F$10*'D) Ecrêtage'!M28</f>
        <v>196082.96886633884</v>
      </c>
      <c r="G34" s="75">
        <f t="shared" si="0"/>
        <v>230601.74386633883</v>
      </c>
    </row>
    <row r="35" spans="1:7" x14ac:dyDescent="0.25">
      <c r="A35" s="61">
        <f>'A) Base RI'!A31</f>
        <v>5430</v>
      </c>
      <c r="B35" s="124" t="str">
        <f>'A) Base RI'!B31</f>
        <v>Marchissy</v>
      </c>
      <c r="C35" s="14">
        <f>'A) Base RI'!AN31</f>
        <v>448</v>
      </c>
      <c r="D35" s="41">
        <f>'C) Prél. conj.'!H29</f>
        <v>97974.395000000004</v>
      </c>
      <c r="E35" s="19">
        <f>'D) Ecrêtage'!L29</f>
        <v>0</v>
      </c>
      <c r="F35" s="52">
        <f>$F$10*'D) Ecrêtage'!M29</f>
        <v>185399.38008855996</v>
      </c>
      <c r="G35" s="75">
        <f t="shared" si="0"/>
        <v>283373.77508855995</v>
      </c>
    </row>
    <row r="36" spans="1:7" x14ac:dyDescent="0.25">
      <c r="A36" s="61">
        <f>'A) Base RI'!A32</f>
        <v>5431</v>
      </c>
      <c r="B36" s="124" t="str">
        <f>'A) Base RI'!B32</f>
        <v>Mollens</v>
      </c>
      <c r="C36" s="14">
        <f>'A) Base RI'!AN32</f>
        <v>294</v>
      </c>
      <c r="D36" s="41">
        <f>'C) Prél. conj.'!H30</f>
        <v>18705.8</v>
      </c>
      <c r="E36" s="19">
        <f>'D) Ecrêtage'!L30</f>
        <v>0</v>
      </c>
      <c r="F36" s="52">
        <f>$F$10*'D) Ecrêtage'!M30</f>
        <v>128833.07255169452</v>
      </c>
      <c r="G36" s="75">
        <f t="shared" si="0"/>
        <v>147538.87255169451</v>
      </c>
    </row>
    <row r="37" spans="1:7" x14ac:dyDescent="0.25">
      <c r="A37" s="61">
        <f>'A) Base RI'!A33</f>
        <v>5432</v>
      </c>
      <c r="B37" s="124" t="str">
        <f>'A) Base RI'!B33</f>
        <v>Montherod</v>
      </c>
      <c r="C37" s="14">
        <f>'A) Base RI'!AN33</f>
        <v>518</v>
      </c>
      <c r="D37" s="41">
        <f>'C) Prél. conj.'!H31</f>
        <v>85552.925000000003</v>
      </c>
      <c r="E37" s="19">
        <f>'D) Ecrêtage'!L31</f>
        <v>0</v>
      </c>
      <c r="F37" s="52">
        <f>$F$10*'D) Ecrêtage'!M31</f>
        <v>272151.89406139002</v>
      </c>
      <c r="G37" s="75">
        <f t="shared" si="0"/>
        <v>357704.81906139001</v>
      </c>
    </row>
    <row r="38" spans="1:7" x14ac:dyDescent="0.25">
      <c r="A38" s="61">
        <f>'A) Base RI'!A34</f>
        <v>5434</v>
      </c>
      <c r="B38" s="124" t="str">
        <f>'A) Base RI'!B34</f>
        <v>Saint-George</v>
      </c>
      <c r="C38" s="14">
        <f>'A) Base RI'!AN34</f>
        <v>949</v>
      </c>
      <c r="D38" s="41">
        <f>'C) Prél. conj.'!H32</f>
        <v>135658.18</v>
      </c>
      <c r="E38" s="19">
        <f>'D) Ecrêtage'!L32</f>
        <v>0</v>
      </c>
      <c r="F38" s="52">
        <f>$F$10*'D) Ecrêtage'!M32</f>
        <v>474442.13305734354</v>
      </c>
      <c r="G38" s="75">
        <f t="shared" si="0"/>
        <v>610100.31305734348</v>
      </c>
    </row>
    <row r="39" spans="1:7" x14ac:dyDescent="0.25">
      <c r="A39" s="61">
        <f>'A) Base RI'!A35</f>
        <v>5435</v>
      </c>
      <c r="B39" s="124" t="str">
        <f>'A) Base RI'!B35</f>
        <v>Saint-Livres</v>
      </c>
      <c r="C39" s="14">
        <f>'A) Base RI'!AN35</f>
        <v>713</v>
      </c>
      <c r="D39" s="41">
        <f>'C) Prél. conj.'!H33</f>
        <v>14867.025</v>
      </c>
      <c r="E39" s="19">
        <f>'D) Ecrêtage'!L33</f>
        <v>0</v>
      </c>
      <c r="F39" s="52">
        <f>$F$10*'D) Ecrêtage'!M33</f>
        <v>349701.66654023313</v>
      </c>
      <c r="G39" s="75">
        <f t="shared" si="0"/>
        <v>364568.69154023315</v>
      </c>
    </row>
    <row r="40" spans="1:7" x14ac:dyDescent="0.25">
      <c r="A40" s="61">
        <f>'A) Base RI'!A36</f>
        <v>5436</v>
      </c>
      <c r="B40" s="124" t="str">
        <f>'A) Base RI'!B36</f>
        <v>Saint-Oyens</v>
      </c>
      <c r="C40" s="14">
        <f>'A) Base RI'!AN36</f>
        <v>345</v>
      </c>
      <c r="D40" s="41">
        <f>'C) Prél. conj.'!H34</f>
        <v>38573.975000000006</v>
      </c>
      <c r="E40" s="19">
        <f>'D) Ecrêtage'!L34</f>
        <v>0</v>
      </c>
      <c r="F40" s="52">
        <f>$F$10*'D) Ecrêtage'!M34</f>
        <v>142807.37566656753</v>
      </c>
      <c r="G40" s="75">
        <f t="shared" si="0"/>
        <v>181381.35066656754</v>
      </c>
    </row>
    <row r="41" spans="1:7" x14ac:dyDescent="0.25">
      <c r="A41" s="61">
        <f>'A) Base RI'!A37</f>
        <v>5437</v>
      </c>
      <c r="B41" s="124" t="str">
        <f>'A) Base RI'!B37</f>
        <v>Saubraz</v>
      </c>
      <c r="C41" s="14">
        <f>'A) Base RI'!AN37</f>
        <v>391</v>
      </c>
      <c r="D41" s="41">
        <f>'C) Prél. conj.'!H35</f>
        <v>124207.075</v>
      </c>
      <c r="E41" s="19">
        <f>'D) Ecrêtage'!L35</f>
        <v>0</v>
      </c>
      <c r="F41" s="52">
        <f>$F$10*'D) Ecrêtage'!M35</f>
        <v>131410.2287828525</v>
      </c>
      <c r="G41" s="75">
        <f t="shared" si="0"/>
        <v>255617.30378285248</v>
      </c>
    </row>
    <row r="42" spans="1:7" x14ac:dyDescent="0.25">
      <c r="A42" s="61">
        <f>'A) Base RI'!A38</f>
        <v>5451</v>
      </c>
      <c r="B42" s="124" t="str">
        <f>'A) Base RI'!B38</f>
        <v>Avenches</v>
      </c>
      <c r="C42" s="14">
        <f>'A) Base RI'!AN38</f>
        <v>4090</v>
      </c>
      <c r="D42" s="41">
        <f>'C) Prél. conj.'!H36</f>
        <v>441809.20999999996</v>
      </c>
      <c r="E42" s="19">
        <f>'D) Ecrêtage'!L36</f>
        <v>0</v>
      </c>
      <c r="F42" s="52">
        <f>$F$10*'D) Ecrêtage'!M36</f>
        <v>1466171.0521761361</v>
      </c>
      <c r="G42" s="75">
        <f t="shared" si="0"/>
        <v>1907980.262176136</v>
      </c>
    </row>
    <row r="43" spans="1:7" x14ac:dyDescent="0.25">
      <c r="A43" s="61">
        <f>'A) Base RI'!A39</f>
        <v>5456</v>
      </c>
      <c r="B43" s="124" t="str">
        <f>'A) Base RI'!B39</f>
        <v>Cudrefin</v>
      </c>
      <c r="C43" s="14">
        <f>'A) Base RI'!AN39</f>
        <v>1516</v>
      </c>
      <c r="D43" s="41">
        <f>'C) Prél. conj.'!H37</f>
        <v>384114.27500000002</v>
      </c>
      <c r="E43" s="19">
        <f>'D) Ecrêtage'!L37</f>
        <v>0</v>
      </c>
      <c r="F43" s="52">
        <f>$F$10*'D) Ecrêtage'!M37</f>
        <v>650571.46482852777</v>
      </c>
      <c r="G43" s="75">
        <f t="shared" si="0"/>
        <v>1034685.7398285278</v>
      </c>
    </row>
    <row r="44" spans="1:7" x14ac:dyDescent="0.25">
      <c r="A44" s="61">
        <f>'A) Base RI'!A40</f>
        <v>5458</v>
      </c>
      <c r="B44" s="124" t="str">
        <f>'A) Base RI'!B40</f>
        <v>Faoug</v>
      </c>
      <c r="C44" s="14">
        <f>'A) Base RI'!AN40</f>
        <v>853</v>
      </c>
      <c r="D44" s="41">
        <f>'C) Prél. conj.'!H38</f>
        <v>90205.45</v>
      </c>
      <c r="E44" s="19">
        <f>'D) Ecrêtage'!L38</f>
        <v>0</v>
      </c>
      <c r="F44" s="52">
        <f>$F$10*'D) Ecrêtage'!M38</f>
        <v>404433.76715720672</v>
      </c>
      <c r="G44" s="75">
        <f t="shared" si="0"/>
        <v>494639.21715720673</v>
      </c>
    </row>
    <row r="45" spans="1:7" x14ac:dyDescent="0.25">
      <c r="A45" s="61">
        <f>'A) Base RI'!A41</f>
        <v>5464</v>
      </c>
      <c r="B45" s="124" t="str">
        <f>'A) Base RI'!B41</f>
        <v>Vully-les-Lacs</v>
      </c>
      <c r="C45" s="14">
        <f>'A) Base RI'!AN41</f>
        <v>2825</v>
      </c>
      <c r="D45" s="41">
        <f>'C) Prél. conj.'!H39</f>
        <v>372380.85</v>
      </c>
      <c r="E45" s="19">
        <f>'D) Ecrêtage'!L39</f>
        <v>0</v>
      </c>
      <c r="F45" s="52">
        <f>$F$10*'D) Ecrêtage'!M39</f>
        <v>1391980.0688102378</v>
      </c>
      <c r="G45" s="75">
        <f t="shared" si="0"/>
        <v>1764360.9188102377</v>
      </c>
    </row>
    <row r="46" spans="1:7" x14ac:dyDescent="0.25">
      <c r="A46" s="61">
        <f>'A) Base RI'!A42</f>
        <v>5471</v>
      </c>
      <c r="B46" s="124" t="str">
        <f>'A) Base RI'!B42</f>
        <v>Bettens</v>
      </c>
      <c r="C46" s="14">
        <f>'A) Base RI'!AN42</f>
        <v>557</v>
      </c>
      <c r="D46" s="41">
        <f>'C) Prél. conj.'!H40</f>
        <v>63631.244999999995</v>
      </c>
      <c r="E46" s="19">
        <f>'D) Ecrêtage'!L40</f>
        <v>0</v>
      </c>
      <c r="F46" s="52">
        <f>$F$10*'D) Ecrêtage'!M40</f>
        <v>261080.87385162842</v>
      </c>
      <c r="G46" s="75">
        <f t="shared" si="0"/>
        <v>324712.11885162839</v>
      </c>
    </row>
    <row r="47" spans="1:7" x14ac:dyDescent="0.25">
      <c r="A47" s="61">
        <f>'A) Base RI'!A43</f>
        <v>5472</v>
      </c>
      <c r="B47" s="124" t="str">
        <f>'A) Base RI'!B43</f>
        <v>Bournens</v>
      </c>
      <c r="C47" s="14">
        <f>'A) Base RI'!AN43</f>
        <v>373</v>
      </c>
      <c r="D47" s="41">
        <f>'C) Prél. conj.'!H41</f>
        <v>50950.8</v>
      </c>
      <c r="E47" s="19">
        <f>'D) Ecrêtage'!L41</f>
        <v>0</v>
      </c>
      <c r="F47" s="52">
        <f>$F$10*'D) Ecrêtage'!M41</f>
        <v>189881.88517426324</v>
      </c>
      <c r="G47" s="75">
        <f t="shared" si="0"/>
        <v>240832.68517426326</v>
      </c>
    </row>
    <row r="48" spans="1:7" x14ac:dyDescent="0.25">
      <c r="A48" s="61">
        <f>'A) Base RI'!A44</f>
        <v>5473</v>
      </c>
      <c r="B48" s="124" t="str">
        <f>'A) Base RI'!B44</f>
        <v>Boussens</v>
      </c>
      <c r="C48" s="14">
        <f>'A) Base RI'!AN44</f>
        <v>958</v>
      </c>
      <c r="D48" s="41">
        <f>'C) Prél. conj.'!H42</f>
        <v>19782.675000000003</v>
      </c>
      <c r="E48" s="19">
        <f>'D) Ecrêtage'!L42</f>
        <v>0</v>
      </c>
      <c r="F48" s="52">
        <f>$F$10*'D) Ecrêtage'!M42</f>
        <v>474326.86223622493</v>
      </c>
      <c r="G48" s="75">
        <f t="shared" si="0"/>
        <v>494109.53723622492</v>
      </c>
    </row>
    <row r="49" spans="1:7" x14ac:dyDescent="0.25">
      <c r="A49" s="61">
        <f>'A) Base RI'!A45</f>
        <v>5474</v>
      </c>
      <c r="B49" s="124" t="str">
        <f>'A) Base RI'!B45</f>
        <v>La Chaux (Cossonay)</v>
      </c>
      <c r="C49" s="14">
        <f>'A) Base RI'!AN45</f>
        <v>421</v>
      </c>
      <c r="D49" s="41">
        <f>'C) Prél. conj.'!H43</f>
        <v>-7381.35</v>
      </c>
      <c r="E49" s="19">
        <f>'D) Ecrêtage'!L43</f>
        <v>0</v>
      </c>
      <c r="F49" s="52">
        <f>$F$10*'D) Ecrêtage'!M43</f>
        <v>182363.85127944569</v>
      </c>
      <c r="G49" s="75">
        <f t="shared" si="0"/>
        <v>174982.50127944569</v>
      </c>
    </row>
    <row r="50" spans="1:7" x14ac:dyDescent="0.25">
      <c r="A50" s="61">
        <f>'A) Base RI'!A46</f>
        <v>5475</v>
      </c>
      <c r="B50" s="124" t="str">
        <f>'A) Base RI'!B46</f>
        <v>Chavannes-le-Veyron</v>
      </c>
      <c r="C50" s="14">
        <f>'A) Base RI'!AN46</f>
        <v>120</v>
      </c>
      <c r="D50" s="41">
        <f>'C) Prél. conj.'!H44</f>
        <v>1824.625</v>
      </c>
      <c r="E50" s="19">
        <f>'D) Ecrêtage'!L44</f>
        <v>0</v>
      </c>
      <c r="F50" s="52">
        <f>$F$10*'D) Ecrêtage'!M44</f>
        <v>39520.17793699653</v>
      </c>
      <c r="G50" s="75">
        <f t="shared" si="0"/>
        <v>41344.80293699653</v>
      </c>
    </row>
    <row r="51" spans="1:7" x14ac:dyDescent="0.25">
      <c r="A51" s="61">
        <f>'A) Base RI'!A47</f>
        <v>5476</v>
      </c>
      <c r="B51" s="124" t="str">
        <f>'A) Base RI'!B47</f>
        <v>Chevilly</v>
      </c>
      <c r="C51" s="14">
        <f>'A) Base RI'!AN47</f>
        <v>286</v>
      </c>
      <c r="D51" s="41">
        <f>'C) Prél. conj.'!H45</f>
        <v>38545.94</v>
      </c>
      <c r="E51" s="19">
        <f>'D) Ecrêtage'!L45</f>
        <v>0</v>
      </c>
      <c r="F51" s="52">
        <f>$F$10*'D) Ecrêtage'!M45</f>
        <v>113346.3813174262</v>
      </c>
      <c r="G51" s="75">
        <f t="shared" si="0"/>
        <v>151892.32131742622</v>
      </c>
    </row>
    <row r="52" spans="1:7" x14ac:dyDescent="0.25">
      <c r="A52" s="61">
        <f>'A) Base RI'!A48</f>
        <v>5477</v>
      </c>
      <c r="B52" s="124" t="str">
        <f>'A) Base RI'!B48</f>
        <v>Cossonay</v>
      </c>
      <c r="C52" s="14">
        <f>'A) Base RI'!AN48</f>
        <v>3642</v>
      </c>
      <c r="D52" s="41">
        <f>'C) Prél. conj.'!H46</f>
        <v>387292.57499999995</v>
      </c>
      <c r="E52" s="19">
        <f>'D) Ecrêtage'!L46</f>
        <v>0</v>
      </c>
      <c r="F52" s="52">
        <f>$F$10*'D) Ecrêtage'!M46</f>
        <v>1732894.6446163189</v>
      </c>
      <c r="G52" s="75">
        <f t="shared" si="0"/>
        <v>2120187.2196163191</v>
      </c>
    </row>
    <row r="53" spans="1:7" x14ac:dyDescent="0.25">
      <c r="A53" s="61">
        <f>'A) Base RI'!A49</f>
        <v>5478</v>
      </c>
      <c r="B53" s="124" t="str">
        <f>'A) Base RI'!B49</f>
        <v>Cottens</v>
      </c>
      <c r="C53" s="14">
        <f>'A) Base RI'!AN49</f>
        <v>473</v>
      </c>
      <c r="D53" s="41">
        <f>'C) Prél. conj.'!H47</f>
        <v>13736.424999999999</v>
      </c>
      <c r="E53" s="19">
        <f>'D) Ecrêtage'!L47</f>
        <v>0</v>
      </c>
      <c r="F53" s="52">
        <f>$F$10*'D) Ecrêtage'!M47</f>
        <v>222223.60539395406</v>
      </c>
      <c r="G53" s="75">
        <f t="shared" si="0"/>
        <v>235960.03039395405</v>
      </c>
    </row>
    <row r="54" spans="1:7" x14ac:dyDescent="0.25">
      <c r="A54" s="61">
        <f>'A) Base RI'!A50</f>
        <v>5479</v>
      </c>
      <c r="B54" s="124" t="str">
        <f>'A) Base RI'!B50</f>
        <v>Cuarnens</v>
      </c>
      <c r="C54" s="14">
        <f>'A) Base RI'!AN50</f>
        <v>439</v>
      </c>
      <c r="D54" s="41">
        <f>'C) Prél. conj.'!H48</f>
        <v>8034.2150000000011</v>
      </c>
      <c r="E54" s="19">
        <f>'D) Ecrêtage'!L48</f>
        <v>0</v>
      </c>
      <c r="F54" s="52">
        <f>$F$10*'D) Ecrêtage'!M48</f>
        <v>169647.35744652266</v>
      </c>
      <c r="G54" s="75">
        <f t="shared" si="0"/>
        <v>177681.57244652265</v>
      </c>
    </row>
    <row r="55" spans="1:7" x14ac:dyDescent="0.25">
      <c r="A55" s="61">
        <f>'A) Base RI'!A51</f>
        <v>5480</v>
      </c>
      <c r="B55" s="124" t="str">
        <f>'A) Base RI'!B51</f>
        <v>Daillens</v>
      </c>
      <c r="C55" s="14">
        <f>'A) Base RI'!AN51</f>
        <v>940</v>
      </c>
      <c r="D55" s="41">
        <f>'C) Prél. conj.'!H49</f>
        <v>175577.69</v>
      </c>
      <c r="E55" s="19">
        <f>'D) Ecrêtage'!L49</f>
        <v>0</v>
      </c>
      <c r="F55" s="52">
        <f>$F$10*'D) Ecrêtage'!M49</f>
        <v>605183.02043438575</v>
      </c>
      <c r="G55" s="75">
        <f t="shared" si="0"/>
        <v>780760.71043438581</v>
      </c>
    </row>
    <row r="56" spans="1:7" x14ac:dyDescent="0.25">
      <c r="A56" s="61">
        <f>'A) Base RI'!A52</f>
        <v>5481</v>
      </c>
      <c r="B56" s="124" t="str">
        <f>'A) Base RI'!B52</f>
        <v>Dizy</v>
      </c>
      <c r="C56" s="14">
        <f>'A) Base RI'!AN52</f>
        <v>221</v>
      </c>
      <c r="D56" s="41">
        <f>'C) Prél. conj.'!H50</f>
        <v>11856.7</v>
      </c>
      <c r="E56" s="19">
        <f>'D) Ecrêtage'!L50</f>
        <v>0</v>
      </c>
      <c r="F56" s="52">
        <f>$F$10*'D) Ecrêtage'!M50</f>
        <v>118424.47375835136</v>
      </c>
      <c r="G56" s="75">
        <f t="shared" si="0"/>
        <v>130281.17375835136</v>
      </c>
    </row>
    <row r="57" spans="1:7" x14ac:dyDescent="0.25">
      <c r="A57" s="61">
        <f>'A) Base RI'!A53</f>
        <v>5482</v>
      </c>
      <c r="B57" s="124" t="str">
        <f>'A) Base RI'!B53</f>
        <v>Eclépens</v>
      </c>
      <c r="C57" s="14">
        <f>'A) Base RI'!AN53</f>
        <v>1039</v>
      </c>
      <c r="D57" s="41">
        <f>'C) Prél. conj.'!H51</f>
        <v>131744.06</v>
      </c>
      <c r="E57" s="19">
        <f>'D) Ecrêtage'!L51</f>
        <v>122634.15331175098</v>
      </c>
      <c r="F57" s="52">
        <f>$F$10*'D) Ecrêtage'!M51</f>
        <v>889311.64929257252</v>
      </c>
      <c r="G57" s="75">
        <f t="shared" si="0"/>
        <v>1143689.8626043235</v>
      </c>
    </row>
    <row r="58" spans="1:7" x14ac:dyDescent="0.25">
      <c r="A58" s="61">
        <f>'A) Base RI'!A54</f>
        <v>5483</v>
      </c>
      <c r="B58" s="124" t="str">
        <f>'A) Base RI'!B54</f>
        <v>Ferreyres</v>
      </c>
      <c r="C58" s="14">
        <f>'A) Base RI'!AN54</f>
        <v>313</v>
      </c>
      <c r="D58" s="41">
        <f>'C) Prél. conj.'!H52</f>
        <v>13325.484999999999</v>
      </c>
      <c r="E58" s="19">
        <f>'D) Ecrêtage'!L52</f>
        <v>0</v>
      </c>
      <c r="F58" s="52">
        <f>$F$10*'D) Ecrêtage'!M52</f>
        <v>130733.41910416285</v>
      </c>
      <c r="G58" s="75">
        <f t="shared" si="0"/>
        <v>144058.90410416285</v>
      </c>
    </row>
    <row r="59" spans="1:7" x14ac:dyDescent="0.25">
      <c r="A59" s="61">
        <f>'A) Base RI'!A55</f>
        <v>5484</v>
      </c>
      <c r="B59" s="124" t="str">
        <f>'A) Base RI'!B55</f>
        <v>Gollion</v>
      </c>
      <c r="C59" s="14">
        <f>'A) Base RI'!AN55</f>
        <v>857</v>
      </c>
      <c r="D59" s="41">
        <f>'C) Prél. conj.'!H53</f>
        <v>122796.68999999999</v>
      </c>
      <c r="E59" s="19">
        <f>'D) Ecrêtage'!L53</f>
        <v>0</v>
      </c>
      <c r="F59" s="52">
        <f>$F$10*'D) Ecrêtage'!M53</f>
        <v>332856.26297531417</v>
      </c>
      <c r="G59" s="75">
        <f t="shared" si="0"/>
        <v>455652.95297531417</v>
      </c>
    </row>
    <row r="60" spans="1:7" x14ac:dyDescent="0.25">
      <c r="A60" s="61">
        <f>'A) Base RI'!A56</f>
        <v>5485</v>
      </c>
      <c r="B60" s="124" t="str">
        <f>'A) Base RI'!B56</f>
        <v>Grancy</v>
      </c>
      <c r="C60" s="14">
        <f>'A) Base RI'!AN56</f>
        <v>396</v>
      </c>
      <c r="D60" s="41">
        <f>'C) Prél. conj.'!H54</f>
        <v>32048.544999999998</v>
      </c>
      <c r="E60" s="19">
        <f>'D) Ecrêtage'!L54</f>
        <v>0</v>
      </c>
      <c r="F60" s="52">
        <f>$F$10*'D) Ecrêtage'!M54</f>
        <v>248580.2489251676</v>
      </c>
      <c r="G60" s="75">
        <f t="shared" si="0"/>
        <v>280628.79392516759</v>
      </c>
    </row>
    <row r="61" spans="1:7" x14ac:dyDescent="0.25">
      <c r="A61" s="61">
        <f>'A) Base RI'!A57</f>
        <v>5486</v>
      </c>
      <c r="B61" s="124" t="str">
        <f>'A) Base RI'!B57</f>
        <v>L'Isle</v>
      </c>
      <c r="C61" s="14">
        <f>'A) Base RI'!AN57</f>
        <v>1032</v>
      </c>
      <c r="D61" s="41">
        <f>'C) Prél. conj.'!H55</f>
        <v>267646.755</v>
      </c>
      <c r="E61" s="19">
        <f>'D) Ecrêtage'!L55</f>
        <v>0</v>
      </c>
      <c r="F61" s="52">
        <f>$F$10*'D) Ecrêtage'!M55</f>
        <v>391047.36723917455</v>
      </c>
      <c r="G61" s="75">
        <f t="shared" si="0"/>
        <v>658694.12223917455</v>
      </c>
    </row>
    <row r="62" spans="1:7" x14ac:dyDescent="0.25">
      <c r="A62" s="61">
        <f>'A) Base RI'!A58</f>
        <v>5487</v>
      </c>
      <c r="B62" s="124" t="str">
        <f>'A) Base RI'!B58</f>
        <v>Lussery-Villars</v>
      </c>
      <c r="C62" s="14">
        <f>'A) Base RI'!AN58</f>
        <v>423</v>
      </c>
      <c r="D62" s="41">
        <f>'C) Prél. conj.'!H56</f>
        <v>23509.85</v>
      </c>
      <c r="E62" s="19">
        <f>'D) Ecrêtage'!L56</f>
        <v>0</v>
      </c>
      <c r="F62" s="52">
        <f>$F$10*'D) Ecrêtage'!M56</f>
        <v>170612.66608915426</v>
      </c>
      <c r="G62" s="75">
        <f t="shared" si="0"/>
        <v>194122.51608915426</v>
      </c>
    </row>
    <row r="63" spans="1:7" x14ac:dyDescent="0.25">
      <c r="A63" s="61">
        <f>'A) Base RI'!A59</f>
        <v>5488</v>
      </c>
      <c r="B63" s="124" t="str">
        <f>'A) Base RI'!B59</f>
        <v>Mauraz</v>
      </c>
      <c r="C63" s="14">
        <f>'A) Base RI'!AN59</f>
        <v>49</v>
      </c>
      <c r="D63" s="41">
        <f>'C) Prél. conj.'!H57</f>
        <v>0</v>
      </c>
      <c r="E63" s="19">
        <f>'D) Ecrêtage'!L57</f>
        <v>0</v>
      </c>
      <c r="F63" s="52">
        <f>$F$10*'D) Ecrêtage'!M57</f>
        <v>20370.077632542732</v>
      </c>
      <c r="G63" s="75">
        <f t="shared" si="0"/>
        <v>20370.077632542732</v>
      </c>
    </row>
    <row r="64" spans="1:7" x14ac:dyDescent="0.25">
      <c r="A64" s="61">
        <f>'A) Base RI'!A60</f>
        <v>5489</v>
      </c>
      <c r="B64" s="124" t="str">
        <f>'A) Base RI'!B60</f>
        <v>Mex</v>
      </c>
      <c r="C64" s="14">
        <f>'A) Base RI'!AN60</f>
        <v>678</v>
      </c>
      <c r="D64" s="41">
        <f>'C) Prél. conj.'!H58</f>
        <v>69865.66</v>
      </c>
      <c r="E64" s="19">
        <f>'D) Ecrêtage'!L58</f>
        <v>0</v>
      </c>
      <c r="F64" s="52">
        <f>$F$10*'D) Ecrêtage'!M58</f>
        <v>533439.0438348985</v>
      </c>
      <c r="G64" s="75">
        <f t="shared" si="0"/>
        <v>603304.70383489854</v>
      </c>
    </row>
    <row r="65" spans="1:7" x14ac:dyDescent="0.25">
      <c r="A65" s="61">
        <f>'A) Base RI'!A61</f>
        <v>5490</v>
      </c>
      <c r="B65" s="124" t="str">
        <f>'A) Base RI'!B61</f>
        <v>Moiry</v>
      </c>
      <c r="C65" s="14">
        <f>'A) Base RI'!AN61</f>
        <v>290</v>
      </c>
      <c r="D65" s="41">
        <f>'C) Prél. conj.'!H59</f>
        <v>25783.550000000003</v>
      </c>
      <c r="E65" s="19">
        <f>'D) Ecrêtage'!L59</f>
        <v>0</v>
      </c>
      <c r="F65" s="52">
        <f>$F$10*'D) Ecrêtage'!M59</f>
        <v>105214.43450807867</v>
      </c>
      <c r="G65" s="75">
        <f t="shared" si="0"/>
        <v>130997.98450807868</v>
      </c>
    </row>
    <row r="66" spans="1:7" x14ac:dyDescent="0.25">
      <c r="A66" s="61">
        <f>'A) Base RI'!A62</f>
        <v>5491</v>
      </c>
      <c r="B66" s="124" t="str">
        <f>'A) Base RI'!B62</f>
        <v>Mont-la-Ville</v>
      </c>
      <c r="C66" s="14">
        <f>'A) Base RI'!AN62</f>
        <v>382</v>
      </c>
      <c r="D66" s="41">
        <f>'C) Prél. conj.'!H60</f>
        <v>38617.474999999999</v>
      </c>
      <c r="E66" s="19">
        <f>'D) Ecrêtage'!L60</f>
        <v>0</v>
      </c>
      <c r="F66" s="52">
        <f>$F$10*'D) Ecrêtage'!M60</f>
        <v>123578.84423735982</v>
      </c>
      <c r="G66" s="75">
        <f t="shared" si="0"/>
        <v>162196.31923735983</v>
      </c>
    </row>
    <row r="67" spans="1:7" x14ac:dyDescent="0.25">
      <c r="A67" s="61">
        <f>'A) Base RI'!A63</f>
        <v>5492</v>
      </c>
      <c r="B67" s="124" t="str">
        <f>'A) Base RI'!B63</f>
        <v>Montricher</v>
      </c>
      <c r="C67" s="14">
        <f>'A) Base RI'!AN63</f>
        <v>961</v>
      </c>
      <c r="D67" s="41">
        <f>'C) Prél. conj.'!H61</f>
        <v>62904.030000000006</v>
      </c>
      <c r="E67" s="19">
        <f>'D) Ecrêtage'!L61</f>
        <v>4849804.4666181542</v>
      </c>
      <c r="F67" s="52">
        <f>$F$10*'D) Ecrêtage'!M61</f>
        <v>1598646.4926284053</v>
      </c>
      <c r="G67" s="75">
        <f t="shared" si="0"/>
        <v>6511354.9892465593</v>
      </c>
    </row>
    <row r="68" spans="1:7" x14ac:dyDescent="0.25">
      <c r="A68" s="61">
        <f>'A) Base RI'!A64</f>
        <v>5493</v>
      </c>
      <c r="B68" s="124" t="str">
        <f>'A) Base RI'!B64</f>
        <v>Orny</v>
      </c>
      <c r="C68" s="14">
        <f>'A) Base RI'!AN64</f>
        <v>375</v>
      </c>
      <c r="D68" s="41">
        <f>'C) Prél. conj.'!H62</f>
        <v>26914.04</v>
      </c>
      <c r="E68" s="19">
        <f>'D) Ecrêtage'!L62</f>
        <v>0</v>
      </c>
      <c r="F68" s="52">
        <f>$F$10*'D) Ecrêtage'!M62</f>
        <v>152529.61126165156</v>
      </c>
      <c r="G68" s="75">
        <f t="shared" ref="G68:G122" si="1">D68+F68+E68</f>
        <v>179443.65126165157</v>
      </c>
    </row>
    <row r="69" spans="1:7" x14ac:dyDescent="0.25">
      <c r="A69" s="61">
        <f>'A) Base RI'!A65</f>
        <v>5494</v>
      </c>
      <c r="B69" s="124" t="str">
        <f>'A) Base RI'!B65</f>
        <v>Pampigny</v>
      </c>
      <c r="C69" s="14">
        <f>'A) Base RI'!AN65</f>
        <v>1124</v>
      </c>
      <c r="D69" s="41">
        <f>'C) Prél. conj.'!H63</f>
        <v>85028.24</v>
      </c>
      <c r="E69" s="19">
        <f>'D) Ecrêtage'!L63</f>
        <v>0</v>
      </c>
      <c r="F69" s="52">
        <f>$F$10*'D) Ecrêtage'!M63</f>
        <v>488328.30419235193</v>
      </c>
      <c r="G69" s="75">
        <f t="shared" si="1"/>
        <v>573356.54419235198</v>
      </c>
    </row>
    <row r="70" spans="1:7" x14ac:dyDescent="0.25">
      <c r="A70" s="61">
        <f>'A) Base RI'!A66</f>
        <v>5495</v>
      </c>
      <c r="B70" s="124" t="str">
        <f>'A) Base RI'!B66</f>
        <v>Penthalaz</v>
      </c>
      <c r="C70" s="14">
        <f>'A) Base RI'!AN66</f>
        <v>3241</v>
      </c>
      <c r="D70" s="41">
        <f>'C) Prél. conj.'!H64</f>
        <v>227218.715</v>
      </c>
      <c r="E70" s="19">
        <f>'D) Ecrêtage'!L64</f>
        <v>0</v>
      </c>
      <c r="F70" s="52">
        <f>$F$10*'D) Ecrêtage'!M64</f>
        <v>1381868.5415047922</v>
      </c>
      <c r="G70" s="75">
        <f t="shared" si="1"/>
        <v>1609087.2565047923</v>
      </c>
    </row>
    <row r="71" spans="1:7" x14ac:dyDescent="0.25">
      <c r="A71" s="61">
        <f>'A) Base RI'!A67</f>
        <v>5496</v>
      </c>
      <c r="B71" s="124" t="str">
        <f>'A) Base RI'!B67</f>
        <v>Penthaz</v>
      </c>
      <c r="C71" s="14">
        <f>'A) Base RI'!AN67</f>
        <v>1653</v>
      </c>
      <c r="D71" s="41">
        <f>'C) Prél. conj.'!H65</f>
        <v>106496.37</v>
      </c>
      <c r="E71" s="19">
        <f>'D) Ecrêtage'!L65</f>
        <v>0</v>
      </c>
      <c r="F71" s="52">
        <f>$F$10*'D) Ecrêtage'!M65</f>
        <v>817756.17139573058</v>
      </c>
      <c r="G71" s="75">
        <f t="shared" si="1"/>
        <v>924252.54139573057</v>
      </c>
    </row>
    <row r="72" spans="1:7" x14ac:dyDescent="0.25">
      <c r="A72" s="61">
        <f>'A) Base RI'!A68</f>
        <v>5497</v>
      </c>
      <c r="B72" s="124" t="str">
        <f>'A) Base RI'!B68</f>
        <v>Pompaples</v>
      </c>
      <c r="C72" s="14">
        <f>'A) Base RI'!AN68</f>
        <v>834</v>
      </c>
      <c r="D72" s="41">
        <f>'C) Prél. conj.'!H66</f>
        <v>114643.265</v>
      </c>
      <c r="E72" s="19">
        <f>'D) Ecrêtage'!L66</f>
        <v>0</v>
      </c>
      <c r="F72" s="52">
        <f>$F$10*'D) Ecrêtage'!M66</f>
        <v>319408.73487034871</v>
      </c>
      <c r="G72" s="75">
        <f>D72+F72+E72</f>
        <v>434051.99987034872</v>
      </c>
    </row>
    <row r="73" spans="1:7" x14ac:dyDescent="0.25">
      <c r="A73" s="61">
        <f>'A) Base RI'!A69</f>
        <v>5498</v>
      </c>
      <c r="B73" s="124" t="str">
        <f>'A) Base RI'!B69</f>
        <v>La Sarraz</v>
      </c>
      <c r="C73" s="14">
        <f>'A) Base RI'!AN69</f>
        <v>2559</v>
      </c>
      <c r="D73" s="41">
        <f>'C) Prél. conj.'!H67</f>
        <v>140870.10499999998</v>
      </c>
      <c r="E73" s="19">
        <f>'D) Ecrêtage'!L67</f>
        <v>0</v>
      </c>
      <c r="F73" s="52">
        <f>$F$10*'D) Ecrêtage'!M67</f>
        <v>1036148.3329371782</v>
      </c>
      <c r="G73" s="75">
        <f t="shared" si="1"/>
        <v>1177018.4379371782</v>
      </c>
    </row>
    <row r="74" spans="1:7" x14ac:dyDescent="0.25">
      <c r="A74" s="61">
        <f>'A) Base RI'!A70</f>
        <v>5499</v>
      </c>
      <c r="B74" s="124" t="str">
        <f>'A) Base RI'!B70</f>
        <v>Senarclens</v>
      </c>
      <c r="C74" s="14">
        <f>'A) Base RI'!AN70</f>
        <v>451</v>
      </c>
      <c r="D74" s="41">
        <f>'C) Prél. conj.'!H68</f>
        <v>60006.765000000007</v>
      </c>
      <c r="E74" s="19">
        <f>'D) Ecrêtage'!L68</f>
        <v>0</v>
      </c>
      <c r="F74" s="52">
        <f>$F$10*'D) Ecrêtage'!M68</f>
        <v>311799.49256297934</v>
      </c>
      <c r="G74" s="75">
        <f t="shared" si="1"/>
        <v>371806.25756297936</v>
      </c>
    </row>
    <row r="75" spans="1:7" x14ac:dyDescent="0.25">
      <c r="A75" s="61">
        <f>'A) Base RI'!A71</f>
        <v>5500</v>
      </c>
      <c r="B75" s="124" t="str">
        <f>'A) Base RI'!B71</f>
        <v>Sévery</v>
      </c>
      <c r="C75" s="14">
        <f>'A) Base RI'!AN71</f>
        <v>231</v>
      </c>
      <c r="D75" s="41">
        <f>'C) Prél. conj.'!H69</f>
        <v>20993.62</v>
      </c>
      <c r="E75" s="19">
        <f>'D) Ecrêtage'!L69</f>
        <v>0</v>
      </c>
      <c r="F75" s="52">
        <f>$F$10*'D) Ecrêtage'!M69</f>
        <v>97245.107177276965</v>
      </c>
      <c r="G75" s="75">
        <f t="shared" si="1"/>
        <v>118238.72717727696</v>
      </c>
    </row>
    <row r="76" spans="1:7" x14ac:dyDescent="0.25">
      <c r="A76" s="61">
        <f>'A) Base RI'!A72</f>
        <v>5501</v>
      </c>
      <c r="B76" s="124" t="str">
        <f>'A) Base RI'!B72</f>
        <v>Sullens</v>
      </c>
      <c r="C76" s="14">
        <f>'A) Base RI'!AN72</f>
        <v>925</v>
      </c>
      <c r="D76" s="41">
        <f>'C) Prél. conj.'!H70</f>
        <v>108221.26999999999</v>
      </c>
      <c r="E76" s="19">
        <f>'D) Ecrêtage'!L70</f>
        <v>0</v>
      </c>
      <c r="F76" s="52">
        <f>$F$10*'D) Ecrêtage'!M70</f>
        <v>515714.39631093241</v>
      </c>
      <c r="G76" s="75">
        <f t="shared" si="1"/>
        <v>623935.66631093237</v>
      </c>
    </row>
    <row r="77" spans="1:7" x14ac:dyDescent="0.25">
      <c r="A77" s="61">
        <f>'A) Base RI'!A73</f>
        <v>5503</v>
      </c>
      <c r="B77" s="124" t="str">
        <f>'A) Base RI'!B73</f>
        <v>Vufflens-la-Ville</v>
      </c>
      <c r="C77" s="14">
        <f>'A) Base RI'!AN73</f>
        <v>1216</v>
      </c>
      <c r="D77" s="41">
        <f>'C) Prél. conj.'!H71</f>
        <v>317319.89500000002</v>
      </c>
      <c r="E77" s="19">
        <f>'D) Ecrêtage'!L71</f>
        <v>0</v>
      </c>
      <c r="F77" s="52">
        <f>$F$10*'D) Ecrêtage'!M71</f>
        <v>882032.84582208295</v>
      </c>
      <c r="G77" s="75">
        <f t="shared" si="1"/>
        <v>1199352.7408220829</v>
      </c>
    </row>
    <row r="78" spans="1:7" x14ac:dyDescent="0.25">
      <c r="A78" s="61">
        <f>'A) Base RI'!A74</f>
        <v>5511</v>
      </c>
      <c r="B78" s="124" t="str">
        <f>'A) Base RI'!B74</f>
        <v>Assens</v>
      </c>
      <c r="C78" s="14">
        <f>'A) Base RI'!AN74</f>
        <v>1031</v>
      </c>
      <c r="D78" s="41">
        <f>'C) Prél. conj.'!H72</f>
        <v>76528.799999999988</v>
      </c>
      <c r="E78" s="19">
        <f>'D) Ecrêtage'!L72</f>
        <v>0</v>
      </c>
      <c r="F78" s="52">
        <f>$F$10*'D) Ecrêtage'!M72</f>
        <v>595249.82773924747</v>
      </c>
      <c r="G78" s="75">
        <f t="shared" si="1"/>
        <v>671778.6277392474</v>
      </c>
    </row>
    <row r="79" spans="1:7" x14ac:dyDescent="0.25">
      <c r="A79" s="61">
        <f>'A) Base RI'!A75</f>
        <v>5512</v>
      </c>
      <c r="B79" s="124" t="str">
        <f>'A) Base RI'!B75</f>
        <v>Bercher</v>
      </c>
      <c r="C79" s="14">
        <f>'A) Base RI'!AN75</f>
        <v>1148</v>
      </c>
      <c r="D79" s="41">
        <f>'C) Prél. conj.'!H73</f>
        <v>79523.490000000005</v>
      </c>
      <c r="E79" s="19">
        <f>'D) Ecrêtage'!L73</f>
        <v>0</v>
      </c>
      <c r="F79" s="52">
        <f>$F$10*'D) Ecrêtage'!M73</f>
        <v>460983.31783057685</v>
      </c>
      <c r="G79" s="75">
        <f t="shared" si="1"/>
        <v>540506.8078305769</v>
      </c>
    </row>
    <row r="80" spans="1:7" x14ac:dyDescent="0.25">
      <c r="A80" s="61">
        <f>'A) Base RI'!A76</f>
        <v>5513</v>
      </c>
      <c r="B80" s="124" t="str">
        <f>'A) Base RI'!B76</f>
        <v>Bioley-Orjulaz</v>
      </c>
      <c r="C80" s="14">
        <f>'A) Base RI'!AN76</f>
        <v>471</v>
      </c>
      <c r="D80" s="41">
        <f>'C) Prél. conj.'!H74</f>
        <v>74384.34</v>
      </c>
      <c r="E80" s="19">
        <f>'D) Ecrêtage'!L74</f>
        <v>0</v>
      </c>
      <c r="F80" s="52">
        <f>$F$10*'D) Ecrêtage'!M74</f>
        <v>345235.64891665656</v>
      </c>
      <c r="G80" s="75">
        <f t="shared" si="1"/>
        <v>419619.98891665658</v>
      </c>
    </row>
    <row r="81" spans="1:7" x14ac:dyDescent="0.25">
      <c r="A81" s="61">
        <f>'A) Base RI'!A77</f>
        <v>5514</v>
      </c>
      <c r="B81" s="124" t="str">
        <f>'A) Base RI'!B77</f>
        <v>Bottens</v>
      </c>
      <c r="C81" s="14">
        <f>'A) Base RI'!AN77</f>
        <v>1220</v>
      </c>
      <c r="D81" s="41">
        <f>'C) Prél. conj.'!H75</f>
        <v>150859.905</v>
      </c>
      <c r="E81" s="19">
        <f>'D) Ecrêtage'!L75</f>
        <v>0</v>
      </c>
      <c r="F81" s="52">
        <f>$F$10*'D) Ecrêtage'!M75</f>
        <v>551048.17166748561</v>
      </c>
      <c r="G81" s="75">
        <f t="shared" si="1"/>
        <v>701908.07666748564</v>
      </c>
    </row>
    <row r="82" spans="1:7" x14ac:dyDescent="0.25">
      <c r="A82" s="61">
        <f>'A) Base RI'!A78</f>
        <v>5515</v>
      </c>
      <c r="B82" s="124" t="str">
        <f>'A) Base RI'!B78</f>
        <v>Bretigny-sur-Morrens</v>
      </c>
      <c r="C82" s="14">
        <f>'A) Base RI'!AN78</f>
        <v>797</v>
      </c>
      <c r="D82" s="41">
        <f>'C) Prél. conj.'!H76</f>
        <v>65685.009999999995</v>
      </c>
      <c r="E82" s="19">
        <f>'D) Ecrêtage'!L76</f>
        <v>0</v>
      </c>
      <c r="F82" s="52">
        <f>$F$10*'D) Ecrêtage'!M76</f>
        <v>349846.67489755183</v>
      </c>
      <c r="G82" s="75">
        <f t="shared" si="1"/>
        <v>415531.68489755184</v>
      </c>
    </row>
    <row r="83" spans="1:7" x14ac:dyDescent="0.25">
      <c r="A83" s="61">
        <f>'A) Base RI'!A79</f>
        <v>5516</v>
      </c>
      <c r="B83" s="124" t="str">
        <f>'A) Base RI'!B79</f>
        <v>Cugy</v>
      </c>
      <c r="C83" s="14">
        <f>'A) Base RI'!AN79</f>
        <v>2755</v>
      </c>
      <c r="D83" s="41">
        <f>'C) Prél. conj.'!H77</f>
        <v>322024.815</v>
      </c>
      <c r="E83" s="19">
        <f>'D) Ecrêtage'!L77</f>
        <v>0</v>
      </c>
      <c r="F83" s="52">
        <f>$F$10*'D) Ecrêtage'!M77</f>
        <v>1507935.935576542</v>
      </c>
      <c r="G83" s="75">
        <f t="shared" si="1"/>
        <v>1829960.750576542</v>
      </c>
    </row>
    <row r="84" spans="1:7" x14ac:dyDescent="0.25">
      <c r="A84" s="61">
        <f>'A) Base RI'!A80</f>
        <v>5518</v>
      </c>
      <c r="B84" s="124" t="str">
        <f>'A) Base RI'!B80</f>
        <v>Echallens</v>
      </c>
      <c r="C84" s="14">
        <f>'A) Base RI'!AN80</f>
        <v>5606</v>
      </c>
      <c r="D84" s="41">
        <f>'C) Prél. conj.'!H78</f>
        <v>346875.06</v>
      </c>
      <c r="E84" s="19">
        <f>'D) Ecrêtage'!L78</f>
        <v>0</v>
      </c>
      <c r="F84" s="52">
        <f>$F$10*'D) Ecrêtage'!M78</f>
        <v>2607081.0092383884</v>
      </c>
      <c r="G84" s="75">
        <f t="shared" si="1"/>
        <v>2953956.0692383884</v>
      </c>
    </row>
    <row r="85" spans="1:7" x14ac:dyDescent="0.25">
      <c r="A85" s="61">
        <f>'A) Base RI'!A81</f>
        <v>5520</v>
      </c>
      <c r="B85" s="124" t="str">
        <f>'A) Base RI'!B81</f>
        <v>Essertines-sur-Yverdon</v>
      </c>
      <c r="C85" s="14">
        <f>'A) Base RI'!AN81</f>
        <v>945</v>
      </c>
      <c r="D85" s="41">
        <f>'C) Prél. conj.'!H79</f>
        <v>44455.25</v>
      </c>
      <c r="E85" s="19">
        <f>'D) Ecrêtage'!L79</f>
        <v>0</v>
      </c>
      <c r="F85" s="52">
        <f>$F$10*'D) Ecrêtage'!M79</f>
        <v>402674.75632049632</v>
      </c>
      <c r="G85" s="75">
        <f t="shared" si="1"/>
        <v>447130.00632049632</v>
      </c>
    </row>
    <row r="86" spans="1:7" x14ac:dyDescent="0.25">
      <c r="A86" s="61">
        <f>'A) Base RI'!A82</f>
        <v>5521</v>
      </c>
      <c r="B86" s="124" t="str">
        <f>'A) Base RI'!B82</f>
        <v>Etagnières</v>
      </c>
      <c r="C86" s="14">
        <f>'A) Base RI'!AN82</f>
        <v>1146</v>
      </c>
      <c r="D86" s="41">
        <f>'C) Prél. conj.'!H80</f>
        <v>41368.909999999996</v>
      </c>
      <c r="E86" s="19">
        <f>'D) Ecrêtage'!L80</f>
        <v>0</v>
      </c>
      <c r="F86" s="52">
        <f>$F$10*'D) Ecrêtage'!M80</f>
        <v>608257.29319631855</v>
      </c>
      <c r="G86" s="75">
        <f t="shared" si="1"/>
        <v>649626.20319631859</v>
      </c>
    </row>
    <row r="87" spans="1:7" x14ac:dyDescent="0.25">
      <c r="A87" s="61">
        <f>'A) Base RI'!A83</f>
        <v>5522</v>
      </c>
      <c r="B87" s="124" t="str">
        <f>'A) Base RI'!B83</f>
        <v>Fey</v>
      </c>
      <c r="C87" s="14">
        <f>'A) Base RI'!AN83</f>
        <v>635</v>
      </c>
      <c r="D87" s="41">
        <f>'C) Prél. conj.'!H81</f>
        <v>36654.824999999997</v>
      </c>
      <c r="E87" s="19">
        <f>'D) Ecrêtage'!L81</f>
        <v>0</v>
      </c>
      <c r="F87" s="52">
        <f>$F$10*'D) Ecrêtage'!M81</f>
        <v>261803.05139047248</v>
      </c>
      <c r="G87" s="75">
        <f t="shared" si="1"/>
        <v>298457.87639047246</v>
      </c>
    </row>
    <row r="88" spans="1:7" x14ac:dyDescent="0.25">
      <c r="A88" s="61">
        <f>'A) Base RI'!A84</f>
        <v>5523</v>
      </c>
      <c r="B88" s="124" t="str">
        <f>'A) Base RI'!B84</f>
        <v>Froideville</v>
      </c>
      <c r="C88" s="14">
        <f>'A) Base RI'!AN84</f>
        <v>2422</v>
      </c>
      <c r="D88" s="41">
        <f>'C) Prél. conj.'!H82</f>
        <v>262079.77500000002</v>
      </c>
      <c r="E88" s="19">
        <f>'D) Ecrêtage'!L82</f>
        <v>0</v>
      </c>
      <c r="F88" s="52">
        <f>$F$10*'D) Ecrêtage'!M82</f>
        <v>1118281.4169041051</v>
      </c>
      <c r="G88" s="75">
        <f t="shared" si="1"/>
        <v>1380361.1919041052</v>
      </c>
    </row>
    <row r="89" spans="1:7" x14ac:dyDescent="0.25">
      <c r="A89" s="61">
        <f>'A) Base RI'!A85</f>
        <v>5527</v>
      </c>
      <c r="B89" s="124" t="str">
        <f>'A) Base RI'!B85</f>
        <v>Morrens</v>
      </c>
      <c r="C89" s="14">
        <f>'A) Base RI'!AN85</f>
        <v>1055</v>
      </c>
      <c r="D89" s="41">
        <f>'C) Prél. conj.'!H83</f>
        <v>127594.4</v>
      </c>
      <c r="E89" s="19">
        <f>'D) Ecrêtage'!L83</f>
        <v>0</v>
      </c>
      <c r="F89" s="52">
        <f>$F$10*'D) Ecrêtage'!M83</f>
        <v>531677.14088150591</v>
      </c>
      <c r="G89" s="75">
        <f t="shared" si="1"/>
        <v>659271.54088150593</v>
      </c>
    </row>
    <row r="90" spans="1:7" x14ac:dyDescent="0.25">
      <c r="A90" s="61">
        <f>'A) Base RI'!A86</f>
        <v>5529</v>
      </c>
      <c r="B90" s="124" t="str">
        <f>'A) Base RI'!B86</f>
        <v>Oulens-sous-Echallens</v>
      </c>
      <c r="C90" s="14">
        <f>'A) Base RI'!AN86</f>
        <v>532</v>
      </c>
      <c r="D90" s="41">
        <f>'C) Prél. conj.'!H84</f>
        <v>83531.914999999994</v>
      </c>
      <c r="E90" s="19">
        <f>'D) Ecrêtage'!L84</f>
        <v>0</v>
      </c>
      <c r="F90" s="52">
        <f>$F$10*'D) Ecrêtage'!M84</f>
        <v>241863.40739014611</v>
      </c>
      <c r="G90" s="75">
        <f t="shared" si="1"/>
        <v>325395.32239014609</v>
      </c>
    </row>
    <row r="91" spans="1:7" x14ac:dyDescent="0.25">
      <c r="A91" s="61">
        <f>'A) Base RI'!A87</f>
        <v>5530</v>
      </c>
      <c r="B91" s="124" t="str">
        <f>'A) Base RI'!B87</f>
        <v>Pailly</v>
      </c>
      <c r="C91" s="14">
        <f>'A) Base RI'!AN87</f>
        <v>533</v>
      </c>
      <c r="D91" s="41">
        <f>'C) Prél. conj.'!H85</f>
        <v>24996.31</v>
      </c>
      <c r="E91" s="19">
        <f>'D) Ecrêtage'!L85</f>
        <v>0</v>
      </c>
      <c r="F91" s="52">
        <f>$F$10*'D) Ecrêtage'!M85</f>
        <v>229751.88686789927</v>
      </c>
      <c r="G91" s="75">
        <f t="shared" si="1"/>
        <v>254748.19686789927</v>
      </c>
    </row>
    <row r="92" spans="1:7" x14ac:dyDescent="0.25">
      <c r="A92" s="61">
        <f>'A) Base RI'!A88</f>
        <v>5531</v>
      </c>
      <c r="B92" s="124" t="str">
        <f>'A) Base RI'!B88</f>
        <v>Penthéréaz</v>
      </c>
      <c r="C92" s="14">
        <f>'A) Base RI'!AN88</f>
        <v>389</v>
      </c>
      <c r="D92" s="41">
        <f>'C) Prél. conj.'!H86</f>
        <v>34533.909999999996</v>
      </c>
      <c r="E92" s="19">
        <f>'D) Ecrêtage'!L86</f>
        <v>0</v>
      </c>
      <c r="F92" s="52">
        <f>$F$10*'D) Ecrêtage'!M86</f>
        <v>167106.30765641091</v>
      </c>
      <c r="G92" s="75">
        <f t="shared" si="1"/>
        <v>201640.21765641091</v>
      </c>
    </row>
    <row r="93" spans="1:7" x14ac:dyDescent="0.25">
      <c r="A93" s="61">
        <f>'A) Base RI'!A89</f>
        <v>5533</v>
      </c>
      <c r="B93" s="124" t="str">
        <f>'A) Base RI'!B89</f>
        <v>Poliez-Pittet</v>
      </c>
      <c r="C93" s="14">
        <f>'A) Base RI'!AN89</f>
        <v>815</v>
      </c>
      <c r="D93" s="41">
        <f>'C) Prél. conj.'!H87</f>
        <v>40666.369999999995</v>
      </c>
      <c r="E93" s="19">
        <f>'D) Ecrêtage'!L87</f>
        <v>0</v>
      </c>
      <c r="F93" s="52">
        <f>$F$10*'D) Ecrêtage'!M87</f>
        <v>305896.51722626796</v>
      </c>
      <c r="G93" s="75">
        <f t="shared" si="1"/>
        <v>346562.88722626795</v>
      </c>
    </row>
    <row r="94" spans="1:7" x14ac:dyDescent="0.25">
      <c r="A94" s="61">
        <f>'A) Base RI'!A90</f>
        <v>5534</v>
      </c>
      <c r="B94" s="124" t="str">
        <f>'A) Base RI'!B90</f>
        <v>Rueyres</v>
      </c>
      <c r="C94" s="14">
        <f>'A) Base RI'!AN90</f>
        <v>265</v>
      </c>
      <c r="D94" s="41">
        <f>'C) Prél. conj.'!H88</f>
        <v>51906.879999999997</v>
      </c>
      <c r="E94" s="19">
        <f>'D) Ecrêtage'!L88</f>
        <v>0</v>
      </c>
      <c r="F94" s="52">
        <f>$F$10*'D) Ecrêtage'!M88</f>
        <v>116731.02160046896</v>
      </c>
      <c r="G94" s="75">
        <f t="shared" si="1"/>
        <v>168637.90160046896</v>
      </c>
    </row>
    <row r="95" spans="1:7" x14ac:dyDescent="0.25">
      <c r="A95" s="61">
        <f>'A) Base RI'!A91</f>
        <v>5535</v>
      </c>
      <c r="B95" s="124" t="str">
        <f>'A) Base RI'!B91</f>
        <v>Saint-Barthélemy</v>
      </c>
      <c r="C95" s="14">
        <f>'A) Base RI'!AN91</f>
        <v>782</v>
      </c>
      <c r="D95" s="41">
        <f>'C) Prél. conj.'!H89</f>
        <v>14594.355</v>
      </c>
      <c r="E95" s="19">
        <f>'D) Ecrêtage'!L89</f>
        <v>0</v>
      </c>
      <c r="F95" s="52">
        <f>$F$10*'D) Ecrêtage'!M89</f>
        <v>311154.04379956116</v>
      </c>
      <c r="G95" s="75">
        <f t="shared" si="1"/>
        <v>325748.39879956114</v>
      </c>
    </row>
    <row r="96" spans="1:7" x14ac:dyDescent="0.25">
      <c r="A96" s="61">
        <f>'A) Base RI'!A92</f>
        <v>5537</v>
      </c>
      <c r="B96" s="124" t="str">
        <f>'A) Base RI'!B92</f>
        <v>Villars-le-Terroir</v>
      </c>
      <c r="C96" s="14">
        <f>'A) Base RI'!AN92</f>
        <v>1033</v>
      </c>
      <c r="D96" s="41">
        <f>'C) Prél. conj.'!H90</f>
        <v>56688.899999999994</v>
      </c>
      <c r="E96" s="19">
        <f>'D) Ecrêtage'!L90</f>
        <v>0</v>
      </c>
      <c r="F96" s="52">
        <f>$F$10*'D) Ecrêtage'!M90</f>
        <v>404976.12662884238</v>
      </c>
      <c r="G96" s="75">
        <f t="shared" si="1"/>
        <v>461665.02662884234</v>
      </c>
    </row>
    <row r="97" spans="1:7" x14ac:dyDescent="0.25">
      <c r="A97" s="61">
        <f>'A) Base RI'!A93</f>
        <v>5539</v>
      </c>
      <c r="B97" s="124" t="str">
        <f>'A) Base RI'!B93</f>
        <v>Vuarrens</v>
      </c>
      <c r="C97" s="14">
        <f>'A) Base RI'!AN93</f>
        <v>935</v>
      </c>
      <c r="D97" s="41">
        <f>'C) Prél. conj.'!H91</f>
        <v>56423.504999999997</v>
      </c>
      <c r="E97" s="19">
        <f>'D) Ecrêtage'!L91</f>
        <v>0</v>
      </c>
      <c r="F97" s="52">
        <f>$F$10*'D) Ecrêtage'!M91</f>
        <v>327009.98748481489</v>
      </c>
      <c r="G97" s="75">
        <f t="shared" si="1"/>
        <v>383433.49248481489</v>
      </c>
    </row>
    <row r="98" spans="1:7" x14ac:dyDescent="0.25">
      <c r="A98" s="61">
        <f>'A) Base RI'!A94</f>
        <v>5540</v>
      </c>
      <c r="B98" s="124" t="str">
        <f>'A) Base RI'!B94</f>
        <v>Montilliez</v>
      </c>
      <c r="C98" s="14">
        <f>'A) Base RI'!AN94</f>
        <v>1656</v>
      </c>
      <c r="D98" s="41">
        <f>'C) Prél. conj.'!H92</f>
        <v>104112.245</v>
      </c>
      <c r="E98" s="19">
        <f>'D) Ecrêtage'!L92</f>
        <v>0</v>
      </c>
      <c r="F98" s="52">
        <f>$F$10*'D) Ecrêtage'!M92</f>
        <v>678261.28476448054</v>
      </c>
      <c r="G98" s="75">
        <f>D98+F98+E98</f>
        <v>782373.52976448054</v>
      </c>
    </row>
    <row r="99" spans="1:7" x14ac:dyDescent="0.25">
      <c r="A99" s="61">
        <f>'A) Base RI'!A95</f>
        <v>5541</v>
      </c>
      <c r="B99" s="124" t="str">
        <f>'A) Base RI'!B95</f>
        <v>Goumoëns</v>
      </c>
      <c r="C99" s="14">
        <f>'A) Base RI'!AN95</f>
        <v>1055</v>
      </c>
      <c r="D99" s="41">
        <f>'C) Prél. conj.'!H93</f>
        <v>64540.364999999991</v>
      </c>
      <c r="E99" s="19">
        <f>'D) Ecrêtage'!L93</f>
        <v>0</v>
      </c>
      <c r="F99" s="52">
        <f>$F$10*'D) Ecrêtage'!M93</f>
        <v>511688.42945526133</v>
      </c>
      <c r="G99" s="75">
        <f>D99+F99+E99</f>
        <v>576228.79445526132</v>
      </c>
    </row>
    <row r="100" spans="1:7" x14ac:dyDescent="0.25">
      <c r="A100" s="61">
        <f>'A) Base RI'!A96</f>
        <v>5551</v>
      </c>
      <c r="B100" s="124" t="str">
        <f>'A) Base RI'!B96</f>
        <v>Bonvillars</v>
      </c>
      <c r="C100" s="14">
        <f>'A) Base RI'!AN96</f>
        <v>506</v>
      </c>
      <c r="D100" s="41">
        <f>'C) Prél. conj.'!H94</f>
        <v>20902.285</v>
      </c>
      <c r="E100" s="19">
        <f>'D) Ecrêtage'!L94</f>
        <v>0</v>
      </c>
      <c r="F100" s="52">
        <f>$F$10*'D) Ecrêtage'!M94</f>
        <v>229756.41006484293</v>
      </c>
      <c r="G100" s="75">
        <f t="shared" si="1"/>
        <v>250658.69506484293</v>
      </c>
    </row>
    <row r="101" spans="1:7" x14ac:dyDescent="0.25">
      <c r="A101" s="61">
        <f>'A) Base RI'!A97</f>
        <v>5552</v>
      </c>
      <c r="B101" s="124" t="str">
        <f>'A) Base RI'!B97</f>
        <v>Bullet</v>
      </c>
      <c r="C101" s="14">
        <f>'A) Base RI'!AN97</f>
        <v>606</v>
      </c>
      <c r="D101" s="41">
        <f>'C) Prél. conj.'!H95</f>
        <v>114811.91499999999</v>
      </c>
      <c r="E101" s="19">
        <f>'D) Ecrêtage'!L95</f>
        <v>0</v>
      </c>
      <c r="F101" s="52">
        <f>$F$10*'D) Ecrêtage'!M95</f>
        <v>223105.56140088715</v>
      </c>
      <c r="G101" s="75">
        <f t="shared" si="1"/>
        <v>337917.47640088713</v>
      </c>
    </row>
    <row r="102" spans="1:7" x14ac:dyDescent="0.25">
      <c r="A102" s="61">
        <f>'A) Base RI'!A98</f>
        <v>5553</v>
      </c>
      <c r="B102" s="124" t="str">
        <f>'A) Base RI'!B98</f>
        <v>Champagne</v>
      </c>
      <c r="C102" s="14">
        <f>'A) Base RI'!AN98</f>
        <v>1048</v>
      </c>
      <c r="D102" s="41">
        <f>'C) Prél. conj.'!H96</f>
        <v>151155.95500000002</v>
      </c>
      <c r="E102" s="19">
        <f>'D) Ecrêtage'!L96</f>
        <v>0</v>
      </c>
      <c r="F102" s="52">
        <f>$F$10*'D) Ecrêtage'!M96</f>
        <v>795164.09890203213</v>
      </c>
      <c r="G102" s="75">
        <f t="shared" si="1"/>
        <v>946320.05390203209</v>
      </c>
    </row>
    <row r="103" spans="1:7" x14ac:dyDescent="0.25">
      <c r="A103" s="61">
        <f>'A) Base RI'!A99</f>
        <v>5554</v>
      </c>
      <c r="B103" s="124" t="str">
        <f>'A) Base RI'!B99</f>
        <v>Concise</v>
      </c>
      <c r="C103" s="14">
        <f>'A) Base RI'!AN99</f>
        <v>954</v>
      </c>
      <c r="D103" s="41">
        <f>'C) Prél. conj.'!H97</f>
        <v>141358.04999999999</v>
      </c>
      <c r="E103" s="19">
        <f>'D) Ecrêtage'!L97</f>
        <v>0</v>
      </c>
      <c r="F103" s="52">
        <f>$F$10*'D) Ecrêtage'!M97</f>
        <v>426666.05553860543</v>
      </c>
      <c r="G103" s="75">
        <f t="shared" si="1"/>
        <v>568024.10553860548</v>
      </c>
    </row>
    <row r="104" spans="1:7" x14ac:dyDescent="0.25">
      <c r="A104" s="61">
        <f>'A) Base RI'!A100</f>
        <v>5555</v>
      </c>
      <c r="B104" s="124" t="str">
        <f>'A) Base RI'!B100</f>
        <v>Corcelles-près-Concise</v>
      </c>
      <c r="C104" s="14">
        <f>'A) Base RI'!AN100</f>
        <v>337</v>
      </c>
      <c r="D104" s="41">
        <f>'C) Prél. conj.'!H98</f>
        <v>36584.905000000006</v>
      </c>
      <c r="E104" s="19">
        <f>'D) Ecrêtage'!L98</f>
        <v>0</v>
      </c>
      <c r="F104" s="52">
        <f>$F$10*'D) Ecrêtage'!M98</f>
        <v>140291.43146093856</v>
      </c>
      <c r="G104" s="75">
        <f t="shared" si="1"/>
        <v>176876.33646093856</v>
      </c>
    </row>
    <row r="105" spans="1:7" x14ac:dyDescent="0.25">
      <c r="A105" s="61">
        <f>'A) Base RI'!A101</f>
        <v>5556</v>
      </c>
      <c r="B105" s="124" t="str">
        <f>'A) Base RI'!B101</f>
        <v>Fiez</v>
      </c>
      <c r="C105" s="14">
        <f>'A) Base RI'!AN101</f>
        <v>421</v>
      </c>
      <c r="D105" s="41">
        <f>'C) Prél. conj.'!H99</f>
        <v>23902.205000000002</v>
      </c>
      <c r="E105" s="19">
        <f>'D) Ecrêtage'!L99</f>
        <v>0</v>
      </c>
      <c r="F105" s="52">
        <f>$F$10*'D) Ecrêtage'!M99</f>
        <v>155196.8187217002</v>
      </c>
      <c r="G105" s="75">
        <f t="shared" si="1"/>
        <v>179099.02372170018</v>
      </c>
    </row>
    <row r="106" spans="1:7" x14ac:dyDescent="0.25">
      <c r="A106" s="61">
        <f>'A) Base RI'!A102</f>
        <v>5557</v>
      </c>
      <c r="B106" s="124" t="str">
        <f>'A) Base RI'!B102</f>
        <v>Fontaines-sur-Grandson</v>
      </c>
      <c r="C106" s="14">
        <f>'A) Base RI'!AN102</f>
        <v>191</v>
      </c>
      <c r="D106" s="41">
        <f>'C) Prél. conj.'!H100</f>
        <v>8691.9049999999988</v>
      </c>
      <c r="E106" s="19">
        <f>'D) Ecrêtage'!L100</f>
        <v>0</v>
      </c>
      <c r="F106" s="52">
        <f>$F$10*'D) Ecrêtage'!M100</f>
        <v>60364.072036031204</v>
      </c>
      <c r="G106" s="75">
        <f t="shared" si="1"/>
        <v>69055.977036031196</v>
      </c>
    </row>
    <row r="107" spans="1:7" x14ac:dyDescent="0.25">
      <c r="A107" s="61">
        <f>'A) Base RI'!A103</f>
        <v>5559</v>
      </c>
      <c r="B107" s="124" t="str">
        <f>'A) Base RI'!B103</f>
        <v>Giez</v>
      </c>
      <c r="C107" s="14">
        <f>'A) Base RI'!AN103</f>
        <v>389</v>
      </c>
      <c r="D107" s="41">
        <f>'C) Prél. conj.'!H101</f>
        <v>9416.8649999999998</v>
      </c>
      <c r="E107" s="19">
        <f>'D) Ecrêtage'!L101</f>
        <v>0</v>
      </c>
      <c r="F107" s="52">
        <f>$F$10*'D) Ecrêtage'!M101</f>
        <v>258641.20148478687</v>
      </c>
      <c r="G107" s="75">
        <f t="shared" si="1"/>
        <v>268058.06648478686</v>
      </c>
    </row>
    <row r="108" spans="1:7" x14ac:dyDescent="0.25">
      <c r="A108" s="61">
        <f>'A) Base RI'!A104</f>
        <v>5560</v>
      </c>
      <c r="B108" s="124" t="str">
        <f>'A) Base RI'!B104</f>
        <v>Grandevent</v>
      </c>
      <c r="C108" s="14">
        <f>'A) Base RI'!AN104</f>
        <v>232</v>
      </c>
      <c r="D108" s="41">
        <f>'C) Prél. conj.'!H102</f>
        <v>15610.125</v>
      </c>
      <c r="E108" s="19">
        <f>'D) Ecrêtage'!L102</f>
        <v>0</v>
      </c>
      <c r="F108" s="52">
        <f>$F$10*'D) Ecrêtage'!M102</f>
        <v>91913.658336567503</v>
      </c>
      <c r="G108" s="75">
        <f t="shared" si="1"/>
        <v>107523.7833365675</v>
      </c>
    </row>
    <row r="109" spans="1:7" x14ac:dyDescent="0.25">
      <c r="A109" s="61">
        <f>'A) Base RI'!A105</f>
        <v>5561</v>
      </c>
      <c r="B109" s="124" t="str">
        <f>'A) Base RI'!B105</f>
        <v>Grandson</v>
      </c>
      <c r="C109" s="14">
        <f>'A) Base RI'!AN105</f>
        <v>3303</v>
      </c>
      <c r="D109" s="41">
        <f>'C) Prél. conj.'!H103</f>
        <v>449283.85</v>
      </c>
      <c r="E109" s="19">
        <f>'D) Ecrêtage'!L103</f>
        <v>0</v>
      </c>
      <c r="F109" s="52">
        <f>$F$10*'D) Ecrêtage'!M103</f>
        <v>1530535.7722693419</v>
      </c>
      <c r="G109" s="75">
        <f t="shared" si="1"/>
        <v>1979819.6222693417</v>
      </c>
    </row>
    <row r="110" spans="1:7" x14ac:dyDescent="0.25">
      <c r="A110" s="61">
        <f>'A) Base RI'!A106</f>
        <v>5562</v>
      </c>
      <c r="B110" s="124" t="str">
        <f>'A) Base RI'!B106</f>
        <v>Mauborget</v>
      </c>
      <c r="C110" s="14">
        <f>'A) Base RI'!AN106</f>
        <v>119</v>
      </c>
      <c r="D110" s="41">
        <f>'C) Prél. conj.'!H104</f>
        <v>4801.75</v>
      </c>
      <c r="E110" s="19">
        <f>'D) Ecrêtage'!L104</f>
        <v>0</v>
      </c>
      <c r="F110" s="52">
        <f>$F$10*'D) Ecrêtage'!M104</f>
        <v>56286.96286908519</v>
      </c>
      <c r="G110" s="75">
        <f t="shared" si="1"/>
        <v>61088.71286908519</v>
      </c>
    </row>
    <row r="111" spans="1:7" x14ac:dyDescent="0.25">
      <c r="A111" s="61">
        <f>'A) Base RI'!A107</f>
        <v>5563</v>
      </c>
      <c r="B111" s="124" t="str">
        <f>'A) Base RI'!B107</f>
        <v>Mutrux</v>
      </c>
      <c r="C111" s="14">
        <f>'A) Base RI'!AN107</f>
        <v>153</v>
      </c>
      <c r="D111" s="41">
        <f>'C) Prél. conj.'!H105</f>
        <v>6285.85</v>
      </c>
      <c r="E111" s="19">
        <f>'D) Ecrêtage'!L105</f>
        <v>0</v>
      </c>
      <c r="F111" s="52">
        <f>$F$10*'D) Ecrêtage'!M105</f>
        <v>58949.500876548016</v>
      </c>
      <c r="G111" s="75">
        <f t="shared" si="1"/>
        <v>65235.350876548015</v>
      </c>
    </row>
    <row r="112" spans="1:7" x14ac:dyDescent="0.25">
      <c r="A112" s="61">
        <f>'A) Base RI'!A108</f>
        <v>5564</v>
      </c>
      <c r="B112" s="124" t="str">
        <f>'A) Base RI'!B108</f>
        <v>Novalles</v>
      </c>
      <c r="C112" s="14">
        <f>'A) Base RI'!AN108</f>
        <v>102</v>
      </c>
      <c r="D112" s="41">
        <f>'C) Prél. conj.'!H106</f>
        <v>0</v>
      </c>
      <c r="E112" s="19">
        <f>'D) Ecrêtage'!L106</f>
        <v>0</v>
      </c>
      <c r="F112" s="52">
        <f>$F$10*'D) Ecrêtage'!M106</f>
        <v>30467.590957777302</v>
      </c>
      <c r="G112" s="75">
        <f t="shared" si="1"/>
        <v>30467.590957777302</v>
      </c>
    </row>
    <row r="113" spans="1:7" x14ac:dyDescent="0.25">
      <c r="A113" s="61">
        <f>'A) Base RI'!A109</f>
        <v>5565</v>
      </c>
      <c r="B113" s="124" t="str">
        <f>'A) Base RI'!B109</f>
        <v>Onnens</v>
      </c>
      <c r="C113" s="14">
        <f>'A) Base RI'!AN109</f>
        <v>493</v>
      </c>
      <c r="D113" s="41">
        <f>'C) Prél. conj.'!H107</f>
        <v>42224.165000000001</v>
      </c>
      <c r="E113" s="19">
        <f>'D) Ecrêtage'!L107</f>
        <v>0</v>
      </c>
      <c r="F113" s="52">
        <f>$F$10*'D) Ecrêtage'!M107</f>
        <v>322659.58974683058</v>
      </c>
      <c r="G113" s="75">
        <f t="shared" si="1"/>
        <v>364883.75474683056</v>
      </c>
    </row>
    <row r="114" spans="1:7" x14ac:dyDescent="0.25">
      <c r="A114" s="61">
        <f>'A) Base RI'!A110</f>
        <v>5566</v>
      </c>
      <c r="B114" s="124" t="str">
        <f>'A) Base RI'!B110</f>
        <v>Provence</v>
      </c>
      <c r="C114" s="14">
        <f>'A) Base RI'!AN110</f>
        <v>385</v>
      </c>
      <c r="D114" s="41">
        <f>'C) Prél. conj.'!H108</f>
        <v>20382.455000000002</v>
      </c>
      <c r="E114" s="19">
        <f>'D) Ecrêtage'!L108</f>
        <v>0</v>
      </c>
      <c r="F114" s="52">
        <f>$F$10*'D) Ecrêtage'!M108</f>
        <v>112290.3753164645</v>
      </c>
      <c r="G114" s="75">
        <f t="shared" si="1"/>
        <v>132672.8303164645</v>
      </c>
    </row>
    <row r="115" spans="1:7" x14ac:dyDescent="0.25">
      <c r="A115" s="61">
        <f>'A) Base RI'!A111</f>
        <v>5568</v>
      </c>
      <c r="B115" s="124" t="str">
        <f>'A) Base RI'!B111</f>
        <v>Sainte-Croix</v>
      </c>
      <c r="C115" s="14">
        <f>'A) Base RI'!AN111</f>
        <v>4763</v>
      </c>
      <c r="D115" s="41">
        <f>'C) Prél. conj.'!H109</f>
        <v>921332.15999999992</v>
      </c>
      <c r="E115" s="19">
        <f>'D) Ecrêtage'!L109</f>
        <v>0</v>
      </c>
      <c r="F115" s="52">
        <f>$F$10*'D) Ecrêtage'!M109</f>
        <v>1342676.9073615179</v>
      </c>
      <c r="G115" s="75">
        <f t="shared" si="1"/>
        <v>2264009.0673615178</v>
      </c>
    </row>
    <row r="116" spans="1:7" x14ac:dyDescent="0.25">
      <c r="A116" s="61">
        <f>'A) Base RI'!A112</f>
        <v>5571</v>
      </c>
      <c r="B116" s="124" t="str">
        <f>'A) Base RI'!B112</f>
        <v>Tévenon</v>
      </c>
      <c r="C116" s="14">
        <f>'A) Base RI'!AN112</f>
        <v>811</v>
      </c>
      <c r="D116" s="41">
        <f>'C) Prél. conj.'!H110</f>
        <v>66143.255000000005</v>
      </c>
      <c r="E116" s="19">
        <f>'D) Ecrêtage'!L110</f>
        <v>0</v>
      </c>
      <c r="F116" s="52">
        <f>$F$10*'D) Ecrêtage'!M110</f>
        <v>298413.49369806796</v>
      </c>
      <c r="G116" s="75">
        <f t="shared" si="1"/>
        <v>364556.74869806797</v>
      </c>
    </row>
    <row r="117" spans="1:7" x14ac:dyDescent="0.25">
      <c r="A117" s="61">
        <f>'A) Base RI'!A113</f>
        <v>5581</v>
      </c>
      <c r="B117" s="124" t="str">
        <f>'A) Base RI'!B113</f>
        <v>Belmont-sur-Lausanne</v>
      </c>
      <c r="C117" s="14">
        <f>'A) Base RI'!AN113</f>
        <v>3602</v>
      </c>
      <c r="D117" s="41">
        <f>'C) Prél. conj.'!H111</f>
        <v>404956.22499999998</v>
      </c>
      <c r="E117" s="19">
        <f>'D) Ecrêtage'!L111</f>
        <v>0</v>
      </c>
      <c r="F117" s="52">
        <f>$F$10*'D) Ecrêtage'!M111</f>
        <v>2486532.3963682018</v>
      </c>
      <c r="G117" s="75">
        <f t="shared" si="1"/>
        <v>2891488.6213682019</v>
      </c>
    </row>
    <row r="118" spans="1:7" x14ac:dyDescent="0.25">
      <c r="A118" s="61">
        <f>'A) Base RI'!A114</f>
        <v>5582</v>
      </c>
      <c r="B118" s="124" t="str">
        <f>'A) Base RI'!B114</f>
        <v>Cheseaux-sur-Lausanne</v>
      </c>
      <c r="C118" s="14">
        <f>'A) Base RI'!AN114</f>
        <v>4297</v>
      </c>
      <c r="D118" s="41">
        <f>'C) Prél. conj.'!H112</f>
        <v>561608.83000000007</v>
      </c>
      <c r="E118" s="19">
        <f>'D) Ecrêtage'!L112</f>
        <v>0</v>
      </c>
      <c r="F118" s="52">
        <f>$F$10*'D) Ecrêtage'!M112</f>
        <v>2376055.9513486605</v>
      </c>
      <c r="G118" s="75">
        <f t="shared" si="1"/>
        <v>2937664.7813486606</v>
      </c>
    </row>
    <row r="119" spans="1:7" x14ac:dyDescent="0.25">
      <c r="A119" s="61">
        <f>'A) Base RI'!A115</f>
        <v>5583</v>
      </c>
      <c r="B119" s="124" t="str">
        <f>'A) Base RI'!B115</f>
        <v>Crissier</v>
      </c>
      <c r="C119" s="14">
        <f>'A) Base RI'!AN115</f>
        <v>7542</v>
      </c>
      <c r="D119" s="41">
        <f>'C) Prél. conj.'!H113</f>
        <v>1151422.8400000001</v>
      </c>
      <c r="E119" s="19">
        <f>'D) Ecrêtage'!L113</f>
        <v>0</v>
      </c>
      <c r="F119" s="52">
        <f>$F$10*'D) Ecrêtage'!M113</f>
        <v>4654866.433513036</v>
      </c>
      <c r="G119" s="75">
        <f t="shared" si="1"/>
        <v>5806289.2735130358</v>
      </c>
    </row>
    <row r="120" spans="1:7" x14ac:dyDescent="0.25">
      <c r="A120" s="61">
        <f>'A) Base RI'!A116</f>
        <v>5584</v>
      </c>
      <c r="B120" s="124" t="str">
        <f>'A) Base RI'!B116</f>
        <v>Epalinges</v>
      </c>
      <c r="C120" s="14">
        <f>'A) Base RI'!AN116</f>
        <v>9185</v>
      </c>
      <c r="D120" s="41">
        <f>'C) Prél. conj.'!H114</f>
        <v>1670438.01</v>
      </c>
      <c r="E120" s="19">
        <f>'D) Ecrêtage'!L114</f>
        <v>0</v>
      </c>
      <c r="F120" s="52">
        <f>$F$10*'D) Ecrêtage'!M114</f>
        <v>6551698.0138080409</v>
      </c>
      <c r="G120" s="75">
        <f t="shared" si="1"/>
        <v>8222136.0238080407</v>
      </c>
    </row>
    <row r="121" spans="1:7" x14ac:dyDescent="0.25">
      <c r="A121" s="61">
        <f>'A) Base RI'!A117</f>
        <v>5585</v>
      </c>
      <c r="B121" s="124" t="str">
        <f>'A) Base RI'!B117</f>
        <v>Jouxtens-Mézery</v>
      </c>
      <c r="C121" s="14">
        <f>'A) Base RI'!AN117</f>
        <v>1405</v>
      </c>
      <c r="D121" s="41">
        <f>'C) Prél. conj.'!H115</f>
        <v>273743.86</v>
      </c>
      <c r="E121" s="19">
        <f>'D) Ecrêtage'!L115</f>
        <v>2055380.4655057872</v>
      </c>
      <c r="F121" s="52">
        <f>$F$10*'D) Ecrêtage'!M115</f>
        <v>1730126.5787036712</v>
      </c>
      <c r="G121" s="75">
        <f t="shared" si="1"/>
        <v>4059250.9042094583</v>
      </c>
    </row>
    <row r="122" spans="1:7" x14ac:dyDescent="0.25">
      <c r="A122" s="61">
        <f>'A) Base RI'!A118</f>
        <v>5586</v>
      </c>
      <c r="B122" s="124" t="str">
        <f>'A) Base RI'!B118</f>
        <v>Lausanne</v>
      </c>
      <c r="C122" s="14">
        <f>'A) Base RI'!AN118</f>
        <v>134937</v>
      </c>
      <c r="D122" s="41">
        <f>'C) Prél. conj.'!H116</f>
        <v>17247371.66</v>
      </c>
      <c r="E122" s="19">
        <f>'D) Ecrêtage'!L116</f>
        <v>0</v>
      </c>
      <c r="F122" s="52">
        <f>$F$10*'D) Ecrêtage'!M116</f>
        <v>84747754.987210542</v>
      </c>
      <c r="G122" s="75">
        <f t="shared" si="1"/>
        <v>101995126.64721054</v>
      </c>
    </row>
    <row r="123" spans="1:7" x14ac:dyDescent="0.25">
      <c r="A123" s="61">
        <f>'A) Base RI'!A119</f>
        <v>5587</v>
      </c>
      <c r="B123" s="124" t="str">
        <f>'A) Base RI'!B119</f>
        <v>Le Mont-sur-Lausanne</v>
      </c>
      <c r="C123" s="14">
        <f>'A) Base RI'!AN119</f>
        <v>7271</v>
      </c>
      <c r="D123" s="41">
        <f>'C) Prél. conj.'!H117</f>
        <v>1628359.5250000001</v>
      </c>
      <c r="E123" s="19">
        <f>'D) Ecrêtage'!L117</f>
        <v>0</v>
      </c>
      <c r="F123" s="52">
        <f>$F$10*'D) Ecrêtage'!M117</f>
        <v>5467115.4167261003</v>
      </c>
      <c r="G123" s="75">
        <f t="shared" ref="G123:G176" si="2">D123+F123+E123</f>
        <v>7095474.9417261006</v>
      </c>
    </row>
    <row r="124" spans="1:7" x14ac:dyDescent="0.25">
      <c r="A124" s="61">
        <f>'A) Base RI'!A120</f>
        <v>5588</v>
      </c>
      <c r="B124" s="124" t="str">
        <f>'A) Base RI'!B120</f>
        <v>Paudex</v>
      </c>
      <c r="C124" s="14">
        <f>'A) Base RI'!AN120</f>
        <v>1485</v>
      </c>
      <c r="D124" s="41">
        <f>'C) Prél. conj.'!H118</f>
        <v>24434.11</v>
      </c>
      <c r="E124" s="19">
        <f>'D) Ecrêtage'!L118</f>
        <v>1988665.6293455698</v>
      </c>
      <c r="F124" s="52">
        <f>$F$10*'D) Ecrêtage'!M118</f>
        <v>1730940.6361072839</v>
      </c>
      <c r="G124" s="75">
        <f t="shared" si="2"/>
        <v>3744040.3754528537</v>
      </c>
    </row>
    <row r="125" spans="1:7" x14ac:dyDescent="0.25">
      <c r="A125" s="61">
        <f>'A) Base RI'!A121</f>
        <v>5589</v>
      </c>
      <c r="B125" s="124" t="str">
        <f>'A) Base RI'!B121</f>
        <v>Prilly</v>
      </c>
      <c r="C125" s="14">
        <f>'A) Base RI'!AN121</f>
        <v>11782</v>
      </c>
      <c r="D125" s="41">
        <f>'C) Prél. conj.'!H119</f>
        <v>1742240.58</v>
      </c>
      <c r="E125" s="19">
        <f>'D) Ecrêtage'!L119</f>
        <v>0</v>
      </c>
      <c r="F125" s="52">
        <f>$F$10*'D) Ecrêtage'!M119</f>
        <v>6644980.0235101366</v>
      </c>
      <c r="G125" s="75">
        <f t="shared" si="2"/>
        <v>8387220.6035101367</v>
      </c>
    </row>
    <row r="126" spans="1:7" x14ac:dyDescent="0.25">
      <c r="A126" s="61">
        <f>'A) Base RI'!A122</f>
        <v>5590</v>
      </c>
      <c r="B126" s="124" t="str">
        <f>'A) Base RI'!B122</f>
        <v>Pully</v>
      </c>
      <c r="C126" s="14">
        <f>'A) Base RI'!AN122</f>
        <v>17811</v>
      </c>
      <c r="D126" s="41">
        <f>'C) Prél. conj.'!H120</f>
        <v>5650311.875</v>
      </c>
      <c r="E126" s="19">
        <f>'D) Ecrêtage'!L120</f>
        <v>9673877.6192345805</v>
      </c>
      <c r="F126" s="52">
        <f>$F$10*'D) Ecrêtage'!M120</f>
        <v>17432877.059300311</v>
      </c>
      <c r="G126" s="75">
        <f t="shared" si="2"/>
        <v>32757066.553534891</v>
      </c>
    </row>
    <row r="127" spans="1:7" x14ac:dyDescent="0.25">
      <c r="A127" s="61">
        <f>'A) Base RI'!A123</f>
        <v>5591</v>
      </c>
      <c r="B127" s="124" t="str">
        <f>'A) Base RI'!B123</f>
        <v>Renens</v>
      </c>
      <c r="C127" s="14">
        <f>'A) Base RI'!AN123</f>
        <v>20362</v>
      </c>
      <c r="D127" s="41">
        <f>'C) Prél. conj.'!H121</f>
        <v>1170371.6850000001</v>
      </c>
      <c r="E127" s="19">
        <f>'D) Ecrêtage'!L121</f>
        <v>0</v>
      </c>
      <c r="F127" s="52">
        <f>$F$10*'D) Ecrêtage'!M121</f>
        <v>7858976.1580259372</v>
      </c>
      <c r="G127" s="75">
        <f t="shared" si="2"/>
        <v>9029347.8430259377</v>
      </c>
    </row>
    <row r="128" spans="1:7" x14ac:dyDescent="0.25">
      <c r="A128" s="61">
        <f>'A) Base RI'!A124</f>
        <v>5592</v>
      </c>
      <c r="B128" s="124" t="str">
        <f>'A) Base RI'!B124</f>
        <v>Romanel-sur-Lausanne</v>
      </c>
      <c r="C128" s="14">
        <f>'A) Base RI'!AN124</f>
        <v>3351</v>
      </c>
      <c r="D128" s="41">
        <f>'C) Prél. conj.'!H122</f>
        <v>496984.53</v>
      </c>
      <c r="E128" s="19">
        <f>'D) Ecrêtage'!L122</f>
        <v>0</v>
      </c>
      <c r="F128" s="52">
        <f>$F$10*'D) Ecrêtage'!M122</f>
        <v>1584653.3854070054</v>
      </c>
      <c r="G128" s="75">
        <f t="shared" si="2"/>
        <v>2081637.9154070055</v>
      </c>
    </row>
    <row r="129" spans="1:7" x14ac:dyDescent="0.25">
      <c r="A129" s="61">
        <f>'A) Base RI'!A125</f>
        <v>5601</v>
      </c>
      <c r="B129" s="124" t="str">
        <f>'A) Base RI'!B125</f>
        <v>Chexbres</v>
      </c>
      <c r="C129" s="14">
        <f>'A) Base RI'!AN125</f>
        <v>2218</v>
      </c>
      <c r="D129" s="41">
        <f>'C) Prél. conj.'!H123</f>
        <v>325987.3</v>
      </c>
      <c r="E129" s="19">
        <f>'D) Ecrêtage'!L123</f>
        <v>0</v>
      </c>
      <c r="F129" s="52">
        <f>$F$10*'D) Ecrêtage'!M123</f>
        <v>1501322.551803472</v>
      </c>
      <c r="G129" s="75">
        <f t="shared" si="2"/>
        <v>1827309.851803472</v>
      </c>
    </row>
    <row r="130" spans="1:7" x14ac:dyDescent="0.25">
      <c r="A130" s="61">
        <f>'A) Base RI'!A126</f>
        <v>5604</v>
      </c>
      <c r="B130" s="124" t="str">
        <f>'A) Base RI'!B126</f>
        <v>Forel (Lavaux)</v>
      </c>
      <c r="C130" s="14">
        <f>'A) Base RI'!AN126</f>
        <v>2085</v>
      </c>
      <c r="D130" s="41">
        <f>'C) Prél. conj.'!H124</f>
        <v>141138.11499999999</v>
      </c>
      <c r="E130" s="19">
        <f>'D) Ecrêtage'!L124</f>
        <v>0</v>
      </c>
      <c r="F130" s="52">
        <f>$F$10*'D) Ecrêtage'!M124</f>
        <v>941457.12645731366</v>
      </c>
      <c r="G130" s="75">
        <f t="shared" si="2"/>
        <v>1082595.2414573138</v>
      </c>
    </row>
    <row r="131" spans="1:7" x14ac:dyDescent="0.25">
      <c r="A131" s="61">
        <f>'A) Base RI'!A127</f>
        <v>5606</v>
      </c>
      <c r="B131" s="124" t="str">
        <f>'A) Base RI'!B127</f>
        <v>Lutry</v>
      </c>
      <c r="C131" s="14">
        <f>'A) Base RI'!AN127</f>
        <v>9739</v>
      </c>
      <c r="D131" s="41">
        <f>'C) Prél. conj.'!H125</f>
        <v>3787165.5449999999</v>
      </c>
      <c r="E131" s="19">
        <f>'D) Ecrêtage'!L125</f>
        <v>4577548.1550532579</v>
      </c>
      <c r="F131" s="52">
        <f>$F$10*'D) Ecrêtage'!M125</f>
        <v>9494781.6290229484</v>
      </c>
      <c r="G131" s="75">
        <f t="shared" si="2"/>
        <v>17859495.329076208</v>
      </c>
    </row>
    <row r="132" spans="1:7" x14ac:dyDescent="0.25">
      <c r="A132" s="61">
        <f>'A) Base RI'!A128</f>
        <v>5607</v>
      </c>
      <c r="B132" s="124" t="str">
        <f>'A) Base RI'!B128</f>
        <v>Puidoux</v>
      </c>
      <c r="C132" s="14">
        <f>'A) Base RI'!AN128</f>
        <v>2858</v>
      </c>
      <c r="D132" s="41">
        <f>'C) Prél. conj.'!H126</f>
        <v>257998.73</v>
      </c>
      <c r="E132" s="19">
        <f>'D) Ecrêtage'!L126</f>
        <v>0</v>
      </c>
      <c r="F132" s="52">
        <f>$F$10*'D) Ecrêtage'!M126</f>
        <v>1449410.3440650967</v>
      </c>
      <c r="G132" s="75">
        <f t="shared" si="2"/>
        <v>1707409.0740650967</v>
      </c>
    </row>
    <row r="133" spans="1:7" x14ac:dyDescent="0.25">
      <c r="A133" s="61">
        <f>'A) Base RI'!A129</f>
        <v>5609</v>
      </c>
      <c r="B133" s="124" t="str">
        <f>'A) Base RI'!B129</f>
        <v>Rivaz</v>
      </c>
      <c r="C133" s="14">
        <f>'A) Base RI'!AN129</f>
        <v>360</v>
      </c>
      <c r="D133" s="41">
        <f>'C) Prél. conj.'!H127</f>
        <v>51339.424999999996</v>
      </c>
      <c r="E133" s="19">
        <f>'D) Ecrêtage'!L127</f>
        <v>0</v>
      </c>
      <c r="F133" s="52">
        <f>$F$10*'D) Ecrêtage'!M127</f>
        <v>231679.33193363727</v>
      </c>
      <c r="G133" s="75">
        <f t="shared" si="2"/>
        <v>283018.75693363725</v>
      </c>
    </row>
    <row r="134" spans="1:7" x14ac:dyDescent="0.25">
      <c r="A134" s="61">
        <f>'A) Base RI'!A130</f>
        <v>5610</v>
      </c>
      <c r="B134" s="124" t="str">
        <f>'A) Base RI'!B130</f>
        <v>St-Saphorin (Lavaux)</v>
      </c>
      <c r="C134" s="14">
        <f>'A) Base RI'!AN130</f>
        <v>383</v>
      </c>
      <c r="D134" s="41">
        <f>'C) Prél. conj.'!H128</f>
        <v>25961.574999999997</v>
      </c>
      <c r="E134" s="19">
        <f>'D) Ecrêtage'!L128</f>
        <v>0</v>
      </c>
      <c r="F134" s="52">
        <f>$F$10*'D) Ecrêtage'!M128</f>
        <v>301406.86586933275</v>
      </c>
      <c r="G134" s="75">
        <f t="shared" si="2"/>
        <v>327368.44086933276</v>
      </c>
    </row>
    <row r="135" spans="1:7" x14ac:dyDescent="0.25">
      <c r="A135" s="61">
        <f>'A) Base RI'!A131</f>
        <v>5611</v>
      </c>
      <c r="B135" s="124" t="str">
        <f>'A) Base RI'!B131</f>
        <v>Savigny</v>
      </c>
      <c r="C135" s="14">
        <f>'A) Base RI'!AN131</f>
        <v>3304</v>
      </c>
      <c r="D135" s="41">
        <f>'C) Prél. conj.'!H129</f>
        <v>437330.96500000003</v>
      </c>
      <c r="E135" s="19">
        <f>'D) Ecrêtage'!L129</f>
        <v>0</v>
      </c>
      <c r="F135" s="52">
        <f>$F$10*'D) Ecrêtage'!M129</f>
        <v>1872610.9444805444</v>
      </c>
      <c r="G135" s="75">
        <f t="shared" si="2"/>
        <v>2309941.9094805443</v>
      </c>
    </row>
    <row r="136" spans="1:7" x14ac:dyDescent="0.25">
      <c r="A136" s="61">
        <f>'A) Base RI'!A132</f>
        <v>5613</v>
      </c>
      <c r="B136" s="124" t="str">
        <f>'A) Base RI'!B132</f>
        <v>Bourg-en-Lavaux</v>
      </c>
      <c r="C136" s="14">
        <f>'A) Base RI'!AN132</f>
        <v>5247</v>
      </c>
      <c r="D136" s="41">
        <f>'C) Prél. conj.'!H130</f>
        <v>1322959.6850000001</v>
      </c>
      <c r="E136" s="19">
        <f>'D) Ecrêtage'!L130</f>
        <v>155178.03307661641</v>
      </c>
      <c r="F136" s="52">
        <f>$F$10*'D) Ecrêtage'!M130</f>
        <v>4212111.0842648186</v>
      </c>
      <c r="G136" s="75">
        <f t="shared" si="2"/>
        <v>5690248.8023414351</v>
      </c>
    </row>
    <row r="137" spans="1:7" x14ac:dyDescent="0.25">
      <c r="A137" s="61">
        <f>'A) Base RI'!A133</f>
        <v>5621</v>
      </c>
      <c r="B137" s="124" t="str">
        <f>'A) Base RI'!B133</f>
        <v>Aclens</v>
      </c>
      <c r="C137" s="14">
        <f>'A) Base RI'!AN133</f>
        <v>528</v>
      </c>
      <c r="D137" s="41">
        <f>'C) Prél. conj.'!H131</f>
        <v>124156.51999999999</v>
      </c>
      <c r="E137" s="19">
        <f>'D) Ecrêtage'!L131</f>
        <v>105318.81573237007</v>
      </c>
      <c r="F137" s="52">
        <f>$F$10*'D) Ecrêtage'!M131</f>
        <v>460716.84792638995</v>
      </c>
      <c r="G137" s="75">
        <f t="shared" si="2"/>
        <v>690192.18365876004</v>
      </c>
    </row>
    <row r="138" spans="1:7" x14ac:dyDescent="0.25">
      <c r="A138" s="61">
        <f>'A) Base RI'!A134</f>
        <v>5622</v>
      </c>
      <c r="B138" s="124" t="str">
        <f>'A) Base RI'!B134</f>
        <v>Bremblens</v>
      </c>
      <c r="C138" s="14">
        <f>'A) Base RI'!AN134</f>
        <v>511</v>
      </c>
      <c r="D138" s="41">
        <f>'C) Prél. conj.'!H132</f>
        <v>37543.01</v>
      </c>
      <c r="E138" s="19">
        <f>'D) Ecrêtage'!L132</f>
        <v>488.476504701625</v>
      </c>
      <c r="F138" s="52">
        <f>$F$10*'D) Ecrêtage'!M132</f>
        <v>404073.08684745821</v>
      </c>
      <c r="G138" s="75">
        <f t="shared" si="2"/>
        <v>442104.57335215982</v>
      </c>
    </row>
    <row r="139" spans="1:7" x14ac:dyDescent="0.25">
      <c r="A139" s="61">
        <f>'A) Base RI'!A135</f>
        <v>5623</v>
      </c>
      <c r="B139" s="124" t="str">
        <f>'A) Base RI'!B135</f>
        <v>Buchillon</v>
      </c>
      <c r="C139" s="14">
        <f>'A) Base RI'!AN135</f>
        <v>624</v>
      </c>
      <c r="D139" s="41">
        <f>'C) Prél. conj.'!H133</f>
        <v>306836.65999999997</v>
      </c>
      <c r="E139" s="19">
        <f>'D) Ecrêtage'!L133</f>
        <v>1369735.1340308341</v>
      </c>
      <c r="F139" s="52">
        <f>$F$10*'D) Ecrêtage'!M133</f>
        <v>865105.42477290251</v>
      </c>
      <c r="G139" s="75">
        <f t="shared" si="2"/>
        <v>2541677.2188037364</v>
      </c>
    </row>
    <row r="140" spans="1:7" x14ac:dyDescent="0.25">
      <c r="A140" s="61">
        <f>'A) Base RI'!A136</f>
        <v>5624</v>
      </c>
      <c r="B140" s="124" t="str">
        <f>'A) Base RI'!B136</f>
        <v>Bussigny</v>
      </c>
      <c r="C140" s="14">
        <f>'A) Base RI'!AN136</f>
        <v>8215</v>
      </c>
      <c r="D140" s="41">
        <f>'C) Prél. conj.'!H134</f>
        <v>2619725.1599999997</v>
      </c>
      <c r="E140" s="19">
        <f>'D) Ecrêtage'!L134</f>
        <v>0</v>
      </c>
      <c r="F140" s="52">
        <f>$F$10*'D) Ecrêtage'!M134</f>
        <v>4486004.306705323</v>
      </c>
      <c r="G140" s="75">
        <f t="shared" si="2"/>
        <v>7105729.4667053223</v>
      </c>
    </row>
    <row r="141" spans="1:7" x14ac:dyDescent="0.25">
      <c r="A141" s="61">
        <f>'A) Base RI'!A137</f>
        <v>5625</v>
      </c>
      <c r="B141" s="124" t="str">
        <f>'A) Base RI'!B137</f>
        <v>Bussy-Chardonney</v>
      </c>
      <c r="C141" s="14">
        <f>'A) Base RI'!AN137</f>
        <v>377</v>
      </c>
      <c r="D141" s="41">
        <f>'C) Prél. conj.'!H135</f>
        <v>51607.85</v>
      </c>
      <c r="E141" s="19">
        <f>'D) Ecrêtage'!L135</f>
        <v>0</v>
      </c>
      <c r="F141" s="52">
        <f>$F$10*'D) Ecrêtage'!M135</f>
        <v>232403.19731888775</v>
      </c>
      <c r="G141" s="75">
        <f t="shared" si="2"/>
        <v>284011.04731888772</v>
      </c>
    </row>
    <row r="142" spans="1:7" x14ac:dyDescent="0.25">
      <c r="A142" s="61">
        <f>'A) Base RI'!A138</f>
        <v>5627</v>
      </c>
      <c r="B142" s="124" t="str">
        <f>'A) Base RI'!B138</f>
        <v>Chavannes-près-Renens</v>
      </c>
      <c r="C142" s="14">
        <f>'A) Base RI'!AN138</f>
        <v>7374</v>
      </c>
      <c r="D142" s="41">
        <f>'C) Prél. conj.'!H136</f>
        <v>319737.3</v>
      </c>
      <c r="E142" s="19">
        <f>'D) Ecrêtage'!L136</f>
        <v>0</v>
      </c>
      <c r="F142" s="52">
        <f>$F$10*'D) Ecrêtage'!M136</f>
        <v>2335323.3375971904</v>
      </c>
      <c r="G142" s="75">
        <f t="shared" si="2"/>
        <v>2655060.6375971902</v>
      </c>
    </row>
    <row r="143" spans="1:7" x14ac:dyDescent="0.25">
      <c r="A143" s="61">
        <f>'A) Base RI'!A139</f>
        <v>5628</v>
      </c>
      <c r="B143" s="124" t="str">
        <f>'A) Base RI'!B139</f>
        <v>Chigny</v>
      </c>
      <c r="C143" s="14">
        <f>'A) Base RI'!AN139</f>
        <v>331</v>
      </c>
      <c r="D143" s="41">
        <f>'C) Prél. conj.'!H137</f>
        <v>1390.9349999999999</v>
      </c>
      <c r="E143" s="19">
        <f>'D) Ecrêtage'!L137</f>
        <v>19168.540539455837</v>
      </c>
      <c r="F143" s="52">
        <f>$F$10*'D) Ecrêtage'!M137</f>
        <v>269514.02421124576</v>
      </c>
      <c r="G143" s="75">
        <f t="shared" si="2"/>
        <v>290073.49975070159</v>
      </c>
    </row>
    <row r="144" spans="1:7" x14ac:dyDescent="0.25">
      <c r="A144" s="61">
        <f>'A) Base RI'!A140</f>
        <v>5629</v>
      </c>
      <c r="B144" s="124" t="str">
        <f>'A) Base RI'!B140</f>
        <v>Clarmont</v>
      </c>
      <c r="C144" s="14">
        <f>'A) Base RI'!AN140</f>
        <v>160</v>
      </c>
      <c r="D144" s="41">
        <f>'C) Prél. conj.'!H138</f>
        <v>10618</v>
      </c>
      <c r="E144" s="19">
        <f>'D) Ecrêtage'!L138</f>
        <v>0</v>
      </c>
      <c r="F144" s="52">
        <f>$F$10*'D) Ecrêtage'!M138</f>
        <v>108953.14981852791</v>
      </c>
      <c r="G144" s="75">
        <f t="shared" si="2"/>
        <v>119571.14981852791</v>
      </c>
    </row>
    <row r="145" spans="1:7" x14ac:dyDescent="0.25">
      <c r="A145" s="61">
        <f>'A) Base RI'!A141</f>
        <v>5631</v>
      </c>
      <c r="B145" s="124" t="str">
        <f>'A) Base RI'!B141</f>
        <v>Denens</v>
      </c>
      <c r="C145" s="14">
        <f>'A) Base RI'!AN141</f>
        <v>714</v>
      </c>
      <c r="D145" s="41">
        <f>'C) Prél. conj.'!H139</f>
        <v>274075.22499999998</v>
      </c>
      <c r="E145" s="19">
        <f>'D) Ecrêtage'!L139</f>
        <v>0</v>
      </c>
      <c r="F145" s="52">
        <f>$F$10*'D) Ecrêtage'!M139</f>
        <v>491723.51448828197</v>
      </c>
      <c r="G145" s="75">
        <f t="shared" si="2"/>
        <v>765798.73948828201</v>
      </c>
    </row>
    <row r="146" spans="1:7" x14ac:dyDescent="0.25">
      <c r="A146" s="61">
        <f>'A) Base RI'!A142</f>
        <v>5632</v>
      </c>
      <c r="B146" s="124" t="str">
        <f>'A) Base RI'!B142</f>
        <v>Denges</v>
      </c>
      <c r="C146" s="14">
        <f>'A) Base RI'!AN142</f>
        <v>1651</v>
      </c>
      <c r="D146" s="41">
        <f>'C) Prél. conj.'!H140</f>
        <v>144891.66</v>
      </c>
      <c r="E146" s="19">
        <f>'D) Ecrêtage'!L140</f>
        <v>0</v>
      </c>
      <c r="F146" s="52">
        <f>$F$10*'D) Ecrêtage'!M140</f>
        <v>1014527.9751718536</v>
      </c>
      <c r="G146" s="75">
        <f t="shared" si="2"/>
        <v>1159419.6351718535</v>
      </c>
    </row>
    <row r="147" spans="1:7" x14ac:dyDescent="0.25">
      <c r="A147" s="61">
        <f>'A) Base RI'!A143</f>
        <v>5633</v>
      </c>
      <c r="B147" s="124" t="str">
        <f>'A) Base RI'!B143</f>
        <v>Echandens</v>
      </c>
      <c r="C147" s="14">
        <f>'A) Base RI'!AN143</f>
        <v>2631</v>
      </c>
      <c r="D147" s="41">
        <f>'C) Prél. conj.'!H141</f>
        <v>336984.005</v>
      </c>
      <c r="E147" s="19">
        <f>'D) Ecrêtage'!L141</f>
        <v>0</v>
      </c>
      <c r="F147" s="52">
        <f>$F$10*'D) Ecrêtage'!M141</f>
        <v>1767723.815975297</v>
      </c>
      <c r="G147" s="75">
        <f t="shared" si="2"/>
        <v>2104707.8209752971</v>
      </c>
    </row>
    <row r="148" spans="1:7" x14ac:dyDescent="0.25">
      <c r="A148" s="61">
        <f>'A) Base RI'!A144</f>
        <v>5634</v>
      </c>
      <c r="B148" s="124" t="str">
        <f>'A) Base RI'!B144</f>
        <v>Echichens</v>
      </c>
      <c r="C148" s="14">
        <f>'A) Base RI'!AN144</f>
        <v>2585</v>
      </c>
      <c r="D148" s="41">
        <f>'C) Prél. conj.'!H142</f>
        <v>252404.88</v>
      </c>
      <c r="E148" s="19">
        <f>'D) Ecrêtage'!L142</f>
        <v>0</v>
      </c>
      <c r="F148" s="52">
        <f>$F$10*'D) Ecrêtage'!M142</f>
        <v>1748277.3211922918</v>
      </c>
      <c r="G148" s="75">
        <f t="shared" si="2"/>
        <v>2000682.2011922919</v>
      </c>
    </row>
    <row r="149" spans="1:7" x14ac:dyDescent="0.25">
      <c r="A149" s="61">
        <f>'A) Base RI'!A145</f>
        <v>5635</v>
      </c>
      <c r="B149" s="124" t="str">
        <f>'A) Base RI'!B145</f>
        <v>Ecublens</v>
      </c>
      <c r="C149" s="14">
        <f>'A) Base RI'!AN145</f>
        <v>12288</v>
      </c>
      <c r="D149" s="41">
        <f>'C) Prél. conj.'!H143</f>
        <v>1050870.5099999998</v>
      </c>
      <c r="E149" s="19">
        <f>'D) Ecrêtage'!L143</f>
        <v>0</v>
      </c>
      <c r="F149" s="52">
        <f>$F$10*'D) Ecrêtage'!M143</f>
        <v>6755239.1089456482</v>
      </c>
      <c r="G149" s="75">
        <f t="shared" si="2"/>
        <v>7806109.618945648</v>
      </c>
    </row>
    <row r="150" spans="1:7" x14ac:dyDescent="0.25">
      <c r="A150" s="61">
        <f>'A) Base RI'!A146</f>
        <v>5636</v>
      </c>
      <c r="B150" s="124" t="str">
        <f>'A) Base RI'!B146</f>
        <v>Etoy</v>
      </c>
      <c r="C150" s="14">
        <f>'A) Base RI'!AN146</f>
        <v>2932</v>
      </c>
      <c r="D150" s="41">
        <f>'C) Prél. conj.'!H144</f>
        <v>458134.815</v>
      </c>
      <c r="E150" s="19">
        <f>'D) Ecrêtage'!L144</f>
        <v>0</v>
      </c>
      <c r="F150" s="52">
        <f>$F$10*'D) Ecrêtage'!M144</f>
        <v>2281681.229347208</v>
      </c>
      <c r="G150" s="75">
        <f t="shared" si="2"/>
        <v>2739816.044347208</v>
      </c>
    </row>
    <row r="151" spans="1:7" x14ac:dyDescent="0.25">
      <c r="A151" s="61">
        <f>'A) Base RI'!A147</f>
        <v>5637</v>
      </c>
      <c r="B151" s="124" t="str">
        <f>'A) Base RI'!B147</f>
        <v>Lavigny</v>
      </c>
      <c r="C151" s="14">
        <f>'A) Base RI'!AN147</f>
        <v>981</v>
      </c>
      <c r="D151" s="41">
        <f>'C) Prél. conj.'!H145</f>
        <v>197420.79499999998</v>
      </c>
      <c r="E151" s="19">
        <f>'D) Ecrêtage'!L145</f>
        <v>0</v>
      </c>
      <c r="F151" s="52">
        <f>$F$10*'D) Ecrêtage'!M145</f>
        <v>446558.49476317997</v>
      </c>
      <c r="G151" s="75">
        <f t="shared" si="2"/>
        <v>643979.28976317996</v>
      </c>
    </row>
    <row r="152" spans="1:7" x14ac:dyDescent="0.25">
      <c r="A152" s="61">
        <f>'A) Base RI'!A148</f>
        <v>5638</v>
      </c>
      <c r="B152" s="124" t="str">
        <f>'A) Base RI'!B148</f>
        <v>Lonay</v>
      </c>
      <c r="C152" s="14">
        <f>'A) Base RI'!AN148</f>
        <v>2536</v>
      </c>
      <c r="D152" s="41">
        <f>'C) Prél. conj.'!H146</f>
        <v>930985.87</v>
      </c>
      <c r="E152" s="19">
        <f>'D) Ecrêtage'!L146</f>
        <v>257240.57789576598</v>
      </c>
      <c r="F152" s="52">
        <f>$F$10*'D) Ecrêtage'!M146</f>
        <v>2123888.5678095599</v>
      </c>
      <c r="G152" s="75">
        <f t="shared" si="2"/>
        <v>3312115.0157053261</v>
      </c>
    </row>
    <row r="153" spans="1:7" x14ac:dyDescent="0.25">
      <c r="A153" s="61">
        <f>'A) Base RI'!A149</f>
        <v>5639</v>
      </c>
      <c r="B153" s="124" t="str">
        <f>'A) Base RI'!B149</f>
        <v>Lully</v>
      </c>
      <c r="C153" s="14">
        <f>'A) Base RI'!AN149</f>
        <v>760</v>
      </c>
      <c r="D153" s="41">
        <f>'C) Prél. conj.'!H147</f>
        <v>137429.375</v>
      </c>
      <c r="E153" s="19">
        <f>'D) Ecrêtage'!L147</f>
        <v>11360.849056952231</v>
      </c>
      <c r="F153" s="52">
        <f>$F$10*'D) Ecrêtage'!M147</f>
        <v>605446.50052416185</v>
      </c>
      <c r="G153" s="75">
        <f t="shared" si="2"/>
        <v>754236.72458111413</v>
      </c>
    </row>
    <row r="154" spans="1:7" x14ac:dyDescent="0.25">
      <c r="A154" s="61">
        <f>'A) Base RI'!A150</f>
        <v>5640</v>
      </c>
      <c r="B154" s="124" t="str">
        <f>'A) Base RI'!B150</f>
        <v>Lussy-sur-Morges</v>
      </c>
      <c r="C154" s="14">
        <f>'A) Base RI'!AN150</f>
        <v>646</v>
      </c>
      <c r="D154" s="41">
        <f>'C) Prél. conj.'!H148</f>
        <v>139373.5</v>
      </c>
      <c r="E154" s="19">
        <f>'D) Ecrêtage'!L148</f>
        <v>238292.40077123317</v>
      </c>
      <c r="F154" s="52">
        <f>$F$10*'D) Ecrêtage'!M148</f>
        <v>599241.01066206675</v>
      </c>
      <c r="G154" s="75">
        <f t="shared" si="2"/>
        <v>976906.91143329989</v>
      </c>
    </row>
    <row r="155" spans="1:7" x14ac:dyDescent="0.25">
      <c r="A155" s="61">
        <f>'A) Base RI'!A151</f>
        <v>5642</v>
      </c>
      <c r="B155" s="124" t="str">
        <f>'A) Base RI'!B151</f>
        <v>Morges</v>
      </c>
      <c r="C155" s="14">
        <f>'A) Base RI'!AN151</f>
        <v>15623</v>
      </c>
      <c r="D155" s="41">
        <f>'C) Prél. conj.'!H149</f>
        <v>3462768.09</v>
      </c>
      <c r="E155" s="19">
        <f>'D) Ecrêtage'!L149</f>
        <v>0</v>
      </c>
      <c r="F155" s="52">
        <f>$F$10*'D) Ecrêtage'!M149</f>
        <v>10280131.3849368</v>
      </c>
      <c r="G155" s="75">
        <f t="shared" si="2"/>
        <v>13742899.4749368</v>
      </c>
    </row>
    <row r="156" spans="1:7" x14ac:dyDescent="0.25">
      <c r="A156" s="61">
        <f>'A) Base RI'!A152</f>
        <v>5643</v>
      </c>
      <c r="B156" s="124" t="str">
        <f>'A) Base RI'!B152</f>
        <v>Préverenges</v>
      </c>
      <c r="C156" s="14">
        <f>'A) Base RI'!AN152</f>
        <v>5263</v>
      </c>
      <c r="D156" s="41">
        <f>'C) Prél. conj.'!H150</f>
        <v>459372.97499999998</v>
      </c>
      <c r="E156" s="19">
        <f>'D) Ecrêtage'!L150</f>
        <v>0</v>
      </c>
      <c r="F156" s="52">
        <f>$F$10*'D) Ecrêtage'!M150</f>
        <v>3589574.6377609475</v>
      </c>
      <c r="G156" s="75">
        <f t="shared" si="2"/>
        <v>4048947.6127609476</v>
      </c>
    </row>
    <row r="157" spans="1:7" x14ac:dyDescent="0.25">
      <c r="A157" s="61">
        <f>'A) Base RI'!A153</f>
        <v>5644</v>
      </c>
      <c r="B157" s="124" t="str">
        <f>'A) Base RI'!B153</f>
        <v>Reverolle</v>
      </c>
      <c r="C157" s="14">
        <f>'A) Base RI'!AN153</f>
        <v>360</v>
      </c>
      <c r="D157" s="41">
        <f>'C) Prél. conj.'!H151</f>
        <v>50990.68</v>
      </c>
      <c r="E157" s="19">
        <f>'D) Ecrêtage'!L151</f>
        <v>0</v>
      </c>
      <c r="F157" s="52">
        <f>$F$10*'D) Ecrêtage'!M151</f>
        <v>224100.69627569403</v>
      </c>
      <c r="G157" s="75">
        <f t="shared" si="2"/>
        <v>275091.37627569406</v>
      </c>
    </row>
    <row r="158" spans="1:7" x14ac:dyDescent="0.25">
      <c r="A158" s="61">
        <f>'A) Base RI'!A154</f>
        <v>5645</v>
      </c>
      <c r="B158" s="124" t="str">
        <f>'A) Base RI'!B154</f>
        <v>Romanel-sur-Morges</v>
      </c>
      <c r="C158" s="14">
        <f>'A) Base RI'!AN154</f>
        <v>459</v>
      </c>
      <c r="D158" s="41">
        <f>'C) Prél. conj.'!H152</f>
        <v>36648.205000000002</v>
      </c>
      <c r="E158" s="19">
        <f>'D) Ecrêtage'!L152</f>
        <v>2680.265518651755</v>
      </c>
      <c r="F158" s="52">
        <f>$F$10*'D) Ecrêtage'!M152</f>
        <v>364006.99278906675</v>
      </c>
      <c r="G158" s="75">
        <f t="shared" si="2"/>
        <v>403335.46330771851</v>
      </c>
    </row>
    <row r="159" spans="1:7" x14ac:dyDescent="0.25">
      <c r="A159" s="61">
        <f>'A) Base RI'!A155</f>
        <v>5646</v>
      </c>
      <c r="B159" s="124" t="str">
        <f>'A) Base RI'!B155</f>
        <v>Saint-Prex</v>
      </c>
      <c r="C159" s="14">
        <f>'A) Base RI'!AN155</f>
        <v>5604</v>
      </c>
      <c r="D159" s="41">
        <f>'C) Prél. conj.'!H153</f>
        <v>1617239.575</v>
      </c>
      <c r="E159" s="19">
        <f>'D) Ecrêtage'!L153</f>
        <v>0</v>
      </c>
      <c r="F159" s="52">
        <f>$F$10*'D) Ecrêtage'!M153</f>
        <v>4416205.5887133339</v>
      </c>
      <c r="G159" s="75">
        <f t="shared" si="2"/>
        <v>6033445.1637133341</v>
      </c>
    </row>
    <row r="160" spans="1:7" x14ac:dyDescent="0.25">
      <c r="A160" s="61">
        <f>'A) Base RI'!A156</f>
        <v>5648</v>
      </c>
      <c r="B160" s="124" t="str">
        <f>'A) Base RI'!B156</f>
        <v>Saint-Sulpice</v>
      </c>
      <c r="C160" s="14">
        <f>'A) Base RI'!AN156</f>
        <v>3898</v>
      </c>
      <c r="D160" s="41">
        <f>'C) Prél. conj.'!H154</f>
        <v>1312073.655</v>
      </c>
      <c r="E160" s="19">
        <f>'D) Ecrêtage'!L154</f>
        <v>2056589.2363587562</v>
      </c>
      <c r="F160" s="52">
        <f>$F$10*'D) Ecrêtage'!M154</f>
        <v>3879126.9436948099</v>
      </c>
      <c r="G160" s="75">
        <f t="shared" si="2"/>
        <v>7247789.8350535659</v>
      </c>
    </row>
    <row r="161" spans="1:7" x14ac:dyDescent="0.25">
      <c r="A161" s="61">
        <f>'A) Base RI'!A157</f>
        <v>5649</v>
      </c>
      <c r="B161" s="124" t="str">
        <f>'A) Base RI'!B157</f>
        <v>Tolochenaz</v>
      </c>
      <c r="C161" s="14">
        <f>'A) Base RI'!AN157</f>
        <v>1855</v>
      </c>
      <c r="D161" s="41">
        <f>'C) Prél. conj.'!H155</f>
        <v>325808.22499999998</v>
      </c>
      <c r="E161" s="19">
        <f>'D) Ecrêtage'!L155</f>
        <v>171579.90701475454</v>
      </c>
      <c r="F161" s="52">
        <f>$F$10*'D) Ecrêtage'!M155</f>
        <v>1533590.3647957754</v>
      </c>
      <c r="G161" s="75">
        <f t="shared" si="2"/>
        <v>2030978.4968105298</v>
      </c>
    </row>
    <row r="162" spans="1:7" x14ac:dyDescent="0.25">
      <c r="A162" s="61">
        <f>'A) Base RI'!A158</f>
        <v>5650</v>
      </c>
      <c r="B162" s="124" t="str">
        <f>'A) Base RI'!B158</f>
        <v>Vaux-sur-Morges</v>
      </c>
      <c r="C162" s="14">
        <f>'A) Base RI'!AN158</f>
        <v>203</v>
      </c>
      <c r="D162" s="41">
        <f>'C) Prél. conj.'!H156</f>
        <v>35577.15</v>
      </c>
      <c r="E162" s="19">
        <f>'D) Ecrêtage'!L156</f>
        <v>4370854.7772929948</v>
      </c>
      <c r="F162" s="52">
        <f>$F$10*'D) Ecrêtage'!M156</f>
        <v>1048853.5579539184</v>
      </c>
      <c r="G162" s="75">
        <f t="shared" si="2"/>
        <v>5455285.4852469135</v>
      </c>
    </row>
    <row r="163" spans="1:7" x14ac:dyDescent="0.25">
      <c r="A163" s="61">
        <f>'A) Base RI'!A159</f>
        <v>5651</v>
      </c>
      <c r="B163" s="124" t="str">
        <f>'A) Base RI'!B159</f>
        <v>Villars-Sainte-Croix</v>
      </c>
      <c r="C163" s="14">
        <f>'A) Base RI'!AN159</f>
        <v>709</v>
      </c>
      <c r="D163" s="41">
        <f>'C) Prél. conj.'!H157</f>
        <v>263337.74</v>
      </c>
      <c r="E163" s="19">
        <f>'D) Ecrêtage'!L157</f>
        <v>0</v>
      </c>
      <c r="F163" s="52">
        <f>$F$10*'D) Ecrêtage'!M157</f>
        <v>543527.07616254548</v>
      </c>
      <c r="G163" s="75">
        <f t="shared" si="2"/>
        <v>806864.81616254547</v>
      </c>
    </row>
    <row r="164" spans="1:7" x14ac:dyDescent="0.25">
      <c r="A164" s="61">
        <f>'A) Base RI'!A160</f>
        <v>5652</v>
      </c>
      <c r="B164" s="124" t="str">
        <f>'A) Base RI'!B160</f>
        <v>Villars-sous-Yens</v>
      </c>
      <c r="C164" s="14">
        <f>'A) Base RI'!AN160</f>
        <v>564</v>
      </c>
      <c r="D164" s="41">
        <f>'C) Prél. conj.'!H158</f>
        <v>28307.879999999997</v>
      </c>
      <c r="E164" s="19">
        <f>'D) Ecrêtage'!L158</f>
        <v>0</v>
      </c>
      <c r="F164" s="52">
        <f>$F$10*'D) Ecrêtage'!M158</f>
        <v>339714.77315392875</v>
      </c>
      <c r="G164" s="75">
        <f t="shared" si="2"/>
        <v>368022.65315392875</v>
      </c>
    </row>
    <row r="165" spans="1:7" x14ac:dyDescent="0.25">
      <c r="A165" s="61">
        <f>'A) Base RI'!A161</f>
        <v>5653</v>
      </c>
      <c r="B165" s="124" t="str">
        <f>'A) Base RI'!B161</f>
        <v>Vufflens-le-Château</v>
      </c>
      <c r="C165" s="14">
        <f>'A) Base RI'!AN161</f>
        <v>821</v>
      </c>
      <c r="D165" s="41">
        <f>'C) Prél. conj.'!H159</f>
        <v>83364.31</v>
      </c>
      <c r="E165" s="19">
        <f>'D) Ecrêtage'!L159</f>
        <v>308651.00249662361</v>
      </c>
      <c r="F165" s="52">
        <f>$F$10*'D) Ecrêtage'!M159</f>
        <v>778835.998857092</v>
      </c>
      <c r="G165" s="75">
        <f t="shared" si="2"/>
        <v>1170851.3113537156</v>
      </c>
    </row>
    <row r="166" spans="1:7" x14ac:dyDescent="0.25">
      <c r="A166" s="61">
        <f>'A) Base RI'!A162</f>
        <v>5654</v>
      </c>
      <c r="B166" s="124" t="str">
        <f>'A) Base RI'!B162</f>
        <v>Vullierens</v>
      </c>
      <c r="C166" s="14">
        <f>'A) Base RI'!AN162</f>
        <v>460</v>
      </c>
      <c r="D166" s="41">
        <f>'C) Prél. conj.'!H160</f>
        <v>67534.100000000006</v>
      </c>
      <c r="E166" s="19">
        <f>'D) Ecrêtage'!L160</f>
        <v>0</v>
      </c>
      <c r="F166" s="52">
        <f>$F$10*'D) Ecrêtage'!M160</f>
        <v>243558.37214375284</v>
      </c>
      <c r="G166" s="75">
        <f t="shared" si="2"/>
        <v>311092.47214375285</v>
      </c>
    </row>
    <row r="167" spans="1:7" x14ac:dyDescent="0.25">
      <c r="A167" s="61">
        <f>'A) Base RI'!A163</f>
        <v>5655</v>
      </c>
      <c r="B167" s="124" t="str">
        <f>'A) Base RI'!B163</f>
        <v>Yens</v>
      </c>
      <c r="C167" s="14">
        <f>'A) Base RI'!AN163</f>
        <v>1405</v>
      </c>
      <c r="D167" s="41">
        <f>'C) Prél. conj.'!H161</f>
        <v>416280.31000000006</v>
      </c>
      <c r="E167" s="19">
        <f>'D) Ecrêtage'!L161</f>
        <v>0</v>
      </c>
      <c r="F167" s="52">
        <f>$F$10*'D) Ecrêtage'!M161</f>
        <v>978712.96559428249</v>
      </c>
      <c r="G167" s="75">
        <f t="shared" si="2"/>
        <v>1394993.2755942824</v>
      </c>
    </row>
    <row r="168" spans="1:7" x14ac:dyDescent="0.25">
      <c r="A168" s="61">
        <f>'A) Base RI'!A164</f>
        <v>5661</v>
      </c>
      <c r="B168" s="124" t="str">
        <f>'A) Base RI'!B164</f>
        <v>Boulens</v>
      </c>
      <c r="C168" s="14">
        <f>'A) Base RI'!AN164</f>
        <v>325</v>
      </c>
      <c r="D168" s="41">
        <f>'C) Prél. conj.'!H162</f>
        <v>18907.364999999998</v>
      </c>
      <c r="E168" s="19">
        <f>'D) Ecrêtage'!L162</f>
        <v>0</v>
      </c>
      <c r="F168" s="52">
        <f>$F$10*'D) Ecrêtage'!M162</f>
        <v>104578.5281089865</v>
      </c>
      <c r="G168" s="75">
        <f t="shared" si="2"/>
        <v>123485.89310898649</v>
      </c>
    </row>
    <row r="169" spans="1:7" x14ac:dyDescent="0.25">
      <c r="A169" s="61">
        <f>'A) Base RI'!A165</f>
        <v>5662</v>
      </c>
      <c r="B169" s="124" t="str">
        <f>'A) Base RI'!B165</f>
        <v>Brenles</v>
      </c>
      <c r="C169" s="14">
        <f>'A) Base RI'!AN165</f>
        <v>144</v>
      </c>
      <c r="D169" s="41">
        <f>'C) Prél. conj.'!H163</f>
        <v>8588.0499999999993</v>
      </c>
      <c r="E169" s="19">
        <f>'D) Ecrêtage'!L163</f>
        <v>0</v>
      </c>
      <c r="F169" s="52">
        <f>$F$10*'D) Ecrêtage'!M163</f>
        <v>67252.97193814558</v>
      </c>
      <c r="G169" s="75">
        <f t="shared" si="2"/>
        <v>75841.021938145583</v>
      </c>
    </row>
    <row r="170" spans="1:7" x14ac:dyDescent="0.25">
      <c r="A170" s="61">
        <f>'A) Base RI'!A166</f>
        <v>5663</v>
      </c>
      <c r="B170" s="124" t="str">
        <f>'A) Base RI'!B166</f>
        <v>Bussy-sur-Moudon</v>
      </c>
      <c r="C170" s="14">
        <f>'A) Base RI'!AN166</f>
        <v>198</v>
      </c>
      <c r="D170" s="41">
        <f>'C) Prél. conj.'!H164</f>
        <v>30763.65</v>
      </c>
      <c r="E170" s="19">
        <f>'D) Ecrêtage'!L164</f>
        <v>0</v>
      </c>
      <c r="F170" s="52">
        <f>$F$10*'D) Ecrêtage'!M164</f>
        <v>71837.955409483184</v>
      </c>
      <c r="G170" s="75">
        <f t="shared" si="2"/>
        <v>102601.60540948319</v>
      </c>
    </row>
    <row r="171" spans="1:7" x14ac:dyDescent="0.25">
      <c r="A171" s="61">
        <f>'A) Base RI'!A167</f>
        <v>5665</v>
      </c>
      <c r="B171" s="124" t="str">
        <f>'A) Base RI'!B167</f>
        <v>Chavannes-sur-Moudon</v>
      </c>
      <c r="C171" s="14">
        <f>'A) Base RI'!AN167</f>
        <v>224</v>
      </c>
      <c r="D171" s="41">
        <f>'C) Prél. conj.'!H165</f>
        <v>0</v>
      </c>
      <c r="E171" s="19">
        <f>'D) Ecrêtage'!L165</f>
        <v>0</v>
      </c>
      <c r="F171" s="52">
        <f>$F$10*'D) Ecrêtage'!M165</f>
        <v>69472.796097348735</v>
      </c>
      <c r="G171" s="75">
        <f t="shared" si="2"/>
        <v>69472.796097348735</v>
      </c>
    </row>
    <row r="172" spans="1:7" x14ac:dyDescent="0.25">
      <c r="A172" s="61">
        <f>'A) Base RI'!A168</f>
        <v>5666</v>
      </c>
      <c r="B172" s="124" t="str">
        <f>'A) Base RI'!B168</f>
        <v>Chesalles-sur-Moudon</v>
      </c>
      <c r="C172" s="14">
        <f>'A) Base RI'!AN168</f>
        <v>169</v>
      </c>
      <c r="D172" s="41">
        <f>'C) Prél. conj.'!H166</f>
        <v>2389.0749999999998</v>
      </c>
      <c r="E172" s="19">
        <f>'D) Ecrêtage'!L166</f>
        <v>0</v>
      </c>
      <c r="F172" s="52">
        <f>$F$10*'D) Ecrêtage'!M166</f>
        <v>51176.016930635466</v>
      </c>
      <c r="G172" s="75">
        <f t="shared" si="2"/>
        <v>53565.091930635463</v>
      </c>
    </row>
    <row r="173" spans="1:7" x14ac:dyDescent="0.25">
      <c r="A173" s="61">
        <f>'A) Base RI'!A169</f>
        <v>5668</v>
      </c>
      <c r="B173" s="124" t="str">
        <f>'A) Base RI'!B169</f>
        <v>Cremin</v>
      </c>
      <c r="C173" s="14">
        <f>'A) Base RI'!AN169</f>
        <v>58</v>
      </c>
      <c r="D173" s="41">
        <f>'C) Prél. conj.'!H167</f>
        <v>0</v>
      </c>
      <c r="E173" s="19">
        <f>'D) Ecrêtage'!L167</f>
        <v>0</v>
      </c>
      <c r="F173" s="52">
        <f>$F$10*'D) Ecrêtage'!M167</f>
        <v>12975.802860199876</v>
      </c>
      <c r="G173" s="75">
        <f t="shared" si="2"/>
        <v>12975.802860199876</v>
      </c>
    </row>
    <row r="174" spans="1:7" x14ac:dyDescent="0.25">
      <c r="A174" s="61">
        <f>'A) Base RI'!A170</f>
        <v>5669</v>
      </c>
      <c r="B174" s="124" t="str">
        <f>'A) Base RI'!B170</f>
        <v>Curtilles</v>
      </c>
      <c r="C174" s="14">
        <f>'A) Base RI'!AN170</f>
        <v>311</v>
      </c>
      <c r="D174" s="41">
        <f>'C) Prél. conj.'!H168</f>
        <v>43047.525000000001</v>
      </c>
      <c r="E174" s="19">
        <f>'D) Ecrêtage'!L168</f>
        <v>0</v>
      </c>
      <c r="F174" s="52">
        <f>$F$10*'D) Ecrêtage'!M168</f>
        <v>125132.53137706354</v>
      </c>
      <c r="G174" s="75">
        <f t="shared" si="2"/>
        <v>168180.05637706353</v>
      </c>
    </row>
    <row r="175" spans="1:7" x14ac:dyDescent="0.25">
      <c r="A175" s="61">
        <f>'A) Base RI'!A171</f>
        <v>5671</v>
      </c>
      <c r="B175" s="124" t="str">
        <f>'A) Base RI'!B171</f>
        <v>Dompierre</v>
      </c>
      <c r="C175" s="14">
        <f>'A) Base RI'!AN171</f>
        <v>247</v>
      </c>
      <c r="D175" s="41">
        <f>'C) Prél. conj.'!H169</f>
        <v>30854.149999999998</v>
      </c>
      <c r="E175" s="19">
        <f>'D) Ecrêtage'!L169</f>
        <v>0</v>
      </c>
      <c r="F175" s="52">
        <f>$F$10*'D) Ecrêtage'!M169</f>
        <v>89478.638531817531</v>
      </c>
      <c r="G175" s="75">
        <f t="shared" si="2"/>
        <v>120332.78853181752</v>
      </c>
    </row>
    <row r="176" spans="1:7" x14ac:dyDescent="0.25">
      <c r="A176" s="61">
        <f>'A) Base RI'!A172</f>
        <v>5672</v>
      </c>
      <c r="B176" s="124" t="str">
        <f>'A) Base RI'!B172</f>
        <v>Forel-sur-Lucens</v>
      </c>
      <c r="C176" s="14">
        <f>'A) Base RI'!AN172</f>
        <v>154</v>
      </c>
      <c r="D176" s="41">
        <f>'C) Prél. conj.'!H170</f>
        <v>0</v>
      </c>
      <c r="E176" s="19">
        <f>'D) Ecrêtage'!L170</f>
        <v>0</v>
      </c>
      <c r="F176" s="52">
        <f>$F$10*'D) Ecrêtage'!M170</f>
        <v>62149.820227540586</v>
      </c>
      <c r="G176" s="75">
        <f t="shared" si="2"/>
        <v>62149.820227540586</v>
      </c>
    </row>
    <row r="177" spans="1:7" x14ac:dyDescent="0.25">
      <c r="A177" s="61">
        <f>'A) Base RI'!A173</f>
        <v>5673</v>
      </c>
      <c r="B177" s="124" t="str">
        <f>'A) Base RI'!B173</f>
        <v>Hermenches</v>
      </c>
      <c r="C177" s="14">
        <f>'A) Base RI'!AN173</f>
        <v>382</v>
      </c>
      <c r="D177" s="41">
        <f>'C) Prél. conj.'!H171</f>
        <v>30671.174999999999</v>
      </c>
      <c r="E177" s="19">
        <f>'D) Ecrêtage'!L171</f>
        <v>0</v>
      </c>
      <c r="F177" s="52">
        <f>$F$10*'D) Ecrêtage'!M171</f>
        <v>127237.68352793476</v>
      </c>
      <c r="G177" s="75">
        <f t="shared" ref="G177:G232" si="3">D177+F177+E177</f>
        <v>157908.85852793476</v>
      </c>
    </row>
    <row r="178" spans="1:7" x14ac:dyDescent="0.25">
      <c r="A178" s="61">
        <f>'A) Base RI'!A174</f>
        <v>5674</v>
      </c>
      <c r="B178" s="124" t="str">
        <f>'A) Base RI'!B174</f>
        <v>Lovatens</v>
      </c>
      <c r="C178" s="14">
        <f>'A) Base RI'!AN174</f>
        <v>151</v>
      </c>
      <c r="D178" s="41">
        <f>'C) Prél. conj.'!H172</f>
        <v>1098.5</v>
      </c>
      <c r="E178" s="19">
        <f>'D) Ecrêtage'!L172</f>
        <v>0</v>
      </c>
      <c r="F178" s="52">
        <f>$F$10*'D) Ecrêtage'!M172</f>
        <v>48103.150403650136</v>
      </c>
      <c r="G178" s="75">
        <f t="shared" si="3"/>
        <v>49201.650403650136</v>
      </c>
    </row>
    <row r="179" spans="1:7" x14ac:dyDescent="0.25">
      <c r="A179" s="61">
        <f>'A) Base RI'!A175</f>
        <v>5675</v>
      </c>
      <c r="B179" s="124" t="str">
        <f>'A) Base RI'!B175</f>
        <v>Lucens</v>
      </c>
      <c r="C179" s="14">
        <f>'A) Base RI'!AN175</f>
        <v>3285</v>
      </c>
      <c r="D179" s="41">
        <f>'C) Prél. conj.'!H173</f>
        <v>439566.78499999992</v>
      </c>
      <c r="E179" s="19">
        <f>'D) Ecrêtage'!L173</f>
        <v>0</v>
      </c>
      <c r="F179" s="52">
        <f>$F$10*'D) Ecrêtage'!M173</f>
        <v>1100393.4010216154</v>
      </c>
      <c r="G179" s="75">
        <f t="shared" si="3"/>
        <v>1539960.1860216153</v>
      </c>
    </row>
    <row r="180" spans="1:7" x14ac:dyDescent="0.25">
      <c r="A180" s="61">
        <f>'A) Base RI'!A176</f>
        <v>5678</v>
      </c>
      <c r="B180" s="124" t="str">
        <f>'A) Base RI'!B176</f>
        <v>Moudon</v>
      </c>
      <c r="C180" s="14">
        <f>'A) Base RI'!AN176</f>
        <v>5770</v>
      </c>
      <c r="D180" s="41">
        <f>'C) Prél. conj.'!H174</f>
        <v>393334.755</v>
      </c>
      <c r="E180" s="19">
        <f>'D) Ecrêtage'!L174</f>
        <v>0</v>
      </c>
      <c r="F180" s="52">
        <f>$F$10*'D) Ecrêtage'!M174</f>
        <v>1754029.0468300651</v>
      </c>
      <c r="G180" s="75">
        <f t="shared" si="3"/>
        <v>2147363.801830065</v>
      </c>
    </row>
    <row r="181" spans="1:7" x14ac:dyDescent="0.25">
      <c r="A181" s="61">
        <f>'A) Base RI'!A177</f>
        <v>5680</v>
      </c>
      <c r="B181" s="124" t="str">
        <f>'A) Base RI'!B177</f>
        <v>Ogens</v>
      </c>
      <c r="C181" s="14">
        <f>'A) Base RI'!AN177</f>
        <v>283</v>
      </c>
      <c r="D181" s="41">
        <f>'C) Prél. conj.'!H175</f>
        <v>6650.7999999999993</v>
      </c>
      <c r="E181" s="19">
        <f>'D) Ecrêtage'!L175</f>
        <v>0</v>
      </c>
      <c r="F181" s="52">
        <f>$F$10*'D) Ecrêtage'!M175</f>
        <v>117308.96842737428</v>
      </c>
      <c r="G181" s="75">
        <f t="shared" si="3"/>
        <v>123959.76842737428</v>
      </c>
    </row>
    <row r="182" spans="1:7" x14ac:dyDescent="0.25">
      <c r="A182" s="61">
        <f>'A) Base RI'!A178</f>
        <v>5683</v>
      </c>
      <c r="B182" s="124" t="str">
        <f>'A) Base RI'!B178</f>
        <v>Prévonloup</v>
      </c>
      <c r="C182" s="14">
        <f>'A) Base RI'!AN178</f>
        <v>172</v>
      </c>
      <c r="D182" s="41">
        <f>'C) Prél. conj.'!H176</f>
        <v>7658.55</v>
      </c>
      <c r="E182" s="19">
        <f>'D) Ecrêtage'!L176</f>
        <v>0</v>
      </c>
      <c r="F182" s="52">
        <f>$F$10*'D) Ecrêtage'!M176</f>
        <v>51998.473638248033</v>
      </c>
      <c r="G182" s="75">
        <f t="shared" si="3"/>
        <v>59657.023638248036</v>
      </c>
    </row>
    <row r="183" spans="1:7" x14ac:dyDescent="0.25">
      <c r="A183" s="61">
        <f>'A) Base RI'!A179</f>
        <v>5684</v>
      </c>
      <c r="B183" s="124" t="str">
        <f>'A) Base RI'!B179</f>
        <v>Rossenges</v>
      </c>
      <c r="C183" s="14">
        <f>'A) Base RI'!AN179</f>
        <v>65</v>
      </c>
      <c r="D183" s="41">
        <f>'C) Prél. conj.'!H177</f>
        <v>0</v>
      </c>
      <c r="E183" s="19">
        <f>'D) Ecrêtage'!L177</f>
        <v>0</v>
      </c>
      <c r="F183" s="52">
        <f>$F$10*'D) Ecrêtage'!M177</f>
        <v>37531.133122091174</v>
      </c>
      <c r="G183" s="75">
        <f t="shared" si="3"/>
        <v>37531.133122091174</v>
      </c>
    </row>
    <row r="184" spans="1:7" x14ac:dyDescent="0.25">
      <c r="A184" s="61">
        <f>'A) Base RI'!A180</f>
        <v>5686</v>
      </c>
      <c r="B184" s="124" t="str">
        <f>'A) Base RI'!B180</f>
        <v>Sarzens</v>
      </c>
      <c r="C184" s="14">
        <f>'A) Base RI'!AN180</f>
        <v>80</v>
      </c>
      <c r="D184" s="41">
        <f>'C) Prél. conj.'!H178</f>
        <v>8821.8249999999989</v>
      </c>
      <c r="E184" s="19">
        <f>'D) Ecrêtage'!L178</f>
        <v>0</v>
      </c>
      <c r="F184" s="52">
        <f>$F$10*'D) Ecrêtage'!M178</f>
        <v>26689.989348053983</v>
      </c>
      <c r="G184" s="75">
        <f t="shared" si="3"/>
        <v>35511.81434805398</v>
      </c>
    </row>
    <row r="185" spans="1:7" x14ac:dyDescent="0.25">
      <c r="A185" s="61">
        <f>'A) Base RI'!A181</f>
        <v>5688</v>
      </c>
      <c r="B185" s="124" t="str">
        <f>'A) Base RI'!B181</f>
        <v>Syens</v>
      </c>
      <c r="C185" s="14">
        <f>'A) Base RI'!AN181</f>
        <v>139</v>
      </c>
      <c r="D185" s="41">
        <f>'C) Prél. conj.'!H179</f>
        <v>14136.625</v>
      </c>
      <c r="E185" s="19">
        <f>'D) Ecrêtage'!L179</f>
        <v>0</v>
      </c>
      <c r="F185" s="52">
        <f>$F$10*'D) Ecrêtage'!M179</f>
        <v>77392.495597926725</v>
      </c>
      <c r="G185" s="75">
        <f t="shared" si="3"/>
        <v>91529.120597926725</v>
      </c>
    </row>
    <row r="186" spans="1:7" x14ac:dyDescent="0.25">
      <c r="A186" s="61">
        <f>'A) Base RI'!A182</f>
        <v>5690</v>
      </c>
      <c r="B186" s="124" t="str">
        <f>'A) Base RI'!B182</f>
        <v>Villars-le-Comte</v>
      </c>
      <c r="C186" s="14">
        <f>'A) Base RI'!AN182</f>
        <v>150</v>
      </c>
      <c r="D186" s="41">
        <f>'C) Prél. conj.'!H180</f>
        <v>6711.625</v>
      </c>
      <c r="E186" s="19">
        <f>'D) Ecrêtage'!L180</f>
        <v>0</v>
      </c>
      <c r="F186" s="52">
        <f>$F$10*'D) Ecrêtage'!M180</f>
        <v>49840.994782335001</v>
      </c>
      <c r="G186" s="75">
        <f t="shared" si="3"/>
        <v>56552.619782335001</v>
      </c>
    </row>
    <row r="187" spans="1:7" x14ac:dyDescent="0.25">
      <c r="A187" s="61">
        <f>'A) Base RI'!A183</f>
        <v>5692</v>
      </c>
      <c r="B187" s="124" t="str">
        <f>'A) Base RI'!B183</f>
        <v>Vucherens</v>
      </c>
      <c r="C187" s="14">
        <f>'A) Base RI'!AN183</f>
        <v>543</v>
      </c>
      <c r="D187" s="41">
        <f>'C) Prél. conj.'!H181</f>
        <v>40576.385000000002</v>
      </c>
      <c r="E187" s="19">
        <f>'D) Ecrêtage'!L181</f>
        <v>0</v>
      </c>
      <c r="F187" s="52">
        <f>$F$10*'D) Ecrêtage'!M181</f>
        <v>217361.52981302066</v>
      </c>
      <c r="G187" s="75">
        <f t="shared" si="3"/>
        <v>257937.91481302067</v>
      </c>
    </row>
    <row r="188" spans="1:7" x14ac:dyDescent="0.25">
      <c r="A188" s="61">
        <f>'A) Base RI'!A184</f>
        <v>5693</v>
      </c>
      <c r="B188" s="124" t="str">
        <f>'A) Base RI'!B184</f>
        <v>Montanaire</v>
      </c>
      <c r="C188" s="14">
        <f>'A) Base RI'!AN184</f>
        <v>2421</v>
      </c>
      <c r="D188" s="41">
        <f>'C) Prél. conj.'!H182</f>
        <v>192111.88499999998</v>
      </c>
      <c r="E188" s="19">
        <f>'D) Ecrêtage'!L182</f>
        <v>0</v>
      </c>
      <c r="F188" s="52">
        <f>$F$10*'D) Ecrêtage'!M182</f>
        <v>905145.09169276024</v>
      </c>
      <c r="G188" s="75">
        <f>D188+F188+E188</f>
        <v>1097256.9766927601</v>
      </c>
    </row>
    <row r="189" spans="1:7" x14ac:dyDescent="0.25">
      <c r="A189" s="61">
        <f>'A) Base RI'!A185</f>
        <v>5701</v>
      </c>
      <c r="B189" s="124" t="str">
        <f>'A) Base RI'!B185</f>
        <v>Arnex-sur-Nyon</v>
      </c>
      <c r="C189" s="14">
        <f>'A) Base RI'!AN185</f>
        <v>208</v>
      </c>
      <c r="D189" s="41">
        <f>'C) Prél. conj.'!H183</f>
        <v>23796.400000000001</v>
      </c>
      <c r="E189" s="19">
        <f>'D) Ecrêtage'!L183</f>
        <v>69499.677956203042</v>
      </c>
      <c r="F189" s="52">
        <f>$F$10*'D) Ecrêtage'!M183</f>
        <v>191370.81571669926</v>
      </c>
      <c r="G189" s="75">
        <f>D189+F189+E189</f>
        <v>284666.89367290231</v>
      </c>
    </row>
    <row r="190" spans="1:7" x14ac:dyDescent="0.25">
      <c r="A190" s="61">
        <f>'A) Base RI'!A186</f>
        <v>5702</v>
      </c>
      <c r="B190" s="124" t="str">
        <f>'A) Base RI'!B186</f>
        <v>Arzier-Le Muids</v>
      </c>
      <c r="C190" s="14">
        <f>'A) Base RI'!AN186</f>
        <v>2506</v>
      </c>
      <c r="D190" s="41">
        <f>'C) Prél. conj.'!H184</f>
        <v>439686.06</v>
      </c>
      <c r="E190" s="19">
        <f>'D) Ecrêtage'!L184</f>
        <v>0</v>
      </c>
      <c r="F190" s="52">
        <f>$F$10*'D) Ecrêtage'!M184</f>
        <v>1973550.8914174889</v>
      </c>
      <c r="G190" s="75">
        <f t="shared" si="3"/>
        <v>2413236.951417489</v>
      </c>
    </row>
    <row r="191" spans="1:7" x14ac:dyDescent="0.25">
      <c r="A191" s="61">
        <f>'A) Base RI'!A187</f>
        <v>5703</v>
      </c>
      <c r="B191" s="124" t="str">
        <f>'A) Base RI'!B187</f>
        <v>Bassins</v>
      </c>
      <c r="C191" s="14">
        <f>'A) Base RI'!AN187</f>
        <v>1320</v>
      </c>
      <c r="D191" s="41">
        <f>'C) Prél. conj.'!H185</f>
        <v>116136.44</v>
      </c>
      <c r="E191" s="19">
        <f>'D) Ecrêtage'!L185</f>
        <v>0</v>
      </c>
      <c r="F191" s="52">
        <f>$F$10*'D) Ecrêtage'!M185</f>
        <v>741754.17777944985</v>
      </c>
      <c r="G191" s="75">
        <f t="shared" si="3"/>
        <v>857890.61777944979</v>
      </c>
    </row>
    <row r="192" spans="1:7" x14ac:dyDescent="0.25">
      <c r="A192" s="61">
        <f>'A) Base RI'!A188</f>
        <v>5704</v>
      </c>
      <c r="B192" s="124" t="str">
        <f>'A) Base RI'!B188</f>
        <v>Begnins</v>
      </c>
      <c r="C192" s="14">
        <f>'A) Base RI'!AN188</f>
        <v>1802</v>
      </c>
      <c r="D192" s="41">
        <f>'C) Prél. conj.'!H186</f>
        <v>1965822.095</v>
      </c>
      <c r="E192" s="19">
        <f>'D) Ecrêtage'!L186</f>
        <v>243128.79445890617</v>
      </c>
      <c r="F192" s="52">
        <f>$F$10*'D) Ecrêtage'!M186</f>
        <v>1516968.6686410881</v>
      </c>
      <c r="G192" s="75">
        <f t="shared" si="3"/>
        <v>3725919.5580999944</v>
      </c>
    </row>
    <row r="193" spans="1:7" x14ac:dyDescent="0.25">
      <c r="A193" s="61">
        <f>'A) Base RI'!A189</f>
        <v>5705</v>
      </c>
      <c r="B193" s="124" t="str">
        <f>'A) Base RI'!B189</f>
        <v>Bogis-Bossey</v>
      </c>
      <c r="C193" s="14">
        <f>'A) Base RI'!AN189</f>
        <v>830</v>
      </c>
      <c r="D193" s="41">
        <f>'C) Prél. conj.'!H187</f>
        <v>180760.11000000002</v>
      </c>
      <c r="E193" s="19">
        <f>'D) Ecrêtage'!L187</f>
        <v>86231.163147913918</v>
      </c>
      <c r="F193" s="52">
        <f>$F$10*'D) Ecrêtage'!M187</f>
        <v>690436.12750549812</v>
      </c>
      <c r="G193" s="75">
        <f t="shared" si="3"/>
        <v>957427.40065341198</v>
      </c>
    </row>
    <row r="194" spans="1:7" x14ac:dyDescent="0.25">
      <c r="A194" s="61">
        <f>'A) Base RI'!A190</f>
        <v>5706</v>
      </c>
      <c r="B194" s="124" t="str">
        <f>'A) Base RI'!B190</f>
        <v>Borex</v>
      </c>
      <c r="C194" s="14">
        <f>'A) Base RI'!AN190</f>
        <v>1049</v>
      </c>
      <c r="D194" s="41">
        <f>'C) Prél. conj.'!H188</f>
        <v>378857.245</v>
      </c>
      <c r="E194" s="19">
        <f>'D) Ecrêtage'!L188</f>
        <v>66694.981539060682</v>
      </c>
      <c r="F194" s="52">
        <f>$F$10*'D) Ecrêtage'!M188</f>
        <v>860087.43715351296</v>
      </c>
      <c r="G194" s="75">
        <f t="shared" si="3"/>
        <v>1305639.6636925736</v>
      </c>
    </row>
    <row r="195" spans="1:7" x14ac:dyDescent="0.25">
      <c r="A195" s="61">
        <f>'A) Base RI'!A191</f>
        <v>5707</v>
      </c>
      <c r="B195" s="124" t="str">
        <f>'A) Base RI'!B191</f>
        <v>Chavannes-de-Bogis</v>
      </c>
      <c r="C195" s="14">
        <f>'A) Base RI'!AN191</f>
        <v>1155</v>
      </c>
      <c r="D195" s="41">
        <f>'C) Prél. conj.'!H189</f>
        <v>187374.67499999999</v>
      </c>
      <c r="E195" s="19">
        <f>'D) Ecrêtage'!L189</f>
        <v>627476.38384581788</v>
      </c>
      <c r="F195" s="52">
        <f>$F$10*'D) Ecrêtage'!M189</f>
        <v>1141910.5535461667</v>
      </c>
      <c r="G195" s="75">
        <f t="shared" si="3"/>
        <v>1956761.6123919846</v>
      </c>
    </row>
    <row r="196" spans="1:7" x14ac:dyDescent="0.25">
      <c r="A196" s="61">
        <f>'A) Base RI'!A192</f>
        <v>5708</v>
      </c>
      <c r="B196" s="124" t="str">
        <f>'A) Base RI'!B192</f>
        <v>Chavannes-des-Bois</v>
      </c>
      <c r="C196" s="14">
        <f>'A) Base RI'!AN192</f>
        <v>807</v>
      </c>
      <c r="D196" s="41">
        <f>'C) Prél. conj.'!H190</f>
        <v>217399.19500000001</v>
      </c>
      <c r="E196" s="19">
        <f>'D) Ecrêtage'!L190</f>
        <v>425332.76881988207</v>
      </c>
      <c r="F196" s="52">
        <f>$F$10*'D) Ecrêtage'!M190</f>
        <v>790125.62458377506</v>
      </c>
      <c r="G196" s="75">
        <f t="shared" si="3"/>
        <v>1432857.5884036571</v>
      </c>
    </row>
    <row r="197" spans="1:7" x14ac:dyDescent="0.25">
      <c r="A197" s="61">
        <f>'A) Base RI'!A193</f>
        <v>5709</v>
      </c>
      <c r="B197" s="124" t="str">
        <f>'A) Base RI'!B193</f>
        <v>Chéserex</v>
      </c>
      <c r="C197" s="14">
        <f>'A) Base RI'!AN193</f>
        <v>1174</v>
      </c>
      <c r="D197" s="41">
        <f>'C) Prél. conj.'!H191</f>
        <v>72359.544999999998</v>
      </c>
      <c r="E197" s="19">
        <f>'D) Ecrêtage'!L191</f>
        <v>1865973.8057807207</v>
      </c>
      <c r="F197" s="52">
        <f>$F$10*'D) Ecrêtage'!M191</f>
        <v>1484956.9978067328</v>
      </c>
      <c r="G197" s="75">
        <f t="shared" si="3"/>
        <v>3423290.3485874534</v>
      </c>
    </row>
    <row r="198" spans="1:7" x14ac:dyDescent="0.25">
      <c r="A198" s="61">
        <f>'A) Base RI'!A194</f>
        <v>5710</v>
      </c>
      <c r="B198" s="124" t="str">
        <f>'A) Base RI'!B194</f>
        <v>Coinsins</v>
      </c>
      <c r="C198" s="14">
        <f>'A) Base RI'!AN194</f>
        <v>435</v>
      </c>
      <c r="D198" s="41">
        <f>'C) Prél. conj.'!H192</f>
        <v>132990.29999999999</v>
      </c>
      <c r="E198" s="19">
        <f>'D) Ecrêtage'!L192</f>
        <v>2166219.0167985046</v>
      </c>
      <c r="F198" s="52">
        <f>$F$10*'D) Ecrêtage'!M192</f>
        <v>860831.80151967308</v>
      </c>
      <c r="G198" s="75">
        <f t="shared" si="3"/>
        <v>3160041.1183181778</v>
      </c>
    </row>
    <row r="199" spans="1:7" x14ac:dyDescent="0.25">
      <c r="A199" s="61">
        <f>'A) Base RI'!A195</f>
        <v>5711</v>
      </c>
      <c r="B199" s="124" t="str">
        <f>'A) Base RI'!B195</f>
        <v>Commugny</v>
      </c>
      <c r="C199" s="14">
        <f>'A) Base RI'!AN195</f>
        <v>2591</v>
      </c>
      <c r="D199" s="41">
        <f>'C) Prél. conj.'!H193</f>
        <v>482822.85</v>
      </c>
      <c r="E199" s="19">
        <f>'D) Ecrêtage'!L193</f>
        <v>2312075.6411755541</v>
      </c>
      <c r="F199" s="52">
        <f>$F$10*'D) Ecrêtage'!M193</f>
        <v>2831639.4202174917</v>
      </c>
      <c r="G199" s="75">
        <f t="shared" si="3"/>
        <v>5626537.9113930464</v>
      </c>
    </row>
    <row r="200" spans="1:7" x14ac:dyDescent="0.25">
      <c r="A200" s="61">
        <f>'A) Base RI'!A196</f>
        <v>5712</v>
      </c>
      <c r="B200" s="124" t="str">
        <f>'A) Base RI'!B196</f>
        <v>Coppet</v>
      </c>
      <c r="C200" s="14">
        <f>'A) Base RI'!AN196</f>
        <v>2936</v>
      </c>
      <c r="D200" s="41">
        <f>'C) Prél. conj.'!H194</f>
        <v>1199565.125</v>
      </c>
      <c r="E200" s="19">
        <f>'D) Ecrêtage'!L194</f>
        <v>3612790.6930294149</v>
      </c>
      <c r="F200" s="52">
        <f>$F$10*'D) Ecrêtage'!M194</f>
        <v>3470057.5814463971</v>
      </c>
      <c r="G200" s="75">
        <f t="shared" si="3"/>
        <v>8282413.399475812</v>
      </c>
    </row>
    <row r="201" spans="1:7" x14ac:dyDescent="0.25">
      <c r="A201" s="61">
        <f>'A) Base RI'!A197</f>
        <v>5713</v>
      </c>
      <c r="B201" s="124" t="str">
        <f>'A) Base RI'!B197</f>
        <v>Crans-près-Céligny</v>
      </c>
      <c r="C201" s="14">
        <f>'A) Base RI'!AN197</f>
        <v>2044</v>
      </c>
      <c r="D201" s="41">
        <f>'C) Prél. conj.'!H195</f>
        <v>647544.87</v>
      </c>
      <c r="E201" s="19">
        <f>'D) Ecrêtage'!L195</f>
        <v>3814062.2603486334</v>
      </c>
      <c r="F201" s="52">
        <f>$F$10*'D) Ecrêtage'!M195</f>
        <v>2692511.9279943178</v>
      </c>
      <c r="G201" s="75">
        <f t="shared" si="3"/>
        <v>7154119.0583429513</v>
      </c>
    </row>
    <row r="202" spans="1:7" x14ac:dyDescent="0.25">
      <c r="A202" s="61">
        <f>'A) Base RI'!A198</f>
        <v>5714</v>
      </c>
      <c r="B202" s="124" t="str">
        <f>'A) Base RI'!B198</f>
        <v>Crassier</v>
      </c>
      <c r="C202" s="14">
        <f>'A) Base RI'!AN198</f>
        <v>1141</v>
      </c>
      <c r="D202" s="41">
        <f>'C) Prél. conj.'!H196</f>
        <v>173590.58000000002</v>
      </c>
      <c r="E202" s="19">
        <f>'D) Ecrêtage'!L196</f>
        <v>281869.77595538559</v>
      </c>
      <c r="F202" s="52">
        <f>$F$10*'D) Ecrêtage'!M196</f>
        <v>1014337.5200970151</v>
      </c>
      <c r="G202" s="75">
        <f t="shared" si="3"/>
        <v>1469797.8760524006</v>
      </c>
    </row>
    <row r="203" spans="1:7" x14ac:dyDescent="0.25">
      <c r="A203" s="61">
        <f>'A) Base RI'!A199</f>
        <v>5715</v>
      </c>
      <c r="B203" s="124" t="str">
        <f>'A) Base RI'!B199</f>
        <v>Duillier</v>
      </c>
      <c r="C203" s="14">
        <f>'A) Base RI'!AN199</f>
        <v>998</v>
      </c>
      <c r="D203" s="41">
        <f>'C) Prél. conj.'!H197</f>
        <v>307363.33</v>
      </c>
      <c r="E203" s="19">
        <f>'D) Ecrêtage'!L197</f>
        <v>81303.066282763582</v>
      </c>
      <c r="F203" s="52">
        <f>$F$10*'D) Ecrêtage'!M197</f>
        <v>820269.3067889153</v>
      </c>
      <c r="G203" s="75">
        <f t="shared" si="3"/>
        <v>1208935.703071679</v>
      </c>
    </row>
    <row r="204" spans="1:7" x14ac:dyDescent="0.25">
      <c r="A204" s="61">
        <f>'A) Base RI'!A200</f>
        <v>5716</v>
      </c>
      <c r="B204" s="124" t="str">
        <f>'A) Base RI'!B200</f>
        <v>Eysins</v>
      </c>
      <c r="C204" s="14">
        <f>'A) Base RI'!AN200</f>
        <v>1469</v>
      </c>
      <c r="D204" s="41">
        <f>'C) Prél. conj.'!H198</f>
        <v>378158.16000000003</v>
      </c>
      <c r="E204" s="19">
        <f>'D) Ecrêtage'!L198</f>
        <v>1099173.9451935657</v>
      </c>
      <c r="F204" s="52">
        <f>$F$10*'D) Ecrêtage'!M198</f>
        <v>1528141.7478209373</v>
      </c>
      <c r="G204" s="75">
        <f t="shared" si="3"/>
        <v>3005473.8530145027</v>
      </c>
    </row>
    <row r="205" spans="1:7" x14ac:dyDescent="0.25">
      <c r="A205" s="61">
        <f>'A) Base RI'!A201</f>
        <v>5717</v>
      </c>
      <c r="B205" s="124" t="str">
        <f>'A) Base RI'!B201</f>
        <v>Founex</v>
      </c>
      <c r="C205" s="14">
        <f>'A) Base RI'!AN201</f>
        <v>3372</v>
      </c>
      <c r="D205" s="41">
        <f>'C) Prél. conj.'!H199</f>
        <v>1192208.7549999999</v>
      </c>
      <c r="E205" s="19">
        <f>'D) Ecrêtage'!L199</f>
        <v>4142323.7421206003</v>
      </c>
      <c r="F205" s="52">
        <f>$F$10*'D) Ecrêtage'!M199</f>
        <v>3921953.7745310953</v>
      </c>
      <c r="G205" s="75">
        <f t="shared" si="3"/>
        <v>9256486.2716516964</v>
      </c>
    </row>
    <row r="206" spans="1:7" x14ac:dyDescent="0.25">
      <c r="A206" s="61">
        <f>'A) Base RI'!A202</f>
        <v>5718</v>
      </c>
      <c r="B206" s="124" t="str">
        <f>'A) Base RI'!B202</f>
        <v>Genolier</v>
      </c>
      <c r="C206" s="14">
        <f>'A) Base RI'!AN202</f>
        <v>1890</v>
      </c>
      <c r="D206" s="41">
        <f>'C) Prél. conj.'!H200</f>
        <v>569900.29500000004</v>
      </c>
      <c r="E206" s="19">
        <f>'D) Ecrêtage'!L200</f>
        <v>960426.65402243426</v>
      </c>
      <c r="F206" s="52">
        <f>$F$10*'D) Ecrêtage'!M200</f>
        <v>1869580.5786105471</v>
      </c>
      <c r="G206" s="75">
        <f t="shared" si="3"/>
        <v>3399907.5276329815</v>
      </c>
    </row>
    <row r="207" spans="1:7" x14ac:dyDescent="0.25">
      <c r="A207" s="61">
        <f>'A) Base RI'!A203</f>
        <v>5719</v>
      </c>
      <c r="B207" s="124" t="str">
        <f>'A) Base RI'!B203</f>
        <v>Gingins</v>
      </c>
      <c r="C207" s="14">
        <f>'A) Base RI'!AN203</f>
        <v>1204</v>
      </c>
      <c r="D207" s="41">
        <f>'C) Prél. conj.'!H201</f>
        <v>340376.67499999999</v>
      </c>
      <c r="E207" s="19">
        <f>'D) Ecrêtage'!L201</f>
        <v>699916.67905957857</v>
      </c>
      <c r="F207" s="52">
        <f>$F$10*'D) Ecrêtage'!M201</f>
        <v>1210477.9373327484</v>
      </c>
      <c r="G207" s="75">
        <f t="shared" si="3"/>
        <v>2250771.2913923273</v>
      </c>
    </row>
    <row r="208" spans="1:7" x14ac:dyDescent="0.25">
      <c r="A208" s="61">
        <f>'A) Base RI'!A204</f>
        <v>5720</v>
      </c>
      <c r="B208" s="124" t="str">
        <f>'A) Base RI'!B204</f>
        <v>Givrins</v>
      </c>
      <c r="C208" s="14">
        <f>'A) Base RI'!AN204</f>
        <v>971</v>
      </c>
      <c r="D208" s="41">
        <f>'C) Prél. conj.'!H202</f>
        <v>408018.26</v>
      </c>
      <c r="E208" s="19">
        <f>'D) Ecrêtage'!L202</f>
        <v>693894.54810876423</v>
      </c>
      <c r="F208" s="52">
        <f>$F$10*'D) Ecrêtage'!M202</f>
        <v>1001062.350186861</v>
      </c>
      <c r="G208" s="75">
        <f t="shared" si="3"/>
        <v>2102975.1582956249</v>
      </c>
    </row>
    <row r="209" spans="1:7" x14ac:dyDescent="0.25">
      <c r="A209" s="61">
        <f>'A) Base RI'!A205</f>
        <v>5721</v>
      </c>
      <c r="B209" s="124" t="str">
        <f>'A) Base RI'!B205</f>
        <v>Gland</v>
      </c>
      <c r="C209" s="14">
        <f>'A) Base RI'!AN205</f>
        <v>12663</v>
      </c>
      <c r="D209" s="41">
        <f>'C) Prél. conj.'!H203</f>
        <v>4307231.8500000006</v>
      </c>
      <c r="E209" s="19">
        <f>'D) Ecrêtage'!L203</f>
        <v>0</v>
      </c>
      <c r="F209" s="52">
        <f>$F$10*'D) Ecrêtage'!M203</f>
        <v>7998073.1541477945</v>
      </c>
      <c r="G209" s="75">
        <f t="shared" si="3"/>
        <v>12305305.004147794</v>
      </c>
    </row>
    <row r="210" spans="1:7" x14ac:dyDescent="0.25">
      <c r="A210" s="61">
        <f>'A) Base RI'!A206</f>
        <v>5722</v>
      </c>
      <c r="B210" s="124" t="str">
        <f>'A) Base RI'!B206</f>
        <v>Grens</v>
      </c>
      <c r="C210" s="14">
        <f>'A) Base RI'!AN206</f>
        <v>380</v>
      </c>
      <c r="D210" s="41">
        <f>'C) Prél. conj.'!H204</f>
        <v>20682.414999999997</v>
      </c>
      <c r="E210" s="19">
        <f>'D) Ecrêtage'!L204</f>
        <v>84338.785093821891</v>
      </c>
      <c r="F210" s="52">
        <f>$F$10*'D) Ecrêtage'!M204</f>
        <v>338144.26900943159</v>
      </c>
      <c r="G210" s="75">
        <f t="shared" si="3"/>
        <v>443165.46910325345</v>
      </c>
    </row>
    <row r="211" spans="1:7" x14ac:dyDescent="0.25">
      <c r="A211" s="61">
        <f>'A) Base RI'!A207</f>
        <v>5723</v>
      </c>
      <c r="B211" s="124" t="str">
        <f>'A) Base RI'!B207</f>
        <v>Mies</v>
      </c>
      <c r="C211" s="14">
        <f>'A) Base RI'!AN207</f>
        <v>1778</v>
      </c>
      <c r="D211" s="41">
        <f>'C) Prél. conj.'!H205</f>
        <v>542685.58500000008</v>
      </c>
      <c r="E211" s="19">
        <f>'D) Ecrêtage'!L205</f>
        <v>4276586.3396148607</v>
      </c>
      <c r="F211" s="52">
        <f>$F$10*'D) Ecrêtage'!M205</f>
        <v>2565957.4699805202</v>
      </c>
      <c r="G211" s="75">
        <f t="shared" si="3"/>
        <v>7385229.3945953809</v>
      </c>
    </row>
    <row r="212" spans="1:7" x14ac:dyDescent="0.25">
      <c r="A212" s="61">
        <f>'A) Base RI'!A208</f>
        <v>5724</v>
      </c>
      <c r="B212" s="124" t="str">
        <f>'A) Base RI'!B208</f>
        <v>Nyon</v>
      </c>
      <c r="C212" s="14">
        <f>'A) Base RI'!AN208</f>
        <v>19861</v>
      </c>
      <c r="D212" s="41">
        <f>'C) Prél. conj.'!H206</f>
        <v>4202659.45</v>
      </c>
      <c r="E212" s="19">
        <f>'D) Ecrêtage'!L206</f>
        <v>6220770.5847388655</v>
      </c>
      <c r="F212" s="52">
        <f>$F$10*'D) Ecrêtage'!M206</f>
        <v>18271199.308641288</v>
      </c>
      <c r="G212" s="75">
        <f t="shared" si="3"/>
        <v>28694629.343380153</v>
      </c>
    </row>
    <row r="213" spans="1:7" x14ac:dyDescent="0.25">
      <c r="A213" s="61">
        <f>'A) Base RI'!A209</f>
        <v>5725</v>
      </c>
      <c r="B213" s="124" t="str">
        <f>'A) Base RI'!B209</f>
        <v>Prangins</v>
      </c>
      <c r="C213" s="14">
        <f>'A) Base RI'!AN209</f>
        <v>3976</v>
      </c>
      <c r="D213" s="41">
        <f>'C) Prél. conj.'!H207</f>
        <v>1186628.7749999999</v>
      </c>
      <c r="E213" s="19">
        <f>'D) Ecrêtage'!L207</f>
        <v>1249371.2835356642</v>
      </c>
      <c r="F213" s="52">
        <f>$F$10*'D) Ecrêtage'!M207</f>
        <v>3689698.3439428206</v>
      </c>
      <c r="G213" s="75">
        <f t="shared" si="3"/>
        <v>6125698.4024784844</v>
      </c>
    </row>
    <row r="214" spans="1:7" x14ac:dyDescent="0.25">
      <c r="A214" s="61">
        <f>'A) Base RI'!A210</f>
        <v>5726</v>
      </c>
      <c r="B214" s="124" t="str">
        <f>'A) Base RI'!B210</f>
        <v>La Rippe</v>
      </c>
      <c r="C214" s="14">
        <f>'A) Base RI'!AN210</f>
        <v>1104</v>
      </c>
      <c r="D214" s="41">
        <f>'C) Prél. conj.'!H208</f>
        <v>199559.36</v>
      </c>
      <c r="E214" s="19">
        <f>'D) Ecrêtage'!L208</f>
        <v>0</v>
      </c>
      <c r="F214" s="52">
        <f>$F$10*'D) Ecrêtage'!M208</f>
        <v>868390.21885996684</v>
      </c>
      <c r="G214" s="75">
        <f t="shared" si="3"/>
        <v>1067949.5788599667</v>
      </c>
    </row>
    <row r="215" spans="1:7" x14ac:dyDescent="0.25">
      <c r="A215" s="61">
        <f>'A) Base RI'!A211</f>
        <v>5727</v>
      </c>
      <c r="B215" s="124" t="str">
        <f>'A) Base RI'!B211</f>
        <v>Saint-Cergue</v>
      </c>
      <c r="C215" s="14">
        <f>'A) Base RI'!AN211</f>
        <v>2406</v>
      </c>
      <c r="D215" s="41">
        <f>'C) Prél. conj.'!H209</f>
        <v>352920.81999999995</v>
      </c>
      <c r="E215" s="19">
        <f>'D) Ecrêtage'!L209</f>
        <v>0</v>
      </c>
      <c r="F215" s="52">
        <f>$F$10*'D) Ecrêtage'!M209</f>
        <v>1327581.649163099</v>
      </c>
      <c r="G215" s="75">
        <f t="shared" si="3"/>
        <v>1680502.4691630988</v>
      </c>
    </row>
    <row r="216" spans="1:7" x14ac:dyDescent="0.25">
      <c r="A216" s="61">
        <f>'A) Base RI'!A212</f>
        <v>5728</v>
      </c>
      <c r="B216" s="124" t="str">
        <f>'A) Base RI'!B212</f>
        <v>Signy-Avenex</v>
      </c>
      <c r="C216" s="14">
        <f>'A) Base RI'!AN212</f>
        <v>481</v>
      </c>
      <c r="D216" s="41">
        <f>'C) Prél. conj.'!H210</f>
        <v>153309.20000000001</v>
      </c>
      <c r="E216" s="19">
        <f>'D) Ecrêtage'!L210</f>
        <v>95349.242639371601</v>
      </c>
      <c r="F216" s="52">
        <f>$F$10*'D) Ecrêtage'!M210</f>
        <v>423670.53924388409</v>
      </c>
      <c r="G216" s="75">
        <f t="shared" si="3"/>
        <v>672328.98188325576</v>
      </c>
    </row>
    <row r="217" spans="1:7" x14ac:dyDescent="0.25">
      <c r="A217" s="61">
        <f>'A) Base RI'!A213</f>
        <v>5729</v>
      </c>
      <c r="B217" s="124" t="str">
        <f>'A) Base RI'!B213</f>
        <v>Tannay</v>
      </c>
      <c r="C217" s="14">
        <f>'A) Base RI'!AN213</f>
        <v>1448</v>
      </c>
      <c r="D217" s="41">
        <f>'C) Prél. conj.'!H211</f>
        <v>282415.79000000004</v>
      </c>
      <c r="E217" s="19">
        <f>'D) Ecrêtage'!L211</f>
        <v>1563139.5841052034</v>
      </c>
      <c r="F217" s="52">
        <f>$F$10*'D) Ecrêtage'!M211</f>
        <v>1621139.1566571919</v>
      </c>
      <c r="G217" s="75">
        <f t="shared" si="3"/>
        <v>3466694.5307623954</v>
      </c>
    </row>
    <row r="218" spans="1:7" x14ac:dyDescent="0.25">
      <c r="A218" s="61">
        <f>'A) Base RI'!A214</f>
        <v>5730</v>
      </c>
      <c r="B218" s="124" t="str">
        <f>'A) Base RI'!B214</f>
        <v>Trélex</v>
      </c>
      <c r="C218" s="14">
        <f>'A) Base RI'!AN214</f>
        <v>1394</v>
      </c>
      <c r="D218" s="41">
        <f>'C) Prél. conj.'!H212</f>
        <v>169423.37</v>
      </c>
      <c r="E218" s="19">
        <f>'D) Ecrêtage'!L212</f>
        <v>1774855.4678142834</v>
      </c>
      <c r="F218" s="52">
        <f>$F$10*'D) Ecrêtage'!M212</f>
        <v>1660247.6591663901</v>
      </c>
      <c r="G218" s="75">
        <f t="shared" si="3"/>
        <v>3604526.4969806736</v>
      </c>
    </row>
    <row r="219" spans="1:7" x14ac:dyDescent="0.25">
      <c r="A219" s="61">
        <f>'A) Base RI'!A215</f>
        <v>5731</v>
      </c>
      <c r="B219" s="124" t="str">
        <f>'A) Base RI'!B215</f>
        <v>Le Vaud</v>
      </c>
      <c r="C219" s="14">
        <f>'A) Base RI'!AN215</f>
        <v>1243</v>
      </c>
      <c r="D219" s="41">
        <f>'C) Prél. conj.'!H213</f>
        <v>151214.75</v>
      </c>
      <c r="E219" s="19">
        <f>'D) Ecrêtage'!L213</f>
        <v>0</v>
      </c>
      <c r="F219" s="52">
        <f>$F$10*'D) Ecrêtage'!M213</f>
        <v>667492.53653497109</v>
      </c>
      <c r="G219" s="75">
        <f t="shared" si="3"/>
        <v>818707.28653497109</v>
      </c>
    </row>
    <row r="220" spans="1:7" x14ac:dyDescent="0.25">
      <c r="A220" s="61">
        <f>'A) Base RI'!A216</f>
        <v>5732</v>
      </c>
      <c r="B220" s="124" t="str">
        <f>'A) Base RI'!B216</f>
        <v>Vich</v>
      </c>
      <c r="C220" s="14">
        <f>'A) Base RI'!AN216</f>
        <v>882</v>
      </c>
      <c r="D220" s="41">
        <f>'C) Prél. conj.'!H214</f>
        <v>365636.25</v>
      </c>
      <c r="E220" s="19">
        <f>'D) Ecrêtage'!L214</f>
        <v>214974.42707685445</v>
      </c>
      <c r="F220" s="52">
        <f>$F$10*'D) Ecrêtage'!M214</f>
        <v>777878.74187886226</v>
      </c>
      <c r="G220" s="75">
        <f t="shared" si="3"/>
        <v>1358489.4189557168</v>
      </c>
    </row>
    <row r="221" spans="1:7" x14ac:dyDescent="0.25">
      <c r="A221" s="61">
        <f>'A) Base RI'!A217</f>
        <v>5741</v>
      </c>
      <c r="B221" s="124" t="str">
        <f>'A) Base RI'!B217</f>
        <v>L'Abergement</v>
      </c>
      <c r="C221" s="14">
        <f>'A) Base RI'!AN217</f>
        <v>250</v>
      </c>
      <c r="D221" s="41">
        <f>'C) Prél. conj.'!H215</f>
        <v>16172.32</v>
      </c>
      <c r="E221" s="19">
        <f>'D) Ecrêtage'!L215</f>
        <v>0</v>
      </c>
      <c r="F221" s="52">
        <f>$F$10*'D) Ecrêtage'!M215</f>
        <v>100517.71747197611</v>
      </c>
      <c r="G221" s="75">
        <f t="shared" si="3"/>
        <v>116690.0374719761</v>
      </c>
    </row>
    <row r="222" spans="1:7" x14ac:dyDescent="0.25">
      <c r="A222" s="61">
        <f>'A) Base RI'!A218</f>
        <v>5742</v>
      </c>
      <c r="B222" s="124" t="str">
        <f>'A) Base RI'!B218</f>
        <v>Agiez</v>
      </c>
      <c r="C222" s="14">
        <f>'A) Base RI'!AN218</f>
        <v>308</v>
      </c>
      <c r="D222" s="41">
        <f>'C) Prél. conj.'!H216</f>
        <v>3893.45</v>
      </c>
      <c r="E222" s="19">
        <f>'D) Ecrêtage'!L216</f>
        <v>0</v>
      </c>
      <c r="F222" s="52">
        <f>$F$10*'D) Ecrêtage'!M216</f>
        <v>133269.53977954894</v>
      </c>
      <c r="G222" s="75">
        <f t="shared" si="3"/>
        <v>137162.98977954895</v>
      </c>
    </row>
    <row r="223" spans="1:7" x14ac:dyDescent="0.25">
      <c r="A223" s="61">
        <f>'A) Base RI'!A219</f>
        <v>5743</v>
      </c>
      <c r="B223" s="124" t="str">
        <f>'A) Base RI'!B219</f>
        <v>Arnex-sur-Orbe</v>
      </c>
      <c r="C223" s="14">
        <f>'A) Base RI'!AN219</f>
        <v>625</v>
      </c>
      <c r="D223" s="41">
        <f>'C) Prél. conj.'!H217</f>
        <v>42060.934999999998</v>
      </c>
      <c r="E223" s="19">
        <f>'D) Ecrêtage'!L217</f>
        <v>0</v>
      </c>
      <c r="F223" s="52">
        <f>$F$10*'D) Ecrêtage'!M217</f>
        <v>249305.63324799933</v>
      </c>
      <c r="G223" s="75">
        <f t="shared" si="3"/>
        <v>291366.5682479993</v>
      </c>
    </row>
    <row r="224" spans="1:7" x14ac:dyDescent="0.25">
      <c r="A224" s="61">
        <f>'A) Base RI'!A220</f>
        <v>5744</v>
      </c>
      <c r="B224" s="124" t="str">
        <f>'A) Base RI'!B220</f>
        <v>Ballaigues</v>
      </c>
      <c r="C224" s="14">
        <f>'A) Base RI'!AN220</f>
        <v>1069</v>
      </c>
      <c r="D224" s="41">
        <f>'C) Prél. conj.'!H218</f>
        <v>272880.10499999998</v>
      </c>
      <c r="E224" s="19">
        <f>'D) Ecrêtage'!L218</f>
        <v>0</v>
      </c>
      <c r="F224" s="52">
        <f>$F$10*'D) Ecrêtage'!M218</f>
        <v>764671.87099507882</v>
      </c>
      <c r="G224" s="75">
        <f t="shared" si="3"/>
        <v>1037551.9759950788</v>
      </c>
    </row>
    <row r="225" spans="1:7" x14ac:dyDescent="0.25">
      <c r="A225" s="61">
        <f>'A) Base RI'!A221</f>
        <v>5745</v>
      </c>
      <c r="B225" s="124" t="str">
        <f>'A) Base RI'!B221</f>
        <v>Baulmes</v>
      </c>
      <c r="C225" s="14">
        <f>'A) Base RI'!AN221</f>
        <v>1034</v>
      </c>
      <c r="D225" s="41">
        <f>'C) Prél. conj.'!H219</f>
        <v>92721.69</v>
      </c>
      <c r="E225" s="19">
        <f>'D) Ecrêtage'!L219</f>
        <v>0</v>
      </c>
      <c r="F225" s="52">
        <f>$F$10*'D) Ecrêtage'!M219</f>
        <v>395497.89406322286</v>
      </c>
      <c r="G225" s="75">
        <f t="shared" si="3"/>
        <v>488219.58406322286</v>
      </c>
    </row>
    <row r="226" spans="1:7" x14ac:dyDescent="0.25">
      <c r="A226" s="61">
        <f>'A) Base RI'!A222</f>
        <v>5746</v>
      </c>
      <c r="B226" s="124" t="str">
        <f>'A) Base RI'!B222</f>
        <v>Bavois</v>
      </c>
      <c r="C226" s="14">
        <f>'A) Base RI'!AN222</f>
        <v>939</v>
      </c>
      <c r="D226" s="41">
        <f>'C) Prél. conj.'!H220</f>
        <v>67899.335000000006</v>
      </c>
      <c r="E226" s="19">
        <f>'D) Ecrêtage'!L220</f>
        <v>0</v>
      </c>
      <c r="F226" s="52">
        <f>$F$10*'D) Ecrêtage'!M220</f>
        <v>343879.27866407909</v>
      </c>
      <c r="G226" s="75">
        <f t="shared" si="3"/>
        <v>411778.61366407911</v>
      </c>
    </row>
    <row r="227" spans="1:7" x14ac:dyDescent="0.25">
      <c r="A227" s="61">
        <f>'A) Base RI'!A223</f>
        <v>5747</v>
      </c>
      <c r="B227" s="124" t="str">
        <f>'A) Base RI'!B223</f>
        <v>Bofflens</v>
      </c>
      <c r="C227" s="14">
        <f>'A) Base RI'!AN223</f>
        <v>187</v>
      </c>
      <c r="D227" s="41">
        <f>'C) Prél. conj.'!H221</f>
        <v>6864.5499999999993</v>
      </c>
      <c r="E227" s="19">
        <f>'D) Ecrêtage'!L221</f>
        <v>0</v>
      </c>
      <c r="F227" s="52">
        <f>$F$10*'D) Ecrêtage'!M221</f>
        <v>74486.921443243438</v>
      </c>
      <c r="G227" s="75">
        <f t="shared" si="3"/>
        <v>81351.471443243441</v>
      </c>
    </row>
    <row r="228" spans="1:7" x14ac:dyDescent="0.25">
      <c r="A228" s="61">
        <f>'A) Base RI'!A224</f>
        <v>5748</v>
      </c>
      <c r="B228" s="124" t="str">
        <f>'A) Base RI'!B224</f>
        <v>Bretonnières</v>
      </c>
      <c r="C228" s="14">
        <f>'A) Base RI'!AN224</f>
        <v>252</v>
      </c>
      <c r="D228" s="41">
        <f>'C) Prél. conj.'!H222</f>
        <v>26051.394999999997</v>
      </c>
      <c r="E228" s="19">
        <f>'D) Ecrêtage'!L222</f>
        <v>0</v>
      </c>
      <c r="F228" s="52">
        <f>$F$10*'D) Ecrêtage'!M222</f>
        <v>88245.093085409957</v>
      </c>
      <c r="G228" s="75">
        <f t="shared" si="3"/>
        <v>114296.48808540995</v>
      </c>
    </row>
    <row r="229" spans="1:7" x14ac:dyDescent="0.25">
      <c r="A229" s="61">
        <f>'A) Base RI'!A225</f>
        <v>5749</v>
      </c>
      <c r="B229" s="124" t="str">
        <f>'A) Base RI'!B225</f>
        <v>Chavornay</v>
      </c>
      <c r="C229" s="14">
        <f>'A) Base RI'!AN225</f>
        <v>4156</v>
      </c>
      <c r="D229" s="41">
        <f>'C) Prél. conj.'!H223</f>
        <v>287506.26</v>
      </c>
      <c r="E229" s="19">
        <f>'D) Ecrêtage'!L223</f>
        <v>0</v>
      </c>
      <c r="F229" s="52">
        <f>$F$10*'D) Ecrêtage'!M223</f>
        <v>1586199.9632551237</v>
      </c>
      <c r="G229" s="75">
        <f t="shared" si="3"/>
        <v>1873706.2232551237</v>
      </c>
    </row>
    <row r="230" spans="1:7" x14ac:dyDescent="0.25">
      <c r="A230" s="61">
        <f>'A) Base RI'!A226</f>
        <v>5750</v>
      </c>
      <c r="B230" s="124" t="str">
        <f>'A) Base RI'!B226</f>
        <v>Les Clées</v>
      </c>
      <c r="C230" s="14">
        <f>'A) Base RI'!AN226</f>
        <v>186</v>
      </c>
      <c r="D230" s="41">
        <f>'C) Prél. conj.'!H224</f>
        <v>5803.09</v>
      </c>
      <c r="E230" s="19">
        <f>'D) Ecrêtage'!L224</f>
        <v>0</v>
      </c>
      <c r="F230" s="52">
        <f>$F$10*'D) Ecrêtage'!M224</f>
        <v>62741.793476729137</v>
      </c>
      <c r="G230" s="75">
        <f t="shared" si="3"/>
        <v>68544.883476729141</v>
      </c>
    </row>
    <row r="231" spans="1:7" x14ac:dyDescent="0.25">
      <c r="A231" s="61">
        <f>'A) Base RI'!A227</f>
        <v>5751</v>
      </c>
      <c r="B231" s="124" t="str">
        <f>'A) Base RI'!B227</f>
        <v>Corcelles-sur-Chavornay</v>
      </c>
      <c r="C231" s="14">
        <f>'A) Base RI'!AN227</f>
        <v>352</v>
      </c>
      <c r="D231" s="41">
        <f>'C) Prél. conj.'!H225</f>
        <v>37505.425000000003</v>
      </c>
      <c r="E231" s="19">
        <f>'D) Ecrêtage'!L225</f>
        <v>0</v>
      </c>
      <c r="F231" s="52">
        <f>$F$10*'D) Ecrêtage'!M225</f>
        <v>126516.32365514984</v>
      </c>
      <c r="G231" s="75">
        <f t="shared" si="3"/>
        <v>164021.74865514983</v>
      </c>
    </row>
    <row r="232" spans="1:7" x14ac:dyDescent="0.25">
      <c r="A232" s="61">
        <f>'A) Base RI'!A228</f>
        <v>5752</v>
      </c>
      <c r="B232" s="124" t="str">
        <f>'A) Base RI'!B228</f>
        <v>Croy</v>
      </c>
      <c r="C232" s="14">
        <f>'A) Base RI'!AN228</f>
        <v>335</v>
      </c>
      <c r="D232" s="41">
        <f>'C) Prél. conj.'!H226</f>
        <v>43167.74</v>
      </c>
      <c r="E232" s="19">
        <f>'D) Ecrêtage'!L226</f>
        <v>0</v>
      </c>
      <c r="F232" s="52">
        <f>$F$10*'D) Ecrêtage'!M226</f>
        <v>205550.40064441657</v>
      </c>
      <c r="G232" s="75">
        <f t="shared" si="3"/>
        <v>248718.14064441656</v>
      </c>
    </row>
    <row r="233" spans="1:7" x14ac:dyDescent="0.25">
      <c r="A233" s="61">
        <f>'A) Base RI'!A229</f>
        <v>5754</v>
      </c>
      <c r="B233" s="124" t="str">
        <f>'A) Base RI'!B229</f>
        <v>Juriens</v>
      </c>
      <c r="C233" s="14">
        <f>'A) Base RI'!AN229</f>
        <v>302</v>
      </c>
      <c r="D233" s="41">
        <f>'C) Prél. conj.'!H227</f>
        <v>18860.559999999998</v>
      </c>
      <c r="E233" s="19">
        <f>'D) Ecrêtage'!L227</f>
        <v>0</v>
      </c>
      <c r="F233" s="52">
        <f>$F$10*'D) Ecrêtage'!M227</f>
        <v>93058.487909279385</v>
      </c>
      <c r="G233" s="75">
        <f t="shared" ref="G233:G279" si="4">D233+F233+E233</f>
        <v>111919.04790927938</v>
      </c>
    </row>
    <row r="234" spans="1:7" x14ac:dyDescent="0.25">
      <c r="A234" s="61">
        <f>'A) Base RI'!A230</f>
        <v>5755</v>
      </c>
      <c r="B234" s="124" t="str">
        <f>'A) Base RI'!B230</f>
        <v>Lignerolle</v>
      </c>
      <c r="C234" s="14">
        <f>'A) Base RI'!AN230</f>
        <v>394</v>
      </c>
      <c r="D234" s="41">
        <f>'C) Prél. conj.'!H228</f>
        <v>41764.019999999997</v>
      </c>
      <c r="E234" s="19">
        <f>'D) Ecrêtage'!L228</f>
        <v>0</v>
      </c>
      <c r="F234" s="52">
        <f>$F$10*'D) Ecrêtage'!M228</f>
        <v>127484.79525812215</v>
      </c>
      <c r="G234" s="75">
        <f t="shared" si="4"/>
        <v>169248.81525812214</v>
      </c>
    </row>
    <row r="235" spans="1:7" x14ac:dyDescent="0.25">
      <c r="A235" s="61">
        <f>'A) Base RI'!A231</f>
        <v>5756</v>
      </c>
      <c r="B235" s="124" t="str">
        <f>'A) Base RI'!B231</f>
        <v>Montcherand</v>
      </c>
      <c r="C235" s="14">
        <f>'A) Base RI'!AN231</f>
        <v>474</v>
      </c>
      <c r="D235" s="41">
        <f>'C) Prél. conj.'!H229</f>
        <v>33654.689999999995</v>
      </c>
      <c r="E235" s="19">
        <f>'D) Ecrêtage'!L229</f>
        <v>0</v>
      </c>
      <c r="F235" s="52">
        <f>$F$10*'D) Ecrêtage'!M229</f>
        <v>212796.94444228738</v>
      </c>
      <c r="G235" s="75">
        <f t="shared" si="4"/>
        <v>246451.63444228738</v>
      </c>
    </row>
    <row r="236" spans="1:7" x14ac:dyDescent="0.25">
      <c r="A236" s="61">
        <f>'A) Base RI'!A232</f>
        <v>5757</v>
      </c>
      <c r="B236" s="124" t="str">
        <f>'A) Base RI'!B232</f>
        <v>Orbe</v>
      </c>
      <c r="C236" s="14">
        <f>'A) Base RI'!AN232</f>
        <v>6767</v>
      </c>
      <c r="D236" s="41">
        <f>'C) Prél. conj.'!H230</f>
        <v>1233481.8</v>
      </c>
      <c r="E236" s="19">
        <f>'D) Ecrêtage'!L230</f>
        <v>0</v>
      </c>
      <c r="F236" s="52">
        <f>$F$10*'D) Ecrêtage'!M230</f>
        <v>3023919.5613795058</v>
      </c>
      <c r="G236" s="75">
        <f t="shared" si="4"/>
        <v>4257401.3613795061</v>
      </c>
    </row>
    <row r="237" spans="1:7" x14ac:dyDescent="0.25">
      <c r="A237" s="61">
        <f>'A) Base RI'!A233</f>
        <v>5758</v>
      </c>
      <c r="B237" s="124" t="str">
        <f>'A) Base RI'!B233</f>
        <v>La Praz</v>
      </c>
      <c r="C237" s="14">
        <f>'A) Base RI'!AN233</f>
        <v>160</v>
      </c>
      <c r="D237" s="41">
        <f>'C) Prél. conj.'!H231</f>
        <v>6325.6750000000002</v>
      </c>
      <c r="E237" s="19">
        <f>'D) Ecrêtage'!L231</f>
        <v>0</v>
      </c>
      <c r="F237" s="52">
        <f>$F$10*'D) Ecrêtage'!M231</f>
        <v>55529.316522954658</v>
      </c>
      <c r="G237" s="75">
        <f t="shared" si="4"/>
        <v>61854.99152295466</v>
      </c>
    </row>
    <row r="238" spans="1:7" x14ac:dyDescent="0.25">
      <c r="A238" s="61">
        <f>'A) Base RI'!A234</f>
        <v>5759</v>
      </c>
      <c r="B238" s="124" t="str">
        <f>'A) Base RI'!B234</f>
        <v>Premier</v>
      </c>
      <c r="C238" s="14">
        <f>'A) Base RI'!AN234</f>
        <v>185</v>
      </c>
      <c r="D238" s="41">
        <f>'C) Prél. conj.'!H232</f>
        <v>10440.755000000001</v>
      </c>
      <c r="E238" s="19">
        <f>'D) Ecrêtage'!L232</f>
        <v>0</v>
      </c>
      <c r="F238" s="52">
        <f>$F$10*'D) Ecrêtage'!M232</f>
        <v>65509.636868634436</v>
      </c>
      <c r="G238" s="75">
        <f t="shared" si="4"/>
        <v>75950.39186863444</v>
      </c>
    </row>
    <row r="239" spans="1:7" x14ac:dyDescent="0.25">
      <c r="A239" s="61">
        <f>'A) Base RI'!A235</f>
        <v>5760</v>
      </c>
      <c r="B239" s="124" t="str">
        <f>'A) Base RI'!B235</f>
        <v>Rances</v>
      </c>
      <c r="C239" s="14">
        <f>'A) Base RI'!AN235</f>
        <v>460</v>
      </c>
      <c r="D239" s="41">
        <f>'C) Prél. conj.'!H233</f>
        <v>25221.895</v>
      </c>
      <c r="E239" s="19">
        <f>'D) Ecrêtage'!L233</f>
        <v>0</v>
      </c>
      <c r="F239" s="52">
        <f>$F$10*'D) Ecrêtage'!M233</f>
        <v>164829.75644725846</v>
      </c>
      <c r="G239" s="75">
        <f t="shared" si="4"/>
        <v>190051.65144725845</v>
      </c>
    </row>
    <row r="240" spans="1:7" x14ac:dyDescent="0.25">
      <c r="A240" s="61">
        <f>'A) Base RI'!A236</f>
        <v>5761</v>
      </c>
      <c r="B240" s="124" t="str">
        <f>'A) Base RI'!B236</f>
        <v>Romainmôtier-Envy</v>
      </c>
      <c r="C240" s="14">
        <f>'A) Base RI'!AN236</f>
        <v>525</v>
      </c>
      <c r="D240" s="41">
        <f>'C) Prél. conj.'!H234</f>
        <v>42732.544999999998</v>
      </c>
      <c r="E240" s="19">
        <f>'D) Ecrêtage'!L234</f>
        <v>0</v>
      </c>
      <c r="F240" s="52">
        <f>$F$10*'D) Ecrêtage'!M234</f>
        <v>163063.38785781813</v>
      </c>
      <c r="G240" s="75">
        <f t="shared" si="4"/>
        <v>205795.93285781814</v>
      </c>
    </row>
    <row r="241" spans="1:7" x14ac:dyDescent="0.25">
      <c r="A241" s="61">
        <f>'A) Base RI'!A237</f>
        <v>5762</v>
      </c>
      <c r="B241" s="124" t="str">
        <f>'A) Base RI'!B237</f>
        <v>Sergey</v>
      </c>
      <c r="C241" s="14">
        <f>'A) Base RI'!AN237</f>
        <v>144</v>
      </c>
      <c r="D241" s="41">
        <f>'C) Prél. conj.'!H235</f>
        <v>1245.06</v>
      </c>
      <c r="E241" s="19">
        <f>'D) Ecrêtage'!L235</f>
        <v>0</v>
      </c>
      <c r="F241" s="52">
        <f>$F$10*'D) Ecrêtage'!M235</f>
        <v>44616.625123545578</v>
      </c>
      <c r="G241" s="75">
        <f t="shared" si="4"/>
        <v>45861.685123545576</v>
      </c>
    </row>
    <row r="242" spans="1:7" x14ac:dyDescent="0.25">
      <c r="A242" s="61">
        <f>'A) Base RI'!A238</f>
        <v>5763</v>
      </c>
      <c r="B242" s="124" t="str">
        <f>'A) Base RI'!B238</f>
        <v>Valeyres-sous-Rances</v>
      </c>
      <c r="C242" s="14">
        <f>'A) Base RI'!AN238</f>
        <v>600</v>
      </c>
      <c r="D242" s="41">
        <f>'C) Prél. conj.'!H236</f>
        <v>57368.539999999994</v>
      </c>
      <c r="E242" s="19">
        <f>'D) Ecrêtage'!L236</f>
        <v>0</v>
      </c>
      <c r="F242" s="52">
        <f>$F$10*'D) Ecrêtage'!M236</f>
        <v>231778.59177679205</v>
      </c>
      <c r="G242" s="75">
        <f t="shared" si="4"/>
        <v>289147.13177679206</v>
      </c>
    </row>
    <row r="243" spans="1:7" x14ac:dyDescent="0.25">
      <c r="A243" s="61">
        <f>'A) Base RI'!A239</f>
        <v>5764</v>
      </c>
      <c r="B243" s="124" t="str">
        <f>'A) Base RI'!B239</f>
        <v>Vallorbe</v>
      </c>
      <c r="C243" s="14">
        <f>'A) Base RI'!AN239</f>
        <v>3650</v>
      </c>
      <c r="D243" s="41">
        <f>'C) Prél. conj.'!H237</f>
        <v>914852.48499999999</v>
      </c>
      <c r="E243" s="19">
        <f>'D) Ecrêtage'!L237</f>
        <v>0</v>
      </c>
      <c r="F243" s="52">
        <f>$F$10*'D) Ecrêtage'!M237</f>
        <v>1212755.7143944188</v>
      </c>
      <c r="G243" s="75">
        <f t="shared" si="4"/>
        <v>2127608.1993944189</v>
      </c>
    </row>
    <row r="244" spans="1:7" x14ac:dyDescent="0.25">
      <c r="A244" s="61">
        <f>'A) Base RI'!A240</f>
        <v>5765</v>
      </c>
      <c r="B244" s="124" t="str">
        <f>'A) Base RI'!B240</f>
        <v>Vaulion</v>
      </c>
      <c r="C244" s="14">
        <f>'A) Base RI'!AN240</f>
        <v>491</v>
      </c>
      <c r="D244" s="41">
        <f>'C) Prél. conj.'!H238</f>
        <v>57562.77</v>
      </c>
      <c r="E244" s="19">
        <f>'D) Ecrêtage'!L238</f>
        <v>0</v>
      </c>
      <c r="F244" s="52">
        <f>$F$10*'D) Ecrêtage'!M238</f>
        <v>133722.44925229013</v>
      </c>
      <c r="G244" s="75">
        <f t="shared" si="4"/>
        <v>191285.21925229012</v>
      </c>
    </row>
    <row r="245" spans="1:7" x14ac:dyDescent="0.25">
      <c r="A245" s="61">
        <f>'A) Base RI'!A241</f>
        <v>5766</v>
      </c>
      <c r="B245" s="124" t="str">
        <f>'A) Base RI'!B241</f>
        <v>Vuiteboeuf</v>
      </c>
      <c r="C245" s="14">
        <f>'A) Base RI'!AN241</f>
        <v>538</v>
      </c>
      <c r="D245" s="41">
        <f>'C) Prél. conj.'!H239</f>
        <v>39919.395000000004</v>
      </c>
      <c r="E245" s="19">
        <f>'D) Ecrêtage'!L239</f>
        <v>0</v>
      </c>
      <c r="F245" s="52">
        <f>$F$10*'D) Ecrêtage'!M239</f>
        <v>166908.99056981807</v>
      </c>
      <c r="G245" s="75">
        <f t="shared" si="4"/>
        <v>206828.38556981809</v>
      </c>
    </row>
    <row r="246" spans="1:7" x14ac:dyDescent="0.25">
      <c r="A246" s="61">
        <f>'A) Base RI'!A242</f>
        <v>5782</v>
      </c>
      <c r="B246" s="124" t="str">
        <f>'A) Base RI'!B242</f>
        <v>Carrouge</v>
      </c>
      <c r="C246" s="14">
        <f>'A) Base RI'!AN242</f>
        <v>1204</v>
      </c>
      <c r="D246" s="41">
        <f>'C) Prél. conj.'!H240</f>
        <v>115362.57</v>
      </c>
      <c r="E246" s="19">
        <f>'D) Ecrêtage'!L240</f>
        <v>0</v>
      </c>
      <c r="F246" s="52">
        <f>$F$10*'D) Ecrêtage'!M240</f>
        <v>432105.70215599856</v>
      </c>
      <c r="G246" s="75">
        <f t="shared" si="4"/>
        <v>547468.27215599851</v>
      </c>
    </row>
    <row r="247" spans="1:7" x14ac:dyDescent="0.25">
      <c r="A247" s="61">
        <f>'A) Base RI'!A243</f>
        <v>5785</v>
      </c>
      <c r="B247" s="124" t="str">
        <f>'A) Base RI'!B243</f>
        <v>Corcelles-le-Jorat</v>
      </c>
      <c r="C247" s="14">
        <f>'A) Base RI'!AN243</f>
        <v>421</v>
      </c>
      <c r="D247" s="41">
        <f>'C) Prél. conj.'!H241</f>
        <v>20339.5</v>
      </c>
      <c r="E247" s="19">
        <f>'D) Ecrêtage'!L241</f>
        <v>0</v>
      </c>
      <c r="F247" s="52">
        <f>$F$10*'D) Ecrêtage'!M241</f>
        <v>176653.2918522488</v>
      </c>
      <c r="G247" s="75">
        <f t="shared" si="4"/>
        <v>196992.7918522488</v>
      </c>
    </row>
    <row r="248" spans="1:7" x14ac:dyDescent="0.25">
      <c r="A248" s="61">
        <f>'A) Base RI'!A244</f>
        <v>5788</v>
      </c>
      <c r="B248" s="124" t="str">
        <f>'A) Base RI'!B244</f>
        <v>Essertes</v>
      </c>
      <c r="C248" s="14">
        <f>'A) Base RI'!AN244</f>
        <v>330</v>
      </c>
      <c r="D248" s="41">
        <f>'C) Prél. conj.'!H242</f>
        <v>21718.474999999999</v>
      </c>
      <c r="E248" s="19">
        <f>'D) Ecrêtage'!L242</f>
        <v>0</v>
      </c>
      <c r="F248" s="52">
        <f>$F$10*'D) Ecrêtage'!M242</f>
        <v>149626.7670379942</v>
      </c>
      <c r="G248" s="75">
        <f t="shared" si="4"/>
        <v>171345.24203799421</v>
      </c>
    </row>
    <row r="249" spans="1:7" x14ac:dyDescent="0.25">
      <c r="A249" s="61">
        <f>'A) Base RI'!A245</f>
        <v>5789</v>
      </c>
      <c r="B249" s="124" t="str">
        <f>'A) Base RI'!B245</f>
        <v>Ferlens</v>
      </c>
      <c r="C249" s="14">
        <f>'A) Base RI'!AN245</f>
        <v>336</v>
      </c>
      <c r="D249" s="41">
        <f>'C) Prél. conj.'!H243</f>
        <v>31819.200000000001</v>
      </c>
      <c r="E249" s="19">
        <f>'D) Ecrêtage'!L243</f>
        <v>0</v>
      </c>
      <c r="F249" s="52">
        <f>$F$10*'D) Ecrêtage'!M243</f>
        <v>144757.36361847699</v>
      </c>
      <c r="G249" s="75">
        <f t="shared" si="4"/>
        <v>176576.563618477</v>
      </c>
    </row>
    <row r="250" spans="1:7" x14ac:dyDescent="0.25">
      <c r="A250" s="61">
        <f>'A) Base RI'!A246</f>
        <v>5790</v>
      </c>
      <c r="B250" s="124" t="str">
        <f>'A) Base RI'!B246</f>
        <v>Maracon</v>
      </c>
      <c r="C250" s="14">
        <f>'A) Base RI'!AN246</f>
        <v>444</v>
      </c>
      <c r="D250" s="41">
        <f>'C) Prél. conj.'!H244</f>
        <v>107656.375</v>
      </c>
      <c r="E250" s="19">
        <f>'D) Ecrêtage'!L244</f>
        <v>0</v>
      </c>
      <c r="F250" s="52">
        <f>$F$10*'D) Ecrêtage'!M244</f>
        <v>173989.79195560157</v>
      </c>
      <c r="G250" s="75">
        <f t="shared" si="4"/>
        <v>281646.16695560154</v>
      </c>
    </row>
    <row r="251" spans="1:7" x14ac:dyDescent="0.25">
      <c r="A251" s="61">
        <f>'A) Base RI'!A247</f>
        <v>5791</v>
      </c>
      <c r="B251" s="124" t="str">
        <f>'A) Base RI'!B247</f>
        <v>Mézières</v>
      </c>
      <c r="C251" s="14">
        <f>'A) Base RI'!AN247</f>
        <v>1215</v>
      </c>
      <c r="D251" s="41">
        <f>'C) Prél. conj.'!H245</f>
        <v>72041.08</v>
      </c>
      <c r="E251" s="19">
        <f>'D) Ecrêtage'!L245</f>
        <v>0</v>
      </c>
      <c r="F251" s="52">
        <f>$F$10*'D) Ecrêtage'!M245</f>
        <v>616693.64359084424</v>
      </c>
      <c r="G251" s="75">
        <f t="shared" si="4"/>
        <v>688734.72359084419</v>
      </c>
    </row>
    <row r="252" spans="1:7" x14ac:dyDescent="0.25">
      <c r="A252" s="61">
        <f>'A) Base RI'!A248</f>
        <v>5792</v>
      </c>
      <c r="B252" s="124" t="str">
        <f>'A) Base RI'!B248</f>
        <v>Montpreveyres</v>
      </c>
      <c r="C252" s="14">
        <f>'A) Base RI'!AN248</f>
        <v>628</v>
      </c>
      <c r="D252" s="41">
        <f>'C) Prél. conj.'!H246</f>
        <v>29056.69</v>
      </c>
      <c r="E252" s="19">
        <f>'D) Ecrêtage'!L246</f>
        <v>0</v>
      </c>
      <c r="F252" s="52">
        <f>$F$10*'D) Ecrêtage'!M246</f>
        <v>274304.83382656437</v>
      </c>
      <c r="G252" s="75">
        <f t="shared" si="4"/>
        <v>303361.52382656437</v>
      </c>
    </row>
    <row r="253" spans="1:7" x14ac:dyDescent="0.25">
      <c r="A253" s="61">
        <f>'A) Base RI'!A249</f>
        <v>5798</v>
      </c>
      <c r="B253" s="124" t="str">
        <f>'A) Base RI'!B249</f>
        <v>Ropraz</v>
      </c>
      <c r="C253" s="14">
        <f>'A) Base RI'!AN249</f>
        <v>405</v>
      </c>
      <c r="D253" s="41">
        <f>'C) Prél. conj.'!H247</f>
        <v>43367.275000000001</v>
      </c>
      <c r="E253" s="19">
        <f>'D) Ecrêtage'!L247</f>
        <v>0</v>
      </c>
      <c r="F253" s="52">
        <f>$F$10*'D) Ecrêtage'!M247</f>
        <v>137354.45615853771</v>
      </c>
      <c r="G253" s="75">
        <f t="shared" si="4"/>
        <v>180721.7311585377</v>
      </c>
    </row>
    <row r="254" spans="1:7" x14ac:dyDescent="0.25">
      <c r="A254" s="61">
        <f>'A) Base RI'!A250</f>
        <v>5799</v>
      </c>
      <c r="B254" s="124" t="str">
        <f>'A) Base RI'!B250</f>
        <v>Servion</v>
      </c>
      <c r="C254" s="14">
        <f>'A) Base RI'!AN250</f>
        <v>1908</v>
      </c>
      <c r="D254" s="41">
        <f>'C) Prél. conj.'!H248</f>
        <v>243935.60499999995</v>
      </c>
      <c r="E254" s="19">
        <f>'D) Ecrêtage'!L248</f>
        <v>0</v>
      </c>
      <c r="F254" s="52">
        <f>$F$10*'D) Ecrêtage'!M248</f>
        <v>738144.82219240582</v>
      </c>
      <c r="G254" s="75">
        <f t="shared" si="4"/>
        <v>982080.4271924058</v>
      </c>
    </row>
    <row r="255" spans="1:7" x14ac:dyDescent="0.25">
      <c r="A255" s="61">
        <f>'A) Base RI'!A251</f>
        <v>5803</v>
      </c>
      <c r="B255" s="124" t="str">
        <f>'A) Base RI'!B251</f>
        <v>Vulliens</v>
      </c>
      <c r="C255" s="14">
        <f>'A) Base RI'!AN251</f>
        <v>462</v>
      </c>
      <c r="D255" s="41">
        <f>'C) Prél. conj.'!H249</f>
        <v>86546.75</v>
      </c>
      <c r="E255" s="19">
        <f>'D) Ecrêtage'!L249</f>
        <v>0</v>
      </c>
      <c r="F255" s="52">
        <f>$F$10*'D) Ecrêtage'!M249</f>
        <v>180908.16914368622</v>
      </c>
      <c r="G255" s="75">
        <f t="shared" si="4"/>
        <v>267454.91914368619</v>
      </c>
    </row>
    <row r="256" spans="1:7" x14ac:dyDescent="0.25">
      <c r="A256" s="61">
        <f>'A) Base RI'!A252</f>
        <v>5804</v>
      </c>
      <c r="B256" s="124" t="str">
        <f>'A) Base RI'!B252</f>
        <v>Jorat-Menthue</v>
      </c>
      <c r="C256" s="14">
        <f>'A) Base RI'!AN252</f>
        <v>1518</v>
      </c>
      <c r="D256" s="41">
        <f>'C) Prél. conj.'!H250</f>
        <v>116592.78</v>
      </c>
      <c r="E256" s="19">
        <f>'D) Ecrêtage'!L250</f>
        <v>0</v>
      </c>
      <c r="F256" s="52">
        <f>$F$10*'D) Ecrêtage'!M250</f>
        <v>591528.73603866156</v>
      </c>
      <c r="G256" s="75">
        <f>D256+F256+E256</f>
        <v>708121.51603866159</v>
      </c>
    </row>
    <row r="257" spans="1:7" x14ac:dyDescent="0.25">
      <c r="A257" s="61">
        <f>'A) Base RI'!A253</f>
        <v>5805</v>
      </c>
      <c r="B257" s="124" t="str">
        <f>'A) Base RI'!B253</f>
        <v>Oron</v>
      </c>
      <c r="C257" s="14">
        <f>'A) Base RI'!AN253</f>
        <v>5297</v>
      </c>
      <c r="D257" s="41">
        <f>'C) Prél. conj.'!H251</f>
        <v>461266.41499999998</v>
      </c>
      <c r="E257" s="19">
        <f>'D) Ecrêtage'!L251</f>
        <v>0</v>
      </c>
      <c r="F257" s="52">
        <f>$F$10*'D) Ecrêtage'!M251</f>
        <v>2105294.1581538143</v>
      </c>
      <c r="G257" s="75">
        <f>D257+F257+E257</f>
        <v>2566560.5731538143</v>
      </c>
    </row>
    <row r="258" spans="1:7" x14ac:dyDescent="0.25">
      <c r="A258" s="61">
        <f>'A) Base RI'!A254</f>
        <v>5812</v>
      </c>
      <c r="B258" s="124" t="str">
        <f>'A) Base RI'!B254</f>
        <v>Champtauroz</v>
      </c>
      <c r="C258" s="14">
        <f>'A) Base RI'!AN254</f>
        <v>133</v>
      </c>
      <c r="D258" s="41">
        <f>'C) Prél. conj.'!H252</f>
        <v>17538.3</v>
      </c>
      <c r="E258" s="19">
        <f>'D) Ecrêtage'!L252</f>
        <v>0</v>
      </c>
      <c r="F258" s="52">
        <f>$F$10*'D) Ecrêtage'!M252</f>
        <v>34778.503646574631</v>
      </c>
      <c r="G258" s="75">
        <f>D258+F258+E258</f>
        <v>52316.803646574626</v>
      </c>
    </row>
    <row r="259" spans="1:7" x14ac:dyDescent="0.25">
      <c r="A259" s="61">
        <f>'A) Base RI'!A255</f>
        <v>5813</v>
      </c>
      <c r="B259" s="124" t="str">
        <f>'A) Base RI'!B255</f>
        <v>Chevroux</v>
      </c>
      <c r="C259" s="14">
        <f>'A) Base RI'!AN255</f>
        <v>430</v>
      </c>
      <c r="D259" s="41">
        <f>'C) Prél. conj.'!H253</f>
        <v>33217.599999999999</v>
      </c>
      <c r="E259" s="19">
        <f>'D) Ecrêtage'!L253</f>
        <v>0</v>
      </c>
      <c r="F259" s="52">
        <f>$F$10*'D) Ecrêtage'!M253</f>
        <v>166554.51696081588</v>
      </c>
      <c r="G259" s="75">
        <f t="shared" si="4"/>
        <v>199772.11696081588</v>
      </c>
    </row>
    <row r="260" spans="1:7" x14ac:dyDescent="0.25">
      <c r="A260" s="61">
        <f>'A) Base RI'!A256</f>
        <v>5816</v>
      </c>
      <c r="B260" s="124" t="str">
        <f>'A) Base RI'!B256</f>
        <v>Corcelles-près-Payerne</v>
      </c>
      <c r="C260" s="14">
        <f>'A) Base RI'!AN256</f>
        <v>2229</v>
      </c>
      <c r="D260" s="41">
        <f>'C) Prél. conj.'!H254</f>
        <v>240558.625</v>
      </c>
      <c r="E260" s="19">
        <f>'D) Ecrêtage'!L254</f>
        <v>0</v>
      </c>
      <c r="F260" s="52">
        <f>$F$10*'D) Ecrêtage'!M254</f>
        <v>760952.15090404823</v>
      </c>
      <c r="G260" s="75">
        <f t="shared" si="4"/>
        <v>1001510.7759040482</v>
      </c>
    </row>
    <row r="261" spans="1:7" x14ac:dyDescent="0.25">
      <c r="A261" s="61">
        <f>'A) Base RI'!A257</f>
        <v>5817</v>
      </c>
      <c r="B261" s="124" t="str">
        <f>'A) Base RI'!B257</f>
        <v>Grandcour</v>
      </c>
      <c r="C261" s="14">
        <f>'A) Base RI'!AN257</f>
        <v>856</v>
      </c>
      <c r="D261" s="41">
        <f>'C) Prél. conj.'!H255</f>
        <v>40069.525000000001</v>
      </c>
      <c r="E261" s="19">
        <f>'D) Ecrêtage'!L255</f>
        <v>0</v>
      </c>
      <c r="F261" s="52">
        <f>$F$10*'D) Ecrêtage'!M255</f>
        <v>300275.97098907578</v>
      </c>
      <c r="G261" s="75">
        <f t="shared" si="4"/>
        <v>340345.4959890758</v>
      </c>
    </row>
    <row r="262" spans="1:7" x14ac:dyDescent="0.25">
      <c r="A262" s="61">
        <f>'A) Base RI'!A258</f>
        <v>5819</v>
      </c>
      <c r="B262" s="124" t="str">
        <f>'A) Base RI'!B258</f>
        <v>Henniez</v>
      </c>
      <c r="C262" s="14">
        <f>'A) Base RI'!AN258</f>
        <v>339</v>
      </c>
      <c r="D262" s="41">
        <f>'C) Prél. conj.'!H256</f>
        <v>25073.47</v>
      </c>
      <c r="E262" s="19">
        <f>'D) Ecrêtage'!L256</f>
        <v>0</v>
      </c>
      <c r="F262" s="52">
        <f>$F$10*'D) Ecrêtage'!M256</f>
        <v>188349.47260642238</v>
      </c>
      <c r="G262" s="75">
        <f t="shared" si="4"/>
        <v>213422.94260642238</v>
      </c>
    </row>
    <row r="263" spans="1:7" x14ac:dyDescent="0.25">
      <c r="A263" s="61">
        <f>'A) Base RI'!A259</f>
        <v>5821</v>
      </c>
      <c r="B263" s="124" t="str">
        <f>'A) Base RI'!B259</f>
        <v>Missy</v>
      </c>
      <c r="C263" s="14">
        <f>'A) Base RI'!AN259</f>
        <v>350</v>
      </c>
      <c r="D263" s="41">
        <f>'C) Prél. conj.'!H257</f>
        <v>48571.149999999994</v>
      </c>
      <c r="E263" s="19">
        <f>'D) Ecrêtage'!L257</f>
        <v>0</v>
      </c>
      <c r="F263" s="52">
        <f>$F$10*'D) Ecrêtage'!M257</f>
        <v>105100.62345693594</v>
      </c>
      <c r="G263" s="75">
        <f t="shared" si="4"/>
        <v>153671.77345693595</v>
      </c>
    </row>
    <row r="264" spans="1:7" x14ac:dyDescent="0.25">
      <c r="A264" s="61">
        <f>'A) Base RI'!A260</f>
        <v>5822</v>
      </c>
      <c r="B264" s="124" t="str">
        <f>'A) Base RI'!B260</f>
        <v>Payerne</v>
      </c>
      <c r="C264" s="14">
        <f>'A) Base RI'!AN260</f>
        <v>9302</v>
      </c>
      <c r="D264" s="41">
        <f>'C) Prél. conj.'!H258</f>
        <v>684913.22</v>
      </c>
      <c r="E264" s="19">
        <f>'D) Ecrêtage'!L258</f>
        <v>0</v>
      </c>
      <c r="F264" s="52">
        <f>$F$10*'D) Ecrêtage'!M258</f>
        <v>3225319.2639873815</v>
      </c>
      <c r="G264" s="75">
        <f t="shared" si="4"/>
        <v>3910232.4839873817</v>
      </c>
    </row>
    <row r="265" spans="1:7" x14ac:dyDescent="0.25">
      <c r="A265" s="61">
        <f>'A) Base RI'!A261</f>
        <v>5827</v>
      </c>
      <c r="B265" s="124" t="str">
        <f>'A) Base RI'!B261</f>
        <v>Trey</v>
      </c>
      <c r="C265" s="14">
        <f>'A) Base RI'!AN261</f>
        <v>255</v>
      </c>
      <c r="D265" s="41">
        <f>'C) Prél. conj.'!H259</f>
        <v>26004.920000000002</v>
      </c>
      <c r="E265" s="19">
        <f>'D) Ecrêtage'!L259</f>
        <v>0</v>
      </c>
      <c r="F265" s="52">
        <f>$F$10*'D) Ecrêtage'!M259</f>
        <v>94043.161962129932</v>
      </c>
      <c r="G265" s="75">
        <f t="shared" si="4"/>
        <v>120048.08196212993</v>
      </c>
    </row>
    <row r="266" spans="1:7" x14ac:dyDescent="0.25">
      <c r="A266" s="61">
        <f>'A) Base RI'!A262</f>
        <v>5828</v>
      </c>
      <c r="B266" s="124" t="str">
        <f>'A) Base RI'!B262</f>
        <v>Treytorrens (Payerne)</v>
      </c>
      <c r="C266" s="14">
        <f>'A) Base RI'!AN262</f>
        <v>124</v>
      </c>
      <c r="D266" s="41">
        <f>'C) Prél. conj.'!H260</f>
        <v>8149.125</v>
      </c>
      <c r="E266" s="19">
        <f>'D) Ecrêtage'!L260</f>
        <v>0</v>
      </c>
      <c r="F266" s="52">
        <f>$F$10*'D) Ecrêtage'!M260</f>
        <v>30702.102473799354</v>
      </c>
      <c r="G266" s="75">
        <f t="shared" si="4"/>
        <v>38851.227473799358</v>
      </c>
    </row>
    <row r="267" spans="1:7" x14ac:dyDescent="0.25">
      <c r="A267" s="61">
        <f>'A) Base RI'!A263</f>
        <v>5830</v>
      </c>
      <c r="B267" s="124" t="str">
        <f>'A) Base RI'!B263</f>
        <v>Villarzel</v>
      </c>
      <c r="C267" s="14">
        <f>'A) Base RI'!AN263</f>
        <v>415</v>
      </c>
      <c r="D267" s="41">
        <f>'C) Prél. conj.'!H261</f>
        <v>15729.525</v>
      </c>
      <c r="E267" s="19">
        <f>'D) Ecrêtage'!L261</f>
        <v>0</v>
      </c>
      <c r="F267" s="52">
        <f>$F$10*'D) Ecrêtage'!M261</f>
        <v>147107.12597471787</v>
      </c>
      <c r="G267" s="75">
        <f t="shared" si="4"/>
        <v>162836.65097471786</v>
      </c>
    </row>
    <row r="268" spans="1:7" x14ac:dyDescent="0.25">
      <c r="A268" s="61">
        <f>'A) Base RI'!A264</f>
        <v>5831</v>
      </c>
      <c r="B268" s="124" t="str">
        <f>'A) Base RI'!B264</f>
        <v>Valbroye</v>
      </c>
      <c r="C268" s="14">
        <f>'A) Base RI'!AN264</f>
        <v>2960</v>
      </c>
      <c r="D268" s="41">
        <f>'C) Prél. conj.'!H262</f>
        <v>109432.42500000002</v>
      </c>
      <c r="E268" s="19">
        <f>'D) Ecrêtage'!L262</f>
        <v>0</v>
      </c>
      <c r="F268" s="52">
        <f>$F$10*'D) Ecrêtage'!M262</f>
        <v>1121414.9563114757</v>
      </c>
      <c r="G268" s="75">
        <f>D268+F268+E268</f>
        <v>1230847.3813114758</v>
      </c>
    </row>
    <row r="269" spans="1:7" x14ac:dyDescent="0.25">
      <c r="A269" s="61">
        <f>'A) Base RI'!A265</f>
        <v>5841</v>
      </c>
      <c r="B269" s="124" t="str">
        <f>'A) Base RI'!B265</f>
        <v>Château-d'Oex</v>
      </c>
      <c r="C269" s="14">
        <f>'A) Base RI'!AN265</f>
        <v>3408</v>
      </c>
      <c r="D269" s="41">
        <f>'C) Prél. conj.'!H263</f>
        <v>595497.32499999995</v>
      </c>
      <c r="E269" s="19">
        <f>'D) Ecrêtage'!L263</f>
        <v>0</v>
      </c>
      <c r="F269" s="52">
        <f>$F$10*'D) Ecrêtage'!M263</f>
        <v>1545162.6950900576</v>
      </c>
      <c r="G269" s="75">
        <f>D269+F269+E269</f>
        <v>2140660.0200900575</v>
      </c>
    </row>
    <row r="270" spans="1:7" x14ac:dyDescent="0.25">
      <c r="A270" s="61">
        <f>'A) Base RI'!A266</f>
        <v>5842</v>
      </c>
      <c r="B270" s="124" t="str">
        <f>'A) Base RI'!B266</f>
        <v>Rossinière</v>
      </c>
      <c r="C270" s="14">
        <f>'A) Base RI'!AN266</f>
        <v>565</v>
      </c>
      <c r="D270" s="41">
        <f>'C) Prél. conj.'!H264</f>
        <v>33048.175000000003</v>
      </c>
      <c r="E270" s="19">
        <f>'D) Ecrêtage'!L264</f>
        <v>0</v>
      </c>
      <c r="F270" s="52">
        <f>$F$10*'D) Ecrêtage'!M264</f>
        <v>237885.5328317862</v>
      </c>
      <c r="G270" s="75">
        <f t="shared" si="4"/>
        <v>270933.70783178619</v>
      </c>
    </row>
    <row r="271" spans="1:7" x14ac:dyDescent="0.25">
      <c r="A271" s="61">
        <f>'A) Base RI'!A267</f>
        <v>5843</v>
      </c>
      <c r="B271" s="124" t="str">
        <f>'A) Base RI'!B267</f>
        <v>Rougemont</v>
      </c>
      <c r="C271" s="14">
        <f>'A) Base RI'!AN267</f>
        <v>881</v>
      </c>
      <c r="D271" s="41">
        <f>'C) Prél. conj.'!H265</f>
        <v>1062441.9249999998</v>
      </c>
      <c r="E271" s="19">
        <f>'D) Ecrêtage'!L265</f>
        <v>1387537.959584781</v>
      </c>
      <c r="F271" s="52">
        <f>$F$10*'D) Ecrêtage'!M265</f>
        <v>1037356.5481364196</v>
      </c>
      <c r="G271" s="75">
        <f t="shared" si="4"/>
        <v>3487336.4327212004</v>
      </c>
    </row>
    <row r="272" spans="1:7" x14ac:dyDescent="0.25">
      <c r="A272" s="61">
        <f>'A) Base RI'!A268</f>
        <v>5851</v>
      </c>
      <c r="B272" s="124" t="str">
        <f>'A) Base RI'!B268</f>
        <v>Allaman</v>
      </c>
      <c r="C272" s="14">
        <f>'A) Base RI'!AN268</f>
        <v>393</v>
      </c>
      <c r="D272" s="41">
        <f>'C) Prél. conj.'!H266</f>
        <v>-240242.10499999998</v>
      </c>
      <c r="E272" s="19">
        <f>'D) Ecrêtage'!L266</f>
        <v>104822.17424728589</v>
      </c>
      <c r="F272" s="52">
        <f>$F$10*'D) Ecrêtage'!M266</f>
        <v>353810.95289398852</v>
      </c>
      <c r="G272" s="75">
        <f t="shared" si="4"/>
        <v>218391.02214127441</v>
      </c>
    </row>
    <row r="273" spans="1:7" x14ac:dyDescent="0.25">
      <c r="A273" s="61">
        <f>'A) Base RI'!A269</f>
        <v>5852</v>
      </c>
      <c r="B273" s="124" t="str">
        <f>'A) Base RI'!B269</f>
        <v>Bursinel</v>
      </c>
      <c r="C273" s="14">
        <f>'A) Base RI'!AN269</f>
        <v>477</v>
      </c>
      <c r="D273" s="41">
        <f>'C) Prél. conj.'!H267</f>
        <v>120412.34999999999</v>
      </c>
      <c r="E273" s="19">
        <f>'D) Ecrêtage'!L267</f>
        <v>123372.33031082738</v>
      </c>
      <c r="F273" s="52">
        <f>$F$10*'D) Ecrêtage'!M267</f>
        <v>426645.56174047932</v>
      </c>
      <c r="G273" s="75">
        <f t="shared" si="4"/>
        <v>670430.24205130665</v>
      </c>
    </row>
    <row r="274" spans="1:7" x14ac:dyDescent="0.25">
      <c r="A274" s="61">
        <f>'A) Base RI'!A270</f>
        <v>5853</v>
      </c>
      <c r="B274" s="124" t="str">
        <f>'A) Base RI'!B270</f>
        <v>Bursins</v>
      </c>
      <c r="C274" s="14">
        <f>'A) Base RI'!AN270</f>
        <v>772</v>
      </c>
      <c r="D274" s="41">
        <f>'C) Prél. conj.'!H268</f>
        <v>149689.06</v>
      </c>
      <c r="E274" s="19">
        <f>'D) Ecrêtage'!L268</f>
        <v>0</v>
      </c>
      <c r="F274" s="52">
        <f>$F$10*'D) Ecrêtage'!M268</f>
        <v>533402.38255801925</v>
      </c>
      <c r="G274" s="75">
        <f t="shared" si="4"/>
        <v>683091.44255801919</v>
      </c>
    </row>
    <row r="275" spans="1:7" x14ac:dyDescent="0.25">
      <c r="A275" s="61">
        <f>'A) Base RI'!A271</f>
        <v>5854</v>
      </c>
      <c r="B275" s="124" t="str">
        <f>'A) Base RI'!B271</f>
        <v>Burtigny</v>
      </c>
      <c r="C275" s="14">
        <f>'A) Base RI'!AN271</f>
        <v>352</v>
      </c>
      <c r="D275" s="41">
        <f>'C) Prél. conj.'!H269</f>
        <v>11104.744999999999</v>
      </c>
      <c r="E275" s="19">
        <f>'D) Ecrêtage'!L269</f>
        <v>0</v>
      </c>
      <c r="F275" s="52">
        <f>$F$10*'D) Ecrêtage'!M269</f>
        <v>147210.34001946772</v>
      </c>
      <c r="G275" s="75">
        <f t="shared" si="4"/>
        <v>158315.08501946772</v>
      </c>
    </row>
    <row r="276" spans="1:7" x14ac:dyDescent="0.25">
      <c r="A276" s="61">
        <f>'A) Base RI'!A272</f>
        <v>5855</v>
      </c>
      <c r="B276" s="124" t="str">
        <f>'A) Base RI'!B272</f>
        <v>Dully</v>
      </c>
      <c r="C276" s="14">
        <f>'A) Base RI'!AN272</f>
        <v>636</v>
      </c>
      <c r="D276" s="41">
        <f>'C) Prél. conj.'!H270</f>
        <v>457655.17</v>
      </c>
      <c r="E276" s="19">
        <f>'D) Ecrêtage'!L270</f>
        <v>676292.45172768913</v>
      </c>
      <c r="F276" s="52">
        <f>$F$10*'D) Ecrêtage'!M270</f>
        <v>740800.59956079931</v>
      </c>
      <c r="G276" s="75">
        <f t="shared" si="4"/>
        <v>1874748.2212884882</v>
      </c>
    </row>
    <row r="277" spans="1:7" x14ac:dyDescent="0.25">
      <c r="A277" s="61">
        <f>'A) Base RI'!A273</f>
        <v>5856</v>
      </c>
      <c r="B277" s="124" t="str">
        <f>'A) Base RI'!B273</f>
        <v>Essertines-sur-Rolle</v>
      </c>
      <c r="C277" s="14">
        <f>'A) Base RI'!AN273</f>
        <v>700</v>
      </c>
      <c r="D277" s="41">
        <f>'C) Prél. conj.'!H271</f>
        <v>18940.8</v>
      </c>
      <c r="E277" s="19">
        <f>'D) Ecrêtage'!L271</f>
        <v>0</v>
      </c>
      <c r="F277" s="52">
        <f>$F$10*'D) Ecrêtage'!M271</f>
        <v>413375.88590995426</v>
      </c>
      <c r="G277" s="75">
        <f t="shared" si="4"/>
        <v>432316.68590995425</v>
      </c>
    </row>
    <row r="278" spans="1:7" x14ac:dyDescent="0.25">
      <c r="A278" s="61">
        <f>'A) Base RI'!A274</f>
        <v>5857</v>
      </c>
      <c r="B278" s="124" t="str">
        <f>'A) Base RI'!B274</f>
        <v>Gilly</v>
      </c>
      <c r="C278" s="14">
        <f>'A) Base RI'!AN274</f>
        <v>1131</v>
      </c>
      <c r="D278" s="41">
        <f>'C) Prél. conj.'!H272</f>
        <v>350634.69999999995</v>
      </c>
      <c r="E278" s="19">
        <f>'D) Ecrêtage'!L272</f>
        <v>0</v>
      </c>
      <c r="F278" s="52">
        <f>$F$10*'D) Ecrêtage'!M272</f>
        <v>800345.24035075563</v>
      </c>
      <c r="G278" s="75">
        <f t="shared" si="4"/>
        <v>1150979.9403507556</v>
      </c>
    </row>
    <row r="279" spans="1:7" x14ac:dyDescent="0.25">
      <c r="A279" s="61">
        <f>'A) Base RI'!A275</f>
        <v>5858</v>
      </c>
      <c r="B279" s="124" t="str">
        <f>'A) Base RI'!B275</f>
        <v>Luins</v>
      </c>
      <c r="C279" s="14">
        <f>'A) Base RI'!AN275</f>
        <v>633</v>
      </c>
      <c r="D279" s="41">
        <f>'C) Prél. conj.'!H273</f>
        <v>29865.14</v>
      </c>
      <c r="E279" s="19">
        <f>'D) Ecrêtage'!L273</f>
        <v>0</v>
      </c>
      <c r="F279" s="52">
        <f>$F$10*'D) Ecrêtage'!M273</f>
        <v>482759.57799631491</v>
      </c>
      <c r="G279" s="75">
        <f t="shared" si="4"/>
        <v>512624.71799631492</v>
      </c>
    </row>
    <row r="280" spans="1:7" x14ac:dyDescent="0.25">
      <c r="A280" s="61">
        <f>'A) Base RI'!A276</f>
        <v>5859</v>
      </c>
      <c r="B280" s="124" t="str">
        <f>'A) Base RI'!B276</f>
        <v>Mont-sur-Rolle</v>
      </c>
      <c r="C280" s="14">
        <f>'A) Base RI'!AN276</f>
        <v>2594</v>
      </c>
      <c r="D280" s="41">
        <f>'C) Prél. conj.'!H274</f>
        <v>286083.35499999998</v>
      </c>
      <c r="E280" s="19">
        <f>'D) Ecrêtage'!L274</f>
        <v>112354.11161319271</v>
      </c>
      <c r="F280" s="52">
        <f>$F$10*'D) Ecrêtage'!M274</f>
        <v>2095805.2720524201</v>
      </c>
      <c r="G280" s="75">
        <f t="shared" ref="G280:G328" si="5">D280+F280+E280</f>
        <v>2494242.7386656124</v>
      </c>
    </row>
    <row r="281" spans="1:7" x14ac:dyDescent="0.25">
      <c r="A281" s="61">
        <f>'A) Base RI'!A277</f>
        <v>5860</v>
      </c>
      <c r="B281" s="124" t="str">
        <f>'A) Base RI'!B277</f>
        <v>Perroy</v>
      </c>
      <c r="C281" s="14">
        <f>'A) Base RI'!AN277</f>
        <v>1464</v>
      </c>
      <c r="D281" s="41">
        <f>'C) Prél. conj.'!H275</f>
        <v>379135.93</v>
      </c>
      <c r="E281" s="19">
        <f>'D) Ecrêtage'!L275</f>
        <v>166744.23858078377</v>
      </c>
      <c r="F281" s="52">
        <f>$F$10*'D) Ecrêtage'!M275</f>
        <v>1228112.6446971302</v>
      </c>
      <c r="G281" s="75">
        <f t="shared" si="5"/>
        <v>1773992.813277914</v>
      </c>
    </row>
    <row r="282" spans="1:7" x14ac:dyDescent="0.25">
      <c r="A282" s="61">
        <f>'A) Base RI'!A278</f>
        <v>5861</v>
      </c>
      <c r="B282" s="124" t="str">
        <f>'A) Base RI'!B278</f>
        <v>Rolle</v>
      </c>
      <c r="C282" s="14">
        <f>'A) Base RI'!AN278</f>
        <v>6047</v>
      </c>
      <c r="D282" s="41">
        <f>'C) Prél. conj.'!H276</f>
        <v>1316944.82</v>
      </c>
      <c r="E282" s="19">
        <f>'D) Ecrêtage'!L276</f>
        <v>8466333.2375769466</v>
      </c>
      <c r="F282" s="52">
        <f>$F$10*'D) Ecrêtage'!M276</f>
        <v>7168361.5024022367</v>
      </c>
      <c r="G282" s="75">
        <f t="shared" si="5"/>
        <v>16951639.559979185</v>
      </c>
    </row>
    <row r="283" spans="1:7" x14ac:dyDescent="0.25">
      <c r="A283" s="61">
        <f>'A) Base RI'!A279</f>
        <v>5862</v>
      </c>
      <c r="B283" s="124" t="str">
        <f>'A) Base RI'!B279</f>
        <v>Tartegnin</v>
      </c>
      <c r="C283" s="14">
        <f>'A) Base RI'!AN279</f>
        <v>230</v>
      </c>
      <c r="D283" s="41">
        <f>'C) Prél. conj.'!H277</f>
        <v>14706.764999999999</v>
      </c>
      <c r="E283" s="19">
        <f>'D) Ecrêtage'!L277</f>
        <v>0</v>
      </c>
      <c r="F283" s="52">
        <f>$F$10*'D) Ecrêtage'!M277</f>
        <v>143570.41007676412</v>
      </c>
      <c r="G283" s="75">
        <f t="shared" si="5"/>
        <v>158277.17507676414</v>
      </c>
    </row>
    <row r="284" spans="1:7" x14ac:dyDescent="0.25">
      <c r="A284" s="61">
        <f>'A) Base RI'!A280</f>
        <v>5863</v>
      </c>
      <c r="B284" s="124" t="str">
        <f>'A) Base RI'!B280</f>
        <v>Vinzel</v>
      </c>
      <c r="C284" s="14">
        <f>'A) Base RI'!AN280</f>
        <v>349</v>
      </c>
      <c r="D284" s="41">
        <f>'C) Prél. conj.'!H278</f>
        <v>27212.969999999998</v>
      </c>
      <c r="E284" s="19">
        <f>'D) Ecrêtage'!L278</f>
        <v>174590.38892500289</v>
      </c>
      <c r="F284" s="52">
        <f>$F$10*'D) Ecrêtage'!M278</f>
        <v>332908.54568903637</v>
      </c>
      <c r="G284" s="75">
        <f t="shared" si="5"/>
        <v>534711.90461403923</v>
      </c>
    </row>
    <row r="285" spans="1:7" x14ac:dyDescent="0.25">
      <c r="A285" s="61">
        <f>'A) Base RI'!A281</f>
        <v>5871</v>
      </c>
      <c r="B285" s="124" t="str">
        <f>'A) Base RI'!B281</f>
        <v>L'Abbaye</v>
      </c>
      <c r="C285" s="14">
        <f>'A) Base RI'!AN281</f>
        <v>1423</v>
      </c>
      <c r="D285" s="41">
        <f>'C) Prél. conj.'!H279</f>
        <v>256815.66999999998</v>
      </c>
      <c r="E285" s="19">
        <f>'D) Ecrêtage'!L279</f>
        <v>0</v>
      </c>
      <c r="F285" s="52">
        <f>$F$10*'D) Ecrêtage'!M279</f>
        <v>708026.92287786049</v>
      </c>
      <c r="G285" s="75">
        <f t="shared" si="5"/>
        <v>964842.59287786041</v>
      </c>
    </row>
    <row r="286" spans="1:7" x14ac:dyDescent="0.25">
      <c r="A286" s="61">
        <f>'A) Base RI'!A282</f>
        <v>5872</v>
      </c>
      <c r="B286" s="124" t="str">
        <f>'A) Base RI'!B282</f>
        <v>Le Chenit</v>
      </c>
      <c r="C286" s="14">
        <f>'A) Base RI'!AN282</f>
        <v>4614</v>
      </c>
      <c r="D286" s="41">
        <f>'C) Prél. conj.'!H280</f>
        <v>1580840.92</v>
      </c>
      <c r="E286" s="19">
        <f>'D) Ecrêtage'!L280</f>
        <v>1475977.4043165022</v>
      </c>
      <c r="F286" s="52">
        <f>$F$10*'D) Ecrêtage'!M280</f>
        <v>4187487.7058447609</v>
      </c>
      <c r="G286" s="75">
        <f t="shared" si="5"/>
        <v>7244306.0301612634</v>
      </c>
    </row>
    <row r="287" spans="1:7" x14ac:dyDescent="0.25">
      <c r="A287" s="61">
        <f>'A) Base RI'!A283</f>
        <v>5873</v>
      </c>
      <c r="B287" s="124" t="str">
        <f>'A) Base RI'!B283</f>
        <v>Le Lieu</v>
      </c>
      <c r="C287" s="14">
        <f>'A) Base RI'!AN283</f>
        <v>859</v>
      </c>
      <c r="D287" s="41">
        <f>'C) Prél. conj.'!H281</f>
        <v>341783.96500000003</v>
      </c>
      <c r="E287" s="19">
        <f>'D) Ecrêtage'!L281</f>
        <v>0</v>
      </c>
      <c r="F287" s="52">
        <f>$F$10*'D) Ecrêtage'!M281</f>
        <v>515983.21332542814</v>
      </c>
      <c r="G287" s="75">
        <f t="shared" si="5"/>
        <v>857767.17832542816</v>
      </c>
    </row>
    <row r="288" spans="1:7" x14ac:dyDescent="0.25">
      <c r="A288" s="61">
        <f>'A) Base RI'!A284</f>
        <v>5881</v>
      </c>
      <c r="B288" s="124" t="str">
        <f>'A) Base RI'!B284</f>
        <v>Blonay</v>
      </c>
      <c r="C288" s="14">
        <f>'A) Base RI'!AN284</f>
        <v>6132</v>
      </c>
      <c r="D288" s="41">
        <f>'C) Prél. conj.'!H282</f>
        <v>970747.81</v>
      </c>
      <c r="E288" s="19">
        <f>'D) Ecrêtage'!L282</f>
        <v>328454.38685984293</v>
      </c>
      <c r="F288" s="52">
        <f>$F$10*'D) Ecrêtage'!M282</f>
        <v>4966479.7136126244</v>
      </c>
      <c r="G288" s="75">
        <f t="shared" si="5"/>
        <v>6265681.9104724666</v>
      </c>
    </row>
    <row r="289" spans="1:7" x14ac:dyDescent="0.25">
      <c r="A289" s="61">
        <f>'A) Base RI'!A285</f>
        <v>5882</v>
      </c>
      <c r="B289" s="124" t="str">
        <f>'A) Base RI'!B285</f>
        <v>Chardonne</v>
      </c>
      <c r="C289" s="14">
        <f>'A) Base RI'!AN285</f>
        <v>2889</v>
      </c>
      <c r="D289" s="41">
        <f>'C) Prél. conj.'!H283</f>
        <v>726736.07499999995</v>
      </c>
      <c r="E289" s="19">
        <f>'D) Ecrêtage'!L283</f>
        <v>94448.890969242784</v>
      </c>
      <c r="F289" s="52">
        <f>$F$10*'D) Ecrêtage'!M283</f>
        <v>2319965.6791449795</v>
      </c>
      <c r="G289" s="75">
        <f t="shared" si="5"/>
        <v>3141150.6451142225</v>
      </c>
    </row>
    <row r="290" spans="1:7" x14ac:dyDescent="0.25">
      <c r="A290" s="61">
        <f>'A) Base RI'!A286</f>
        <v>5883</v>
      </c>
      <c r="B290" s="124" t="str">
        <f>'A) Base RI'!B286</f>
        <v>Corseaux</v>
      </c>
      <c r="C290" s="14">
        <f>'A) Base RI'!AN286</f>
        <v>2172</v>
      </c>
      <c r="D290" s="41">
        <f>'C) Prél. conj.'!H284</f>
        <v>562320.1</v>
      </c>
      <c r="E290" s="19">
        <f>'D) Ecrêtage'!L284</f>
        <v>574962.08939237357</v>
      </c>
      <c r="F290" s="52">
        <f>$F$10*'D) Ecrêtage'!M284</f>
        <v>1946212.9915440995</v>
      </c>
      <c r="G290" s="75">
        <f t="shared" si="5"/>
        <v>3083495.1809364734</v>
      </c>
    </row>
    <row r="291" spans="1:7" x14ac:dyDescent="0.25">
      <c r="A291" s="61">
        <f>'A) Base RI'!A287</f>
        <v>5884</v>
      </c>
      <c r="B291" s="124" t="str">
        <f>'A) Base RI'!B287</f>
        <v>Corsier-sur-Vevey</v>
      </c>
      <c r="C291" s="14">
        <f>'A) Base RI'!AN287</f>
        <v>3427</v>
      </c>
      <c r="D291" s="41">
        <f>'C) Prél. conj.'!H285</f>
        <v>342765.065</v>
      </c>
      <c r="E291" s="19">
        <f>'D) Ecrêtage'!L285</f>
        <v>0</v>
      </c>
      <c r="F291" s="52">
        <f>$F$10*'D) Ecrêtage'!M285</f>
        <v>1902321.6376375412</v>
      </c>
      <c r="G291" s="75">
        <f t="shared" si="5"/>
        <v>2245086.7026375411</v>
      </c>
    </row>
    <row r="292" spans="1:7" x14ac:dyDescent="0.25">
      <c r="A292" s="61">
        <f>'A) Base RI'!A288</f>
        <v>5885</v>
      </c>
      <c r="B292" s="124" t="str">
        <f>'A) Base RI'!B288</f>
        <v>Jongny</v>
      </c>
      <c r="C292" s="14">
        <f>'A) Base RI'!AN288</f>
        <v>1493</v>
      </c>
      <c r="D292" s="41">
        <f>'C) Prél. conj.'!H286</f>
        <v>191570.67500000002</v>
      </c>
      <c r="E292" s="19">
        <f>'D) Ecrêtage'!L286</f>
        <v>3938078.8640177972</v>
      </c>
      <c r="F292" s="52">
        <f>$F$10*'D) Ecrêtage'!M286</f>
        <v>2017606.8756264311</v>
      </c>
      <c r="G292" s="75">
        <f t="shared" si="5"/>
        <v>6147256.4146442283</v>
      </c>
    </row>
    <row r="293" spans="1:7" x14ac:dyDescent="0.25">
      <c r="A293" s="61">
        <f>'A) Base RI'!A289</f>
        <v>5886</v>
      </c>
      <c r="B293" s="124" t="str">
        <f>'A) Base RI'!B289</f>
        <v>Montreux</v>
      </c>
      <c r="C293" s="14">
        <f>'A) Base RI'!AN289</f>
        <v>26283</v>
      </c>
      <c r="D293" s="41">
        <f>'C) Prél. conj.'!H287</f>
        <v>6938750.9849999994</v>
      </c>
      <c r="E293" s="19">
        <f>'D) Ecrêtage'!L287</f>
        <v>0</v>
      </c>
      <c r="F293" s="52">
        <f>$F$10*'D) Ecrêtage'!M287</f>
        <v>15996083.558012402</v>
      </c>
      <c r="G293" s="75">
        <f t="shared" si="5"/>
        <v>22934834.543012403</v>
      </c>
    </row>
    <row r="294" spans="1:7" x14ac:dyDescent="0.25">
      <c r="A294" s="61">
        <f>'A) Base RI'!A290</f>
        <v>5888</v>
      </c>
      <c r="B294" s="124" t="str">
        <f>'A) Base RI'!B290</f>
        <v>Saint-Légier-La Chiésaz</v>
      </c>
      <c r="C294" s="14">
        <f>'A) Base RI'!AN290</f>
        <v>5071</v>
      </c>
      <c r="D294" s="41">
        <f>'C) Prél. conj.'!H288</f>
        <v>677291.875</v>
      </c>
      <c r="E294" s="19">
        <f>'D) Ecrêtage'!L288</f>
        <v>818213.74496622686</v>
      </c>
      <c r="F294" s="52">
        <f>$F$10*'D) Ecrêtage'!M288</f>
        <v>4324725.5262378231</v>
      </c>
      <c r="G294" s="75">
        <f t="shared" si="5"/>
        <v>5820231.1462040497</v>
      </c>
    </row>
    <row r="295" spans="1:7" x14ac:dyDescent="0.25">
      <c r="A295" s="61">
        <f>'A) Base RI'!A291</f>
        <v>5889</v>
      </c>
      <c r="B295" s="124" t="str">
        <f>'A) Base RI'!B291</f>
        <v>La Tour-de-Peilz</v>
      </c>
      <c r="C295" s="14">
        <f>'A) Base RI'!AN291</f>
        <v>11421</v>
      </c>
      <c r="D295" s="41">
        <f>'C) Prél. conj.'!H289</f>
        <v>1079705.5750000002</v>
      </c>
      <c r="E295" s="19">
        <f>'D) Ecrêtage'!L289</f>
        <v>0</v>
      </c>
      <c r="F295" s="52">
        <f>$F$10*'D) Ecrêtage'!M289</f>
        <v>8480430.8503832705</v>
      </c>
      <c r="G295" s="75">
        <f t="shared" si="5"/>
        <v>9560136.4253832698</v>
      </c>
    </row>
    <row r="296" spans="1:7" x14ac:dyDescent="0.25">
      <c r="A296" s="61">
        <f>'A) Base RI'!A292</f>
        <v>5890</v>
      </c>
      <c r="B296" s="124" t="str">
        <f>'A) Base RI'!B292</f>
        <v>Vevey</v>
      </c>
      <c r="C296" s="14">
        <f>'A) Base RI'!AN292</f>
        <v>19217</v>
      </c>
      <c r="D296" s="41">
        <f>'C) Prél. conj.'!H290</f>
        <v>2343830.105</v>
      </c>
      <c r="E296" s="19">
        <f>'D) Ecrêtage'!L290</f>
        <v>0</v>
      </c>
      <c r="F296" s="52">
        <f>$F$10*'D) Ecrêtage'!M290</f>
        <v>13251530.590266015</v>
      </c>
      <c r="G296" s="75">
        <f t="shared" si="5"/>
        <v>15595360.695266016</v>
      </c>
    </row>
    <row r="297" spans="1:7" x14ac:dyDescent="0.25">
      <c r="A297" s="61">
        <f>'A) Base RI'!A293</f>
        <v>5891</v>
      </c>
      <c r="B297" s="124" t="str">
        <f>'A) Base RI'!B293</f>
        <v>Veytaux</v>
      </c>
      <c r="C297" s="14">
        <f>'A) Base RI'!AN293</f>
        <v>854</v>
      </c>
      <c r="D297" s="41">
        <f>'C) Prél. conj.'!H291</f>
        <v>112666.95000000001</v>
      </c>
      <c r="E297" s="19">
        <f>'D) Ecrêtage'!L291</f>
        <v>0</v>
      </c>
      <c r="F297" s="52">
        <f>$F$10*'D) Ecrêtage'!M291</f>
        <v>535424.4160185525</v>
      </c>
      <c r="G297" s="75">
        <f t="shared" si="5"/>
        <v>648091.36601855257</v>
      </c>
    </row>
    <row r="298" spans="1:7" x14ac:dyDescent="0.25">
      <c r="A298" s="61">
        <f>'A) Base RI'!A294</f>
        <v>5902</v>
      </c>
      <c r="B298" s="124" t="str">
        <f>'A) Base RI'!B294</f>
        <v>Belmont-sur-Yverdon</v>
      </c>
      <c r="C298" s="14">
        <f>'A) Base RI'!AN294</f>
        <v>369</v>
      </c>
      <c r="D298" s="41">
        <f>'C) Prél. conj.'!H292</f>
        <v>56664.810000000005</v>
      </c>
      <c r="E298" s="19">
        <f>'D) Ecrêtage'!L292</f>
        <v>0</v>
      </c>
      <c r="F298" s="52">
        <f>$F$10*'D) Ecrêtage'!M292</f>
        <v>124190.20594170393</v>
      </c>
      <c r="G298" s="75">
        <f t="shared" si="5"/>
        <v>180855.01594170392</v>
      </c>
    </row>
    <row r="299" spans="1:7" x14ac:dyDescent="0.25">
      <c r="A299" s="61">
        <f>'A) Base RI'!A295</f>
        <v>5903</v>
      </c>
      <c r="B299" s="124" t="str">
        <f>'A) Base RI'!B295</f>
        <v>Bioley-Magnoux</v>
      </c>
      <c r="C299" s="14">
        <f>'A) Base RI'!AN295</f>
        <v>201</v>
      </c>
      <c r="D299" s="41">
        <f>'C) Prél. conj.'!H293</f>
        <v>45488.510000000009</v>
      </c>
      <c r="E299" s="19">
        <f>'D) Ecrêtage'!L293</f>
        <v>0</v>
      </c>
      <c r="F299" s="52">
        <f>$F$10*'D) Ecrêtage'!M293</f>
        <v>86889.600347909218</v>
      </c>
      <c r="G299" s="75">
        <f t="shared" si="5"/>
        <v>132378.11034790921</v>
      </c>
    </row>
    <row r="300" spans="1:7" x14ac:dyDescent="0.25">
      <c r="A300" s="61">
        <f>'A) Base RI'!A296</f>
        <v>5904</v>
      </c>
      <c r="B300" s="124" t="str">
        <f>'A) Base RI'!B296</f>
        <v>Chamblon</v>
      </c>
      <c r="C300" s="14">
        <f>'A) Base RI'!AN296</f>
        <v>568</v>
      </c>
      <c r="D300" s="41">
        <f>'C) Prél. conj.'!H294</f>
        <v>75655.024999999994</v>
      </c>
      <c r="E300" s="19">
        <f>'D) Ecrêtage'!L294</f>
        <v>0</v>
      </c>
      <c r="F300" s="52">
        <f>$F$10*'D) Ecrêtage'!M294</f>
        <v>289852.49706072587</v>
      </c>
      <c r="G300" s="75">
        <f t="shared" si="5"/>
        <v>365507.52206072584</v>
      </c>
    </row>
    <row r="301" spans="1:7" x14ac:dyDescent="0.25">
      <c r="A301" s="61">
        <f>'A) Base RI'!A297</f>
        <v>5905</v>
      </c>
      <c r="B301" s="124" t="str">
        <f>'A) Base RI'!B297</f>
        <v>Champvent</v>
      </c>
      <c r="C301" s="14">
        <f>'A) Base RI'!AN297</f>
        <v>617</v>
      </c>
      <c r="D301" s="41">
        <f>'C) Prél. conj.'!H295</f>
        <v>47943.83</v>
      </c>
      <c r="E301" s="19">
        <f>'D) Ecrêtage'!L295</f>
        <v>0</v>
      </c>
      <c r="F301" s="52">
        <f>$F$10*'D) Ecrêtage'!M295</f>
        <v>261835.43073474171</v>
      </c>
      <c r="G301" s="75">
        <f t="shared" si="5"/>
        <v>309779.26073474169</v>
      </c>
    </row>
    <row r="302" spans="1:7" x14ac:dyDescent="0.25">
      <c r="A302" s="61">
        <f>'A) Base RI'!A298</f>
        <v>5907</v>
      </c>
      <c r="B302" s="124" t="str">
        <f>'A) Base RI'!B298</f>
        <v>Chavannes-le-Chêne</v>
      </c>
      <c r="C302" s="14">
        <f>'A) Base RI'!AN298</f>
        <v>278</v>
      </c>
      <c r="D302" s="41">
        <f>'C) Prél. conj.'!H296</f>
        <v>20225.530000000002</v>
      </c>
      <c r="E302" s="19">
        <f>'D) Ecrêtage'!L296</f>
        <v>0</v>
      </c>
      <c r="F302" s="52">
        <f>$F$10*'D) Ecrêtage'!M296</f>
        <v>99897.771670277696</v>
      </c>
      <c r="G302" s="75">
        <f t="shared" si="5"/>
        <v>120123.30167027769</v>
      </c>
    </row>
    <row r="303" spans="1:7" x14ac:dyDescent="0.25">
      <c r="A303" s="61">
        <f>'A) Base RI'!A299</f>
        <v>5908</v>
      </c>
      <c r="B303" s="124" t="str">
        <f>'A) Base RI'!B299</f>
        <v>Chêne-Pâquier</v>
      </c>
      <c r="C303" s="14">
        <f>'A) Base RI'!AN299</f>
        <v>125</v>
      </c>
      <c r="D303" s="41">
        <f>'C) Prél. conj.'!H297</f>
        <v>6952</v>
      </c>
      <c r="E303" s="19">
        <f>'D) Ecrêtage'!L297</f>
        <v>0</v>
      </c>
      <c r="F303" s="52">
        <f>$F$10*'D) Ecrêtage'!M297</f>
        <v>41659.137325380878</v>
      </c>
      <c r="G303" s="75">
        <f t="shared" si="5"/>
        <v>48611.137325380878</v>
      </c>
    </row>
    <row r="304" spans="1:7" x14ac:dyDescent="0.25">
      <c r="A304" s="61">
        <f>'A) Base RI'!A300</f>
        <v>5909</v>
      </c>
      <c r="B304" s="124" t="str">
        <f>'A) Base RI'!B300</f>
        <v>Cheseaux-Noréaz</v>
      </c>
      <c r="C304" s="14">
        <f>'A) Base RI'!AN300</f>
        <v>664</v>
      </c>
      <c r="D304" s="41">
        <f>'C) Prél. conj.'!H298</f>
        <v>54567.69</v>
      </c>
      <c r="E304" s="19">
        <f>'D) Ecrêtage'!L298</f>
        <v>0</v>
      </c>
      <c r="F304" s="52">
        <f>$F$10*'D) Ecrêtage'!M298</f>
        <v>325654.50403860386</v>
      </c>
      <c r="G304" s="75">
        <f t="shared" si="5"/>
        <v>380222.19403860386</v>
      </c>
    </row>
    <row r="305" spans="1:7" x14ac:dyDescent="0.25">
      <c r="A305" s="61">
        <f>'A) Base RI'!A301</f>
        <v>5910</v>
      </c>
      <c r="B305" s="124" t="str">
        <f>'A) Base RI'!B301</f>
        <v>Cronay</v>
      </c>
      <c r="C305" s="14">
        <f>'A) Base RI'!AN301</f>
        <v>364</v>
      </c>
      <c r="D305" s="41">
        <f>'C) Prél. conj.'!H299</f>
        <v>51571.35</v>
      </c>
      <c r="E305" s="19">
        <f>'D) Ecrêtage'!L299</f>
        <v>0</v>
      </c>
      <c r="F305" s="52">
        <f>$F$10*'D) Ecrêtage'!M299</f>
        <v>149589.88389016024</v>
      </c>
      <c r="G305" s="75">
        <f t="shared" si="5"/>
        <v>201161.23389016025</v>
      </c>
    </row>
    <row r="306" spans="1:7" x14ac:dyDescent="0.25">
      <c r="A306" s="61">
        <f>'A) Base RI'!A302</f>
        <v>5911</v>
      </c>
      <c r="B306" s="124" t="str">
        <f>'A) Base RI'!B302</f>
        <v>Cuarny</v>
      </c>
      <c r="C306" s="14">
        <f>'A) Base RI'!AN302</f>
        <v>216</v>
      </c>
      <c r="D306" s="41">
        <f>'C) Prél. conj.'!H300</f>
        <v>345.75</v>
      </c>
      <c r="E306" s="19">
        <f>'D) Ecrêtage'!L300</f>
        <v>0</v>
      </c>
      <c r="F306" s="52">
        <f>$F$10*'D) Ecrêtage'!M300</f>
        <v>97481.862260176684</v>
      </c>
      <c r="G306" s="75">
        <f t="shared" si="5"/>
        <v>97827.612260176684</v>
      </c>
    </row>
    <row r="307" spans="1:7" x14ac:dyDescent="0.25">
      <c r="A307" s="61">
        <f>'A) Base RI'!A303</f>
        <v>5912</v>
      </c>
      <c r="B307" s="124" t="str">
        <f>'A) Base RI'!B303</f>
        <v>Démoret</v>
      </c>
      <c r="C307" s="14">
        <f>'A) Base RI'!AN303</f>
        <v>123</v>
      </c>
      <c r="D307" s="41">
        <f>'C) Prél. conj.'!H301</f>
        <v>50192.4</v>
      </c>
      <c r="E307" s="19">
        <f>'D) Ecrêtage'!L301</f>
        <v>0</v>
      </c>
      <c r="F307" s="52">
        <f>$F$10*'D) Ecrêtage'!M301</f>
        <v>45217.202270253001</v>
      </c>
      <c r="G307" s="75">
        <f t="shared" si="5"/>
        <v>95409.602270253003</v>
      </c>
    </row>
    <row r="308" spans="1:7" x14ac:dyDescent="0.25">
      <c r="A308" s="61">
        <f>'A) Base RI'!A304</f>
        <v>5913</v>
      </c>
      <c r="B308" s="124" t="str">
        <f>'A) Base RI'!B304</f>
        <v>Donneloye</v>
      </c>
      <c r="C308" s="14">
        <f>'A) Base RI'!AN304</f>
        <v>765</v>
      </c>
      <c r="D308" s="41">
        <f>'C) Prél. conj.'!H302</f>
        <v>63666.82</v>
      </c>
      <c r="E308" s="19">
        <f>'D) Ecrêtage'!L302</f>
        <v>0</v>
      </c>
      <c r="F308" s="52">
        <f>$F$10*'D) Ecrêtage'!M302</f>
        <v>332184.1933649648</v>
      </c>
      <c r="G308" s="75">
        <f t="shared" si="5"/>
        <v>395851.01336496481</v>
      </c>
    </row>
    <row r="309" spans="1:7" x14ac:dyDescent="0.25">
      <c r="A309" s="61">
        <f>'A) Base RI'!A305</f>
        <v>5914</v>
      </c>
      <c r="B309" s="124" t="str">
        <f>'A) Base RI'!B305</f>
        <v>Ependes</v>
      </c>
      <c r="C309" s="14">
        <f>'A) Base RI'!AN305</f>
        <v>345</v>
      </c>
      <c r="D309" s="41">
        <f>'C) Prél. conj.'!H303</f>
        <v>8268.2000000000007</v>
      </c>
      <c r="E309" s="19">
        <f>'D) Ecrêtage'!L303</f>
        <v>0</v>
      </c>
      <c r="F309" s="52">
        <f>$F$10*'D) Ecrêtage'!M303</f>
        <v>125743.15622382321</v>
      </c>
      <c r="G309" s="75">
        <f t="shared" si="5"/>
        <v>134011.35622382321</v>
      </c>
    </row>
    <row r="310" spans="1:7" x14ac:dyDescent="0.25">
      <c r="A310" s="61">
        <f>'A) Base RI'!A306</f>
        <v>5915</v>
      </c>
      <c r="B310" s="124" t="str">
        <f>'A) Base RI'!B306</f>
        <v>Essert-Pittet</v>
      </c>
      <c r="C310" s="14">
        <f>'A) Base RI'!AN306</f>
        <v>164</v>
      </c>
      <c r="D310" s="41">
        <f>'C) Prél. conj.'!H304</f>
        <v>6919.5749999999998</v>
      </c>
      <c r="E310" s="19">
        <f>'D) Ecrêtage'!L304</f>
        <v>0</v>
      </c>
      <c r="F310" s="52">
        <f>$F$10*'D) Ecrêtage'!M304</f>
        <v>74461.975824556124</v>
      </c>
      <c r="G310" s="75">
        <f t="shared" si="5"/>
        <v>81381.550824556121</v>
      </c>
    </row>
    <row r="311" spans="1:7" x14ac:dyDescent="0.25">
      <c r="A311" s="61">
        <f>'A) Base RI'!A307</f>
        <v>5919</v>
      </c>
      <c r="B311" s="124" t="str">
        <f>'A) Base RI'!B307</f>
        <v>Mathod</v>
      </c>
      <c r="C311" s="14">
        <f>'A) Base RI'!AN307</f>
        <v>581</v>
      </c>
      <c r="D311" s="41">
        <f>'C) Prél. conj.'!H305</f>
        <v>6185.9249999999993</v>
      </c>
      <c r="E311" s="19">
        <f>'D) Ecrêtage'!L305</f>
        <v>0</v>
      </c>
      <c r="F311" s="52">
        <f>$F$10*'D) Ecrêtage'!M305</f>
        <v>233669.30453123161</v>
      </c>
      <c r="G311" s="75">
        <f t="shared" si="5"/>
        <v>239855.2295312316</v>
      </c>
    </row>
    <row r="312" spans="1:7" x14ac:dyDescent="0.25">
      <c r="A312" s="61">
        <f>'A) Base RI'!A308</f>
        <v>5921</v>
      </c>
      <c r="B312" s="124" t="str">
        <f>'A) Base RI'!B308</f>
        <v>Molondin</v>
      </c>
      <c r="C312" s="14">
        <f>'A) Base RI'!AN308</f>
        <v>224</v>
      </c>
      <c r="D312" s="41">
        <f>'C) Prél. conj.'!H306</f>
        <v>32211.945</v>
      </c>
      <c r="E312" s="19">
        <f>'D) Ecrêtage'!L306</f>
        <v>0</v>
      </c>
      <c r="F312" s="52">
        <f>$F$10*'D) Ecrêtage'!M306</f>
        <v>70875.299039151374</v>
      </c>
      <c r="G312" s="75">
        <f t="shared" si="5"/>
        <v>103087.24403915138</v>
      </c>
    </row>
    <row r="313" spans="1:7" x14ac:dyDescent="0.25">
      <c r="A313" s="61">
        <f>'A) Base RI'!A309</f>
        <v>5922</v>
      </c>
      <c r="B313" s="124" t="str">
        <f>'A) Base RI'!B309</f>
        <v>Montagny-près-Yverdon</v>
      </c>
      <c r="C313" s="14">
        <f>'A) Base RI'!AN309</f>
        <v>713</v>
      </c>
      <c r="D313" s="41">
        <f>'C) Prél. conj.'!H307</f>
        <v>99134.674999999988</v>
      </c>
      <c r="E313" s="19">
        <f>'D) Ecrêtage'!L307</f>
        <v>362727.59975579445</v>
      </c>
      <c r="F313" s="52">
        <f>$F$10*'D) Ecrêtage'!M307</f>
        <v>694478.89758500562</v>
      </c>
      <c r="G313" s="75">
        <f t="shared" si="5"/>
        <v>1156341.1723408001</v>
      </c>
    </row>
    <row r="314" spans="1:7" x14ac:dyDescent="0.25">
      <c r="A314" s="61">
        <f>'A) Base RI'!A310</f>
        <v>5923</v>
      </c>
      <c r="B314" s="124" t="str">
        <f>'A) Base RI'!B310</f>
        <v>Oppens</v>
      </c>
      <c r="C314" s="14">
        <f>'A) Base RI'!AN310</f>
        <v>182</v>
      </c>
      <c r="D314" s="41">
        <f>'C) Prél. conj.'!H308</f>
        <v>27083.314999999999</v>
      </c>
      <c r="E314" s="19">
        <f>'D) Ecrêtage'!L308</f>
        <v>0</v>
      </c>
      <c r="F314" s="52">
        <f>$F$10*'D) Ecrêtage'!M308</f>
        <v>70444.385654897109</v>
      </c>
      <c r="G314" s="75">
        <f t="shared" si="5"/>
        <v>97527.700654897111</v>
      </c>
    </row>
    <row r="315" spans="1:7" x14ac:dyDescent="0.25">
      <c r="A315" s="61">
        <f>'A) Base RI'!A311</f>
        <v>5924</v>
      </c>
      <c r="B315" s="124" t="str">
        <f>'A) Base RI'!B311</f>
        <v>Orges</v>
      </c>
      <c r="C315" s="14">
        <f>'A) Base RI'!AN311</f>
        <v>275</v>
      </c>
      <c r="D315" s="41">
        <f>'C) Prél. conj.'!H309</f>
        <v>44745.48</v>
      </c>
      <c r="E315" s="19">
        <f>'D) Ecrêtage'!L309</f>
        <v>0</v>
      </c>
      <c r="F315" s="52">
        <f>$F$10*'D) Ecrêtage'!M309</f>
        <v>129372.53053334558</v>
      </c>
      <c r="G315" s="75">
        <f t="shared" si="5"/>
        <v>174118.01053334557</v>
      </c>
    </row>
    <row r="316" spans="1:7" x14ac:dyDescent="0.25">
      <c r="A316" s="61">
        <f>'A) Base RI'!A312</f>
        <v>5925</v>
      </c>
      <c r="B316" s="124" t="str">
        <f>'A) Base RI'!B312</f>
        <v>Orzens</v>
      </c>
      <c r="C316" s="14">
        <f>'A) Base RI'!AN312</f>
        <v>211</v>
      </c>
      <c r="D316" s="41">
        <f>'C) Prél. conj.'!H310</f>
        <v>4172.38</v>
      </c>
      <c r="E316" s="19">
        <f>'D) Ecrêtage'!L310</f>
        <v>0</v>
      </c>
      <c r="F316" s="52">
        <f>$F$10*'D) Ecrêtage'!M310</f>
        <v>72623.267530689773</v>
      </c>
      <c r="G316" s="75">
        <f t="shared" si="5"/>
        <v>76795.647530689777</v>
      </c>
    </row>
    <row r="317" spans="1:7" x14ac:dyDescent="0.25">
      <c r="A317" s="61">
        <f>'A) Base RI'!A313</f>
        <v>5926</v>
      </c>
      <c r="B317" s="124" t="str">
        <f>'A) Base RI'!B313</f>
        <v>Pomy</v>
      </c>
      <c r="C317" s="14">
        <f>'A) Base RI'!AN313</f>
        <v>730</v>
      </c>
      <c r="D317" s="41">
        <f>'C) Prél. conj.'!H311</f>
        <v>50689.285000000003</v>
      </c>
      <c r="E317" s="19">
        <f>'D) Ecrêtage'!L311</f>
        <v>0</v>
      </c>
      <c r="F317" s="52">
        <f>$F$10*'D) Ecrêtage'!M311</f>
        <v>302192.03882408416</v>
      </c>
      <c r="G317" s="75">
        <f t="shared" si="5"/>
        <v>352881.32382408413</v>
      </c>
    </row>
    <row r="318" spans="1:7" x14ac:dyDescent="0.25">
      <c r="A318" s="61">
        <f>'A) Base RI'!A314</f>
        <v>5928</v>
      </c>
      <c r="B318" s="124" t="str">
        <f>'A) Base RI'!B314</f>
        <v>Rovray</v>
      </c>
      <c r="C318" s="14">
        <f>'A) Base RI'!AN314</f>
        <v>176</v>
      </c>
      <c r="D318" s="41">
        <f>'C) Prél. conj.'!H312</f>
        <v>13759.05</v>
      </c>
      <c r="E318" s="19">
        <f>'D) Ecrêtage'!L312</f>
        <v>0</v>
      </c>
      <c r="F318" s="52">
        <f>$F$10*'D) Ecrêtage'!M312</f>
        <v>70372.798170420298</v>
      </c>
      <c r="G318" s="75">
        <f t="shared" si="5"/>
        <v>84131.8481704203</v>
      </c>
    </row>
    <row r="319" spans="1:7" x14ac:dyDescent="0.25">
      <c r="A319" s="61">
        <f>'A) Base RI'!A315</f>
        <v>5929</v>
      </c>
      <c r="B319" s="124" t="str">
        <f>'A) Base RI'!B315</f>
        <v>Suchy</v>
      </c>
      <c r="C319" s="14">
        <f>'A) Base RI'!AN315</f>
        <v>542</v>
      </c>
      <c r="D319" s="41">
        <f>'C) Prél. conj.'!H313</f>
        <v>18166.13</v>
      </c>
      <c r="E319" s="19">
        <f>'D) Ecrêtage'!L313</f>
        <v>0</v>
      </c>
      <c r="F319" s="52">
        <f>$F$10*'D) Ecrêtage'!M313</f>
        <v>231128.50729421191</v>
      </c>
      <c r="G319" s="75">
        <f t="shared" si="5"/>
        <v>249294.63729421192</v>
      </c>
    </row>
    <row r="320" spans="1:7" x14ac:dyDescent="0.25">
      <c r="A320" s="61">
        <f>'A) Base RI'!A316</f>
        <v>5930</v>
      </c>
      <c r="B320" s="124" t="str">
        <f>'A) Base RI'!B316</f>
        <v>Suscévaz</v>
      </c>
      <c r="C320" s="14">
        <f>'A) Base RI'!AN316</f>
        <v>199</v>
      </c>
      <c r="D320" s="41">
        <f>'C) Prél. conj.'!H314</f>
        <v>4724.45</v>
      </c>
      <c r="E320" s="19">
        <f>'D) Ecrêtage'!L314</f>
        <v>0</v>
      </c>
      <c r="F320" s="52">
        <f>$F$10*'D) Ecrêtage'!M314</f>
        <v>74841.029697019432</v>
      </c>
      <c r="G320" s="75">
        <f t="shared" si="5"/>
        <v>79565.479697019429</v>
      </c>
    </row>
    <row r="321" spans="1:13" x14ac:dyDescent="0.25">
      <c r="A321" s="61">
        <f>'A) Base RI'!A317</f>
        <v>5931</v>
      </c>
      <c r="B321" s="124" t="str">
        <f>'A) Base RI'!B317</f>
        <v>Treycovagnes</v>
      </c>
      <c r="C321" s="14">
        <f>'A) Base RI'!AN317</f>
        <v>462</v>
      </c>
      <c r="D321" s="41">
        <f>'C) Prél. conj.'!H315</f>
        <v>41576.275000000001</v>
      </c>
      <c r="E321" s="19">
        <f>'D) Ecrêtage'!L315</f>
        <v>0</v>
      </c>
      <c r="F321" s="52">
        <f>$F$10*'D) Ecrêtage'!M315</f>
        <v>200062.51968653797</v>
      </c>
      <c r="G321" s="75">
        <f t="shared" si="5"/>
        <v>241638.79468653796</v>
      </c>
    </row>
    <row r="322" spans="1:13" x14ac:dyDescent="0.25">
      <c r="A322" s="61">
        <f>'A) Base RI'!A318</f>
        <v>5932</v>
      </c>
      <c r="B322" s="124" t="str">
        <f>'A) Base RI'!B318</f>
        <v>Ursins</v>
      </c>
      <c r="C322" s="14">
        <f>'A) Base RI'!AN318</f>
        <v>207</v>
      </c>
      <c r="D322" s="41">
        <f>'C) Prél. conj.'!H316</f>
        <v>280.5</v>
      </c>
      <c r="E322" s="19">
        <f>'D) Ecrêtage'!L316</f>
        <v>0</v>
      </c>
      <c r="F322" s="52">
        <f>$F$10*'D) Ecrêtage'!M316</f>
        <v>78020.042920571039</v>
      </c>
      <c r="G322" s="75">
        <f t="shared" si="5"/>
        <v>78300.542920571039</v>
      </c>
    </row>
    <row r="323" spans="1:13" x14ac:dyDescent="0.25">
      <c r="A323" s="61">
        <f>'A) Base RI'!A319</f>
        <v>5933</v>
      </c>
      <c r="B323" s="124" t="str">
        <f>'A) Base RI'!B319</f>
        <v>Valeyres-sous-Montagny</v>
      </c>
      <c r="C323" s="14">
        <f>'A) Base RI'!AN319</f>
        <v>661</v>
      </c>
      <c r="D323" s="41">
        <f>'C) Prél. conj.'!H317</f>
        <v>52026.545000000006</v>
      </c>
      <c r="E323" s="19">
        <f>'D) Ecrêtage'!L317</f>
        <v>0</v>
      </c>
      <c r="F323" s="52">
        <f>$F$10*'D) Ecrêtage'!M317</f>
        <v>246677.85812027051</v>
      </c>
      <c r="G323" s="75">
        <f t="shared" si="5"/>
        <v>298704.40312027052</v>
      </c>
    </row>
    <row r="324" spans="1:13" x14ac:dyDescent="0.25">
      <c r="A324" s="61">
        <f>'A) Base RI'!A320</f>
        <v>5934</v>
      </c>
      <c r="B324" s="124" t="str">
        <f>'A) Base RI'!B320</f>
        <v>Valeyres-sous-Ursins</v>
      </c>
      <c r="C324" s="14">
        <f>'A) Base RI'!AN320</f>
        <v>245</v>
      </c>
      <c r="D324" s="41">
        <f>'C) Prél. conj.'!H318</f>
        <v>21940.23</v>
      </c>
      <c r="E324" s="19">
        <f>'D) Ecrêtage'!L318</f>
        <v>0</v>
      </c>
      <c r="F324" s="52">
        <f>$F$10*'D) Ecrêtage'!M318</f>
        <v>94878.023803442062</v>
      </c>
      <c r="G324" s="75">
        <f t="shared" si="5"/>
        <v>116818.25380344206</v>
      </c>
    </row>
    <row r="325" spans="1:13" x14ac:dyDescent="0.25">
      <c r="A325" s="61">
        <f>'A) Base RI'!A321</f>
        <v>5935</v>
      </c>
      <c r="B325" s="124" t="str">
        <f>'A) Base RI'!B321</f>
        <v>Villars-Epeney</v>
      </c>
      <c r="C325" s="14">
        <f>'A) Base RI'!AN321</f>
        <v>90</v>
      </c>
      <c r="D325" s="41">
        <f>'C) Prél. conj.'!H319</f>
        <v>770</v>
      </c>
      <c r="E325" s="19">
        <f>'D) Ecrêtage'!L319</f>
        <v>63308.150284282296</v>
      </c>
      <c r="F325" s="52">
        <f>$F$10*'D) Ecrêtage'!M319</f>
        <v>92799.587468716913</v>
      </c>
      <c r="G325" s="75">
        <f t="shared" si="5"/>
        <v>156877.73775299921</v>
      </c>
    </row>
    <row r="326" spans="1:13" x14ac:dyDescent="0.25">
      <c r="A326" s="61">
        <f>'A) Base RI'!A322</f>
        <v>5937</v>
      </c>
      <c r="B326" s="124" t="str">
        <f>'A) Base RI'!B322</f>
        <v>Vugelles-La Mothe</v>
      </c>
      <c r="C326" s="14">
        <f>'A) Base RI'!AN322</f>
        <v>135</v>
      </c>
      <c r="D326" s="41">
        <f>'C) Prél. conj.'!H320</f>
        <v>0</v>
      </c>
      <c r="E326" s="19">
        <f>'D) Ecrêtage'!L320</f>
        <v>0</v>
      </c>
      <c r="F326" s="52">
        <f>$F$10*'D) Ecrêtage'!M320</f>
        <v>30593.76860933737</v>
      </c>
      <c r="G326" s="75">
        <f t="shared" si="5"/>
        <v>30593.76860933737</v>
      </c>
    </row>
    <row r="327" spans="1:13" x14ac:dyDescent="0.25">
      <c r="A327" s="61">
        <f>'A) Base RI'!A323</f>
        <v>5938</v>
      </c>
      <c r="B327" s="124" t="str">
        <f>'A) Base RI'!B323</f>
        <v>Yverdon-les-Bains</v>
      </c>
      <c r="C327" s="14">
        <f>'A) Base RI'!AN323</f>
        <v>29308</v>
      </c>
      <c r="D327" s="41">
        <f>'C) Prél. conj.'!H321</f>
        <v>2922299.5</v>
      </c>
      <c r="E327" s="19">
        <f>'D) Ecrêtage'!L321</f>
        <v>0</v>
      </c>
      <c r="F327" s="52">
        <f>$F$10*'D) Ecrêtage'!M321</f>
        <v>11084284.405158136</v>
      </c>
      <c r="G327" s="75">
        <f t="shared" si="5"/>
        <v>14006583.905158136</v>
      </c>
    </row>
    <row r="328" spans="1:13" x14ac:dyDescent="0.25">
      <c r="A328" s="63">
        <f>'A) Base RI'!A324</f>
        <v>5939</v>
      </c>
      <c r="B328" s="125" t="str">
        <f>'A) Base RI'!B324</f>
        <v>Yvonand</v>
      </c>
      <c r="C328" s="25">
        <f>'A) Base RI'!AN324</f>
        <v>3152</v>
      </c>
      <c r="D328" s="41">
        <f>'C) Prél. conj.'!H322</f>
        <v>278981.17000000004</v>
      </c>
      <c r="E328" s="104">
        <f>'D) Ecrêtage'!L322</f>
        <v>0</v>
      </c>
      <c r="F328" s="103">
        <f>$F$10*'D) Ecrêtage'!M322</f>
        <v>1267758.3648643661</v>
      </c>
      <c r="G328" s="149">
        <f t="shared" si="5"/>
        <v>1546739.5348643661</v>
      </c>
    </row>
    <row r="329" spans="1:13" x14ac:dyDescent="0.25">
      <c r="A329" s="40"/>
      <c r="B329" s="76">
        <f>COUNTA(B11:B328)</f>
        <v>318</v>
      </c>
      <c r="C329" s="103">
        <f>SUM(C11:C328)</f>
        <v>767496</v>
      </c>
      <c r="D329" s="15">
        <f>SUM(D11:D328)</f>
        <v>131886949.97499999</v>
      </c>
      <c r="E329" s="106">
        <f>SUM(E11:E328)</f>
        <v>97297883.639521435</v>
      </c>
      <c r="F329" s="105">
        <f>SUM(F11:F328)</f>
        <v>481104900.38547862</v>
      </c>
      <c r="G329" s="47">
        <f>SUM(G11:G328)</f>
        <v>710289734.00000072</v>
      </c>
    </row>
    <row r="330" spans="1:13" x14ac:dyDescent="0.25">
      <c r="C330" s="107"/>
      <c r="D330" s="107"/>
      <c r="E330" s="107"/>
      <c r="F330" s="107"/>
    </row>
    <row r="331" spans="1:13" x14ac:dyDescent="0.25">
      <c r="A331" s="108"/>
      <c r="B331" s="109"/>
      <c r="C331" s="109"/>
      <c r="D331" s="56"/>
      <c r="E331" s="110"/>
      <c r="F331" s="21"/>
      <c r="G331" s="21"/>
      <c r="H331" s="21"/>
      <c r="I331" s="21"/>
      <c r="J331" s="21"/>
      <c r="M331" s="21"/>
    </row>
    <row r="332" spans="1:13" x14ac:dyDescent="0.25">
      <c r="F332" s="108"/>
      <c r="G332" s="108"/>
      <c r="H332" s="108"/>
      <c r="I332" s="108"/>
      <c r="J332" s="108"/>
      <c r="K332" s="108"/>
      <c r="L332" s="109"/>
      <c r="M332" s="108"/>
    </row>
    <row r="333" spans="1:13" x14ac:dyDescent="0.25">
      <c r="F333" s="109"/>
      <c r="G333" s="108"/>
      <c r="H333" s="108"/>
      <c r="I333" s="108"/>
      <c r="J333" s="108"/>
      <c r="K333" s="108"/>
      <c r="L333" s="108"/>
      <c r="M333" s="108"/>
    </row>
    <row r="334" spans="1:13" x14ac:dyDescent="0.25">
      <c r="F334" s="109"/>
      <c r="G334" s="108"/>
      <c r="H334" s="108"/>
      <c r="I334" s="108"/>
      <c r="M334" s="108"/>
    </row>
    <row r="335" spans="1:13" x14ac:dyDescent="0.25">
      <c r="F335" s="109"/>
      <c r="G335" s="108"/>
      <c r="H335" s="108"/>
      <c r="I335" s="108"/>
      <c r="M335" s="108"/>
    </row>
    <row r="336" spans="1:13" x14ac:dyDescent="0.25">
      <c r="F336" s="121"/>
      <c r="G336" s="108"/>
      <c r="H336" s="108"/>
      <c r="I336" s="108"/>
      <c r="M336" s="108"/>
    </row>
    <row r="337" spans="3:13" x14ac:dyDescent="0.25">
      <c r="D337" s="24"/>
      <c r="E337" s="108"/>
      <c r="F337" s="108"/>
      <c r="G337" s="108"/>
      <c r="H337" s="108"/>
      <c r="I337" s="108"/>
      <c r="J337" s="108"/>
      <c r="K337" s="108"/>
      <c r="L337" s="108"/>
      <c r="M337" s="108"/>
    </row>
    <row r="338" spans="3:13" x14ac:dyDescent="0.25">
      <c r="C338" s="80"/>
      <c r="E338" s="108"/>
      <c r="F338" s="108"/>
      <c r="G338" s="108"/>
      <c r="H338" s="108"/>
      <c r="I338" s="108"/>
      <c r="J338" s="108"/>
      <c r="K338" s="108"/>
      <c r="L338" s="108"/>
      <c r="M338" s="108"/>
    </row>
    <row r="339" spans="3:13" x14ac:dyDescent="0.25">
      <c r="E339" s="108"/>
      <c r="F339" s="108"/>
      <c r="G339" s="108"/>
      <c r="H339" s="108"/>
      <c r="I339" s="108"/>
      <c r="J339" s="108"/>
      <c r="M339" s="108"/>
    </row>
    <row r="340" spans="3:13" x14ac:dyDescent="0.25">
      <c r="E340" s="108"/>
      <c r="F340" s="108"/>
      <c r="G340" s="108"/>
      <c r="H340" s="108"/>
      <c r="I340" s="108"/>
      <c r="J340" s="108"/>
      <c r="M340" s="108"/>
    </row>
    <row r="341" spans="3:13" x14ac:dyDescent="0.25">
      <c r="E341" s="108"/>
      <c r="F341" s="108"/>
      <c r="G341" s="108"/>
      <c r="H341" s="108"/>
      <c r="I341" s="108"/>
      <c r="J341" s="108"/>
      <c r="M341" s="108"/>
    </row>
  </sheetData>
  <sheetProtection sheet="1" objects="1" scenarios="1"/>
  <mergeCells count="7">
    <mergeCell ref="A3:C3"/>
    <mergeCell ref="A9:A10"/>
    <mergeCell ref="G9:G10"/>
    <mergeCell ref="E9:E10"/>
    <mergeCell ref="D9:D10"/>
    <mergeCell ref="C9:C10"/>
    <mergeCell ref="B9:B10"/>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337"/>
  <sheetViews>
    <sheetView workbookViewId="0"/>
  </sheetViews>
  <sheetFormatPr baseColWidth="10" defaultColWidth="11" defaultRowHeight="15" x14ac:dyDescent="0.25"/>
  <cols>
    <col min="1" max="1" width="7.25" style="18" customWidth="1"/>
    <col min="2" max="2" width="17.375" style="18" bestFit="1" customWidth="1"/>
    <col min="3" max="3" width="8" style="18" bestFit="1" customWidth="1"/>
    <col min="4" max="9" width="11" style="18"/>
    <col min="10" max="10" width="7.625" style="18" bestFit="1" customWidth="1"/>
    <col min="11" max="11" width="10.75" style="18" bestFit="1" customWidth="1"/>
    <col min="12" max="16384" width="11" style="18"/>
  </cols>
  <sheetData>
    <row r="1" spans="1:12" ht="21" x14ac:dyDescent="0.25">
      <c r="A1" s="65" t="s">
        <v>516</v>
      </c>
      <c r="B1" s="53"/>
      <c r="C1" s="100"/>
    </row>
    <row r="2" spans="1:12" x14ac:dyDescent="0.25">
      <c r="A2" s="37"/>
      <c r="B2" s="68"/>
    </row>
    <row r="3" spans="1:12" x14ac:dyDescent="0.25">
      <c r="A3" s="37"/>
      <c r="B3" s="68"/>
      <c r="C3" s="518" t="s">
        <v>352</v>
      </c>
      <c r="D3" s="519"/>
      <c r="E3" s="519"/>
      <c r="F3" s="519"/>
      <c r="G3" s="519"/>
      <c r="H3" s="519"/>
      <c r="I3" s="519"/>
      <c r="J3" s="520"/>
    </row>
    <row r="4" spans="1:12" x14ac:dyDescent="0.25">
      <c r="C4" s="156" t="s">
        <v>351</v>
      </c>
      <c r="D4" s="150">
        <f>Paramètres!B20</f>
        <v>0</v>
      </c>
      <c r="E4" s="150">
        <f>Paramètres!C20</f>
        <v>1000</v>
      </c>
      <c r="F4" s="150">
        <f>Paramètres!D20</f>
        <v>3000</v>
      </c>
      <c r="G4" s="150">
        <f>Paramètres!E20</f>
        <v>5000</v>
      </c>
      <c r="H4" s="150">
        <f>Paramètres!F20</f>
        <v>9000</v>
      </c>
      <c r="I4" s="150">
        <f>Paramètres!G20</f>
        <v>12000</v>
      </c>
      <c r="J4" s="150">
        <f>Paramètres!H20</f>
        <v>15000</v>
      </c>
    </row>
    <row r="5" spans="1:12" x14ac:dyDescent="0.25">
      <c r="C5" s="157" t="s">
        <v>353</v>
      </c>
      <c r="D5" s="150">
        <f>Paramètres!B21</f>
        <v>1000</v>
      </c>
      <c r="E5" s="150">
        <f>Paramètres!C21</f>
        <v>3000</v>
      </c>
      <c r="F5" s="150">
        <f>Paramètres!D21</f>
        <v>5000</v>
      </c>
      <c r="G5" s="150">
        <f>Paramètres!E21</f>
        <v>9000</v>
      </c>
      <c r="H5" s="150">
        <f>Paramètres!F21</f>
        <v>12000</v>
      </c>
      <c r="I5" s="150">
        <f>Paramètres!G21</f>
        <v>15000</v>
      </c>
      <c r="J5" s="150"/>
    </row>
    <row r="6" spans="1:12" ht="30" customHeight="1" x14ac:dyDescent="0.25">
      <c r="A6" s="497" t="s">
        <v>51</v>
      </c>
      <c r="B6" s="497" t="s">
        <v>121</v>
      </c>
      <c r="C6" s="497" t="s">
        <v>348</v>
      </c>
      <c r="D6" s="507" t="s">
        <v>354</v>
      </c>
      <c r="E6" s="508"/>
      <c r="F6" s="508"/>
      <c r="G6" s="508"/>
      <c r="H6" s="508"/>
      <c r="I6" s="508"/>
      <c r="J6" s="509"/>
      <c r="K6" s="497" t="s">
        <v>339</v>
      </c>
    </row>
    <row r="7" spans="1:12" x14ac:dyDescent="0.25">
      <c r="A7" s="499"/>
      <c r="B7" s="499"/>
      <c r="C7" s="499"/>
      <c r="D7" s="153">
        <f>Paramètres!B25</f>
        <v>98.99396378269617</v>
      </c>
      <c r="E7" s="153">
        <f>Paramètres!C25</f>
        <v>346.47887323943661</v>
      </c>
      <c r="F7" s="153">
        <f>Paramètres!D25</f>
        <v>494.96981891348088</v>
      </c>
      <c r="G7" s="153">
        <f>Paramètres!E25</f>
        <v>593.96378269617708</v>
      </c>
      <c r="H7" s="153">
        <f>Paramètres!F25</f>
        <v>841.44869215291749</v>
      </c>
      <c r="I7" s="153">
        <f>Paramètres!G25</f>
        <v>989.93963782696176</v>
      </c>
      <c r="J7" s="158">
        <f>Paramètres!H25</f>
        <v>1039.4366197183099</v>
      </c>
      <c r="K7" s="498"/>
    </row>
    <row r="8" spans="1:12" x14ac:dyDescent="0.25">
      <c r="A8" s="57">
        <f>'A) Base RI'!A7</f>
        <v>5401</v>
      </c>
      <c r="B8" s="58" t="str">
        <f>'A) Base RI'!B7</f>
        <v>Aigle</v>
      </c>
      <c r="C8" s="69">
        <f>'A) Base RI'!AN7</f>
        <v>9757</v>
      </c>
      <c r="D8" s="126">
        <f>IF($C8&gt;D$4,IF($C8&lt;D$5,$C8-D$4,D$5-D$4),0)</f>
        <v>1000</v>
      </c>
      <c r="E8" s="69">
        <f t="shared" ref="E8:I23" si="0">IF($C8&gt;E$4,IF($C8&lt;E$5,$C8-E$4,E$5-E$4),0)</f>
        <v>2000</v>
      </c>
      <c r="F8" s="69">
        <f t="shared" si="0"/>
        <v>2000</v>
      </c>
      <c r="G8" s="69">
        <f t="shared" si="0"/>
        <v>4000</v>
      </c>
      <c r="H8" s="69">
        <f t="shared" si="0"/>
        <v>757</v>
      </c>
      <c r="I8" s="101">
        <f t="shared" si="0"/>
        <v>0</v>
      </c>
      <c r="J8" s="69">
        <f>IF(C8&gt;$J$4,C8-$J$4,0)</f>
        <v>0</v>
      </c>
      <c r="K8" s="148">
        <f>(D8*D$7)+(E8*E$7)+(F8*F$7)+(G8*G$7)+(H8*H$7)+(I8*I$7)+(J8*J$7)</f>
        <v>4794723.1388329975</v>
      </c>
    </row>
    <row r="9" spans="1:12" x14ac:dyDescent="0.25">
      <c r="A9" s="61">
        <f>'A) Base RI'!A8</f>
        <v>5402</v>
      </c>
      <c r="B9" s="42" t="str">
        <f>'A) Base RI'!B8</f>
        <v>Bex</v>
      </c>
      <c r="C9" s="14">
        <f>'A) Base RI'!AN8</f>
        <v>7236</v>
      </c>
      <c r="D9" s="41">
        <f t="shared" ref="D9:I50" si="1">IF($C9&gt;D$4,IF($C9&lt;D$5,$C9-D$4,D$5-D$4),0)</f>
        <v>1000</v>
      </c>
      <c r="E9" s="14">
        <f t="shared" si="0"/>
        <v>2000</v>
      </c>
      <c r="F9" s="14">
        <f t="shared" si="0"/>
        <v>2000</v>
      </c>
      <c r="G9" s="14">
        <f t="shared" si="0"/>
        <v>2236</v>
      </c>
      <c r="H9" s="14">
        <f t="shared" si="0"/>
        <v>0</v>
      </c>
      <c r="I9" s="52">
        <f t="shared" si="0"/>
        <v>0</v>
      </c>
      <c r="J9" s="14">
        <f t="shared" ref="J9:J72" si="2">IF(C9&gt;$J$4,C9-$J$4,0)</f>
        <v>0</v>
      </c>
      <c r="K9" s="75">
        <f t="shared" ref="K9:K72" si="3">(D9*D$7)+(E9*E$7)+(F9*F$7)+(G9*G$7)+(H9*H$7)+(I9*I$7)+(J9*J$7)</f>
        <v>3109994.3661971833</v>
      </c>
    </row>
    <row r="10" spans="1:12" x14ac:dyDescent="0.25">
      <c r="A10" s="61">
        <f>'A) Base RI'!A9</f>
        <v>5403</v>
      </c>
      <c r="B10" s="42" t="str">
        <f>'A) Base RI'!B9</f>
        <v>Chessel</v>
      </c>
      <c r="C10" s="14">
        <f>'A) Base RI'!AN9</f>
        <v>396</v>
      </c>
      <c r="D10" s="41">
        <f t="shared" si="1"/>
        <v>396</v>
      </c>
      <c r="E10" s="14">
        <f t="shared" si="0"/>
        <v>0</v>
      </c>
      <c r="F10" s="14">
        <f t="shared" si="0"/>
        <v>0</v>
      </c>
      <c r="G10" s="14">
        <f t="shared" si="0"/>
        <v>0</v>
      </c>
      <c r="H10" s="14">
        <f t="shared" si="0"/>
        <v>0</v>
      </c>
      <c r="I10" s="52">
        <f t="shared" si="0"/>
        <v>0</v>
      </c>
      <c r="J10" s="14">
        <f t="shared" si="2"/>
        <v>0</v>
      </c>
      <c r="K10" s="75">
        <f t="shared" si="3"/>
        <v>39201.60965794768</v>
      </c>
    </row>
    <row r="11" spans="1:12" x14ac:dyDescent="0.25">
      <c r="A11" s="61">
        <f>'A) Base RI'!A10</f>
        <v>5404</v>
      </c>
      <c r="B11" s="42" t="str">
        <f>'A) Base RI'!B10</f>
        <v>Corbeyrier</v>
      </c>
      <c r="C11" s="14">
        <f>'A) Base RI'!AN10</f>
        <v>433</v>
      </c>
      <c r="D11" s="41">
        <f t="shared" si="1"/>
        <v>433</v>
      </c>
      <c r="E11" s="14">
        <f t="shared" si="0"/>
        <v>0</v>
      </c>
      <c r="F11" s="14">
        <f t="shared" si="0"/>
        <v>0</v>
      </c>
      <c r="G11" s="14">
        <f t="shared" si="0"/>
        <v>0</v>
      </c>
      <c r="H11" s="14">
        <f t="shared" si="0"/>
        <v>0</v>
      </c>
      <c r="I11" s="52">
        <f t="shared" si="0"/>
        <v>0</v>
      </c>
      <c r="J11" s="14">
        <f t="shared" si="2"/>
        <v>0</v>
      </c>
      <c r="K11" s="75">
        <f t="shared" si="3"/>
        <v>42864.38631790744</v>
      </c>
    </row>
    <row r="12" spans="1:12" x14ac:dyDescent="0.25">
      <c r="A12" s="61">
        <f>'A) Base RI'!A11</f>
        <v>5405</v>
      </c>
      <c r="B12" s="42" t="str">
        <f>'A) Base RI'!B11</f>
        <v>Gryon</v>
      </c>
      <c r="C12" s="14">
        <f>'A) Base RI'!AN11</f>
        <v>1265</v>
      </c>
      <c r="D12" s="41">
        <f t="shared" si="1"/>
        <v>1000</v>
      </c>
      <c r="E12" s="14">
        <f t="shared" si="0"/>
        <v>265</v>
      </c>
      <c r="F12" s="14">
        <f t="shared" si="0"/>
        <v>0</v>
      </c>
      <c r="G12" s="14">
        <f t="shared" si="0"/>
        <v>0</v>
      </c>
      <c r="H12" s="14">
        <f t="shared" si="0"/>
        <v>0</v>
      </c>
      <c r="I12" s="52">
        <f t="shared" si="0"/>
        <v>0</v>
      </c>
      <c r="J12" s="14">
        <f t="shared" si="2"/>
        <v>0</v>
      </c>
      <c r="K12" s="75">
        <f t="shared" si="3"/>
        <v>190810.86519114688</v>
      </c>
    </row>
    <row r="13" spans="1:12" x14ac:dyDescent="0.25">
      <c r="A13" s="61">
        <f>'A) Base RI'!A12</f>
        <v>5406</v>
      </c>
      <c r="B13" s="42" t="str">
        <f>'A) Base RI'!B12</f>
        <v>Lavey-Morcles</v>
      </c>
      <c r="C13" s="14">
        <f>'A) Base RI'!AN12</f>
        <v>907</v>
      </c>
      <c r="D13" s="41">
        <f t="shared" si="1"/>
        <v>907</v>
      </c>
      <c r="E13" s="14">
        <f t="shared" si="0"/>
        <v>0</v>
      </c>
      <c r="F13" s="14">
        <f t="shared" si="0"/>
        <v>0</v>
      </c>
      <c r="G13" s="14">
        <f t="shared" si="0"/>
        <v>0</v>
      </c>
      <c r="H13" s="14">
        <f t="shared" si="0"/>
        <v>0</v>
      </c>
      <c r="I13" s="52">
        <f t="shared" si="0"/>
        <v>0</v>
      </c>
      <c r="J13" s="14">
        <f t="shared" si="2"/>
        <v>0</v>
      </c>
      <c r="K13" s="75">
        <f t="shared" si="3"/>
        <v>89787.525150905421</v>
      </c>
    </row>
    <row r="14" spans="1:12" x14ac:dyDescent="0.25">
      <c r="A14" s="61">
        <f>'A) Base RI'!A13</f>
        <v>5407</v>
      </c>
      <c r="B14" s="42" t="str">
        <f>'A) Base RI'!B13</f>
        <v>Leysin</v>
      </c>
      <c r="C14" s="14">
        <f>'A) Base RI'!AN13</f>
        <v>4148</v>
      </c>
      <c r="D14" s="41">
        <f t="shared" si="1"/>
        <v>1000</v>
      </c>
      <c r="E14" s="14">
        <f t="shared" si="0"/>
        <v>2000</v>
      </c>
      <c r="F14" s="14">
        <f t="shared" si="0"/>
        <v>1148</v>
      </c>
      <c r="G14" s="14">
        <f t="shared" si="0"/>
        <v>0</v>
      </c>
      <c r="H14" s="14">
        <f t="shared" si="0"/>
        <v>0</v>
      </c>
      <c r="I14" s="52">
        <f t="shared" si="0"/>
        <v>0</v>
      </c>
      <c r="J14" s="14">
        <f t="shared" si="2"/>
        <v>0</v>
      </c>
      <c r="K14" s="75">
        <f t="shared" si="3"/>
        <v>1360177.0623742454</v>
      </c>
      <c r="L14" s="17"/>
    </row>
    <row r="15" spans="1:12" x14ac:dyDescent="0.25">
      <c r="A15" s="61">
        <f>'A) Base RI'!A14</f>
        <v>5408</v>
      </c>
      <c r="B15" s="42" t="str">
        <f>'A) Base RI'!B14</f>
        <v>Noville</v>
      </c>
      <c r="C15" s="14">
        <f>'A) Base RI'!AN14</f>
        <v>1029</v>
      </c>
      <c r="D15" s="41">
        <f t="shared" si="1"/>
        <v>1000</v>
      </c>
      <c r="E15" s="14">
        <f t="shared" si="0"/>
        <v>29</v>
      </c>
      <c r="F15" s="14">
        <f t="shared" si="0"/>
        <v>0</v>
      </c>
      <c r="G15" s="14">
        <f t="shared" si="0"/>
        <v>0</v>
      </c>
      <c r="H15" s="14">
        <f t="shared" si="0"/>
        <v>0</v>
      </c>
      <c r="I15" s="52">
        <f t="shared" si="0"/>
        <v>0</v>
      </c>
      <c r="J15" s="14">
        <f t="shared" si="2"/>
        <v>0</v>
      </c>
      <c r="K15" s="75">
        <f t="shared" si="3"/>
        <v>109041.85110663984</v>
      </c>
    </row>
    <row r="16" spans="1:12" x14ac:dyDescent="0.25">
      <c r="A16" s="61">
        <f>'A) Base RI'!A15</f>
        <v>5409</v>
      </c>
      <c r="B16" s="42" t="str">
        <f>'A) Base RI'!B15</f>
        <v>Ollon</v>
      </c>
      <c r="C16" s="14">
        <f>'A) Base RI'!AN15</f>
        <v>7419</v>
      </c>
      <c r="D16" s="41">
        <f t="shared" si="1"/>
        <v>1000</v>
      </c>
      <c r="E16" s="14">
        <f t="shared" si="0"/>
        <v>2000</v>
      </c>
      <c r="F16" s="14">
        <f t="shared" si="0"/>
        <v>2000</v>
      </c>
      <c r="G16" s="14">
        <f t="shared" si="0"/>
        <v>2419</v>
      </c>
      <c r="H16" s="14">
        <f t="shared" si="0"/>
        <v>0</v>
      </c>
      <c r="I16" s="52">
        <f t="shared" si="0"/>
        <v>0</v>
      </c>
      <c r="J16" s="14">
        <f t="shared" si="2"/>
        <v>0</v>
      </c>
      <c r="K16" s="75">
        <f t="shared" si="3"/>
        <v>3218689.7384305838</v>
      </c>
    </row>
    <row r="17" spans="1:11" x14ac:dyDescent="0.25">
      <c r="A17" s="61">
        <f>'A) Base RI'!A16</f>
        <v>5410</v>
      </c>
      <c r="B17" s="42" t="str">
        <f>'A) Base RI'!B16</f>
        <v>Ormont-Dessous</v>
      </c>
      <c r="C17" s="14">
        <f>'A) Base RI'!AN16</f>
        <v>1119</v>
      </c>
      <c r="D17" s="41">
        <f t="shared" si="1"/>
        <v>1000</v>
      </c>
      <c r="E17" s="14">
        <f t="shared" si="0"/>
        <v>119</v>
      </c>
      <c r="F17" s="14">
        <f t="shared" si="0"/>
        <v>0</v>
      </c>
      <c r="G17" s="14">
        <f t="shared" si="0"/>
        <v>0</v>
      </c>
      <c r="H17" s="14">
        <f t="shared" si="0"/>
        <v>0</v>
      </c>
      <c r="I17" s="52">
        <f t="shared" si="0"/>
        <v>0</v>
      </c>
      <c r="J17" s="14">
        <f t="shared" si="2"/>
        <v>0</v>
      </c>
      <c r="K17" s="75">
        <f t="shared" si="3"/>
        <v>140224.94969818913</v>
      </c>
    </row>
    <row r="18" spans="1:11" x14ac:dyDescent="0.25">
      <c r="A18" s="61">
        <f>'A) Base RI'!A17</f>
        <v>5411</v>
      </c>
      <c r="B18" s="42" t="str">
        <f>'A) Base RI'!B17</f>
        <v>Ormont-Dessus</v>
      </c>
      <c r="C18" s="14">
        <f>'A) Base RI'!AN17</f>
        <v>1481</v>
      </c>
      <c r="D18" s="41">
        <f t="shared" si="1"/>
        <v>1000</v>
      </c>
      <c r="E18" s="14">
        <f t="shared" si="0"/>
        <v>481</v>
      </c>
      <c r="F18" s="14">
        <f t="shared" si="0"/>
        <v>0</v>
      </c>
      <c r="G18" s="14">
        <f t="shared" si="0"/>
        <v>0</v>
      </c>
      <c r="H18" s="14">
        <f t="shared" si="0"/>
        <v>0</v>
      </c>
      <c r="I18" s="52">
        <f t="shared" si="0"/>
        <v>0</v>
      </c>
      <c r="J18" s="14">
        <f t="shared" si="2"/>
        <v>0</v>
      </c>
      <c r="K18" s="75">
        <f t="shared" si="3"/>
        <v>265650.30181086517</v>
      </c>
    </row>
    <row r="19" spans="1:11" x14ac:dyDescent="0.25">
      <c r="A19" s="61">
        <f>'A) Base RI'!A18</f>
        <v>5412</v>
      </c>
      <c r="B19" s="42" t="str">
        <f>'A) Base RI'!B18</f>
        <v>Rennaz</v>
      </c>
      <c r="C19" s="14">
        <f>'A) Base RI'!AN18</f>
        <v>843</v>
      </c>
      <c r="D19" s="41">
        <f t="shared" si="1"/>
        <v>843</v>
      </c>
      <c r="E19" s="14">
        <f t="shared" si="0"/>
        <v>0</v>
      </c>
      <c r="F19" s="14">
        <f t="shared" si="0"/>
        <v>0</v>
      </c>
      <c r="G19" s="14">
        <f t="shared" si="0"/>
        <v>0</v>
      </c>
      <c r="H19" s="14">
        <f t="shared" si="0"/>
        <v>0</v>
      </c>
      <c r="I19" s="52">
        <f t="shared" si="0"/>
        <v>0</v>
      </c>
      <c r="J19" s="14">
        <f t="shared" si="2"/>
        <v>0</v>
      </c>
      <c r="K19" s="75">
        <f t="shared" si="3"/>
        <v>83451.911468812876</v>
      </c>
    </row>
    <row r="20" spans="1:11" x14ac:dyDescent="0.25">
      <c r="A20" s="61">
        <f>'A) Base RI'!A19</f>
        <v>5413</v>
      </c>
      <c r="B20" s="42" t="str">
        <f>'A) Base RI'!B19</f>
        <v>Roche</v>
      </c>
      <c r="C20" s="14">
        <f>'A) Base RI'!AN19</f>
        <v>1507</v>
      </c>
      <c r="D20" s="41">
        <f t="shared" si="1"/>
        <v>1000</v>
      </c>
      <c r="E20" s="14">
        <f t="shared" si="0"/>
        <v>507</v>
      </c>
      <c r="F20" s="14">
        <f t="shared" si="0"/>
        <v>0</v>
      </c>
      <c r="G20" s="14">
        <f t="shared" si="0"/>
        <v>0</v>
      </c>
      <c r="H20" s="14">
        <f t="shared" si="0"/>
        <v>0</v>
      </c>
      <c r="I20" s="52">
        <f t="shared" si="0"/>
        <v>0</v>
      </c>
      <c r="J20" s="14">
        <f t="shared" si="2"/>
        <v>0</v>
      </c>
      <c r="K20" s="75">
        <f t="shared" si="3"/>
        <v>274658.75251509051</v>
      </c>
    </row>
    <row r="21" spans="1:11" x14ac:dyDescent="0.25">
      <c r="A21" s="61">
        <f>'A) Base RI'!A20</f>
        <v>5414</v>
      </c>
      <c r="B21" s="42" t="str">
        <f>'A) Base RI'!B20</f>
        <v>Villeneuve</v>
      </c>
      <c r="C21" s="14">
        <f>'A) Base RI'!AN20</f>
        <v>5428</v>
      </c>
      <c r="D21" s="41">
        <f t="shared" si="1"/>
        <v>1000</v>
      </c>
      <c r="E21" s="14">
        <f t="shared" si="0"/>
        <v>2000</v>
      </c>
      <c r="F21" s="14">
        <f t="shared" si="0"/>
        <v>2000</v>
      </c>
      <c r="G21" s="14">
        <f t="shared" si="0"/>
        <v>428</v>
      </c>
      <c r="H21" s="14">
        <f t="shared" si="0"/>
        <v>0</v>
      </c>
      <c r="I21" s="52">
        <f t="shared" si="0"/>
        <v>0</v>
      </c>
      <c r="J21" s="14">
        <f t="shared" si="2"/>
        <v>0</v>
      </c>
      <c r="K21" s="75">
        <f t="shared" si="3"/>
        <v>2036107.847082495</v>
      </c>
    </row>
    <row r="22" spans="1:11" x14ac:dyDescent="0.25">
      <c r="A22" s="61">
        <f>'A) Base RI'!A21</f>
        <v>5415</v>
      </c>
      <c r="B22" s="42" t="str">
        <f>'A) Base RI'!B21</f>
        <v>Yvorne</v>
      </c>
      <c r="C22" s="14">
        <f>'A) Base RI'!AN21</f>
        <v>1032</v>
      </c>
      <c r="D22" s="41">
        <f t="shared" si="1"/>
        <v>1000</v>
      </c>
      <c r="E22" s="14">
        <f t="shared" si="0"/>
        <v>32</v>
      </c>
      <c r="F22" s="14">
        <f t="shared" si="0"/>
        <v>0</v>
      </c>
      <c r="G22" s="14">
        <f t="shared" si="0"/>
        <v>0</v>
      </c>
      <c r="H22" s="14">
        <f t="shared" si="0"/>
        <v>0</v>
      </c>
      <c r="I22" s="52">
        <f t="shared" si="0"/>
        <v>0</v>
      </c>
      <c r="J22" s="14">
        <f t="shared" si="2"/>
        <v>0</v>
      </c>
      <c r="K22" s="75">
        <f t="shared" si="3"/>
        <v>110081.28772635815</v>
      </c>
    </row>
    <row r="23" spans="1:11" x14ac:dyDescent="0.25">
      <c r="A23" s="61">
        <f>'A) Base RI'!A22</f>
        <v>5421</v>
      </c>
      <c r="B23" s="42" t="str">
        <f>'A) Base RI'!B22</f>
        <v>Apples</v>
      </c>
      <c r="C23" s="14">
        <f>'A) Base RI'!AN22</f>
        <v>1363</v>
      </c>
      <c r="D23" s="41">
        <f t="shared" si="1"/>
        <v>1000</v>
      </c>
      <c r="E23" s="14">
        <f t="shared" si="0"/>
        <v>363</v>
      </c>
      <c r="F23" s="14">
        <f t="shared" si="0"/>
        <v>0</v>
      </c>
      <c r="G23" s="14">
        <f t="shared" si="0"/>
        <v>0</v>
      </c>
      <c r="H23" s="14">
        <f t="shared" si="0"/>
        <v>0</v>
      </c>
      <c r="I23" s="52">
        <f t="shared" si="0"/>
        <v>0</v>
      </c>
      <c r="J23" s="14">
        <f t="shared" si="2"/>
        <v>0</v>
      </c>
      <c r="K23" s="75">
        <f t="shared" si="3"/>
        <v>224765.79476861167</v>
      </c>
    </row>
    <row r="24" spans="1:11" x14ac:dyDescent="0.25">
      <c r="A24" s="61">
        <f>'A) Base RI'!A23</f>
        <v>5422</v>
      </c>
      <c r="B24" s="42" t="str">
        <f>'A) Base RI'!B23</f>
        <v>Aubonne</v>
      </c>
      <c r="C24" s="14">
        <f>'A) Base RI'!AN23</f>
        <v>3227</v>
      </c>
      <c r="D24" s="41">
        <f t="shared" si="1"/>
        <v>1000</v>
      </c>
      <c r="E24" s="14">
        <f t="shared" si="1"/>
        <v>2000</v>
      </c>
      <c r="F24" s="14">
        <f t="shared" si="1"/>
        <v>227</v>
      </c>
      <c r="G24" s="14">
        <f t="shared" si="1"/>
        <v>0</v>
      </c>
      <c r="H24" s="14">
        <f t="shared" si="1"/>
        <v>0</v>
      </c>
      <c r="I24" s="52">
        <f t="shared" si="1"/>
        <v>0</v>
      </c>
      <c r="J24" s="14">
        <f t="shared" si="2"/>
        <v>0</v>
      </c>
      <c r="K24" s="75">
        <f t="shared" si="3"/>
        <v>904309.85915492952</v>
      </c>
    </row>
    <row r="25" spans="1:11" x14ac:dyDescent="0.25">
      <c r="A25" s="61">
        <f>'A) Base RI'!A24</f>
        <v>5423</v>
      </c>
      <c r="B25" s="42" t="str">
        <f>'A) Base RI'!B24</f>
        <v>Ballens</v>
      </c>
      <c r="C25" s="14">
        <f>'A) Base RI'!AN24</f>
        <v>509</v>
      </c>
      <c r="D25" s="41">
        <f t="shared" si="1"/>
        <v>509</v>
      </c>
      <c r="E25" s="14">
        <f t="shared" si="1"/>
        <v>0</v>
      </c>
      <c r="F25" s="14">
        <f t="shared" si="1"/>
        <v>0</v>
      </c>
      <c r="G25" s="14">
        <f t="shared" si="1"/>
        <v>0</v>
      </c>
      <c r="H25" s="14">
        <f t="shared" si="1"/>
        <v>0</v>
      </c>
      <c r="I25" s="52">
        <f t="shared" si="1"/>
        <v>0</v>
      </c>
      <c r="J25" s="14">
        <f t="shared" si="2"/>
        <v>0</v>
      </c>
      <c r="K25" s="75">
        <f t="shared" si="3"/>
        <v>50387.927565392354</v>
      </c>
    </row>
    <row r="26" spans="1:11" x14ac:dyDescent="0.25">
      <c r="A26" s="61">
        <f>'A) Base RI'!A25</f>
        <v>5424</v>
      </c>
      <c r="B26" s="42" t="str">
        <f>'A) Base RI'!B25</f>
        <v>Berolle</v>
      </c>
      <c r="C26" s="14">
        <f>'A) Base RI'!AN25</f>
        <v>292</v>
      </c>
      <c r="D26" s="41">
        <f t="shared" si="1"/>
        <v>292</v>
      </c>
      <c r="E26" s="14">
        <f t="shared" si="1"/>
        <v>0</v>
      </c>
      <c r="F26" s="14">
        <f t="shared" si="1"/>
        <v>0</v>
      </c>
      <c r="G26" s="14">
        <f t="shared" si="1"/>
        <v>0</v>
      </c>
      <c r="H26" s="14">
        <f t="shared" si="1"/>
        <v>0</v>
      </c>
      <c r="I26" s="52">
        <f t="shared" si="1"/>
        <v>0</v>
      </c>
      <c r="J26" s="14">
        <f t="shared" si="2"/>
        <v>0</v>
      </c>
      <c r="K26" s="75">
        <f t="shared" si="3"/>
        <v>28906.237424547282</v>
      </c>
    </row>
    <row r="27" spans="1:11" x14ac:dyDescent="0.25">
      <c r="A27" s="61">
        <f>'A) Base RI'!A26</f>
        <v>5425</v>
      </c>
      <c r="B27" s="42" t="str">
        <f>'A) Base RI'!B26</f>
        <v>Bière</v>
      </c>
      <c r="C27" s="14">
        <f>'A) Base RI'!AN26</f>
        <v>1550</v>
      </c>
      <c r="D27" s="41">
        <f t="shared" si="1"/>
        <v>1000</v>
      </c>
      <c r="E27" s="14">
        <f t="shared" si="1"/>
        <v>550</v>
      </c>
      <c r="F27" s="14">
        <f t="shared" si="1"/>
        <v>0</v>
      </c>
      <c r="G27" s="14">
        <f t="shared" si="1"/>
        <v>0</v>
      </c>
      <c r="H27" s="14">
        <f t="shared" si="1"/>
        <v>0</v>
      </c>
      <c r="I27" s="52">
        <f t="shared" si="1"/>
        <v>0</v>
      </c>
      <c r="J27" s="14">
        <f t="shared" si="2"/>
        <v>0</v>
      </c>
      <c r="K27" s="75">
        <f t="shared" si="3"/>
        <v>289557.34406438633</v>
      </c>
    </row>
    <row r="28" spans="1:11" x14ac:dyDescent="0.25">
      <c r="A28" s="61">
        <f>'A) Base RI'!A27</f>
        <v>5426</v>
      </c>
      <c r="B28" s="42" t="str">
        <f>'A) Base RI'!B27</f>
        <v>Bougy-Villars</v>
      </c>
      <c r="C28" s="14">
        <f>'A) Base RI'!AN27</f>
        <v>481</v>
      </c>
      <c r="D28" s="41">
        <f t="shared" si="1"/>
        <v>481</v>
      </c>
      <c r="E28" s="14">
        <f t="shared" si="1"/>
        <v>0</v>
      </c>
      <c r="F28" s="14">
        <f t="shared" si="1"/>
        <v>0</v>
      </c>
      <c r="G28" s="14">
        <f t="shared" si="1"/>
        <v>0</v>
      </c>
      <c r="H28" s="14">
        <f t="shared" si="1"/>
        <v>0</v>
      </c>
      <c r="I28" s="52">
        <f t="shared" si="1"/>
        <v>0</v>
      </c>
      <c r="J28" s="14">
        <f t="shared" si="2"/>
        <v>0</v>
      </c>
      <c r="K28" s="75">
        <f t="shared" si="3"/>
        <v>47616.096579476856</v>
      </c>
    </row>
    <row r="29" spans="1:11" x14ac:dyDescent="0.25">
      <c r="A29" s="61">
        <f>'A) Base RI'!A28</f>
        <v>5427</v>
      </c>
      <c r="B29" s="42" t="str">
        <f>'A) Base RI'!B28</f>
        <v>Féchy</v>
      </c>
      <c r="C29" s="14">
        <f>'A) Base RI'!AN28</f>
        <v>860</v>
      </c>
      <c r="D29" s="41">
        <f t="shared" si="1"/>
        <v>860</v>
      </c>
      <c r="E29" s="14">
        <f t="shared" si="1"/>
        <v>0</v>
      </c>
      <c r="F29" s="14">
        <f t="shared" si="1"/>
        <v>0</v>
      </c>
      <c r="G29" s="14">
        <f t="shared" si="1"/>
        <v>0</v>
      </c>
      <c r="H29" s="14">
        <f t="shared" si="1"/>
        <v>0</v>
      </c>
      <c r="I29" s="52">
        <f t="shared" si="1"/>
        <v>0</v>
      </c>
      <c r="J29" s="14">
        <f t="shared" si="2"/>
        <v>0</v>
      </c>
      <c r="K29" s="75">
        <f t="shared" si="3"/>
        <v>85134.80885311871</v>
      </c>
    </row>
    <row r="30" spans="1:11" x14ac:dyDescent="0.25">
      <c r="A30" s="61">
        <f>'A) Base RI'!A29</f>
        <v>5428</v>
      </c>
      <c r="B30" s="42" t="str">
        <f>'A) Base RI'!B29</f>
        <v>Gimel</v>
      </c>
      <c r="C30" s="14">
        <f>'A) Base RI'!AN29</f>
        <v>1907</v>
      </c>
      <c r="D30" s="41">
        <f t="shared" si="1"/>
        <v>1000</v>
      </c>
      <c r="E30" s="14">
        <f t="shared" si="1"/>
        <v>907</v>
      </c>
      <c r="F30" s="14">
        <f t="shared" si="1"/>
        <v>0</v>
      </c>
      <c r="G30" s="14">
        <f t="shared" si="1"/>
        <v>0</v>
      </c>
      <c r="H30" s="14">
        <f t="shared" si="1"/>
        <v>0</v>
      </c>
      <c r="I30" s="52">
        <f t="shared" si="1"/>
        <v>0</v>
      </c>
      <c r="J30" s="14">
        <f t="shared" si="2"/>
        <v>0</v>
      </c>
      <c r="K30" s="75">
        <f t="shared" si="3"/>
        <v>413250.30181086517</v>
      </c>
    </row>
    <row r="31" spans="1:11" x14ac:dyDescent="0.25">
      <c r="A31" s="61">
        <f>'A) Base RI'!A30</f>
        <v>5429</v>
      </c>
      <c r="B31" s="42" t="str">
        <f>'A) Base RI'!B30</f>
        <v>Longirod</v>
      </c>
      <c r="C31" s="14">
        <f>'A) Base RI'!AN30</f>
        <v>463</v>
      </c>
      <c r="D31" s="41">
        <f t="shared" si="1"/>
        <v>463</v>
      </c>
      <c r="E31" s="14">
        <f t="shared" si="1"/>
        <v>0</v>
      </c>
      <c r="F31" s="14">
        <f t="shared" si="1"/>
        <v>0</v>
      </c>
      <c r="G31" s="14">
        <f t="shared" si="1"/>
        <v>0</v>
      </c>
      <c r="H31" s="14">
        <f t="shared" si="1"/>
        <v>0</v>
      </c>
      <c r="I31" s="52">
        <f t="shared" si="1"/>
        <v>0</v>
      </c>
      <c r="J31" s="14">
        <f t="shared" si="2"/>
        <v>0</v>
      </c>
      <c r="K31" s="75">
        <f t="shared" si="3"/>
        <v>45834.205231388325</v>
      </c>
    </row>
    <row r="32" spans="1:11" x14ac:dyDescent="0.25">
      <c r="A32" s="61">
        <f>'A) Base RI'!A31</f>
        <v>5430</v>
      </c>
      <c r="B32" s="42" t="str">
        <f>'A) Base RI'!B31</f>
        <v>Marchissy</v>
      </c>
      <c r="C32" s="14">
        <f>'A) Base RI'!AN31</f>
        <v>448</v>
      </c>
      <c r="D32" s="41">
        <f t="shared" si="1"/>
        <v>448</v>
      </c>
      <c r="E32" s="14">
        <f t="shared" si="1"/>
        <v>0</v>
      </c>
      <c r="F32" s="14">
        <f t="shared" si="1"/>
        <v>0</v>
      </c>
      <c r="G32" s="14">
        <f t="shared" si="1"/>
        <v>0</v>
      </c>
      <c r="H32" s="14">
        <f t="shared" si="1"/>
        <v>0</v>
      </c>
      <c r="I32" s="52">
        <f t="shared" si="1"/>
        <v>0</v>
      </c>
      <c r="J32" s="14">
        <f t="shared" si="2"/>
        <v>0</v>
      </c>
      <c r="K32" s="75">
        <f t="shared" si="3"/>
        <v>44349.295774647886</v>
      </c>
    </row>
    <row r="33" spans="1:11" x14ac:dyDescent="0.25">
      <c r="A33" s="61">
        <f>'A) Base RI'!A32</f>
        <v>5431</v>
      </c>
      <c r="B33" s="42" t="str">
        <f>'A) Base RI'!B32</f>
        <v>Mollens</v>
      </c>
      <c r="C33" s="14">
        <f>'A) Base RI'!AN32</f>
        <v>294</v>
      </c>
      <c r="D33" s="41">
        <f t="shared" si="1"/>
        <v>294</v>
      </c>
      <c r="E33" s="14">
        <f t="shared" si="1"/>
        <v>0</v>
      </c>
      <c r="F33" s="14">
        <f t="shared" si="1"/>
        <v>0</v>
      </c>
      <c r="G33" s="14">
        <f t="shared" si="1"/>
        <v>0</v>
      </c>
      <c r="H33" s="14">
        <f t="shared" si="1"/>
        <v>0</v>
      </c>
      <c r="I33" s="52">
        <f t="shared" si="1"/>
        <v>0</v>
      </c>
      <c r="J33" s="14">
        <f t="shared" si="2"/>
        <v>0</v>
      </c>
      <c r="K33" s="75">
        <f t="shared" si="3"/>
        <v>29104.225352112673</v>
      </c>
    </row>
    <row r="34" spans="1:11" x14ac:dyDescent="0.25">
      <c r="A34" s="61">
        <f>'A) Base RI'!A33</f>
        <v>5432</v>
      </c>
      <c r="B34" s="42" t="str">
        <f>'A) Base RI'!B33</f>
        <v>Montherod</v>
      </c>
      <c r="C34" s="14">
        <f>'A) Base RI'!AN33</f>
        <v>518</v>
      </c>
      <c r="D34" s="41">
        <f t="shared" si="1"/>
        <v>518</v>
      </c>
      <c r="E34" s="14">
        <f t="shared" si="1"/>
        <v>0</v>
      </c>
      <c r="F34" s="14">
        <f t="shared" si="1"/>
        <v>0</v>
      </c>
      <c r="G34" s="14">
        <f t="shared" si="1"/>
        <v>0</v>
      </c>
      <c r="H34" s="14">
        <f t="shared" si="1"/>
        <v>0</v>
      </c>
      <c r="I34" s="52">
        <f t="shared" si="1"/>
        <v>0</v>
      </c>
      <c r="J34" s="14">
        <f t="shared" si="2"/>
        <v>0</v>
      </c>
      <c r="K34" s="75">
        <f t="shared" si="3"/>
        <v>51278.873239436616</v>
      </c>
    </row>
    <row r="35" spans="1:11" x14ac:dyDescent="0.25">
      <c r="A35" s="61">
        <f>'A) Base RI'!A34</f>
        <v>5434</v>
      </c>
      <c r="B35" s="42" t="str">
        <f>'A) Base RI'!B34</f>
        <v>Saint-George</v>
      </c>
      <c r="C35" s="14">
        <f>'A) Base RI'!AN34</f>
        <v>949</v>
      </c>
      <c r="D35" s="41">
        <f t="shared" si="1"/>
        <v>949</v>
      </c>
      <c r="E35" s="14">
        <f t="shared" si="1"/>
        <v>0</v>
      </c>
      <c r="F35" s="14">
        <f t="shared" si="1"/>
        <v>0</v>
      </c>
      <c r="G35" s="14">
        <f t="shared" si="1"/>
        <v>0</v>
      </c>
      <c r="H35" s="14">
        <f t="shared" si="1"/>
        <v>0</v>
      </c>
      <c r="I35" s="52">
        <f t="shared" si="1"/>
        <v>0</v>
      </c>
      <c r="J35" s="14">
        <f t="shared" si="2"/>
        <v>0</v>
      </c>
      <c r="K35" s="75">
        <f t="shared" si="3"/>
        <v>93945.271629778668</v>
      </c>
    </row>
    <row r="36" spans="1:11" x14ac:dyDescent="0.25">
      <c r="A36" s="61">
        <f>'A) Base RI'!A35</f>
        <v>5435</v>
      </c>
      <c r="B36" s="42" t="str">
        <f>'A) Base RI'!B35</f>
        <v>Saint-Livres</v>
      </c>
      <c r="C36" s="14">
        <f>'A) Base RI'!AN35</f>
        <v>713</v>
      </c>
      <c r="D36" s="41">
        <f t="shared" si="1"/>
        <v>713</v>
      </c>
      <c r="E36" s="14">
        <f t="shared" si="1"/>
        <v>0</v>
      </c>
      <c r="F36" s="14">
        <f t="shared" si="1"/>
        <v>0</v>
      </c>
      <c r="G36" s="14">
        <f t="shared" si="1"/>
        <v>0</v>
      </c>
      <c r="H36" s="14">
        <f t="shared" si="1"/>
        <v>0</v>
      </c>
      <c r="I36" s="52">
        <f t="shared" si="1"/>
        <v>0</v>
      </c>
      <c r="J36" s="14">
        <f t="shared" si="2"/>
        <v>0</v>
      </c>
      <c r="K36" s="75">
        <f t="shared" si="3"/>
        <v>70582.696177062375</v>
      </c>
    </row>
    <row r="37" spans="1:11" x14ac:dyDescent="0.25">
      <c r="A37" s="61">
        <f>'A) Base RI'!A36</f>
        <v>5436</v>
      </c>
      <c r="B37" s="42" t="str">
        <f>'A) Base RI'!B36</f>
        <v>Saint-Oyens</v>
      </c>
      <c r="C37" s="14">
        <f>'A) Base RI'!AN36</f>
        <v>345</v>
      </c>
      <c r="D37" s="41">
        <f t="shared" si="1"/>
        <v>345</v>
      </c>
      <c r="E37" s="14">
        <f t="shared" si="1"/>
        <v>0</v>
      </c>
      <c r="F37" s="14">
        <f t="shared" si="1"/>
        <v>0</v>
      </c>
      <c r="G37" s="14">
        <f t="shared" si="1"/>
        <v>0</v>
      </c>
      <c r="H37" s="14">
        <f t="shared" si="1"/>
        <v>0</v>
      </c>
      <c r="I37" s="52">
        <f t="shared" si="1"/>
        <v>0</v>
      </c>
      <c r="J37" s="14">
        <f t="shared" si="2"/>
        <v>0</v>
      </c>
      <c r="K37" s="75">
        <f t="shared" si="3"/>
        <v>34152.917505030178</v>
      </c>
    </row>
    <row r="38" spans="1:11" x14ac:dyDescent="0.25">
      <c r="A38" s="61">
        <f>'A) Base RI'!A37</f>
        <v>5437</v>
      </c>
      <c r="B38" s="42" t="str">
        <f>'A) Base RI'!B37</f>
        <v>Saubraz</v>
      </c>
      <c r="C38" s="14">
        <f>'A) Base RI'!AN37</f>
        <v>391</v>
      </c>
      <c r="D38" s="41">
        <f t="shared" si="1"/>
        <v>391</v>
      </c>
      <c r="E38" s="14">
        <f t="shared" si="1"/>
        <v>0</v>
      </c>
      <c r="F38" s="14">
        <f t="shared" si="1"/>
        <v>0</v>
      </c>
      <c r="G38" s="14">
        <f t="shared" si="1"/>
        <v>0</v>
      </c>
      <c r="H38" s="14">
        <f t="shared" si="1"/>
        <v>0</v>
      </c>
      <c r="I38" s="52">
        <f t="shared" si="1"/>
        <v>0</v>
      </c>
      <c r="J38" s="14">
        <f t="shared" si="2"/>
        <v>0</v>
      </c>
      <c r="K38" s="75">
        <f t="shared" si="3"/>
        <v>38706.6398390342</v>
      </c>
    </row>
    <row r="39" spans="1:11" x14ac:dyDescent="0.25">
      <c r="A39" s="61">
        <f>'A) Base RI'!A38</f>
        <v>5451</v>
      </c>
      <c r="B39" s="42" t="str">
        <f>'A) Base RI'!B38</f>
        <v>Avenches</v>
      </c>
      <c r="C39" s="14">
        <f>'A) Base RI'!AN38</f>
        <v>4090</v>
      </c>
      <c r="D39" s="41">
        <f t="shared" si="1"/>
        <v>1000</v>
      </c>
      <c r="E39" s="14">
        <f t="shared" si="1"/>
        <v>2000</v>
      </c>
      <c r="F39" s="14">
        <f t="shared" si="1"/>
        <v>1090</v>
      </c>
      <c r="G39" s="14">
        <f t="shared" si="1"/>
        <v>0</v>
      </c>
      <c r="H39" s="14">
        <f t="shared" si="1"/>
        <v>0</v>
      </c>
      <c r="I39" s="52">
        <f t="shared" si="1"/>
        <v>0</v>
      </c>
      <c r="J39" s="14">
        <f t="shared" si="2"/>
        <v>0</v>
      </c>
      <c r="K39" s="75">
        <f t="shared" si="3"/>
        <v>1331468.8128772634</v>
      </c>
    </row>
    <row r="40" spans="1:11" x14ac:dyDescent="0.25">
      <c r="A40" s="61">
        <f>'A) Base RI'!A39</f>
        <v>5456</v>
      </c>
      <c r="B40" s="42" t="str">
        <f>'A) Base RI'!B39</f>
        <v>Cudrefin</v>
      </c>
      <c r="C40" s="14">
        <f>'A) Base RI'!AN39</f>
        <v>1516</v>
      </c>
      <c r="D40" s="41">
        <f t="shared" si="1"/>
        <v>1000</v>
      </c>
      <c r="E40" s="14">
        <f t="shared" si="1"/>
        <v>516</v>
      </c>
      <c r="F40" s="14">
        <f t="shared" si="1"/>
        <v>0</v>
      </c>
      <c r="G40" s="14">
        <f t="shared" si="1"/>
        <v>0</v>
      </c>
      <c r="H40" s="14">
        <f t="shared" si="1"/>
        <v>0</v>
      </c>
      <c r="I40" s="52">
        <f t="shared" si="1"/>
        <v>0</v>
      </c>
      <c r="J40" s="14">
        <f t="shared" si="2"/>
        <v>0</v>
      </c>
      <c r="K40" s="75">
        <f t="shared" si="3"/>
        <v>277777.06237424549</v>
      </c>
    </row>
    <row r="41" spans="1:11" x14ac:dyDescent="0.25">
      <c r="A41" s="61">
        <f>'A) Base RI'!A40</f>
        <v>5458</v>
      </c>
      <c r="B41" s="42" t="str">
        <f>'A) Base RI'!B40</f>
        <v>Faoug</v>
      </c>
      <c r="C41" s="14">
        <f>'A) Base RI'!AN40</f>
        <v>853</v>
      </c>
      <c r="D41" s="41">
        <f t="shared" si="1"/>
        <v>853</v>
      </c>
      <c r="E41" s="14">
        <f t="shared" si="1"/>
        <v>0</v>
      </c>
      <c r="F41" s="14">
        <f t="shared" si="1"/>
        <v>0</v>
      </c>
      <c r="G41" s="14">
        <f t="shared" si="1"/>
        <v>0</v>
      </c>
      <c r="H41" s="14">
        <f t="shared" si="1"/>
        <v>0</v>
      </c>
      <c r="I41" s="52">
        <f t="shared" si="1"/>
        <v>0</v>
      </c>
      <c r="J41" s="14">
        <f t="shared" si="2"/>
        <v>0</v>
      </c>
      <c r="K41" s="75">
        <f t="shared" si="3"/>
        <v>84441.851106639835</v>
      </c>
    </row>
    <row r="42" spans="1:11" x14ac:dyDescent="0.25">
      <c r="A42" s="61">
        <f>'A) Base RI'!A41</f>
        <v>5464</v>
      </c>
      <c r="B42" s="42" t="str">
        <f>'A) Base RI'!B41</f>
        <v>Vully-les-Lacs</v>
      </c>
      <c r="C42" s="14">
        <f>'A) Base RI'!AN41</f>
        <v>2825</v>
      </c>
      <c r="D42" s="41">
        <f t="shared" si="1"/>
        <v>1000</v>
      </c>
      <c r="E42" s="14">
        <f t="shared" si="1"/>
        <v>1825</v>
      </c>
      <c r="F42" s="14">
        <f t="shared" si="1"/>
        <v>0</v>
      </c>
      <c r="G42" s="14">
        <f t="shared" si="1"/>
        <v>0</v>
      </c>
      <c r="H42" s="14">
        <f t="shared" si="1"/>
        <v>0</v>
      </c>
      <c r="I42" s="52">
        <f t="shared" si="1"/>
        <v>0</v>
      </c>
      <c r="J42" s="14">
        <f t="shared" si="2"/>
        <v>0</v>
      </c>
      <c r="K42" s="75">
        <f t="shared" si="3"/>
        <v>731317.907444668</v>
      </c>
    </row>
    <row r="43" spans="1:11" x14ac:dyDescent="0.25">
      <c r="A43" s="61">
        <f>'A) Base RI'!A42</f>
        <v>5471</v>
      </c>
      <c r="B43" s="42" t="str">
        <f>'A) Base RI'!B42</f>
        <v>Bettens</v>
      </c>
      <c r="C43" s="14">
        <f>'A) Base RI'!AN42</f>
        <v>557</v>
      </c>
      <c r="D43" s="41">
        <f t="shared" si="1"/>
        <v>557</v>
      </c>
      <c r="E43" s="14">
        <f t="shared" si="1"/>
        <v>0</v>
      </c>
      <c r="F43" s="14">
        <f t="shared" si="1"/>
        <v>0</v>
      </c>
      <c r="G43" s="14">
        <f t="shared" si="1"/>
        <v>0</v>
      </c>
      <c r="H43" s="14">
        <f t="shared" si="1"/>
        <v>0</v>
      </c>
      <c r="I43" s="52">
        <f t="shared" si="1"/>
        <v>0</v>
      </c>
      <c r="J43" s="14">
        <f t="shared" si="2"/>
        <v>0</v>
      </c>
      <c r="K43" s="75">
        <f t="shared" si="3"/>
        <v>55139.637826961763</v>
      </c>
    </row>
    <row r="44" spans="1:11" x14ac:dyDescent="0.25">
      <c r="A44" s="61">
        <f>'A) Base RI'!A43</f>
        <v>5472</v>
      </c>
      <c r="B44" s="42" t="str">
        <f>'A) Base RI'!B43</f>
        <v>Bournens</v>
      </c>
      <c r="C44" s="14">
        <f>'A) Base RI'!AN43</f>
        <v>373</v>
      </c>
      <c r="D44" s="41">
        <f t="shared" si="1"/>
        <v>373</v>
      </c>
      <c r="E44" s="14">
        <f t="shared" si="1"/>
        <v>0</v>
      </c>
      <c r="F44" s="14">
        <f t="shared" si="1"/>
        <v>0</v>
      </c>
      <c r="G44" s="14">
        <f t="shared" si="1"/>
        <v>0</v>
      </c>
      <c r="H44" s="14">
        <f t="shared" si="1"/>
        <v>0</v>
      </c>
      <c r="I44" s="52">
        <f t="shared" si="1"/>
        <v>0</v>
      </c>
      <c r="J44" s="14">
        <f t="shared" si="2"/>
        <v>0</v>
      </c>
      <c r="K44" s="75">
        <f t="shared" si="3"/>
        <v>36924.748490945669</v>
      </c>
    </row>
    <row r="45" spans="1:11" x14ac:dyDescent="0.25">
      <c r="A45" s="61">
        <f>'A) Base RI'!A44</f>
        <v>5473</v>
      </c>
      <c r="B45" s="42" t="str">
        <f>'A) Base RI'!B44</f>
        <v>Boussens</v>
      </c>
      <c r="C45" s="14">
        <f>'A) Base RI'!AN44</f>
        <v>958</v>
      </c>
      <c r="D45" s="41">
        <f t="shared" si="1"/>
        <v>958</v>
      </c>
      <c r="E45" s="14">
        <f t="shared" si="1"/>
        <v>0</v>
      </c>
      <c r="F45" s="14">
        <f t="shared" si="1"/>
        <v>0</v>
      </c>
      <c r="G45" s="14">
        <f t="shared" si="1"/>
        <v>0</v>
      </c>
      <c r="H45" s="14">
        <f t="shared" si="1"/>
        <v>0</v>
      </c>
      <c r="I45" s="52">
        <f t="shared" si="1"/>
        <v>0</v>
      </c>
      <c r="J45" s="14">
        <f t="shared" si="2"/>
        <v>0</v>
      </c>
      <c r="K45" s="75">
        <f t="shared" si="3"/>
        <v>94836.217303822938</v>
      </c>
    </row>
    <row r="46" spans="1:11" x14ac:dyDescent="0.25">
      <c r="A46" s="61">
        <f>'A) Base RI'!A45</f>
        <v>5474</v>
      </c>
      <c r="B46" s="42" t="str">
        <f>'A) Base RI'!B45</f>
        <v>La Chaux (Cossonay)</v>
      </c>
      <c r="C46" s="14">
        <f>'A) Base RI'!AN45</f>
        <v>421</v>
      </c>
      <c r="D46" s="41">
        <f t="shared" si="1"/>
        <v>421</v>
      </c>
      <c r="E46" s="14">
        <f t="shared" si="1"/>
        <v>0</v>
      </c>
      <c r="F46" s="14">
        <f t="shared" si="1"/>
        <v>0</v>
      </c>
      <c r="G46" s="14">
        <f t="shared" si="1"/>
        <v>0</v>
      </c>
      <c r="H46" s="14">
        <f t="shared" si="1"/>
        <v>0</v>
      </c>
      <c r="I46" s="52">
        <f t="shared" si="1"/>
        <v>0</v>
      </c>
      <c r="J46" s="14">
        <f t="shared" si="2"/>
        <v>0</v>
      </c>
      <c r="K46" s="75">
        <f t="shared" si="3"/>
        <v>41676.458752515086</v>
      </c>
    </row>
    <row r="47" spans="1:11" x14ac:dyDescent="0.25">
      <c r="A47" s="61">
        <f>'A) Base RI'!A46</f>
        <v>5475</v>
      </c>
      <c r="B47" s="42" t="str">
        <f>'A) Base RI'!B46</f>
        <v>Chavannes-le-Veyron</v>
      </c>
      <c r="C47" s="14">
        <f>'A) Base RI'!AN46</f>
        <v>120</v>
      </c>
      <c r="D47" s="41">
        <f t="shared" si="1"/>
        <v>120</v>
      </c>
      <c r="E47" s="14">
        <f t="shared" si="1"/>
        <v>0</v>
      </c>
      <c r="F47" s="14">
        <f t="shared" si="1"/>
        <v>0</v>
      </c>
      <c r="G47" s="14">
        <f t="shared" si="1"/>
        <v>0</v>
      </c>
      <c r="H47" s="14">
        <f t="shared" si="1"/>
        <v>0</v>
      </c>
      <c r="I47" s="52">
        <f t="shared" si="1"/>
        <v>0</v>
      </c>
      <c r="J47" s="14">
        <f t="shared" si="2"/>
        <v>0</v>
      </c>
      <c r="K47" s="75">
        <f t="shared" si="3"/>
        <v>11879.27565392354</v>
      </c>
    </row>
    <row r="48" spans="1:11" x14ac:dyDescent="0.25">
      <c r="A48" s="61">
        <f>'A) Base RI'!A47</f>
        <v>5476</v>
      </c>
      <c r="B48" s="42" t="str">
        <f>'A) Base RI'!B47</f>
        <v>Chevilly</v>
      </c>
      <c r="C48" s="14">
        <f>'A) Base RI'!AN47</f>
        <v>286</v>
      </c>
      <c r="D48" s="41">
        <f t="shared" si="1"/>
        <v>286</v>
      </c>
      <c r="E48" s="14">
        <f t="shared" si="1"/>
        <v>0</v>
      </c>
      <c r="F48" s="14">
        <f t="shared" si="1"/>
        <v>0</v>
      </c>
      <c r="G48" s="14">
        <f t="shared" si="1"/>
        <v>0</v>
      </c>
      <c r="H48" s="14">
        <f t="shared" si="1"/>
        <v>0</v>
      </c>
      <c r="I48" s="52">
        <f t="shared" si="1"/>
        <v>0</v>
      </c>
      <c r="J48" s="14">
        <f t="shared" si="2"/>
        <v>0</v>
      </c>
      <c r="K48" s="75">
        <f t="shared" si="3"/>
        <v>28312.273641851105</v>
      </c>
    </row>
    <row r="49" spans="1:11" x14ac:dyDescent="0.25">
      <c r="A49" s="61">
        <f>'A) Base RI'!A48</f>
        <v>5477</v>
      </c>
      <c r="B49" s="42" t="str">
        <f>'A) Base RI'!B48</f>
        <v>Cossonay</v>
      </c>
      <c r="C49" s="14">
        <f>'A) Base RI'!AN48</f>
        <v>3642</v>
      </c>
      <c r="D49" s="41">
        <f t="shared" si="1"/>
        <v>1000</v>
      </c>
      <c r="E49" s="14">
        <f t="shared" si="1"/>
        <v>2000</v>
      </c>
      <c r="F49" s="14">
        <f t="shared" si="1"/>
        <v>642</v>
      </c>
      <c r="G49" s="14">
        <f t="shared" si="1"/>
        <v>0</v>
      </c>
      <c r="H49" s="14">
        <f t="shared" si="1"/>
        <v>0</v>
      </c>
      <c r="I49" s="52">
        <f t="shared" si="1"/>
        <v>0</v>
      </c>
      <c r="J49" s="14">
        <f t="shared" si="2"/>
        <v>0</v>
      </c>
      <c r="K49" s="75">
        <f t="shared" si="3"/>
        <v>1109722.334004024</v>
      </c>
    </row>
    <row r="50" spans="1:11" x14ac:dyDescent="0.25">
      <c r="A50" s="61">
        <f>'A) Base RI'!A49</f>
        <v>5478</v>
      </c>
      <c r="B50" s="42" t="str">
        <f>'A) Base RI'!B49</f>
        <v>Cottens</v>
      </c>
      <c r="C50" s="14">
        <f>'A) Base RI'!AN49</f>
        <v>473</v>
      </c>
      <c r="D50" s="41">
        <f t="shared" si="1"/>
        <v>473</v>
      </c>
      <c r="E50" s="14">
        <f t="shared" si="1"/>
        <v>0</v>
      </c>
      <c r="F50" s="14">
        <f t="shared" ref="E50:I87" si="4">IF($C50&gt;F$4,IF($C50&lt;F$5,$C50-F$4,F$5-F$4),0)</f>
        <v>0</v>
      </c>
      <c r="G50" s="14">
        <f t="shared" si="4"/>
        <v>0</v>
      </c>
      <c r="H50" s="14">
        <f t="shared" si="4"/>
        <v>0</v>
      </c>
      <c r="I50" s="52">
        <f t="shared" si="4"/>
        <v>0</v>
      </c>
      <c r="J50" s="14">
        <f t="shared" si="2"/>
        <v>0</v>
      </c>
      <c r="K50" s="75">
        <f t="shared" si="3"/>
        <v>46824.144869215292</v>
      </c>
    </row>
    <row r="51" spans="1:11" x14ac:dyDescent="0.25">
      <c r="A51" s="61">
        <f>'A) Base RI'!A50</f>
        <v>5479</v>
      </c>
      <c r="B51" s="42" t="str">
        <f>'A) Base RI'!B50</f>
        <v>Cuarnens</v>
      </c>
      <c r="C51" s="14">
        <f>'A) Base RI'!AN50</f>
        <v>439</v>
      </c>
      <c r="D51" s="41">
        <f t="shared" ref="D51:D107" si="5">IF($C51&gt;D$4,IF($C51&lt;D$5,$C51-D$4,D$5-D$4),0)</f>
        <v>439</v>
      </c>
      <c r="E51" s="14">
        <f t="shared" si="4"/>
        <v>0</v>
      </c>
      <c r="F51" s="14">
        <f t="shared" si="4"/>
        <v>0</v>
      </c>
      <c r="G51" s="14">
        <f t="shared" si="4"/>
        <v>0</v>
      </c>
      <c r="H51" s="14">
        <f t="shared" si="4"/>
        <v>0</v>
      </c>
      <c r="I51" s="52">
        <f t="shared" si="4"/>
        <v>0</v>
      </c>
      <c r="J51" s="14">
        <f t="shared" si="2"/>
        <v>0</v>
      </c>
      <c r="K51" s="75">
        <f t="shared" si="3"/>
        <v>43458.350100603617</v>
      </c>
    </row>
    <row r="52" spans="1:11" x14ac:dyDescent="0.25">
      <c r="A52" s="61">
        <f>'A) Base RI'!A51</f>
        <v>5480</v>
      </c>
      <c r="B52" s="42" t="str">
        <f>'A) Base RI'!B51</f>
        <v>Daillens</v>
      </c>
      <c r="C52" s="14">
        <f>'A) Base RI'!AN51</f>
        <v>940</v>
      </c>
      <c r="D52" s="41">
        <f t="shared" si="5"/>
        <v>940</v>
      </c>
      <c r="E52" s="14">
        <f t="shared" si="4"/>
        <v>0</v>
      </c>
      <c r="F52" s="14">
        <f t="shared" si="4"/>
        <v>0</v>
      </c>
      <c r="G52" s="14">
        <f t="shared" si="4"/>
        <v>0</v>
      </c>
      <c r="H52" s="14">
        <f t="shared" si="4"/>
        <v>0</v>
      </c>
      <c r="I52" s="52">
        <f t="shared" si="4"/>
        <v>0</v>
      </c>
      <c r="J52" s="14">
        <f t="shared" si="2"/>
        <v>0</v>
      </c>
      <c r="K52" s="75">
        <f t="shared" si="3"/>
        <v>93054.325955734399</v>
      </c>
    </row>
    <row r="53" spans="1:11" x14ac:dyDescent="0.25">
      <c r="A53" s="61">
        <f>'A) Base RI'!A52</f>
        <v>5481</v>
      </c>
      <c r="B53" s="42" t="str">
        <f>'A) Base RI'!B52</f>
        <v>Dizy</v>
      </c>
      <c r="C53" s="14">
        <f>'A) Base RI'!AN52</f>
        <v>221</v>
      </c>
      <c r="D53" s="41">
        <f t="shared" si="5"/>
        <v>221</v>
      </c>
      <c r="E53" s="14">
        <f t="shared" si="4"/>
        <v>0</v>
      </c>
      <c r="F53" s="14">
        <f t="shared" si="4"/>
        <v>0</v>
      </c>
      <c r="G53" s="14">
        <f t="shared" si="4"/>
        <v>0</v>
      </c>
      <c r="H53" s="14">
        <f t="shared" si="4"/>
        <v>0</v>
      </c>
      <c r="I53" s="52">
        <f t="shared" si="4"/>
        <v>0</v>
      </c>
      <c r="J53" s="14">
        <f t="shared" si="2"/>
        <v>0</v>
      </c>
      <c r="K53" s="75">
        <f t="shared" si="3"/>
        <v>21877.665995975854</v>
      </c>
    </row>
    <row r="54" spans="1:11" x14ac:dyDescent="0.25">
      <c r="A54" s="61">
        <f>'A) Base RI'!A53</f>
        <v>5482</v>
      </c>
      <c r="B54" s="42" t="str">
        <f>'A) Base RI'!B53</f>
        <v>Eclépens</v>
      </c>
      <c r="C54" s="14">
        <f>'A) Base RI'!AN53</f>
        <v>1039</v>
      </c>
      <c r="D54" s="41">
        <f t="shared" si="5"/>
        <v>1000</v>
      </c>
      <c r="E54" s="14">
        <f t="shared" si="4"/>
        <v>39</v>
      </c>
      <c r="F54" s="14">
        <f t="shared" si="4"/>
        <v>0</v>
      </c>
      <c r="G54" s="14">
        <f t="shared" si="4"/>
        <v>0</v>
      </c>
      <c r="H54" s="14">
        <f t="shared" si="4"/>
        <v>0</v>
      </c>
      <c r="I54" s="52">
        <f t="shared" si="4"/>
        <v>0</v>
      </c>
      <c r="J54" s="14">
        <f t="shared" si="2"/>
        <v>0</v>
      </c>
      <c r="K54" s="75">
        <f t="shared" si="3"/>
        <v>112506.63983903419</v>
      </c>
    </row>
    <row r="55" spans="1:11" x14ac:dyDescent="0.25">
      <c r="A55" s="61">
        <f>'A) Base RI'!A54</f>
        <v>5483</v>
      </c>
      <c r="B55" s="42" t="str">
        <f>'A) Base RI'!B54</f>
        <v>Ferreyres</v>
      </c>
      <c r="C55" s="14">
        <f>'A) Base RI'!AN54</f>
        <v>313</v>
      </c>
      <c r="D55" s="41">
        <f t="shared" si="5"/>
        <v>313</v>
      </c>
      <c r="E55" s="14">
        <f t="shared" si="4"/>
        <v>0</v>
      </c>
      <c r="F55" s="14">
        <f t="shared" si="4"/>
        <v>0</v>
      </c>
      <c r="G55" s="14">
        <f t="shared" si="4"/>
        <v>0</v>
      </c>
      <c r="H55" s="14">
        <f t="shared" si="4"/>
        <v>0</v>
      </c>
      <c r="I55" s="52">
        <f t="shared" si="4"/>
        <v>0</v>
      </c>
      <c r="J55" s="14">
        <f t="shared" si="2"/>
        <v>0</v>
      </c>
      <c r="K55" s="75">
        <f t="shared" si="3"/>
        <v>30985.110663983902</v>
      </c>
    </row>
    <row r="56" spans="1:11" x14ac:dyDescent="0.25">
      <c r="A56" s="61">
        <f>'A) Base RI'!A55</f>
        <v>5484</v>
      </c>
      <c r="B56" s="42" t="str">
        <f>'A) Base RI'!B55</f>
        <v>Gollion</v>
      </c>
      <c r="C56" s="14">
        <f>'A) Base RI'!AN55</f>
        <v>857</v>
      </c>
      <c r="D56" s="41">
        <f t="shared" si="5"/>
        <v>857</v>
      </c>
      <c r="E56" s="14">
        <f t="shared" si="4"/>
        <v>0</v>
      </c>
      <c r="F56" s="14">
        <f t="shared" si="4"/>
        <v>0</v>
      </c>
      <c r="G56" s="14">
        <f t="shared" si="4"/>
        <v>0</v>
      </c>
      <c r="H56" s="14">
        <f t="shared" si="4"/>
        <v>0</v>
      </c>
      <c r="I56" s="52">
        <f t="shared" si="4"/>
        <v>0</v>
      </c>
      <c r="J56" s="14">
        <f t="shared" si="2"/>
        <v>0</v>
      </c>
      <c r="K56" s="75">
        <f t="shared" si="3"/>
        <v>84837.826961770625</v>
      </c>
    </row>
    <row r="57" spans="1:11" x14ac:dyDescent="0.25">
      <c r="A57" s="61">
        <f>'A) Base RI'!A56</f>
        <v>5485</v>
      </c>
      <c r="B57" s="42" t="str">
        <f>'A) Base RI'!B56</f>
        <v>Grancy</v>
      </c>
      <c r="C57" s="14">
        <f>'A) Base RI'!AN56</f>
        <v>396</v>
      </c>
      <c r="D57" s="41">
        <f t="shared" si="5"/>
        <v>396</v>
      </c>
      <c r="E57" s="14">
        <f t="shared" si="4"/>
        <v>0</v>
      </c>
      <c r="F57" s="14">
        <f t="shared" si="4"/>
        <v>0</v>
      </c>
      <c r="G57" s="14">
        <f t="shared" si="4"/>
        <v>0</v>
      </c>
      <c r="H57" s="14">
        <f t="shared" si="4"/>
        <v>0</v>
      </c>
      <c r="I57" s="52">
        <f t="shared" si="4"/>
        <v>0</v>
      </c>
      <c r="J57" s="14">
        <f t="shared" si="2"/>
        <v>0</v>
      </c>
      <c r="K57" s="75">
        <f t="shared" si="3"/>
        <v>39201.60965794768</v>
      </c>
    </row>
    <row r="58" spans="1:11" x14ac:dyDescent="0.25">
      <c r="A58" s="61">
        <f>'A) Base RI'!A57</f>
        <v>5486</v>
      </c>
      <c r="B58" s="42" t="str">
        <f>'A) Base RI'!B57</f>
        <v>L'Isle</v>
      </c>
      <c r="C58" s="14">
        <f>'A) Base RI'!AN57</f>
        <v>1032</v>
      </c>
      <c r="D58" s="41">
        <f t="shared" si="5"/>
        <v>1000</v>
      </c>
      <c r="E58" s="14">
        <f t="shared" si="4"/>
        <v>32</v>
      </c>
      <c r="F58" s="14">
        <f t="shared" si="4"/>
        <v>0</v>
      </c>
      <c r="G58" s="14">
        <f t="shared" si="4"/>
        <v>0</v>
      </c>
      <c r="H58" s="14">
        <f t="shared" si="4"/>
        <v>0</v>
      </c>
      <c r="I58" s="52">
        <f t="shared" si="4"/>
        <v>0</v>
      </c>
      <c r="J58" s="14">
        <f t="shared" si="2"/>
        <v>0</v>
      </c>
      <c r="K58" s="75">
        <f t="shared" si="3"/>
        <v>110081.28772635815</v>
      </c>
    </row>
    <row r="59" spans="1:11" x14ac:dyDescent="0.25">
      <c r="A59" s="61">
        <f>'A) Base RI'!A58</f>
        <v>5487</v>
      </c>
      <c r="B59" s="42" t="str">
        <f>'A) Base RI'!B58</f>
        <v>Lussery-Villars</v>
      </c>
      <c r="C59" s="14">
        <f>'A) Base RI'!AN58</f>
        <v>423</v>
      </c>
      <c r="D59" s="41">
        <f t="shared" si="5"/>
        <v>423</v>
      </c>
      <c r="E59" s="14">
        <f t="shared" si="4"/>
        <v>0</v>
      </c>
      <c r="F59" s="14">
        <f t="shared" si="4"/>
        <v>0</v>
      </c>
      <c r="G59" s="14">
        <f t="shared" si="4"/>
        <v>0</v>
      </c>
      <c r="H59" s="14">
        <f t="shared" si="4"/>
        <v>0</v>
      </c>
      <c r="I59" s="52">
        <f t="shared" si="4"/>
        <v>0</v>
      </c>
      <c r="J59" s="14">
        <f t="shared" si="2"/>
        <v>0</v>
      </c>
      <c r="K59" s="75">
        <f t="shared" si="3"/>
        <v>41874.44668008048</v>
      </c>
    </row>
    <row r="60" spans="1:11" x14ac:dyDescent="0.25">
      <c r="A60" s="61">
        <f>'A) Base RI'!A59</f>
        <v>5488</v>
      </c>
      <c r="B60" s="42" t="str">
        <f>'A) Base RI'!B59</f>
        <v>Mauraz</v>
      </c>
      <c r="C60" s="14">
        <f>'A) Base RI'!AN59</f>
        <v>49</v>
      </c>
      <c r="D60" s="41">
        <f t="shared" si="5"/>
        <v>49</v>
      </c>
      <c r="E60" s="14">
        <f t="shared" si="4"/>
        <v>0</v>
      </c>
      <c r="F60" s="14">
        <f t="shared" si="4"/>
        <v>0</v>
      </c>
      <c r="G60" s="14">
        <f t="shared" si="4"/>
        <v>0</v>
      </c>
      <c r="H60" s="14">
        <f t="shared" si="4"/>
        <v>0</v>
      </c>
      <c r="I60" s="52">
        <f t="shared" si="4"/>
        <v>0</v>
      </c>
      <c r="J60" s="14">
        <f t="shared" si="2"/>
        <v>0</v>
      </c>
      <c r="K60" s="75">
        <f t="shared" si="3"/>
        <v>4850.7042253521122</v>
      </c>
    </row>
    <row r="61" spans="1:11" x14ac:dyDescent="0.25">
      <c r="A61" s="61">
        <f>'A) Base RI'!A60</f>
        <v>5489</v>
      </c>
      <c r="B61" s="42" t="str">
        <f>'A) Base RI'!B60</f>
        <v>Mex</v>
      </c>
      <c r="C61" s="14">
        <f>'A) Base RI'!AN60</f>
        <v>678</v>
      </c>
      <c r="D61" s="41">
        <f t="shared" si="5"/>
        <v>678</v>
      </c>
      <c r="E61" s="14">
        <f t="shared" si="4"/>
        <v>0</v>
      </c>
      <c r="F61" s="14">
        <f t="shared" si="4"/>
        <v>0</v>
      </c>
      <c r="G61" s="14">
        <f t="shared" si="4"/>
        <v>0</v>
      </c>
      <c r="H61" s="14">
        <f t="shared" si="4"/>
        <v>0</v>
      </c>
      <c r="I61" s="52">
        <f t="shared" si="4"/>
        <v>0</v>
      </c>
      <c r="J61" s="14">
        <f t="shared" si="2"/>
        <v>0</v>
      </c>
      <c r="K61" s="75">
        <f t="shared" si="3"/>
        <v>67117.907444668002</v>
      </c>
    </row>
    <row r="62" spans="1:11" x14ac:dyDescent="0.25">
      <c r="A62" s="61">
        <f>'A) Base RI'!A61</f>
        <v>5490</v>
      </c>
      <c r="B62" s="42" t="str">
        <f>'A) Base RI'!B61</f>
        <v>Moiry</v>
      </c>
      <c r="C62" s="14">
        <f>'A) Base RI'!AN61</f>
        <v>290</v>
      </c>
      <c r="D62" s="41">
        <f t="shared" si="5"/>
        <v>290</v>
      </c>
      <c r="E62" s="14">
        <f t="shared" si="4"/>
        <v>0</v>
      </c>
      <c r="F62" s="14">
        <f t="shared" si="4"/>
        <v>0</v>
      </c>
      <c r="G62" s="14">
        <f t="shared" si="4"/>
        <v>0</v>
      </c>
      <c r="H62" s="14">
        <f t="shared" si="4"/>
        <v>0</v>
      </c>
      <c r="I62" s="52">
        <f t="shared" si="4"/>
        <v>0</v>
      </c>
      <c r="J62" s="14">
        <f t="shared" si="2"/>
        <v>0</v>
      </c>
      <c r="K62" s="75">
        <f t="shared" si="3"/>
        <v>28708.249496981891</v>
      </c>
    </row>
    <row r="63" spans="1:11" x14ac:dyDescent="0.25">
      <c r="A63" s="61">
        <f>'A) Base RI'!A62</f>
        <v>5491</v>
      </c>
      <c r="B63" s="42" t="str">
        <f>'A) Base RI'!B62</f>
        <v>Mont-la-Ville</v>
      </c>
      <c r="C63" s="14">
        <f>'A) Base RI'!AN62</f>
        <v>382</v>
      </c>
      <c r="D63" s="41">
        <f t="shared" si="5"/>
        <v>382</v>
      </c>
      <c r="E63" s="14">
        <f t="shared" si="4"/>
        <v>0</v>
      </c>
      <c r="F63" s="14">
        <f t="shared" si="4"/>
        <v>0</v>
      </c>
      <c r="G63" s="14">
        <f t="shared" si="4"/>
        <v>0</v>
      </c>
      <c r="H63" s="14">
        <f t="shared" si="4"/>
        <v>0</v>
      </c>
      <c r="I63" s="52">
        <f t="shared" si="4"/>
        <v>0</v>
      </c>
      <c r="J63" s="14">
        <f t="shared" si="2"/>
        <v>0</v>
      </c>
      <c r="K63" s="75">
        <f t="shared" si="3"/>
        <v>37815.694164989938</v>
      </c>
    </row>
    <row r="64" spans="1:11" x14ac:dyDescent="0.25">
      <c r="A64" s="61">
        <f>'A) Base RI'!A63</f>
        <v>5492</v>
      </c>
      <c r="B64" s="42" t="str">
        <f>'A) Base RI'!B63</f>
        <v>Montricher</v>
      </c>
      <c r="C64" s="14">
        <f>'A) Base RI'!AN63</f>
        <v>961</v>
      </c>
      <c r="D64" s="41">
        <f t="shared" si="5"/>
        <v>961</v>
      </c>
      <c r="E64" s="14">
        <f t="shared" si="4"/>
        <v>0</v>
      </c>
      <c r="F64" s="14">
        <f t="shared" si="4"/>
        <v>0</v>
      </c>
      <c r="G64" s="14">
        <f t="shared" si="4"/>
        <v>0</v>
      </c>
      <c r="H64" s="14">
        <f t="shared" si="4"/>
        <v>0</v>
      </c>
      <c r="I64" s="52">
        <f t="shared" si="4"/>
        <v>0</v>
      </c>
      <c r="J64" s="14">
        <f t="shared" si="2"/>
        <v>0</v>
      </c>
      <c r="K64" s="75">
        <f t="shared" si="3"/>
        <v>95133.199195171022</v>
      </c>
    </row>
    <row r="65" spans="1:11" x14ac:dyDescent="0.25">
      <c r="A65" s="61">
        <f>'A) Base RI'!A64</f>
        <v>5493</v>
      </c>
      <c r="B65" s="42" t="str">
        <f>'A) Base RI'!B64</f>
        <v>Orny</v>
      </c>
      <c r="C65" s="14">
        <f>'A) Base RI'!AN64</f>
        <v>375</v>
      </c>
      <c r="D65" s="41">
        <f t="shared" si="5"/>
        <v>375</v>
      </c>
      <c r="E65" s="14">
        <f t="shared" si="4"/>
        <v>0</v>
      </c>
      <c r="F65" s="14">
        <f t="shared" si="4"/>
        <v>0</v>
      </c>
      <c r="G65" s="14">
        <f t="shared" si="4"/>
        <v>0</v>
      </c>
      <c r="H65" s="14">
        <f t="shared" si="4"/>
        <v>0</v>
      </c>
      <c r="I65" s="52">
        <f t="shared" si="4"/>
        <v>0</v>
      </c>
      <c r="J65" s="14">
        <f t="shared" si="2"/>
        <v>0</v>
      </c>
      <c r="K65" s="75">
        <f t="shared" si="3"/>
        <v>37122.736418511064</v>
      </c>
    </row>
    <row r="66" spans="1:11" x14ac:dyDescent="0.25">
      <c r="A66" s="61">
        <f>'A) Base RI'!A65</f>
        <v>5494</v>
      </c>
      <c r="B66" s="42" t="str">
        <f>'A) Base RI'!B65</f>
        <v>Pampigny</v>
      </c>
      <c r="C66" s="14">
        <f>'A) Base RI'!AN65</f>
        <v>1124</v>
      </c>
      <c r="D66" s="41">
        <f t="shared" si="5"/>
        <v>1000</v>
      </c>
      <c r="E66" s="14">
        <f t="shared" si="4"/>
        <v>124</v>
      </c>
      <c r="F66" s="14">
        <f t="shared" si="4"/>
        <v>0</v>
      </c>
      <c r="G66" s="14">
        <f t="shared" si="4"/>
        <v>0</v>
      </c>
      <c r="H66" s="14">
        <f t="shared" si="4"/>
        <v>0</v>
      </c>
      <c r="I66" s="52">
        <f t="shared" si="4"/>
        <v>0</v>
      </c>
      <c r="J66" s="14">
        <f t="shared" si="2"/>
        <v>0</v>
      </c>
      <c r="K66" s="75">
        <f t="shared" si="3"/>
        <v>141957.3440643863</v>
      </c>
    </row>
    <row r="67" spans="1:11" x14ac:dyDescent="0.25">
      <c r="A67" s="61">
        <f>'A) Base RI'!A66</f>
        <v>5495</v>
      </c>
      <c r="B67" s="42" t="str">
        <f>'A) Base RI'!B66</f>
        <v>Penthalaz</v>
      </c>
      <c r="C67" s="14">
        <f>'A) Base RI'!AN66</f>
        <v>3241</v>
      </c>
      <c r="D67" s="41">
        <f t="shared" si="5"/>
        <v>1000</v>
      </c>
      <c r="E67" s="14">
        <f t="shared" si="4"/>
        <v>2000</v>
      </c>
      <c r="F67" s="14">
        <f t="shared" si="4"/>
        <v>241</v>
      </c>
      <c r="G67" s="14">
        <f t="shared" si="4"/>
        <v>0</v>
      </c>
      <c r="H67" s="14">
        <f t="shared" si="4"/>
        <v>0</v>
      </c>
      <c r="I67" s="52">
        <f t="shared" si="4"/>
        <v>0</v>
      </c>
      <c r="J67" s="14">
        <f t="shared" si="2"/>
        <v>0</v>
      </c>
      <c r="K67" s="75">
        <f t="shared" si="3"/>
        <v>911239.43661971821</v>
      </c>
    </row>
    <row r="68" spans="1:11" x14ac:dyDescent="0.25">
      <c r="A68" s="61">
        <f>'A) Base RI'!A67</f>
        <v>5496</v>
      </c>
      <c r="B68" s="42" t="str">
        <f>'A) Base RI'!B67</f>
        <v>Penthaz</v>
      </c>
      <c r="C68" s="14">
        <f>'A) Base RI'!AN67</f>
        <v>1653</v>
      </c>
      <c r="D68" s="41">
        <f t="shared" si="5"/>
        <v>1000</v>
      </c>
      <c r="E68" s="14">
        <f t="shared" si="4"/>
        <v>653</v>
      </c>
      <c r="F68" s="14">
        <f t="shared" si="4"/>
        <v>0</v>
      </c>
      <c r="G68" s="14">
        <f t="shared" si="4"/>
        <v>0</v>
      </c>
      <c r="H68" s="14">
        <f t="shared" si="4"/>
        <v>0</v>
      </c>
      <c r="I68" s="52">
        <f t="shared" si="4"/>
        <v>0</v>
      </c>
      <c r="J68" s="14">
        <f t="shared" si="2"/>
        <v>0</v>
      </c>
      <c r="K68" s="75">
        <f t="shared" si="3"/>
        <v>325244.66800804826</v>
      </c>
    </row>
    <row r="69" spans="1:11" x14ac:dyDescent="0.25">
      <c r="A69" s="61">
        <f>'A) Base RI'!A68</f>
        <v>5497</v>
      </c>
      <c r="B69" s="42" t="str">
        <f>'A) Base RI'!B68</f>
        <v>Pompaples</v>
      </c>
      <c r="C69" s="14">
        <f>'A) Base RI'!AN68</f>
        <v>834</v>
      </c>
      <c r="D69" s="41">
        <f t="shared" si="5"/>
        <v>834</v>
      </c>
      <c r="E69" s="14">
        <f t="shared" si="4"/>
        <v>0</v>
      </c>
      <c r="F69" s="14">
        <f t="shared" si="4"/>
        <v>0</v>
      </c>
      <c r="G69" s="14">
        <f t="shared" si="4"/>
        <v>0</v>
      </c>
      <c r="H69" s="14">
        <f t="shared" si="4"/>
        <v>0</v>
      </c>
      <c r="I69" s="52">
        <f t="shared" si="4"/>
        <v>0</v>
      </c>
      <c r="J69" s="14">
        <f t="shared" si="2"/>
        <v>0</v>
      </c>
      <c r="K69" s="75">
        <f t="shared" si="3"/>
        <v>82560.965794768606</v>
      </c>
    </row>
    <row r="70" spans="1:11" x14ac:dyDescent="0.25">
      <c r="A70" s="61">
        <f>'A) Base RI'!A69</f>
        <v>5498</v>
      </c>
      <c r="B70" s="42" t="str">
        <f>'A) Base RI'!B69</f>
        <v>La Sarraz</v>
      </c>
      <c r="C70" s="14">
        <f>'A) Base RI'!AN69</f>
        <v>2559</v>
      </c>
      <c r="D70" s="41">
        <f t="shared" si="5"/>
        <v>1000</v>
      </c>
      <c r="E70" s="14">
        <f t="shared" si="4"/>
        <v>1559</v>
      </c>
      <c r="F70" s="14">
        <f t="shared" si="4"/>
        <v>0</v>
      </c>
      <c r="G70" s="14">
        <f t="shared" si="4"/>
        <v>0</v>
      </c>
      <c r="H70" s="14">
        <f t="shared" si="4"/>
        <v>0</v>
      </c>
      <c r="I70" s="52">
        <f t="shared" si="4"/>
        <v>0</v>
      </c>
      <c r="J70" s="14">
        <f t="shared" si="2"/>
        <v>0</v>
      </c>
      <c r="K70" s="75">
        <f t="shared" si="3"/>
        <v>639154.52716297784</v>
      </c>
    </row>
    <row r="71" spans="1:11" x14ac:dyDescent="0.25">
      <c r="A71" s="61">
        <f>'A) Base RI'!A70</f>
        <v>5499</v>
      </c>
      <c r="B71" s="42" t="str">
        <f>'A) Base RI'!B70</f>
        <v>Senarclens</v>
      </c>
      <c r="C71" s="14">
        <f>'A) Base RI'!AN70</f>
        <v>451</v>
      </c>
      <c r="D71" s="41">
        <f t="shared" si="5"/>
        <v>451</v>
      </c>
      <c r="E71" s="14">
        <f t="shared" si="4"/>
        <v>0</v>
      </c>
      <c r="F71" s="14">
        <f t="shared" si="4"/>
        <v>0</v>
      </c>
      <c r="G71" s="14">
        <f t="shared" si="4"/>
        <v>0</v>
      </c>
      <c r="H71" s="14">
        <f t="shared" si="4"/>
        <v>0</v>
      </c>
      <c r="I71" s="52">
        <f t="shared" si="4"/>
        <v>0</v>
      </c>
      <c r="J71" s="14">
        <f t="shared" si="2"/>
        <v>0</v>
      </c>
      <c r="K71" s="75">
        <f t="shared" si="3"/>
        <v>44646.277665995971</v>
      </c>
    </row>
    <row r="72" spans="1:11" x14ac:dyDescent="0.25">
      <c r="A72" s="61">
        <f>'A) Base RI'!A71</f>
        <v>5500</v>
      </c>
      <c r="B72" s="42" t="str">
        <f>'A) Base RI'!B71</f>
        <v>Sévery</v>
      </c>
      <c r="C72" s="14">
        <f>'A) Base RI'!AN71</f>
        <v>231</v>
      </c>
      <c r="D72" s="41">
        <f t="shared" si="5"/>
        <v>231</v>
      </c>
      <c r="E72" s="14">
        <f t="shared" si="4"/>
        <v>0</v>
      </c>
      <c r="F72" s="14">
        <f t="shared" si="4"/>
        <v>0</v>
      </c>
      <c r="G72" s="14">
        <f t="shared" si="4"/>
        <v>0</v>
      </c>
      <c r="H72" s="14">
        <f t="shared" si="4"/>
        <v>0</v>
      </c>
      <c r="I72" s="52">
        <f t="shared" si="4"/>
        <v>0</v>
      </c>
      <c r="J72" s="14">
        <f t="shared" si="2"/>
        <v>0</v>
      </c>
      <c r="K72" s="75">
        <f t="shared" si="3"/>
        <v>22867.605633802814</v>
      </c>
    </row>
    <row r="73" spans="1:11" x14ac:dyDescent="0.25">
      <c r="A73" s="61">
        <f>'A) Base RI'!A72</f>
        <v>5501</v>
      </c>
      <c r="B73" s="42" t="str">
        <f>'A) Base RI'!B72</f>
        <v>Sullens</v>
      </c>
      <c r="C73" s="14">
        <f>'A) Base RI'!AN72</f>
        <v>925</v>
      </c>
      <c r="D73" s="41">
        <f t="shared" si="5"/>
        <v>925</v>
      </c>
      <c r="E73" s="14">
        <f t="shared" si="4"/>
        <v>0</v>
      </c>
      <c r="F73" s="14">
        <f t="shared" si="4"/>
        <v>0</v>
      </c>
      <c r="G73" s="14">
        <f t="shared" si="4"/>
        <v>0</v>
      </c>
      <c r="H73" s="14">
        <f t="shared" si="4"/>
        <v>0</v>
      </c>
      <c r="I73" s="52">
        <f t="shared" si="4"/>
        <v>0</v>
      </c>
      <c r="J73" s="14">
        <f t="shared" ref="J73:J119" si="6">IF(C73&gt;$J$4,C73-$J$4,0)</f>
        <v>0</v>
      </c>
      <c r="K73" s="75">
        <f t="shared" ref="K73:K136" si="7">(D73*D$7)+(E73*E$7)+(F73*F$7)+(G73*G$7)+(H73*H$7)+(I73*I$7)+(J73*J$7)</f>
        <v>91569.41649899396</v>
      </c>
    </row>
    <row r="74" spans="1:11" x14ac:dyDescent="0.25">
      <c r="A74" s="61">
        <f>'A) Base RI'!A73</f>
        <v>5503</v>
      </c>
      <c r="B74" s="42" t="str">
        <f>'A) Base RI'!B73</f>
        <v>Vufflens-la-Ville</v>
      </c>
      <c r="C74" s="14">
        <f>'A) Base RI'!AN73</f>
        <v>1216</v>
      </c>
      <c r="D74" s="41">
        <f t="shared" si="5"/>
        <v>1000</v>
      </c>
      <c r="E74" s="14">
        <f t="shared" si="4"/>
        <v>216</v>
      </c>
      <c r="F74" s="14">
        <f t="shared" si="4"/>
        <v>0</v>
      </c>
      <c r="G74" s="14">
        <f t="shared" si="4"/>
        <v>0</v>
      </c>
      <c r="H74" s="14">
        <f t="shared" si="4"/>
        <v>0</v>
      </c>
      <c r="I74" s="52">
        <f t="shared" si="4"/>
        <v>0</v>
      </c>
      <c r="J74" s="14">
        <f t="shared" si="6"/>
        <v>0</v>
      </c>
      <c r="K74" s="75">
        <f t="shared" si="7"/>
        <v>173833.4004024145</v>
      </c>
    </row>
    <row r="75" spans="1:11" x14ac:dyDescent="0.25">
      <c r="A75" s="61">
        <f>'A) Base RI'!A74</f>
        <v>5511</v>
      </c>
      <c r="B75" s="42" t="str">
        <f>'A) Base RI'!B74</f>
        <v>Assens</v>
      </c>
      <c r="C75" s="14">
        <f>'A) Base RI'!AN74</f>
        <v>1031</v>
      </c>
      <c r="D75" s="41">
        <f t="shared" si="5"/>
        <v>1000</v>
      </c>
      <c r="E75" s="14">
        <f t="shared" si="4"/>
        <v>31</v>
      </c>
      <c r="F75" s="14">
        <f t="shared" si="4"/>
        <v>0</v>
      </c>
      <c r="G75" s="14">
        <f t="shared" si="4"/>
        <v>0</v>
      </c>
      <c r="H75" s="14">
        <f t="shared" si="4"/>
        <v>0</v>
      </c>
      <c r="I75" s="52">
        <f t="shared" si="4"/>
        <v>0</v>
      </c>
      <c r="J75" s="14">
        <f t="shared" si="6"/>
        <v>0</v>
      </c>
      <c r="K75" s="75">
        <f t="shared" si="7"/>
        <v>109734.80885311871</v>
      </c>
    </row>
    <row r="76" spans="1:11" x14ac:dyDescent="0.25">
      <c r="A76" s="61">
        <f>'A) Base RI'!A75</f>
        <v>5512</v>
      </c>
      <c r="B76" s="42" t="str">
        <f>'A) Base RI'!B75</f>
        <v>Bercher</v>
      </c>
      <c r="C76" s="14">
        <f>'A) Base RI'!AN75</f>
        <v>1148</v>
      </c>
      <c r="D76" s="41">
        <f t="shared" si="5"/>
        <v>1000</v>
      </c>
      <c r="E76" s="14">
        <f t="shared" si="4"/>
        <v>148</v>
      </c>
      <c r="F76" s="14">
        <f t="shared" si="4"/>
        <v>0</v>
      </c>
      <c r="G76" s="14">
        <f t="shared" si="4"/>
        <v>0</v>
      </c>
      <c r="H76" s="14">
        <f t="shared" si="4"/>
        <v>0</v>
      </c>
      <c r="I76" s="52">
        <f t="shared" si="4"/>
        <v>0</v>
      </c>
      <c r="J76" s="14">
        <f t="shared" si="6"/>
        <v>0</v>
      </c>
      <c r="K76" s="75">
        <f t="shared" si="7"/>
        <v>150272.83702213279</v>
      </c>
    </row>
    <row r="77" spans="1:11" x14ac:dyDescent="0.25">
      <c r="A77" s="61">
        <f>'A) Base RI'!A76</f>
        <v>5513</v>
      </c>
      <c r="B77" s="42" t="str">
        <f>'A) Base RI'!B76</f>
        <v>Bioley-Orjulaz</v>
      </c>
      <c r="C77" s="14">
        <f>'A) Base RI'!AN76</f>
        <v>471</v>
      </c>
      <c r="D77" s="41">
        <f t="shared" si="5"/>
        <v>471</v>
      </c>
      <c r="E77" s="14">
        <f t="shared" si="4"/>
        <v>0</v>
      </c>
      <c r="F77" s="14">
        <f t="shared" si="4"/>
        <v>0</v>
      </c>
      <c r="G77" s="14">
        <f t="shared" si="4"/>
        <v>0</v>
      </c>
      <c r="H77" s="14">
        <f t="shared" si="4"/>
        <v>0</v>
      </c>
      <c r="I77" s="52">
        <f t="shared" si="4"/>
        <v>0</v>
      </c>
      <c r="J77" s="14">
        <f t="shared" si="6"/>
        <v>0</v>
      </c>
      <c r="K77" s="75">
        <f t="shared" si="7"/>
        <v>46626.156941649897</v>
      </c>
    </row>
    <row r="78" spans="1:11" x14ac:dyDescent="0.25">
      <c r="A78" s="61">
        <f>'A) Base RI'!A77</f>
        <v>5514</v>
      </c>
      <c r="B78" s="42" t="str">
        <f>'A) Base RI'!B77</f>
        <v>Bottens</v>
      </c>
      <c r="C78" s="14">
        <f>'A) Base RI'!AN77</f>
        <v>1220</v>
      </c>
      <c r="D78" s="41">
        <f t="shared" si="5"/>
        <v>1000</v>
      </c>
      <c r="E78" s="14">
        <f t="shared" si="4"/>
        <v>220</v>
      </c>
      <c r="F78" s="14">
        <f t="shared" si="4"/>
        <v>0</v>
      </c>
      <c r="G78" s="14">
        <f t="shared" si="4"/>
        <v>0</v>
      </c>
      <c r="H78" s="14">
        <f t="shared" si="4"/>
        <v>0</v>
      </c>
      <c r="I78" s="52">
        <f t="shared" si="4"/>
        <v>0</v>
      </c>
      <c r="J78" s="14">
        <f t="shared" si="6"/>
        <v>0</v>
      </c>
      <c r="K78" s="75">
        <f t="shared" si="7"/>
        <v>175219.31589537224</v>
      </c>
    </row>
    <row r="79" spans="1:11" x14ac:dyDescent="0.25">
      <c r="A79" s="61">
        <f>'A) Base RI'!A78</f>
        <v>5515</v>
      </c>
      <c r="B79" s="42" t="str">
        <f>'A) Base RI'!B78</f>
        <v>Bretigny-sur-Morrens</v>
      </c>
      <c r="C79" s="14">
        <f>'A) Base RI'!AN78</f>
        <v>797</v>
      </c>
      <c r="D79" s="41">
        <f t="shared" si="5"/>
        <v>797</v>
      </c>
      <c r="E79" s="14">
        <f t="shared" si="4"/>
        <v>0</v>
      </c>
      <c r="F79" s="14">
        <f t="shared" si="4"/>
        <v>0</v>
      </c>
      <c r="G79" s="14">
        <f t="shared" si="4"/>
        <v>0</v>
      </c>
      <c r="H79" s="14">
        <f t="shared" si="4"/>
        <v>0</v>
      </c>
      <c r="I79" s="52">
        <f t="shared" si="4"/>
        <v>0</v>
      </c>
      <c r="J79" s="14">
        <f t="shared" si="6"/>
        <v>0</v>
      </c>
      <c r="K79" s="75">
        <f t="shared" si="7"/>
        <v>78898.189134808854</v>
      </c>
    </row>
    <row r="80" spans="1:11" x14ac:dyDescent="0.25">
      <c r="A80" s="61">
        <f>'A) Base RI'!A79</f>
        <v>5516</v>
      </c>
      <c r="B80" s="42" t="str">
        <f>'A) Base RI'!B79</f>
        <v>Cugy</v>
      </c>
      <c r="C80" s="14">
        <f>'A) Base RI'!AN79</f>
        <v>2755</v>
      </c>
      <c r="D80" s="41">
        <f t="shared" si="5"/>
        <v>1000</v>
      </c>
      <c r="E80" s="14">
        <f t="shared" si="4"/>
        <v>1755</v>
      </c>
      <c r="F80" s="14">
        <f t="shared" si="4"/>
        <v>0</v>
      </c>
      <c r="G80" s="14">
        <f t="shared" si="4"/>
        <v>0</v>
      </c>
      <c r="H80" s="14">
        <f t="shared" si="4"/>
        <v>0</v>
      </c>
      <c r="I80" s="52">
        <f t="shared" si="4"/>
        <v>0</v>
      </c>
      <c r="J80" s="14">
        <f t="shared" si="6"/>
        <v>0</v>
      </c>
      <c r="K80" s="75">
        <f t="shared" si="7"/>
        <v>707064.38631790737</v>
      </c>
    </row>
    <row r="81" spans="1:11" x14ac:dyDescent="0.25">
      <c r="A81" s="61">
        <f>'A) Base RI'!A80</f>
        <v>5518</v>
      </c>
      <c r="B81" s="42" t="str">
        <f>'A) Base RI'!B80</f>
        <v>Echallens</v>
      </c>
      <c r="C81" s="14">
        <f>'A) Base RI'!AN80</f>
        <v>5606</v>
      </c>
      <c r="D81" s="41">
        <f t="shared" si="5"/>
        <v>1000</v>
      </c>
      <c r="E81" s="14">
        <f t="shared" si="4"/>
        <v>2000</v>
      </c>
      <c r="F81" s="14">
        <f t="shared" si="4"/>
        <v>2000</v>
      </c>
      <c r="G81" s="14">
        <f t="shared" si="4"/>
        <v>606</v>
      </c>
      <c r="H81" s="14">
        <f t="shared" si="4"/>
        <v>0</v>
      </c>
      <c r="I81" s="52">
        <f t="shared" si="4"/>
        <v>0</v>
      </c>
      <c r="J81" s="14">
        <f t="shared" si="6"/>
        <v>0</v>
      </c>
      <c r="K81" s="75">
        <f t="shared" si="7"/>
        <v>2141833.4004024146</v>
      </c>
    </row>
    <row r="82" spans="1:11" x14ac:dyDescent="0.25">
      <c r="A82" s="61">
        <f>'A) Base RI'!A81</f>
        <v>5520</v>
      </c>
      <c r="B82" s="42" t="str">
        <f>'A) Base RI'!B81</f>
        <v>Essertines-sur-Yverdon</v>
      </c>
      <c r="C82" s="14">
        <f>'A) Base RI'!AN81</f>
        <v>945</v>
      </c>
      <c r="D82" s="41">
        <f t="shared" si="5"/>
        <v>945</v>
      </c>
      <c r="E82" s="14">
        <f t="shared" si="4"/>
        <v>0</v>
      </c>
      <c r="F82" s="14">
        <f t="shared" si="4"/>
        <v>0</v>
      </c>
      <c r="G82" s="14">
        <f t="shared" si="4"/>
        <v>0</v>
      </c>
      <c r="H82" s="14">
        <f t="shared" si="4"/>
        <v>0</v>
      </c>
      <c r="I82" s="52">
        <f t="shared" si="4"/>
        <v>0</v>
      </c>
      <c r="J82" s="14">
        <f t="shared" si="6"/>
        <v>0</v>
      </c>
      <c r="K82" s="75">
        <f t="shared" si="7"/>
        <v>93549.295774647879</v>
      </c>
    </row>
    <row r="83" spans="1:11" x14ac:dyDescent="0.25">
      <c r="A83" s="61">
        <f>'A) Base RI'!A82</f>
        <v>5521</v>
      </c>
      <c r="B83" s="42" t="str">
        <f>'A) Base RI'!B82</f>
        <v>Etagnières</v>
      </c>
      <c r="C83" s="14">
        <f>'A) Base RI'!AN82</f>
        <v>1146</v>
      </c>
      <c r="D83" s="41">
        <f t="shared" si="5"/>
        <v>1000</v>
      </c>
      <c r="E83" s="14">
        <f t="shared" si="4"/>
        <v>146</v>
      </c>
      <c r="F83" s="14">
        <f t="shared" si="4"/>
        <v>0</v>
      </c>
      <c r="G83" s="14">
        <f t="shared" si="4"/>
        <v>0</v>
      </c>
      <c r="H83" s="14">
        <f t="shared" si="4"/>
        <v>0</v>
      </c>
      <c r="I83" s="52">
        <f t="shared" si="4"/>
        <v>0</v>
      </c>
      <c r="J83" s="14">
        <f t="shared" si="6"/>
        <v>0</v>
      </c>
      <c r="K83" s="75">
        <f t="shared" si="7"/>
        <v>149579.87927565392</v>
      </c>
    </row>
    <row r="84" spans="1:11" x14ac:dyDescent="0.25">
      <c r="A84" s="61">
        <f>'A) Base RI'!A83</f>
        <v>5522</v>
      </c>
      <c r="B84" s="42" t="str">
        <f>'A) Base RI'!B83</f>
        <v>Fey</v>
      </c>
      <c r="C84" s="14">
        <f>'A) Base RI'!AN83</f>
        <v>635</v>
      </c>
      <c r="D84" s="41">
        <f t="shared" si="5"/>
        <v>635</v>
      </c>
      <c r="E84" s="14">
        <f t="shared" si="4"/>
        <v>0</v>
      </c>
      <c r="F84" s="14">
        <f t="shared" si="4"/>
        <v>0</v>
      </c>
      <c r="G84" s="14">
        <f t="shared" si="4"/>
        <v>0</v>
      </c>
      <c r="H84" s="14">
        <f t="shared" si="4"/>
        <v>0</v>
      </c>
      <c r="I84" s="52">
        <f t="shared" si="4"/>
        <v>0</v>
      </c>
      <c r="J84" s="14">
        <f t="shared" si="6"/>
        <v>0</v>
      </c>
      <c r="K84" s="75">
        <f t="shared" si="7"/>
        <v>62861.167002012065</v>
      </c>
    </row>
    <row r="85" spans="1:11" x14ac:dyDescent="0.25">
      <c r="A85" s="61">
        <f>'A) Base RI'!A84</f>
        <v>5523</v>
      </c>
      <c r="B85" s="42" t="str">
        <f>'A) Base RI'!B84</f>
        <v>Froideville</v>
      </c>
      <c r="C85" s="14">
        <f>'A) Base RI'!AN84</f>
        <v>2422</v>
      </c>
      <c r="D85" s="41">
        <f t="shared" si="5"/>
        <v>1000</v>
      </c>
      <c r="E85" s="14">
        <f t="shared" si="4"/>
        <v>1422</v>
      </c>
      <c r="F85" s="14">
        <f t="shared" si="4"/>
        <v>0</v>
      </c>
      <c r="G85" s="14">
        <f t="shared" si="4"/>
        <v>0</v>
      </c>
      <c r="H85" s="14">
        <f t="shared" si="4"/>
        <v>0</v>
      </c>
      <c r="I85" s="52">
        <f t="shared" si="4"/>
        <v>0</v>
      </c>
      <c r="J85" s="14">
        <f t="shared" si="6"/>
        <v>0</v>
      </c>
      <c r="K85" s="75">
        <f t="shared" si="7"/>
        <v>591686.92152917502</v>
      </c>
    </row>
    <row r="86" spans="1:11" x14ac:dyDescent="0.25">
      <c r="A86" s="61">
        <f>'A) Base RI'!A85</f>
        <v>5527</v>
      </c>
      <c r="B86" s="42" t="str">
        <f>'A) Base RI'!B85</f>
        <v>Morrens</v>
      </c>
      <c r="C86" s="14">
        <f>'A) Base RI'!AN85</f>
        <v>1055</v>
      </c>
      <c r="D86" s="41">
        <f t="shared" si="5"/>
        <v>1000</v>
      </c>
      <c r="E86" s="14">
        <f t="shared" si="4"/>
        <v>55</v>
      </c>
      <c r="F86" s="14">
        <f t="shared" si="4"/>
        <v>0</v>
      </c>
      <c r="G86" s="14">
        <f t="shared" si="4"/>
        <v>0</v>
      </c>
      <c r="H86" s="14">
        <f t="shared" si="4"/>
        <v>0</v>
      </c>
      <c r="I86" s="52">
        <f t="shared" si="4"/>
        <v>0</v>
      </c>
      <c r="J86" s="14">
        <f t="shared" si="6"/>
        <v>0</v>
      </c>
      <c r="K86" s="75">
        <f t="shared" si="7"/>
        <v>118050.30181086519</v>
      </c>
    </row>
    <row r="87" spans="1:11" x14ac:dyDescent="0.25">
      <c r="A87" s="61">
        <f>'A) Base RI'!A86</f>
        <v>5529</v>
      </c>
      <c r="B87" s="42" t="str">
        <f>'A) Base RI'!B86</f>
        <v>Oulens-sous-Echallens</v>
      </c>
      <c r="C87" s="14">
        <f>'A) Base RI'!AN86</f>
        <v>532</v>
      </c>
      <c r="D87" s="41">
        <f t="shared" si="5"/>
        <v>532</v>
      </c>
      <c r="E87" s="14">
        <f t="shared" si="4"/>
        <v>0</v>
      </c>
      <c r="F87" s="14">
        <f t="shared" si="4"/>
        <v>0</v>
      </c>
      <c r="G87" s="14">
        <f t="shared" si="4"/>
        <v>0</v>
      </c>
      <c r="H87" s="14">
        <f t="shared" si="4"/>
        <v>0</v>
      </c>
      <c r="I87" s="52">
        <f t="shared" ref="E87:I126" si="8">IF($C87&gt;I$4,IF($C87&lt;I$5,$C87-I$4,I$5-I$4),0)</f>
        <v>0</v>
      </c>
      <c r="J87" s="14">
        <f t="shared" si="6"/>
        <v>0</v>
      </c>
      <c r="K87" s="75">
        <f t="shared" si="7"/>
        <v>52664.788732394365</v>
      </c>
    </row>
    <row r="88" spans="1:11" x14ac:dyDescent="0.25">
      <c r="A88" s="61">
        <f>'A) Base RI'!A87</f>
        <v>5530</v>
      </c>
      <c r="B88" s="42" t="str">
        <f>'A) Base RI'!B87</f>
        <v>Pailly</v>
      </c>
      <c r="C88" s="14">
        <f>'A) Base RI'!AN87</f>
        <v>533</v>
      </c>
      <c r="D88" s="41">
        <f t="shared" si="5"/>
        <v>533</v>
      </c>
      <c r="E88" s="14">
        <f t="shared" si="8"/>
        <v>0</v>
      </c>
      <c r="F88" s="14">
        <f t="shared" si="8"/>
        <v>0</v>
      </c>
      <c r="G88" s="14">
        <f t="shared" si="8"/>
        <v>0</v>
      </c>
      <c r="H88" s="14">
        <f t="shared" si="8"/>
        <v>0</v>
      </c>
      <c r="I88" s="52">
        <f t="shared" si="8"/>
        <v>0</v>
      </c>
      <c r="J88" s="14">
        <f t="shared" si="6"/>
        <v>0</v>
      </c>
      <c r="K88" s="75">
        <f t="shared" si="7"/>
        <v>52763.782696177055</v>
      </c>
    </row>
    <row r="89" spans="1:11" x14ac:dyDescent="0.25">
      <c r="A89" s="61">
        <f>'A) Base RI'!A88</f>
        <v>5531</v>
      </c>
      <c r="B89" s="42" t="str">
        <f>'A) Base RI'!B88</f>
        <v>Penthéréaz</v>
      </c>
      <c r="C89" s="14">
        <f>'A) Base RI'!AN88</f>
        <v>389</v>
      </c>
      <c r="D89" s="41">
        <f t="shared" si="5"/>
        <v>389</v>
      </c>
      <c r="E89" s="14">
        <f t="shared" si="8"/>
        <v>0</v>
      </c>
      <c r="F89" s="14">
        <f t="shared" si="8"/>
        <v>0</v>
      </c>
      <c r="G89" s="14">
        <f t="shared" si="8"/>
        <v>0</v>
      </c>
      <c r="H89" s="14">
        <f t="shared" si="8"/>
        <v>0</v>
      </c>
      <c r="I89" s="52">
        <f t="shared" si="8"/>
        <v>0</v>
      </c>
      <c r="J89" s="14">
        <f t="shared" si="6"/>
        <v>0</v>
      </c>
      <c r="K89" s="75">
        <f t="shared" si="7"/>
        <v>38508.651911468813</v>
      </c>
    </row>
    <row r="90" spans="1:11" x14ac:dyDescent="0.25">
      <c r="A90" s="61">
        <f>'A) Base RI'!A89</f>
        <v>5533</v>
      </c>
      <c r="B90" s="42" t="str">
        <f>'A) Base RI'!B89</f>
        <v>Poliez-Pittet</v>
      </c>
      <c r="C90" s="14">
        <f>'A) Base RI'!AN89</f>
        <v>815</v>
      </c>
      <c r="D90" s="41">
        <f t="shared" si="5"/>
        <v>815</v>
      </c>
      <c r="E90" s="14">
        <f t="shared" si="8"/>
        <v>0</v>
      </c>
      <c r="F90" s="14">
        <f t="shared" si="8"/>
        <v>0</v>
      </c>
      <c r="G90" s="14">
        <f t="shared" si="8"/>
        <v>0</v>
      </c>
      <c r="H90" s="14">
        <f t="shared" si="8"/>
        <v>0</v>
      </c>
      <c r="I90" s="52">
        <f t="shared" si="8"/>
        <v>0</v>
      </c>
      <c r="J90" s="14">
        <f t="shared" si="6"/>
        <v>0</v>
      </c>
      <c r="K90" s="75">
        <f t="shared" si="7"/>
        <v>80680.080482897378</v>
      </c>
    </row>
    <row r="91" spans="1:11" x14ac:dyDescent="0.25">
      <c r="A91" s="61">
        <f>'A) Base RI'!A90</f>
        <v>5534</v>
      </c>
      <c r="B91" s="42" t="str">
        <f>'A) Base RI'!B90</f>
        <v>Rueyres</v>
      </c>
      <c r="C91" s="14">
        <f>'A) Base RI'!AN90</f>
        <v>265</v>
      </c>
      <c r="D91" s="41">
        <f t="shared" si="5"/>
        <v>265</v>
      </c>
      <c r="E91" s="14">
        <f t="shared" si="8"/>
        <v>0</v>
      </c>
      <c r="F91" s="14">
        <f t="shared" si="8"/>
        <v>0</v>
      </c>
      <c r="G91" s="14">
        <f t="shared" si="8"/>
        <v>0</v>
      </c>
      <c r="H91" s="14">
        <f t="shared" si="8"/>
        <v>0</v>
      </c>
      <c r="I91" s="52">
        <f t="shared" si="8"/>
        <v>0</v>
      </c>
      <c r="J91" s="14">
        <f t="shared" si="6"/>
        <v>0</v>
      </c>
      <c r="K91" s="75">
        <f t="shared" si="7"/>
        <v>26233.400402414485</v>
      </c>
    </row>
    <row r="92" spans="1:11" x14ac:dyDescent="0.25">
      <c r="A92" s="61">
        <f>'A) Base RI'!A91</f>
        <v>5535</v>
      </c>
      <c r="B92" s="42" t="str">
        <f>'A) Base RI'!B91</f>
        <v>Saint-Barthélemy</v>
      </c>
      <c r="C92" s="14">
        <f>'A) Base RI'!AN91</f>
        <v>782</v>
      </c>
      <c r="D92" s="41">
        <f t="shared" si="5"/>
        <v>782</v>
      </c>
      <c r="E92" s="14">
        <f t="shared" si="8"/>
        <v>0</v>
      </c>
      <c r="F92" s="14">
        <f t="shared" si="8"/>
        <v>0</v>
      </c>
      <c r="G92" s="14">
        <f t="shared" si="8"/>
        <v>0</v>
      </c>
      <c r="H92" s="14">
        <f t="shared" si="8"/>
        <v>0</v>
      </c>
      <c r="I92" s="52">
        <f t="shared" si="8"/>
        <v>0</v>
      </c>
      <c r="J92" s="14">
        <f t="shared" si="6"/>
        <v>0</v>
      </c>
      <c r="K92" s="75">
        <f t="shared" si="7"/>
        <v>77413.2796780684</v>
      </c>
    </row>
    <row r="93" spans="1:11" x14ac:dyDescent="0.25">
      <c r="A93" s="61">
        <f>'A) Base RI'!A92</f>
        <v>5537</v>
      </c>
      <c r="B93" s="42" t="str">
        <f>'A) Base RI'!B92</f>
        <v>Villars-le-Terroir</v>
      </c>
      <c r="C93" s="14">
        <f>'A) Base RI'!AN92</f>
        <v>1033</v>
      </c>
      <c r="D93" s="41">
        <f t="shared" si="5"/>
        <v>1000</v>
      </c>
      <c r="E93" s="14">
        <f t="shared" si="8"/>
        <v>33</v>
      </c>
      <c r="F93" s="14">
        <f t="shared" si="8"/>
        <v>0</v>
      </c>
      <c r="G93" s="14">
        <f t="shared" si="8"/>
        <v>0</v>
      </c>
      <c r="H93" s="14">
        <f t="shared" si="8"/>
        <v>0</v>
      </c>
      <c r="I93" s="52">
        <f t="shared" si="8"/>
        <v>0</v>
      </c>
      <c r="J93" s="14">
        <f t="shared" si="6"/>
        <v>0</v>
      </c>
      <c r="K93" s="75">
        <f t="shared" si="7"/>
        <v>110427.76659959758</v>
      </c>
    </row>
    <row r="94" spans="1:11" x14ac:dyDescent="0.25">
      <c r="A94" s="61">
        <f>'A) Base RI'!A93</f>
        <v>5539</v>
      </c>
      <c r="B94" s="42" t="str">
        <f>'A) Base RI'!B93</f>
        <v>Vuarrens</v>
      </c>
      <c r="C94" s="14">
        <f>'A) Base RI'!AN93</f>
        <v>935</v>
      </c>
      <c r="D94" s="41">
        <f t="shared" si="5"/>
        <v>935</v>
      </c>
      <c r="E94" s="14">
        <f t="shared" si="8"/>
        <v>0</v>
      </c>
      <c r="F94" s="14">
        <f t="shared" si="8"/>
        <v>0</v>
      </c>
      <c r="G94" s="14">
        <f t="shared" si="8"/>
        <v>0</v>
      </c>
      <c r="H94" s="14">
        <f t="shared" si="8"/>
        <v>0</v>
      </c>
      <c r="I94" s="52">
        <f t="shared" si="8"/>
        <v>0</v>
      </c>
      <c r="J94" s="14">
        <f t="shared" si="6"/>
        <v>0</v>
      </c>
      <c r="K94" s="75">
        <f t="shared" si="7"/>
        <v>92559.356136820919</v>
      </c>
    </row>
    <row r="95" spans="1:11" x14ac:dyDescent="0.25">
      <c r="A95" s="61">
        <f>'A) Base RI'!A94</f>
        <v>5540</v>
      </c>
      <c r="B95" s="42" t="str">
        <f>'A) Base RI'!B94</f>
        <v>Montilliez</v>
      </c>
      <c r="C95" s="14">
        <f>'A) Base RI'!AN94</f>
        <v>1656</v>
      </c>
      <c r="D95" s="41">
        <f t="shared" si="5"/>
        <v>1000</v>
      </c>
      <c r="E95" s="14">
        <f t="shared" si="8"/>
        <v>656</v>
      </c>
      <c r="F95" s="14">
        <f t="shared" si="8"/>
        <v>0</v>
      </c>
      <c r="G95" s="14">
        <f t="shared" si="8"/>
        <v>0</v>
      </c>
      <c r="H95" s="14">
        <f t="shared" si="8"/>
        <v>0</v>
      </c>
      <c r="I95" s="52">
        <f t="shared" si="8"/>
        <v>0</v>
      </c>
      <c r="J95" s="14">
        <f t="shared" si="6"/>
        <v>0</v>
      </c>
      <c r="K95" s="75">
        <f t="shared" si="7"/>
        <v>326284.10462776659</v>
      </c>
    </row>
    <row r="96" spans="1:11" x14ac:dyDescent="0.25">
      <c r="A96" s="61">
        <f>'A) Base RI'!A95</f>
        <v>5541</v>
      </c>
      <c r="B96" s="42" t="str">
        <f>'A) Base RI'!B95</f>
        <v>Goumoëns</v>
      </c>
      <c r="C96" s="14">
        <f>'A) Base RI'!AN95</f>
        <v>1055</v>
      </c>
      <c r="D96" s="41">
        <f t="shared" si="5"/>
        <v>1000</v>
      </c>
      <c r="E96" s="14">
        <f t="shared" si="8"/>
        <v>55</v>
      </c>
      <c r="F96" s="14">
        <f t="shared" si="8"/>
        <v>0</v>
      </c>
      <c r="G96" s="14">
        <f t="shared" si="8"/>
        <v>0</v>
      </c>
      <c r="H96" s="14">
        <f t="shared" si="8"/>
        <v>0</v>
      </c>
      <c r="I96" s="52">
        <f t="shared" si="8"/>
        <v>0</v>
      </c>
      <c r="J96" s="14">
        <f t="shared" si="6"/>
        <v>0</v>
      </c>
      <c r="K96" s="75">
        <f t="shared" si="7"/>
        <v>118050.30181086519</v>
      </c>
    </row>
    <row r="97" spans="1:11" x14ac:dyDescent="0.25">
      <c r="A97" s="61">
        <f>'A) Base RI'!A96</f>
        <v>5551</v>
      </c>
      <c r="B97" s="42" t="str">
        <f>'A) Base RI'!B96</f>
        <v>Bonvillars</v>
      </c>
      <c r="C97" s="14">
        <f>'A) Base RI'!AN96</f>
        <v>506</v>
      </c>
      <c r="D97" s="41">
        <f t="shared" si="5"/>
        <v>506</v>
      </c>
      <c r="E97" s="14">
        <f t="shared" si="8"/>
        <v>0</v>
      </c>
      <c r="F97" s="14">
        <f t="shared" si="8"/>
        <v>0</v>
      </c>
      <c r="G97" s="14">
        <f t="shared" si="8"/>
        <v>0</v>
      </c>
      <c r="H97" s="14">
        <f t="shared" si="8"/>
        <v>0</v>
      </c>
      <c r="I97" s="52">
        <f t="shared" si="8"/>
        <v>0</v>
      </c>
      <c r="J97" s="14">
        <f t="shared" si="6"/>
        <v>0</v>
      </c>
      <c r="K97" s="75">
        <f t="shared" si="7"/>
        <v>50090.945674044262</v>
      </c>
    </row>
    <row r="98" spans="1:11" x14ac:dyDescent="0.25">
      <c r="A98" s="61">
        <f>'A) Base RI'!A97</f>
        <v>5552</v>
      </c>
      <c r="B98" s="42" t="str">
        <f>'A) Base RI'!B97</f>
        <v>Bullet</v>
      </c>
      <c r="C98" s="14">
        <f>'A) Base RI'!AN97</f>
        <v>606</v>
      </c>
      <c r="D98" s="41">
        <f t="shared" si="5"/>
        <v>606</v>
      </c>
      <c r="E98" s="14">
        <f t="shared" si="8"/>
        <v>0</v>
      </c>
      <c r="F98" s="14">
        <f t="shared" si="8"/>
        <v>0</v>
      </c>
      <c r="G98" s="14">
        <f t="shared" si="8"/>
        <v>0</v>
      </c>
      <c r="H98" s="14">
        <f t="shared" si="8"/>
        <v>0</v>
      </c>
      <c r="I98" s="52">
        <f t="shared" si="8"/>
        <v>0</v>
      </c>
      <c r="J98" s="14">
        <f t="shared" si="6"/>
        <v>0</v>
      </c>
      <c r="K98" s="75">
        <f t="shared" si="7"/>
        <v>59990.342052313878</v>
      </c>
    </row>
    <row r="99" spans="1:11" x14ac:dyDescent="0.25">
      <c r="A99" s="61">
        <f>'A) Base RI'!A98</f>
        <v>5553</v>
      </c>
      <c r="B99" s="42" t="str">
        <f>'A) Base RI'!B98</f>
        <v>Champagne</v>
      </c>
      <c r="C99" s="14">
        <f>'A) Base RI'!AN98</f>
        <v>1048</v>
      </c>
      <c r="D99" s="41">
        <f t="shared" si="5"/>
        <v>1000</v>
      </c>
      <c r="E99" s="14">
        <f t="shared" si="8"/>
        <v>48</v>
      </c>
      <c r="F99" s="14">
        <f t="shared" si="8"/>
        <v>0</v>
      </c>
      <c r="G99" s="14">
        <f t="shared" si="8"/>
        <v>0</v>
      </c>
      <c r="H99" s="14">
        <f t="shared" si="8"/>
        <v>0</v>
      </c>
      <c r="I99" s="52">
        <f t="shared" si="8"/>
        <v>0</v>
      </c>
      <c r="J99" s="14">
        <f t="shared" si="6"/>
        <v>0</v>
      </c>
      <c r="K99" s="75">
        <f t="shared" si="7"/>
        <v>115624.94969818913</v>
      </c>
    </row>
    <row r="100" spans="1:11" x14ac:dyDescent="0.25">
      <c r="A100" s="61">
        <f>'A) Base RI'!A99</f>
        <v>5554</v>
      </c>
      <c r="B100" s="42" t="str">
        <f>'A) Base RI'!B99</f>
        <v>Concise</v>
      </c>
      <c r="C100" s="14">
        <f>'A) Base RI'!AN99</f>
        <v>954</v>
      </c>
      <c r="D100" s="41">
        <f t="shared" si="5"/>
        <v>954</v>
      </c>
      <c r="E100" s="14">
        <f t="shared" si="8"/>
        <v>0</v>
      </c>
      <c r="F100" s="14">
        <f t="shared" si="8"/>
        <v>0</v>
      </c>
      <c r="G100" s="14">
        <f t="shared" si="8"/>
        <v>0</v>
      </c>
      <c r="H100" s="14">
        <f t="shared" si="8"/>
        <v>0</v>
      </c>
      <c r="I100" s="52">
        <f t="shared" si="8"/>
        <v>0</v>
      </c>
      <c r="J100" s="14">
        <f t="shared" si="6"/>
        <v>0</v>
      </c>
      <c r="K100" s="75">
        <f t="shared" si="7"/>
        <v>94440.241448692148</v>
      </c>
    </row>
    <row r="101" spans="1:11" x14ac:dyDescent="0.25">
      <c r="A101" s="61">
        <f>'A) Base RI'!A100</f>
        <v>5555</v>
      </c>
      <c r="B101" s="42" t="str">
        <f>'A) Base RI'!B100</f>
        <v>Corcelles-près-Concise</v>
      </c>
      <c r="C101" s="14">
        <f>'A) Base RI'!AN100</f>
        <v>337</v>
      </c>
      <c r="D101" s="41">
        <f t="shared" si="5"/>
        <v>337</v>
      </c>
      <c r="E101" s="14">
        <f t="shared" si="8"/>
        <v>0</v>
      </c>
      <c r="F101" s="14">
        <f t="shared" si="8"/>
        <v>0</v>
      </c>
      <c r="G101" s="14">
        <f t="shared" si="8"/>
        <v>0</v>
      </c>
      <c r="H101" s="14">
        <f t="shared" si="8"/>
        <v>0</v>
      </c>
      <c r="I101" s="52">
        <f t="shared" si="8"/>
        <v>0</v>
      </c>
      <c r="J101" s="14">
        <f t="shared" si="6"/>
        <v>0</v>
      </c>
      <c r="K101" s="75">
        <f t="shared" si="7"/>
        <v>33360.965794768606</v>
      </c>
    </row>
    <row r="102" spans="1:11" x14ac:dyDescent="0.25">
      <c r="A102" s="61">
        <f>'A) Base RI'!A101</f>
        <v>5556</v>
      </c>
      <c r="B102" s="42" t="str">
        <f>'A) Base RI'!B101</f>
        <v>Fiez</v>
      </c>
      <c r="C102" s="14">
        <f>'A) Base RI'!AN101</f>
        <v>421</v>
      </c>
      <c r="D102" s="41">
        <f t="shared" si="5"/>
        <v>421</v>
      </c>
      <c r="E102" s="14">
        <f t="shared" si="8"/>
        <v>0</v>
      </c>
      <c r="F102" s="14">
        <f t="shared" si="8"/>
        <v>0</v>
      </c>
      <c r="G102" s="14">
        <f t="shared" si="8"/>
        <v>0</v>
      </c>
      <c r="H102" s="14">
        <f t="shared" si="8"/>
        <v>0</v>
      </c>
      <c r="I102" s="52">
        <f t="shared" si="8"/>
        <v>0</v>
      </c>
      <c r="J102" s="14">
        <f t="shared" si="6"/>
        <v>0</v>
      </c>
      <c r="K102" s="75">
        <f t="shared" si="7"/>
        <v>41676.458752515086</v>
      </c>
    </row>
    <row r="103" spans="1:11" x14ac:dyDescent="0.25">
      <c r="A103" s="61">
        <f>'A) Base RI'!A102</f>
        <v>5557</v>
      </c>
      <c r="B103" s="42" t="str">
        <f>'A) Base RI'!B102</f>
        <v>Fontaines-sur-Grandson</v>
      </c>
      <c r="C103" s="14">
        <f>'A) Base RI'!AN102</f>
        <v>191</v>
      </c>
      <c r="D103" s="41">
        <f t="shared" si="5"/>
        <v>191</v>
      </c>
      <c r="E103" s="14">
        <f t="shared" si="8"/>
        <v>0</v>
      </c>
      <c r="F103" s="14">
        <f t="shared" si="8"/>
        <v>0</v>
      </c>
      <c r="G103" s="14">
        <f t="shared" si="8"/>
        <v>0</v>
      </c>
      <c r="H103" s="14">
        <f t="shared" si="8"/>
        <v>0</v>
      </c>
      <c r="I103" s="52">
        <f t="shared" si="8"/>
        <v>0</v>
      </c>
      <c r="J103" s="14">
        <f t="shared" si="6"/>
        <v>0</v>
      </c>
      <c r="K103" s="75">
        <f t="shared" si="7"/>
        <v>18907.847082494969</v>
      </c>
    </row>
    <row r="104" spans="1:11" x14ac:dyDescent="0.25">
      <c r="A104" s="61">
        <f>'A) Base RI'!A103</f>
        <v>5559</v>
      </c>
      <c r="B104" s="42" t="str">
        <f>'A) Base RI'!B103</f>
        <v>Giez</v>
      </c>
      <c r="C104" s="14">
        <f>'A) Base RI'!AN103</f>
        <v>389</v>
      </c>
      <c r="D104" s="41">
        <f t="shared" si="5"/>
        <v>389</v>
      </c>
      <c r="E104" s="14">
        <f t="shared" si="8"/>
        <v>0</v>
      </c>
      <c r="F104" s="14">
        <f t="shared" si="8"/>
        <v>0</v>
      </c>
      <c r="G104" s="14">
        <f t="shared" si="8"/>
        <v>0</v>
      </c>
      <c r="H104" s="14">
        <f t="shared" si="8"/>
        <v>0</v>
      </c>
      <c r="I104" s="52">
        <f t="shared" si="8"/>
        <v>0</v>
      </c>
      <c r="J104" s="14">
        <f t="shared" si="6"/>
        <v>0</v>
      </c>
      <c r="K104" s="75">
        <f t="shared" si="7"/>
        <v>38508.651911468813</v>
      </c>
    </row>
    <row r="105" spans="1:11" x14ac:dyDescent="0.25">
      <c r="A105" s="61">
        <f>'A) Base RI'!A104</f>
        <v>5560</v>
      </c>
      <c r="B105" s="42" t="str">
        <f>'A) Base RI'!B104</f>
        <v>Grandevent</v>
      </c>
      <c r="C105" s="14">
        <f>'A) Base RI'!AN104</f>
        <v>232</v>
      </c>
      <c r="D105" s="41">
        <f t="shared" si="5"/>
        <v>232</v>
      </c>
      <c r="E105" s="14">
        <f t="shared" si="8"/>
        <v>0</v>
      </c>
      <c r="F105" s="14">
        <f t="shared" si="8"/>
        <v>0</v>
      </c>
      <c r="G105" s="14">
        <f t="shared" si="8"/>
        <v>0</v>
      </c>
      <c r="H105" s="14">
        <f t="shared" si="8"/>
        <v>0</v>
      </c>
      <c r="I105" s="52">
        <f t="shared" si="8"/>
        <v>0</v>
      </c>
      <c r="J105" s="14">
        <f t="shared" si="6"/>
        <v>0</v>
      </c>
      <c r="K105" s="75">
        <f t="shared" si="7"/>
        <v>22966.599597585511</v>
      </c>
    </row>
    <row r="106" spans="1:11" x14ac:dyDescent="0.25">
      <c r="A106" s="61">
        <f>'A) Base RI'!A105</f>
        <v>5561</v>
      </c>
      <c r="B106" s="42" t="str">
        <f>'A) Base RI'!B105</f>
        <v>Grandson</v>
      </c>
      <c r="C106" s="14">
        <f>'A) Base RI'!AN105</f>
        <v>3303</v>
      </c>
      <c r="D106" s="41">
        <f t="shared" si="5"/>
        <v>1000</v>
      </c>
      <c r="E106" s="14">
        <f t="shared" si="8"/>
        <v>2000</v>
      </c>
      <c r="F106" s="14">
        <f t="shared" si="8"/>
        <v>303</v>
      </c>
      <c r="G106" s="14">
        <f t="shared" si="8"/>
        <v>0</v>
      </c>
      <c r="H106" s="14">
        <f t="shared" si="8"/>
        <v>0</v>
      </c>
      <c r="I106" s="52">
        <f t="shared" si="8"/>
        <v>0</v>
      </c>
      <c r="J106" s="14">
        <f t="shared" si="6"/>
        <v>0</v>
      </c>
      <c r="K106" s="75">
        <f t="shared" si="7"/>
        <v>941927.56539235404</v>
      </c>
    </row>
    <row r="107" spans="1:11" x14ac:dyDescent="0.25">
      <c r="A107" s="61">
        <f>'A) Base RI'!A106</f>
        <v>5562</v>
      </c>
      <c r="B107" s="42" t="str">
        <f>'A) Base RI'!B106</f>
        <v>Mauborget</v>
      </c>
      <c r="C107" s="14">
        <f>'A) Base RI'!AN106</f>
        <v>119</v>
      </c>
      <c r="D107" s="41">
        <f t="shared" si="5"/>
        <v>119</v>
      </c>
      <c r="E107" s="14">
        <f t="shared" si="8"/>
        <v>0</v>
      </c>
      <c r="F107" s="14">
        <f t="shared" si="8"/>
        <v>0</v>
      </c>
      <c r="G107" s="14">
        <f t="shared" si="8"/>
        <v>0</v>
      </c>
      <c r="H107" s="14">
        <f t="shared" si="8"/>
        <v>0</v>
      </c>
      <c r="I107" s="52">
        <f t="shared" si="8"/>
        <v>0</v>
      </c>
      <c r="J107" s="14">
        <f t="shared" si="6"/>
        <v>0</v>
      </c>
      <c r="K107" s="75">
        <f t="shared" si="7"/>
        <v>11780.281690140844</v>
      </c>
    </row>
    <row r="108" spans="1:11" x14ac:dyDescent="0.25">
      <c r="A108" s="61">
        <f>'A) Base RI'!A107</f>
        <v>5563</v>
      </c>
      <c r="B108" s="42" t="str">
        <f>'A) Base RI'!B107</f>
        <v>Mutrux</v>
      </c>
      <c r="C108" s="14">
        <f>'A) Base RI'!AN107</f>
        <v>153</v>
      </c>
      <c r="D108" s="41">
        <f t="shared" ref="D108:D162" si="9">IF($C108&gt;D$4,IF($C108&lt;D$5,$C108-D$4,D$5-D$4),0)</f>
        <v>153</v>
      </c>
      <c r="E108" s="14">
        <f t="shared" si="8"/>
        <v>0</v>
      </c>
      <c r="F108" s="14">
        <f t="shared" si="8"/>
        <v>0</v>
      </c>
      <c r="G108" s="14">
        <f t="shared" si="8"/>
        <v>0</v>
      </c>
      <c r="H108" s="14">
        <f t="shared" si="8"/>
        <v>0</v>
      </c>
      <c r="I108" s="52">
        <f t="shared" si="8"/>
        <v>0</v>
      </c>
      <c r="J108" s="14">
        <f t="shared" si="6"/>
        <v>0</v>
      </c>
      <c r="K108" s="75">
        <f t="shared" si="7"/>
        <v>15146.076458752514</v>
      </c>
    </row>
    <row r="109" spans="1:11" x14ac:dyDescent="0.25">
      <c r="A109" s="61">
        <f>'A) Base RI'!A108</f>
        <v>5564</v>
      </c>
      <c r="B109" s="42" t="str">
        <f>'A) Base RI'!B108</f>
        <v>Novalles</v>
      </c>
      <c r="C109" s="14">
        <f>'A) Base RI'!AN108</f>
        <v>102</v>
      </c>
      <c r="D109" s="41">
        <f t="shared" si="9"/>
        <v>102</v>
      </c>
      <c r="E109" s="14">
        <f t="shared" si="8"/>
        <v>0</v>
      </c>
      <c r="F109" s="14">
        <f t="shared" si="8"/>
        <v>0</v>
      </c>
      <c r="G109" s="14">
        <f t="shared" si="8"/>
        <v>0</v>
      </c>
      <c r="H109" s="14">
        <f t="shared" si="8"/>
        <v>0</v>
      </c>
      <c r="I109" s="52">
        <f t="shared" si="8"/>
        <v>0</v>
      </c>
      <c r="J109" s="14">
        <f t="shared" si="6"/>
        <v>0</v>
      </c>
      <c r="K109" s="75">
        <f t="shared" si="7"/>
        <v>10097.384305835008</v>
      </c>
    </row>
    <row r="110" spans="1:11" x14ac:dyDescent="0.25">
      <c r="A110" s="61">
        <f>'A) Base RI'!A109</f>
        <v>5565</v>
      </c>
      <c r="B110" s="42" t="str">
        <f>'A) Base RI'!B109</f>
        <v>Onnens</v>
      </c>
      <c r="C110" s="14">
        <f>'A) Base RI'!AN109</f>
        <v>493</v>
      </c>
      <c r="D110" s="41">
        <f t="shared" si="9"/>
        <v>493</v>
      </c>
      <c r="E110" s="14">
        <f t="shared" si="8"/>
        <v>0</v>
      </c>
      <c r="F110" s="14">
        <f t="shared" si="8"/>
        <v>0</v>
      </c>
      <c r="G110" s="14">
        <f t="shared" si="8"/>
        <v>0</v>
      </c>
      <c r="H110" s="14">
        <f t="shared" si="8"/>
        <v>0</v>
      </c>
      <c r="I110" s="52">
        <f t="shared" si="8"/>
        <v>0</v>
      </c>
      <c r="J110" s="14">
        <f t="shared" si="6"/>
        <v>0</v>
      </c>
      <c r="K110" s="75">
        <f t="shared" si="7"/>
        <v>48804.02414486921</v>
      </c>
    </row>
    <row r="111" spans="1:11" x14ac:dyDescent="0.25">
      <c r="A111" s="61">
        <f>'A) Base RI'!A110</f>
        <v>5566</v>
      </c>
      <c r="B111" s="42" t="str">
        <f>'A) Base RI'!B110</f>
        <v>Provence</v>
      </c>
      <c r="C111" s="14">
        <f>'A) Base RI'!AN110</f>
        <v>385</v>
      </c>
      <c r="D111" s="41">
        <f t="shared" si="9"/>
        <v>385</v>
      </c>
      <c r="E111" s="14">
        <f t="shared" si="8"/>
        <v>0</v>
      </c>
      <c r="F111" s="14">
        <f t="shared" si="8"/>
        <v>0</v>
      </c>
      <c r="G111" s="14">
        <f t="shared" si="8"/>
        <v>0</v>
      </c>
      <c r="H111" s="14">
        <f t="shared" si="8"/>
        <v>0</v>
      </c>
      <c r="I111" s="52">
        <f t="shared" si="8"/>
        <v>0</v>
      </c>
      <c r="J111" s="14">
        <f t="shared" si="6"/>
        <v>0</v>
      </c>
      <c r="K111" s="75">
        <f t="shared" si="7"/>
        <v>38112.676056338023</v>
      </c>
    </row>
    <row r="112" spans="1:11" x14ac:dyDescent="0.25">
      <c r="A112" s="61">
        <f>'A) Base RI'!A111</f>
        <v>5568</v>
      </c>
      <c r="B112" s="42" t="str">
        <f>'A) Base RI'!B111</f>
        <v>Sainte-Croix</v>
      </c>
      <c r="C112" s="14">
        <f>'A) Base RI'!AN111</f>
        <v>4763</v>
      </c>
      <c r="D112" s="41">
        <f t="shared" si="9"/>
        <v>1000</v>
      </c>
      <c r="E112" s="14">
        <f t="shared" si="8"/>
        <v>2000</v>
      </c>
      <c r="F112" s="14">
        <f t="shared" si="8"/>
        <v>1763</v>
      </c>
      <c r="G112" s="14">
        <f t="shared" si="8"/>
        <v>0</v>
      </c>
      <c r="H112" s="14">
        <f t="shared" si="8"/>
        <v>0</v>
      </c>
      <c r="I112" s="52">
        <f t="shared" si="8"/>
        <v>0</v>
      </c>
      <c r="J112" s="14">
        <f t="shared" si="6"/>
        <v>0</v>
      </c>
      <c r="K112" s="75">
        <f t="shared" si="7"/>
        <v>1664583.5010060361</v>
      </c>
    </row>
    <row r="113" spans="1:11" x14ac:dyDescent="0.25">
      <c r="A113" s="61">
        <f>'A) Base RI'!A112</f>
        <v>5571</v>
      </c>
      <c r="B113" s="42" t="str">
        <f>'A) Base RI'!B112</f>
        <v>Tévenon</v>
      </c>
      <c r="C113" s="14">
        <f>'A) Base RI'!AN112</f>
        <v>811</v>
      </c>
      <c r="D113" s="41">
        <f t="shared" si="9"/>
        <v>811</v>
      </c>
      <c r="E113" s="14">
        <f t="shared" si="8"/>
        <v>0</v>
      </c>
      <c r="F113" s="14">
        <f t="shared" si="8"/>
        <v>0</v>
      </c>
      <c r="G113" s="14">
        <f t="shared" si="8"/>
        <v>0</v>
      </c>
      <c r="H113" s="14">
        <f t="shared" si="8"/>
        <v>0</v>
      </c>
      <c r="I113" s="52">
        <f t="shared" si="8"/>
        <v>0</v>
      </c>
      <c r="J113" s="14">
        <f t="shared" si="6"/>
        <v>0</v>
      </c>
      <c r="K113" s="75">
        <f t="shared" si="7"/>
        <v>80284.104627766588</v>
      </c>
    </row>
    <row r="114" spans="1:11" x14ac:dyDescent="0.25">
      <c r="A114" s="61">
        <f>'A) Base RI'!A113</f>
        <v>5581</v>
      </c>
      <c r="B114" s="42" t="str">
        <f>'A) Base RI'!B113</f>
        <v>Belmont-sur-Lausanne</v>
      </c>
      <c r="C114" s="14">
        <f>'A) Base RI'!AN113</f>
        <v>3602</v>
      </c>
      <c r="D114" s="41">
        <f t="shared" si="9"/>
        <v>1000</v>
      </c>
      <c r="E114" s="14">
        <f t="shared" si="8"/>
        <v>2000</v>
      </c>
      <c r="F114" s="14">
        <f t="shared" si="8"/>
        <v>602</v>
      </c>
      <c r="G114" s="14">
        <f t="shared" si="8"/>
        <v>0</v>
      </c>
      <c r="H114" s="14">
        <f t="shared" si="8"/>
        <v>0</v>
      </c>
      <c r="I114" s="52">
        <f t="shared" si="8"/>
        <v>0</v>
      </c>
      <c r="J114" s="14">
        <f t="shared" si="6"/>
        <v>0</v>
      </c>
      <c r="K114" s="75">
        <f t="shared" si="7"/>
        <v>1089923.5412474847</v>
      </c>
    </row>
    <row r="115" spans="1:11" x14ac:dyDescent="0.25">
      <c r="A115" s="61">
        <f>'A) Base RI'!A114</f>
        <v>5582</v>
      </c>
      <c r="B115" s="42" t="str">
        <f>'A) Base RI'!B114</f>
        <v>Cheseaux-sur-Lausanne</v>
      </c>
      <c r="C115" s="14">
        <f>'A) Base RI'!AN114</f>
        <v>4297</v>
      </c>
      <c r="D115" s="41">
        <f t="shared" si="9"/>
        <v>1000</v>
      </c>
      <c r="E115" s="14">
        <f t="shared" si="8"/>
        <v>2000</v>
      </c>
      <c r="F115" s="14">
        <f t="shared" si="8"/>
        <v>1297</v>
      </c>
      <c r="G115" s="14">
        <f t="shared" si="8"/>
        <v>0</v>
      </c>
      <c r="H115" s="14">
        <f t="shared" si="8"/>
        <v>0</v>
      </c>
      <c r="I115" s="52">
        <f t="shared" si="8"/>
        <v>0</v>
      </c>
      <c r="J115" s="14">
        <f t="shared" si="6"/>
        <v>0</v>
      </c>
      <c r="K115" s="75">
        <f t="shared" si="7"/>
        <v>1433927.565392354</v>
      </c>
    </row>
    <row r="116" spans="1:11" x14ac:dyDescent="0.25">
      <c r="A116" s="61">
        <f>'A) Base RI'!A115</f>
        <v>5583</v>
      </c>
      <c r="B116" s="42" t="str">
        <f>'A) Base RI'!B115</f>
        <v>Crissier</v>
      </c>
      <c r="C116" s="14">
        <f>'A) Base RI'!AN115</f>
        <v>7542</v>
      </c>
      <c r="D116" s="41">
        <f t="shared" si="9"/>
        <v>1000</v>
      </c>
      <c r="E116" s="14">
        <f t="shared" si="8"/>
        <v>2000</v>
      </c>
      <c r="F116" s="14">
        <f t="shared" si="8"/>
        <v>2000</v>
      </c>
      <c r="G116" s="14">
        <f t="shared" si="8"/>
        <v>2542</v>
      </c>
      <c r="H116" s="14">
        <f t="shared" si="8"/>
        <v>0</v>
      </c>
      <c r="I116" s="52">
        <f t="shared" si="8"/>
        <v>0</v>
      </c>
      <c r="J116" s="14">
        <f t="shared" si="6"/>
        <v>0</v>
      </c>
      <c r="K116" s="75">
        <f t="shared" si="7"/>
        <v>3291747.2837022133</v>
      </c>
    </row>
    <row r="117" spans="1:11" x14ac:dyDescent="0.25">
      <c r="A117" s="61">
        <f>'A) Base RI'!A116</f>
        <v>5584</v>
      </c>
      <c r="B117" s="42" t="str">
        <f>'A) Base RI'!B116</f>
        <v>Epalinges</v>
      </c>
      <c r="C117" s="14">
        <f>'A) Base RI'!AN116</f>
        <v>9185</v>
      </c>
      <c r="D117" s="41">
        <f t="shared" si="9"/>
        <v>1000</v>
      </c>
      <c r="E117" s="14">
        <f t="shared" si="8"/>
        <v>2000</v>
      </c>
      <c r="F117" s="14">
        <f t="shared" si="8"/>
        <v>2000</v>
      </c>
      <c r="G117" s="14">
        <f t="shared" si="8"/>
        <v>4000</v>
      </c>
      <c r="H117" s="14">
        <f t="shared" si="8"/>
        <v>185</v>
      </c>
      <c r="I117" s="52">
        <f t="shared" si="8"/>
        <v>0</v>
      </c>
      <c r="J117" s="14">
        <f t="shared" si="6"/>
        <v>0</v>
      </c>
      <c r="K117" s="75">
        <f t="shared" si="7"/>
        <v>4313414.4869215293</v>
      </c>
    </row>
    <row r="118" spans="1:11" x14ac:dyDescent="0.25">
      <c r="A118" s="61">
        <f>'A) Base RI'!A117</f>
        <v>5585</v>
      </c>
      <c r="B118" s="42" t="str">
        <f>'A) Base RI'!B117</f>
        <v>Jouxtens-Mézery</v>
      </c>
      <c r="C118" s="14">
        <f>'A) Base RI'!AN117</f>
        <v>1405</v>
      </c>
      <c r="D118" s="41">
        <f t="shared" si="9"/>
        <v>1000</v>
      </c>
      <c r="E118" s="14">
        <f t="shared" si="8"/>
        <v>405</v>
      </c>
      <c r="F118" s="14">
        <f t="shared" si="8"/>
        <v>0</v>
      </c>
      <c r="G118" s="14">
        <f t="shared" si="8"/>
        <v>0</v>
      </c>
      <c r="H118" s="14">
        <f t="shared" si="8"/>
        <v>0</v>
      </c>
      <c r="I118" s="52">
        <f t="shared" si="8"/>
        <v>0</v>
      </c>
      <c r="J118" s="14">
        <f t="shared" si="6"/>
        <v>0</v>
      </c>
      <c r="K118" s="75">
        <f t="shared" si="7"/>
        <v>239317.907444668</v>
      </c>
    </row>
    <row r="119" spans="1:11" x14ac:dyDescent="0.25">
      <c r="A119" s="61">
        <f>'A) Base RI'!A118</f>
        <v>5586</v>
      </c>
      <c r="B119" s="42" t="str">
        <f>'A) Base RI'!B118</f>
        <v>Lausanne</v>
      </c>
      <c r="C119" s="14">
        <f>'A) Base RI'!AN118</f>
        <v>134937</v>
      </c>
      <c r="D119" s="41">
        <f t="shared" si="9"/>
        <v>1000</v>
      </c>
      <c r="E119" s="14">
        <f t="shared" si="8"/>
        <v>2000</v>
      </c>
      <c r="F119" s="14">
        <f t="shared" si="8"/>
        <v>2000</v>
      </c>
      <c r="G119" s="14">
        <f t="shared" si="8"/>
        <v>4000</v>
      </c>
      <c r="H119" s="14">
        <f t="shared" si="8"/>
        <v>3000</v>
      </c>
      <c r="I119" s="52">
        <f t="shared" si="8"/>
        <v>3000</v>
      </c>
      <c r="J119" s="14">
        <f t="shared" si="6"/>
        <v>119937</v>
      </c>
      <c r="K119" s="75">
        <f t="shared" si="7"/>
        <v>134318821.32796782</v>
      </c>
    </row>
    <row r="120" spans="1:11" x14ac:dyDescent="0.25">
      <c r="A120" s="61">
        <f>'A) Base RI'!A119</f>
        <v>5587</v>
      </c>
      <c r="B120" s="42" t="str">
        <f>'A) Base RI'!B119</f>
        <v>Le Mont-sur-Lausanne</v>
      </c>
      <c r="C120" s="14">
        <f>'A) Base RI'!AN119</f>
        <v>7271</v>
      </c>
      <c r="D120" s="41">
        <f t="shared" si="9"/>
        <v>1000</v>
      </c>
      <c r="E120" s="14">
        <f t="shared" si="8"/>
        <v>2000</v>
      </c>
      <c r="F120" s="14">
        <f t="shared" si="8"/>
        <v>2000</v>
      </c>
      <c r="G120" s="14">
        <f t="shared" si="8"/>
        <v>2271</v>
      </c>
      <c r="H120" s="14">
        <f t="shared" si="8"/>
        <v>0</v>
      </c>
      <c r="I120" s="52">
        <f t="shared" si="8"/>
        <v>0</v>
      </c>
      <c r="J120" s="14">
        <f t="shared" ref="J120:J125" si="10">IF(C120&gt;$J$4,C120-$J$4,0)</f>
        <v>0</v>
      </c>
      <c r="K120" s="75">
        <f t="shared" si="7"/>
        <v>3130783.0985915493</v>
      </c>
    </row>
    <row r="121" spans="1:11" x14ac:dyDescent="0.25">
      <c r="A121" s="61">
        <f>'A) Base RI'!A120</f>
        <v>5588</v>
      </c>
      <c r="B121" s="42" t="str">
        <f>'A) Base RI'!B120</f>
        <v>Paudex</v>
      </c>
      <c r="C121" s="14">
        <f>'A) Base RI'!AN120</f>
        <v>1485</v>
      </c>
      <c r="D121" s="41">
        <f t="shared" si="9"/>
        <v>1000</v>
      </c>
      <c r="E121" s="14">
        <f t="shared" si="8"/>
        <v>485</v>
      </c>
      <c r="F121" s="14">
        <f t="shared" si="8"/>
        <v>0</v>
      </c>
      <c r="G121" s="14">
        <f t="shared" si="8"/>
        <v>0</v>
      </c>
      <c r="H121" s="14">
        <f t="shared" si="8"/>
        <v>0</v>
      </c>
      <c r="I121" s="52">
        <f t="shared" si="8"/>
        <v>0</v>
      </c>
      <c r="J121" s="14">
        <f t="shared" si="10"/>
        <v>0</v>
      </c>
      <c r="K121" s="75">
        <f t="shared" si="7"/>
        <v>267036.21730382292</v>
      </c>
    </row>
    <row r="122" spans="1:11" x14ac:dyDescent="0.25">
      <c r="A122" s="61">
        <f>'A) Base RI'!A121</f>
        <v>5589</v>
      </c>
      <c r="B122" s="42" t="str">
        <f>'A) Base RI'!B121</f>
        <v>Prilly</v>
      </c>
      <c r="C122" s="14">
        <f>'A) Base RI'!AN121</f>
        <v>11782</v>
      </c>
      <c r="D122" s="41">
        <f t="shared" si="9"/>
        <v>1000</v>
      </c>
      <c r="E122" s="14">
        <f t="shared" si="8"/>
        <v>2000</v>
      </c>
      <c r="F122" s="14">
        <f t="shared" si="8"/>
        <v>2000</v>
      </c>
      <c r="G122" s="14">
        <f t="shared" si="8"/>
        <v>4000</v>
      </c>
      <c r="H122" s="14">
        <f t="shared" si="8"/>
        <v>2782</v>
      </c>
      <c r="I122" s="52">
        <f t="shared" si="8"/>
        <v>0</v>
      </c>
      <c r="J122" s="14">
        <f t="shared" si="10"/>
        <v>0</v>
      </c>
      <c r="K122" s="75">
        <f t="shared" si="7"/>
        <v>6498656.740442656</v>
      </c>
    </row>
    <row r="123" spans="1:11" x14ac:dyDescent="0.25">
      <c r="A123" s="61">
        <f>'A) Base RI'!A122</f>
        <v>5590</v>
      </c>
      <c r="B123" s="42" t="str">
        <f>'A) Base RI'!B122</f>
        <v>Pully</v>
      </c>
      <c r="C123" s="14">
        <f>'A) Base RI'!AN122</f>
        <v>17811</v>
      </c>
      <c r="D123" s="41">
        <f t="shared" si="9"/>
        <v>1000</v>
      </c>
      <c r="E123" s="14">
        <f t="shared" si="8"/>
        <v>2000</v>
      </c>
      <c r="F123" s="14">
        <f t="shared" si="8"/>
        <v>2000</v>
      </c>
      <c r="G123" s="14">
        <f t="shared" si="8"/>
        <v>4000</v>
      </c>
      <c r="H123" s="14">
        <f t="shared" si="8"/>
        <v>3000</v>
      </c>
      <c r="I123" s="52">
        <f t="shared" si="8"/>
        <v>3000</v>
      </c>
      <c r="J123" s="14">
        <f t="shared" si="10"/>
        <v>2811</v>
      </c>
      <c r="K123" s="75">
        <f t="shared" si="7"/>
        <v>12573767.806841046</v>
      </c>
    </row>
    <row r="124" spans="1:11" x14ac:dyDescent="0.25">
      <c r="A124" s="61">
        <f>'A) Base RI'!A123</f>
        <v>5591</v>
      </c>
      <c r="B124" s="42" t="str">
        <f>'A) Base RI'!B123</f>
        <v>Renens</v>
      </c>
      <c r="C124" s="14">
        <f>'A) Base RI'!AN123</f>
        <v>20362</v>
      </c>
      <c r="D124" s="41">
        <f t="shared" si="9"/>
        <v>1000</v>
      </c>
      <c r="E124" s="14">
        <f t="shared" si="8"/>
        <v>2000</v>
      </c>
      <c r="F124" s="14">
        <f t="shared" si="8"/>
        <v>2000</v>
      </c>
      <c r="G124" s="14">
        <f t="shared" si="8"/>
        <v>4000</v>
      </c>
      <c r="H124" s="14">
        <f t="shared" si="8"/>
        <v>3000</v>
      </c>
      <c r="I124" s="52">
        <f t="shared" si="8"/>
        <v>3000</v>
      </c>
      <c r="J124" s="14">
        <f t="shared" si="10"/>
        <v>5362</v>
      </c>
      <c r="K124" s="75">
        <f t="shared" si="7"/>
        <v>15225370.623742454</v>
      </c>
    </row>
    <row r="125" spans="1:11" x14ac:dyDescent="0.25">
      <c r="A125" s="61">
        <f>'A) Base RI'!A124</f>
        <v>5592</v>
      </c>
      <c r="B125" s="42" t="str">
        <f>'A) Base RI'!B124</f>
        <v>Romanel-sur-Lausanne</v>
      </c>
      <c r="C125" s="14">
        <f>'A) Base RI'!AN124</f>
        <v>3351</v>
      </c>
      <c r="D125" s="41">
        <f t="shared" si="9"/>
        <v>1000</v>
      </c>
      <c r="E125" s="14">
        <f t="shared" si="8"/>
        <v>2000</v>
      </c>
      <c r="F125" s="14">
        <f t="shared" si="8"/>
        <v>351</v>
      </c>
      <c r="G125" s="14">
        <f t="shared" si="8"/>
        <v>0</v>
      </c>
      <c r="H125" s="14">
        <f t="shared" si="8"/>
        <v>0</v>
      </c>
      <c r="I125" s="52">
        <f t="shared" si="8"/>
        <v>0</v>
      </c>
      <c r="J125" s="14">
        <f t="shared" si="10"/>
        <v>0</v>
      </c>
      <c r="K125" s="75">
        <f t="shared" si="7"/>
        <v>965686.11670020118</v>
      </c>
    </row>
    <row r="126" spans="1:11" x14ac:dyDescent="0.25">
      <c r="A126" s="61">
        <f>'A) Base RI'!A125</f>
        <v>5601</v>
      </c>
      <c r="B126" s="42" t="str">
        <f>'A) Base RI'!B125</f>
        <v>Chexbres</v>
      </c>
      <c r="C126" s="14">
        <f>'A) Base RI'!AN125</f>
        <v>2218</v>
      </c>
      <c r="D126" s="41">
        <f t="shared" si="9"/>
        <v>1000</v>
      </c>
      <c r="E126" s="14">
        <f t="shared" si="8"/>
        <v>1218</v>
      </c>
      <c r="F126" s="14">
        <f t="shared" ref="E126:I161" si="11">IF($C126&gt;F$4,IF($C126&lt;F$5,$C126-F$4,F$5-F$4),0)</f>
        <v>0</v>
      </c>
      <c r="G126" s="14">
        <f t="shared" si="11"/>
        <v>0</v>
      </c>
      <c r="H126" s="14">
        <f t="shared" si="11"/>
        <v>0</v>
      </c>
      <c r="I126" s="52">
        <f t="shared" si="11"/>
        <v>0</v>
      </c>
      <c r="J126" s="14">
        <f t="shared" ref="J126:J168" si="12">IF(C126&gt;$J$4,C126-$J$4,0)</f>
        <v>0</v>
      </c>
      <c r="K126" s="75">
        <f t="shared" si="7"/>
        <v>521005.23138832994</v>
      </c>
    </row>
    <row r="127" spans="1:11" x14ac:dyDescent="0.25">
      <c r="A127" s="61">
        <f>'A) Base RI'!A126</f>
        <v>5604</v>
      </c>
      <c r="B127" s="42" t="str">
        <f>'A) Base RI'!B126</f>
        <v>Forel (Lavaux)</v>
      </c>
      <c r="C127" s="14">
        <f>'A) Base RI'!AN126</f>
        <v>2085</v>
      </c>
      <c r="D127" s="41">
        <f t="shared" si="9"/>
        <v>1000</v>
      </c>
      <c r="E127" s="14">
        <f t="shared" si="11"/>
        <v>1085</v>
      </c>
      <c r="F127" s="14">
        <f t="shared" si="11"/>
        <v>0</v>
      </c>
      <c r="G127" s="14">
        <f t="shared" si="11"/>
        <v>0</v>
      </c>
      <c r="H127" s="14">
        <f t="shared" si="11"/>
        <v>0</v>
      </c>
      <c r="I127" s="52">
        <f t="shared" si="11"/>
        <v>0</v>
      </c>
      <c r="J127" s="14">
        <f t="shared" si="12"/>
        <v>0</v>
      </c>
      <c r="K127" s="75">
        <f t="shared" si="7"/>
        <v>474923.54124748491</v>
      </c>
    </row>
    <row r="128" spans="1:11" x14ac:dyDescent="0.25">
      <c r="A128" s="61">
        <f>'A) Base RI'!A127</f>
        <v>5606</v>
      </c>
      <c r="B128" s="42" t="str">
        <f>'A) Base RI'!B127</f>
        <v>Lutry</v>
      </c>
      <c r="C128" s="14">
        <f>'A) Base RI'!AN127</f>
        <v>9739</v>
      </c>
      <c r="D128" s="41">
        <f t="shared" si="9"/>
        <v>1000</v>
      </c>
      <c r="E128" s="14">
        <f t="shared" si="11"/>
        <v>2000</v>
      </c>
      <c r="F128" s="14">
        <f t="shared" si="11"/>
        <v>2000</v>
      </c>
      <c r="G128" s="14">
        <f t="shared" si="11"/>
        <v>4000</v>
      </c>
      <c r="H128" s="14">
        <f t="shared" si="11"/>
        <v>739</v>
      </c>
      <c r="I128" s="52">
        <f t="shared" si="11"/>
        <v>0</v>
      </c>
      <c r="J128" s="14">
        <f t="shared" si="12"/>
        <v>0</v>
      </c>
      <c r="K128" s="75">
        <f t="shared" si="7"/>
        <v>4779577.0623742454</v>
      </c>
    </row>
    <row r="129" spans="1:11" x14ac:dyDescent="0.25">
      <c r="A129" s="61">
        <f>'A) Base RI'!A128</f>
        <v>5607</v>
      </c>
      <c r="B129" s="42" t="str">
        <f>'A) Base RI'!B128</f>
        <v>Puidoux</v>
      </c>
      <c r="C129" s="14">
        <f>'A) Base RI'!AN128</f>
        <v>2858</v>
      </c>
      <c r="D129" s="41">
        <f t="shared" si="9"/>
        <v>1000</v>
      </c>
      <c r="E129" s="14">
        <f t="shared" si="11"/>
        <v>1858</v>
      </c>
      <c r="F129" s="14">
        <f t="shared" si="11"/>
        <v>0</v>
      </c>
      <c r="G129" s="14">
        <f t="shared" si="11"/>
        <v>0</v>
      </c>
      <c r="H129" s="14">
        <f t="shared" si="11"/>
        <v>0</v>
      </c>
      <c r="I129" s="52">
        <f t="shared" si="11"/>
        <v>0</v>
      </c>
      <c r="J129" s="14">
        <f t="shared" si="12"/>
        <v>0</v>
      </c>
      <c r="K129" s="75">
        <f t="shared" si="7"/>
        <v>742751.71026156936</v>
      </c>
    </row>
    <row r="130" spans="1:11" x14ac:dyDescent="0.25">
      <c r="A130" s="61">
        <f>'A) Base RI'!A129</f>
        <v>5609</v>
      </c>
      <c r="B130" s="42" t="str">
        <f>'A) Base RI'!B129</f>
        <v>Rivaz</v>
      </c>
      <c r="C130" s="14">
        <f>'A) Base RI'!AN129</f>
        <v>360</v>
      </c>
      <c r="D130" s="41">
        <f t="shared" si="9"/>
        <v>360</v>
      </c>
      <c r="E130" s="14">
        <f t="shared" si="11"/>
        <v>0</v>
      </c>
      <c r="F130" s="14">
        <f t="shared" si="11"/>
        <v>0</v>
      </c>
      <c r="G130" s="14">
        <f t="shared" si="11"/>
        <v>0</v>
      </c>
      <c r="H130" s="14">
        <f t="shared" si="11"/>
        <v>0</v>
      </c>
      <c r="I130" s="52">
        <f t="shared" si="11"/>
        <v>0</v>
      </c>
      <c r="J130" s="14">
        <f t="shared" si="12"/>
        <v>0</v>
      </c>
      <c r="K130" s="75">
        <f t="shared" si="7"/>
        <v>35637.826961770625</v>
      </c>
    </row>
    <row r="131" spans="1:11" x14ac:dyDescent="0.25">
      <c r="A131" s="61">
        <f>'A) Base RI'!A130</f>
        <v>5610</v>
      </c>
      <c r="B131" s="42" t="str">
        <f>'A) Base RI'!B130</f>
        <v>St-Saphorin (Lavaux)</v>
      </c>
      <c r="C131" s="14">
        <f>'A) Base RI'!AN130</f>
        <v>383</v>
      </c>
      <c r="D131" s="41">
        <f t="shared" si="9"/>
        <v>383</v>
      </c>
      <c r="E131" s="14">
        <f t="shared" si="11"/>
        <v>0</v>
      </c>
      <c r="F131" s="14">
        <f t="shared" si="11"/>
        <v>0</v>
      </c>
      <c r="G131" s="14">
        <f t="shared" si="11"/>
        <v>0</v>
      </c>
      <c r="H131" s="14">
        <f t="shared" si="11"/>
        <v>0</v>
      </c>
      <c r="I131" s="52">
        <f t="shared" si="11"/>
        <v>0</v>
      </c>
      <c r="J131" s="14">
        <f t="shared" si="12"/>
        <v>0</v>
      </c>
      <c r="K131" s="75">
        <f t="shared" si="7"/>
        <v>37914.688128772636</v>
      </c>
    </row>
    <row r="132" spans="1:11" x14ac:dyDescent="0.25">
      <c r="A132" s="61">
        <f>'A) Base RI'!A131</f>
        <v>5611</v>
      </c>
      <c r="B132" s="42" t="str">
        <f>'A) Base RI'!B131</f>
        <v>Savigny</v>
      </c>
      <c r="C132" s="14">
        <f>'A) Base RI'!AN131</f>
        <v>3304</v>
      </c>
      <c r="D132" s="41">
        <f t="shared" si="9"/>
        <v>1000</v>
      </c>
      <c r="E132" s="14">
        <f t="shared" si="11"/>
        <v>2000</v>
      </c>
      <c r="F132" s="14">
        <f t="shared" si="11"/>
        <v>304</v>
      </c>
      <c r="G132" s="14">
        <f t="shared" si="11"/>
        <v>0</v>
      </c>
      <c r="H132" s="14">
        <f t="shared" si="11"/>
        <v>0</v>
      </c>
      <c r="I132" s="52">
        <f t="shared" si="11"/>
        <v>0</v>
      </c>
      <c r="J132" s="14">
        <f t="shared" si="12"/>
        <v>0</v>
      </c>
      <c r="K132" s="75">
        <f t="shared" si="7"/>
        <v>942422.53521126753</v>
      </c>
    </row>
    <row r="133" spans="1:11" x14ac:dyDescent="0.25">
      <c r="A133" s="61">
        <f>'A) Base RI'!A132</f>
        <v>5613</v>
      </c>
      <c r="B133" s="42" t="str">
        <f>'A) Base RI'!B132</f>
        <v>Bourg-en-Lavaux</v>
      </c>
      <c r="C133" s="14">
        <f>'A) Base RI'!AN132</f>
        <v>5247</v>
      </c>
      <c r="D133" s="41">
        <f t="shared" si="9"/>
        <v>1000</v>
      </c>
      <c r="E133" s="14">
        <f t="shared" si="11"/>
        <v>2000</v>
      </c>
      <c r="F133" s="14">
        <f t="shared" si="11"/>
        <v>2000</v>
      </c>
      <c r="G133" s="14">
        <f t="shared" si="11"/>
        <v>247</v>
      </c>
      <c r="H133" s="14">
        <f t="shared" si="11"/>
        <v>0</v>
      </c>
      <c r="I133" s="52">
        <f t="shared" si="11"/>
        <v>0</v>
      </c>
      <c r="J133" s="14">
        <f t="shared" si="12"/>
        <v>0</v>
      </c>
      <c r="K133" s="75">
        <f t="shared" si="7"/>
        <v>1928600.402414487</v>
      </c>
    </row>
    <row r="134" spans="1:11" x14ac:dyDescent="0.25">
      <c r="A134" s="61">
        <f>'A) Base RI'!A133</f>
        <v>5621</v>
      </c>
      <c r="B134" s="42" t="str">
        <f>'A) Base RI'!B133</f>
        <v>Aclens</v>
      </c>
      <c r="C134" s="14">
        <f>'A) Base RI'!AN133</f>
        <v>528</v>
      </c>
      <c r="D134" s="41">
        <f t="shared" si="9"/>
        <v>528</v>
      </c>
      <c r="E134" s="14">
        <f t="shared" si="11"/>
        <v>0</v>
      </c>
      <c r="F134" s="14">
        <f t="shared" si="11"/>
        <v>0</v>
      </c>
      <c r="G134" s="14">
        <f t="shared" si="11"/>
        <v>0</v>
      </c>
      <c r="H134" s="14">
        <f t="shared" si="11"/>
        <v>0</v>
      </c>
      <c r="I134" s="52">
        <f t="shared" si="11"/>
        <v>0</v>
      </c>
      <c r="J134" s="14">
        <f t="shared" si="12"/>
        <v>0</v>
      </c>
      <c r="K134" s="75">
        <f t="shared" si="7"/>
        <v>52268.812877263576</v>
      </c>
    </row>
    <row r="135" spans="1:11" x14ac:dyDescent="0.25">
      <c r="A135" s="61">
        <f>'A) Base RI'!A134</f>
        <v>5622</v>
      </c>
      <c r="B135" s="42" t="str">
        <f>'A) Base RI'!B134</f>
        <v>Bremblens</v>
      </c>
      <c r="C135" s="14">
        <f>'A) Base RI'!AN134</f>
        <v>511</v>
      </c>
      <c r="D135" s="41">
        <f t="shared" si="9"/>
        <v>511</v>
      </c>
      <c r="E135" s="14">
        <f t="shared" si="11"/>
        <v>0</v>
      </c>
      <c r="F135" s="14">
        <f t="shared" si="11"/>
        <v>0</v>
      </c>
      <c r="G135" s="14">
        <f t="shared" si="11"/>
        <v>0</v>
      </c>
      <c r="H135" s="14">
        <f t="shared" si="11"/>
        <v>0</v>
      </c>
      <c r="I135" s="52">
        <f t="shared" si="11"/>
        <v>0</v>
      </c>
      <c r="J135" s="14">
        <f t="shared" si="12"/>
        <v>0</v>
      </c>
      <c r="K135" s="75">
        <f t="shared" si="7"/>
        <v>50585.915492957742</v>
      </c>
    </row>
    <row r="136" spans="1:11" x14ac:dyDescent="0.25">
      <c r="A136" s="61">
        <f>'A) Base RI'!A135</f>
        <v>5623</v>
      </c>
      <c r="B136" s="42" t="str">
        <f>'A) Base RI'!B135</f>
        <v>Buchillon</v>
      </c>
      <c r="C136" s="14">
        <f>'A) Base RI'!AN135</f>
        <v>624</v>
      </c>
      <c r="D136" s="41">
        <f t="shared" si="9"/>
        <v>624</v>
      </c>
      <c r="E136" s="14">
        <f t="shared" si="11"/>
        <v>0</v>
      </c>
      <c r="F136" s="14">
        <f t="shared" si="11"/>
        <v>0</v>
      </c>
      <c r="G136" s="14">
        <f t="shared" si="11"/>
        <v>0</v>
      </c>
      <c r="H136" s="14">
        <f t="shared" si="11"/>
        <v>0</v>
      </c>
      <c r="I136" s="52">
        <f t="shared" si="11"/>
        <v>0</v>
      </c>
      <c r="J136" s="14">
        <f t="shared" si="12"/>
        <v>0</v>
      </c>
      <c r="K136" s="75">
        <f t="shared" si="7"/>
        <v>61772.233400402409</v>
      </c>
    </row>
    <row r="137" spans="1:11" x14ac:dyDescent="0.25">
      <c r="A137" s="61">
        <f>'A) Base RI'!A136</f>
        <v>5624</v>
      </c>
      <c r="B137" s="42" t="str">
        <f>'A) Base RI'!B136</f>
        <v>Bussigny</v>
      </c>
      <c r="C137" s="14">
        <f>'A) Base RI'!AN136</f>
        <v>8215</v>
      </c>
      <c r="D137" s="41">
        <f t="shared" si="9"/>
        <v>1000</v>
      </c>
      <c r="E137" s="14">
        <f t="shared" si="11"/>
        <v>2000</v>
      </c>
      <c r="F137" s="14">
        <f t="shared" si="11"/>
        <v>2000</v>
      </c>
      <c r="G137" s="14">
        <f t="shared" si="11"/>
        <v>3215</v>
      </c>
      <c r="H137" s="14">
        <f t="shared" si="11"/>
        <v>0</v>
      </c>
      <c r="I137" s="52">
        <f t="shared" si="11"/>
        <v>0</v>
      </c>
      <c r="J137" s="14">
        <f t="shared" si="12"/>
        <v>0</v>
      </c>
      <c r="K137" s="75">
        <f t="shared" ref="K137:K200" si="13">(D137*D$7)+(E137*E$7)+(F137*F$7)+(G137*G$7)+(H137*H$7)+(I137*I$7)+(J137*J$7)</f>
        <v>3691484.9094567406</v>
      </c>
    </row>
    <row r="138" spans="1:11" x14ac:dyDescent="0.25">
      <c r="A138" s="61">
        <f>'A) Base RI'!A137</f>
        <v>5625</v>
      </c>
      <c r="B138" s="42" t="str">
        <f>'A) Base RI'!B137</f>
        <v>Bussy-Chardonney</v>
      </c>
      <c r="C138" s="14">
        <f>'A) Base RI'!AN137</f>
        <v>377</v>
      </c>
      <c r="D138" s="41">
        <f t="shared" si="9"/>
        <v>377</v>
      </c>
      <c r="E138" s="14">
        <f t="shared" si="11"/>
        <v>0</v>
      </c>
      <c r="F138" s="14">
        <f t="shared" si="11"/>
        <v>0</v>
      </c>
      <c r="G138" s="14">
        <f t="shared" si="11"/>
        <v>0</v>
      </c>
      <c r="H138" s="14">
        <f t="shared" si="11"/>
        <v>0</v>
      </c>
      <c r="I138" s="52">
        <f t="shared" si="11"/>
        <v>0</v>
      </c>
      <c r="J138" s="14">
        <f t="shared" si="12"/>
        <v>0</v>
      </c>
      <c r="K138" s="75">
        <f t="shared" si="13"/>
        <v>37320.724346076458</v>
      </c>
    </row>
    <row r="139" spans="1:11" x14ac:dyDescent="0.25">
      <c r="A139" s="61">
        <f>'A) Base RI'!A138</f>
        <v>5627</v>
      </c>
      <c r="B139" s="42" t="str">
        <f>'A) Base RI'!B138</f>
        <v>Chavannes-près-Renens</v>
      </c>
      <c r="C139" s="14">
        <f>'A) Base RI'!AN138</f>
        <v>7374</v>
      </c>
      <c r="D139" s="41">
        <f t="shared" si="9"/>
        <v>1000</v>
      </c>
      <c r="E139" s="14">
        <f t="shared" si="11"/>
        <v>2000</v>
      </c>
      <c r="F139" s="14">
        <f t="shared" si="11"/>
        <v>2000</v>
      </c>
      <c r="G139" s="14">
        <f t="shared" si="11"/>
        <v>2374</v>
      </c>
      <c r="H139" s="14">
        <f t="shared" si="11"/>
        <v>0</v>
      </c>
      <c r="I139" s="52">
        <f t="shared" si="11"/>
        <v>0</v>
      </c>
      <c r="J139" s="14">
        <f t="shared" si="12"/>
        <v>0</v>
      </c>
      <c r="K139" s="75">
        <f t="shared" si="13"/>
        <v>3191961.3682092559</v>
      </c>
    </row>
    <row r="140" spans="1:11" x14ac:dyDescent="0.25">
      <c r="A140" s="61">
        <f>'A) Base RI'!A139</f>
        <v>5628</v>
      </c>
      <c r="B140" s="42" t="str">
        <f>'A) Base RI'!B139</f>
        <v>Chigny</v>
      </c>
      <c r="C140" s="14">
        <f>'A) Base RI'!AN139</f>
        <v>331</v>
      </c>
      <c r="D140" s="41">
        <f t="shared" si="9"/>
        <v>331</v>
      </c>
      <c r="E140" s="14">
        <f t="shared" si="11"/>
        <v>0</v>
      </c>
      <c r="F140" s="14">
        <f t="shared" si="11"/>
        <v>0</v>
      </c>
      <c r="G140" s="14">
        <f t="shared" si="11"/>
        <v>0</v>
      </c>
      <c r="H140" s="14">
        <f t="shared" si="11"/>
        <v>0</v>
      </c>
      <c r="I140" s="52">
        <f t="shared" si="11"/>
        <v>0</v>
      </c>
      <c r="J140" s="14">
        <f t="shared" si="12"/>
        <v>0</v>
      </c>
      <c r="K140" s="75">
        <f t="shared" si="13"/>
        <v>32767.002012072433</v>
      </c>
    </row>
    <row r="141" spans="1:11" x14ac:dyDescent="0.25">
      <c r="A141" s="61">
        <f>'A) Base RI'!A140</f>
        <v>5629</v>
      </c>
      <c r="B141" s="42" t="str">
        <f>'A) Base RI'!B140</f>
        <v>Clarmont</v>
      </c>
      <c r="C141" s="14">
        <f>'A) Base RI'!AN140</f>
        <v>160</v>
      </c>
      <c r="D141" s="41">
        <f t="shared" si="9"/>
        <v>160</v>
      </c>
      <c r="E141" s="14">
        <f t="shared" si="11"/>
        <v>0</v>
      </c>
      <c r="F141" s="14">
        <f t="shared" si="11"/>
        <v>0</v>
      </c>
      <c r="G141" s="14">
        <f t="shared" si="11"/>
        <v>0</v>
      </c>
      <c r="H141" s="14">
        <f t="shared" si="11"/>
        <v>0</v>
      </c>
      <c r="I141" s="52">
        <f t="shared" si="11"/>
        <v>0</v>
      </c>
      <c r="J141" s="14">
        <f t="shared" si="12"/>
        <v>0</v>
      </c>
      <c r="K141" s="75">
        <f t="shared" si="13"/>
        <v>15839.034205231386</v>
      </c>
    </row>
    <row r="142" spans="1:11" x14ac:dyDescent="0.25">
      <c r="A142" s="61">
        <f>'A) Base RI'!A141</f>
        <v>5631</v>
      </c>
      <c r="B142" s="42" t="str">
        <f>'A) Base RI'!B141</f>
        <v>Denens</v>
      </c>
      <c r="C142" s="14">
        <f>'A) Base RI'!AN141</f>
        <v>714</v>
      </c>
      <c r="D142" s="41">
        <f t="shared" si="9"/>
        <v>714</v>
      </c>
      <c r="E142" s="14">
        <f t="shared" si="11"/>
        <v>0</v>
      </c>
      <c r="F142" s="14">
        <f t="shared" si="11"/>
        <v>0</v>
      </c>
      <c r="G142" s="14">
        <f t="shared" si="11"/>
        <v>0</v>
      </c>
      <c r="H142" s="14">
        <f t="shared" si="11"/>
        <v>0</v>
      </c>
      <c r="I142" s="52">
        <f t="shared" si="11"/>
        <v>0</v>
      </c>
      <c r="J142" s="14">
        <f t="shared" si="12"/>
        <v>0</v>
      </c>
      <c r="K142" s="75">
        <f t="shared" si="13"/>
        <v>70681.690140845065</v>
      </c>
    </row>
    <row r="143" spans="1:11" x14ac:dyDescent="0.25">
      <c r="A143" s="61">
        <f>'A) Base RI'!A142</f>
        <v>5632</v>
      </c>
      <c r="B143" s="42" t="str">
        <f>'A) Base RI'!B142</f>
        <v>Denges</v>
      </c>
      <c r="C143" s="14">
        <f>'A) Base RI'!AN142</f>
        <v>1651</v>
      </c>
      <c r="D143" s="41">
        <f t="shared" si="9"/>
        <v>1000</v>
      </c>
      <c r="E143" s="14">
        <f t="shared" si="11"/>
        <v>651</v>
      </c>
      <c r="F143" s="14">
        <f t="shared" si="11"/>
        <v>0</v>
      </c>
      <c r="G143" s="14">
        <f t="shared" si="11"/>
        <v>0</v>
      </c>
      <c r="H143" s="14">
        <f t="shared" si="11"/>
        <v>0</v>
      </c>
      <c r="I143" s="52">
        <f t="shared" si="11"/>
        <v>0</v>
      </c>
      <c r="J143" s="14">
        <f t="shared" si="12"/>
        <v>0</v>
      </c>
      <c r="K143" s="75">
        <f t="shared" si="13"/>
        <v>324551.71026156942</v>
      </c>
    </row>
    <row r="144" spans="1:11" x14ac:dyDescent="0.25">
      <c r="A144" s="61">
        <f>'A) Base RI'!A143</f>
        <v>5633</v>
      </c>
      <c r="B144" s="42" t="str">
        <f>'A) Base RI'!B143</f>
        <v>Echandens</v>
      </c>
      <c r="C144" s="14">
        <f>'A) Base RI'!AN143</f>
        <v>2631</v>
      </c>
      <c r="D144" s="41">
        <f t="shared" si="9"/>
        <v>1000</v>
      </c>
      <c r="E144" s="14">
        <f t="shared" si="11"/>
        <v>1631</v>
      </c>
      <c r="F144" s="14">
        <f t="shared" si="11"/>
        <v>0</v>
      </c>
      <c r="G144" s="14">
        <f t="shared" si="11"/>
        <v>0</v>
      </c>
      <c r="H144" s="14">
        <f t="shared" si="11"/>
        <v>0</v>
      </c>
      <c r="I144" s="52">
        <f t="shared" si="11"/>
        <v>0</v>
      </c>
      <c r="J144" s="14">
        <f t="shared" si="12"/>
        <v>0</v>
      </c>
      <c r="K144" s="75">
        <f t="shared" si="13"/>
        <v>664101.00603621732</v>
      </c>
    </row>
    <row r="145" spans="1:11" x14ac:dyDescent="0.25">
      <c r="A145" s="61">
        <f>'A) Base RI'!A144</f>
        <v>5634</v>
      </c>
      <c r="B145" s="42" t="str">
        <f>'A) Base RI'!B144</f>
        <v>Echichens</v>
      </c>
      <c r="C145" s="14">
        <f>'A) Base RI'!AN144</f>
        <v>2585</v>
      </c>
      <c r="D145" s="41">
        <f t="shared" si="9"/>
        <v>1000</v>
      </c>
      <c r="E145" s="14">
        <f t="shared" si="11"/>
        <v>1585</v>
      </c>
      <c r="F145" s="14">
        <f t="shared" si="11"/>
        <v>0</v>
      </c>
      <c r="G145" s="14">
        <f t="shared" si="11"/>
        <v>0</v>
      </c>
      <c r="H145" s="14">
        <f t="shared" si="11"/>
        <v>0</v>
      </c>
      <c r="I145" s="52">
        <f t="shared" si="11"/>
        <v>0</v>
      </c>
      <c r="J145" s="14">
        <f t="shared" si="12"/>
        <v>0</v>
      </c>
      <c r="K145" s="75">
        <f t="shared" si="13"/>
        <v>648162.97786720318</v>
      </c>
    </row>
    <row r="146" spans="1:11" x14ac:dyDescent="0.25">
      <c r="A146" s="61">
        <f>'A) Base RI'!A145</f>
        <v>5635</v>
      </c>
      <c r="B146" s="42" t="str">
        <f>'A) Base RI'!B145</f>
        <v>Ecublens</v>
      </c>
      <c r="C146" s="14">
        <f>'A) Base RI'!AN145</f>
        <v>12288</v>
      </c>
      <c r="D146" s="41">
        <f t="shared" si="9"/>
        <v>1000</v>
      </c>
      <c r="E146" s="14">
        <f t="shared" si="11"/>
        <v>2000</v>
      </c>
      <c r="F146" s="14">
        <f t="shared" si="11"/>
        <v>2000</v>
      </c>
      <c r="G146" s="14">
        <f t="shared" si="11"/>
        <v>4000</v>
      </c>
      <c r="H146" s="14">
        <f t="shared" si="11"/>
        <v>3000</v>
      </c>
      <c r="I146" s="52">
        <f t="shared" si="11"/>
        <v>288</v>
      </c>
      <c r="J146" s="14">
        <f t="shared" si="12"/>
        <v>0</v>
      </c>
      <c r="K146" s="75">
        <f t="shared" si="13"/>
        <v>6967195.1710261572</v>
      </c>
    </row>
    <row r="147" spans="1:11" x14ac:dyDescent="0.25">
      <c r="A147" s="61">
        <f>'A) Base RI'!A146</f>
        <v>5636</v>
      </c>
      <c r="B147" s="42" t="str">
        <f>'A) Base RI'!B146</f>
        <v>Etoy</v>
      </c>
      <c r="C147" s="14">
        <f>'A) Base RI'!AN146</f>
        <v>2932</v>
      </c>
      <c r="D147" s="41">
        <f t="shared" si="9"/>
        <v>1000</v>
      </c>
      <c r="E147" s="14">
        <f t="shared" si="11"/>
        <v>1932</v>
      </c>
      <c r="F147" s="14">
        <f t="shared" si="11"/>
        <v>0</v>
      </c>
      <c r="G147" s="14">
        <f t="shared" si="11"/>
        <v>0</v>
      </c>
      <c r="H147" s="14">
        <f t="shared" si="11"/>
        <v>0</v>
      </c>
      <c r="I147" s="52">
        <f t="shared" si="11"/>
        <v>0</v>
      </c>
      <c r="J147" s="14">
        <f t="shared" si="12"/>
        <v>0</v>
      </c>
      <c r="K147" s="75">
        <f t="shared" si="13"/>
        <v>768391.14688128768</v>
      </c>
    </row>
    <row r="148" spans="1:11" x14ac:dyDescent="0.25">
      <c r="A148" s="61">
        <f>'A) Base RI'!A147</f>
        <v>5637</v>
      </c>
      <c r="B148" s="42" t="str">
        <f>'A) Base RI'!B147</f>
        <v>Lavigny</v>
      </c>
      <c r="C148" s="14">
        <f>'A) Base RI'!AN147</f>
        <v>981</v>
      </c>
      <c r="D148" s="41">
        <f t="shared" si="9"/>
        <v>981</v>
      </c>
      <c r="E148" s="14">
        <f t="shared" si="11"/>
        <v>0</v>
      </c>
      <c r="F148" s="14">
        <f t="shared" si="11"/>
        <v>0</v>
      </c>
      <c r="G148" s="14">
        <f t="shared" si="11"/>
        <v>0</v>
      </c>
      <c r="H148" s="14">
        <f t="shared" si="11"/>
        <v>0</v>
      </c>
      <c r="I148" s="52">
        <f t="shared" si="11"/>
        <v>0</v>
      </c>
      <c r="J148" s="14">
        <f t="shared" si="12"/>
        <v>0</v>
      </c>
      <c r="K148" s="75">
        <f t="shared" si="13"/>
        <v>97113.078470824941</v>
      </c>
    </row>
    <row r="149" spans="1:11" x14ac:dyDescent="0.25">
      <c r="A149" s="61">
        <f>'A) Base RI'!A148</f>
        <v>5638</v>
      </c>
      <c r="B149" s="42" t="str">
        <f>'A) Base RI'!B148</f>
        <v>Lonay</v>
      </c>
      <c r="C149" s="14">
        <f>'A) Base RI'!AN148</f>
        <v>2536</v>
      </c>
      <c r="D149" s="41">
        <f t="shared" si="9"/>
        <v>1000</v>
      </c>
      <c r="E149" s="14">
        <f t="shared" si="11"/>
        <v>1536</v>
      </c>
      <c r="F149" s="14">
        <f t="shared" si="11"/>
        <v>0</v>
      </c>
      <c r="G149" s="14">
        <f t="shared" si="11"/>
        <v>0</v>
      </c>
      <c r="H149" s="14">
        <f t="shared" si="11"/>
        <v>0</v>
      </c>
      <c r="I149" s="52">
        <f t="shared" si="11"/>
        <v>0</v>
      </c>
      <c r="J149" s="14">
        <f t="shared" si="12"/>
        <v>0</v>
      </c>
      <c r="K149" s="75">
        <f t="shared" si="13"/>
        <v>631185.51307847083</v>
      </c>
    </row>
    <row r="150" spans="1:11" x14ac:dyDescent="0.25">
      <c r="A150" s="61">
        <f>'A) Base RI'!A149</f>
        <v>5639</v>
      </c>
      <c r="B150" s="42" t="str">
        <f>'A) Base RI'!B149</f>
        <v>Lully</v>
      </c>
      <c r="C150" s="14">
        <f>'A) Base RI'!AN149</f>
        <v>760</v>
      </c>
      <c r="D150" s="41">
        <f t="shared" si="9"/>
        <v>760</v>
      </c>
      <c r="E150" s="14">
        <f t="shared" si="11"/>
        <v>0</v>
      </c>
      <c r="F150" s="14">
        <f t="shared" si="11"/>
        <v>0</v>
      </c>
      <c r="G150" s="14">
        <f t="shared" si="11"/>
        <v>0</v>
      </c>
      <c r="H150" s="14">
        <f t="shared" si="11"/>
        <v>0</v>
      </c>
      <c r="I150" s="52">
        <f t="shared" si="11"/>
        <v>0</v>
      </c>
      <c r="J150" s="14">
        <f t="shared" si="12"/>
        <v>0</v>
      </c>
      <c r="K150" s="75">
        <f t="shared" si="13"/>
        <v>75235.412474849087</v>
      </c>
    </row>
    <row r="151" spans="1:11" x14ac:dyDescent="0.25">
      <c r="A151" s="61">
        <f>'A) Base RI'!A150</f>
        <v>5640</v>
      </c>
      <c r="B151" s="42" t="str">
        <f>'A) Base RI'!B150</f>
        <v>Lussy-sur-Morges</v>
      </c>
      <c r="C151" s="14">
        <f>'A) Base RI'!AN150</f>
        <v>646</v>
      </c>
      <c r="D151" s="41">
        <f t="shared" si="9"/>
        <v>646</v>
      </c>
      <c r="E151" s="14">
        <f t="shared" si="11"/>
        <v>0</v>
      </c>
      <c r="F151" s="14">
        <f t="shared" si="11"/>
        <v>0</v>
      </c>
      <c r="G151" s="14">
        <f t="shared" si="11"/>
        <v>0</v>
      </c>
      <c r="H151" s="14">
        <f t="shared" si="11"/>
        <v>0</v>
      </c>
      <c r="I151" s="52">
        <f t="shared" si="11"/>
        <v>0</v>
      </c>
      <c r="J151" s="14">
        <f t="shared" si="12"/>
        <v>0</v>
      </c>
      <c r="K151" s="75">
        <f t="shared" si="13"/>
        <v>63950.100603621722</v>
      </c>
    </row>
    <row r="152" spans="1:11" x14ac:dyDescent="0.25">
      <c r="A152" s="61">
        <f>'A) Base RI'!A151</f>
        <v>5642</v>
      </c>
      <c r="B152" s="42" t="str">
        <f>'A) Base RI'!B151</f>
        <v>Morges</v>
      </c>
      <c r="C152" s="14">
        <f>'A) Base RI'!AN151</f>
        <v>15623</v>
      </c>
      <c r="D152" s="41">
        <f t="shared" si="9"/>
        <v>1000</v>
      </c>
      <c r="E152" s="14">
        <f t="shared" si="11"/>
        <v>2000</v>
      </c>
      <c r="F152" s="14">
        <f t="shared" si="11"/>
        <v>2000</v>
      </c>
      <c r="G152" s="14">
        <f t="shared" si="11"/>
        <v>4000</v>
      </c>
      <c r="H152" s="14">
        <f t="shared" si="11"/>
        <v>3000</v>
      </c>
      <c r="I152" s="52">
        <f t="shared" si="11"/>
        <v>3000</v>
      </c>
      <c r="J152" s="14">
        <f t="shared" si="12"/>
        <v>623</v>
      </c>
      <c r="K152" s="75">
        <f t="shared" si="13"/>
        <v>10299480.482897384</v>
      </c>
    </row>
    <row r="153" spans="1:11" x14ac:dyDescent="0.25">
      <c r="A153" s="61">
        <f>'A) Base RI'!A152</f>
        <v>5643</v>
      </c>
      <c r="B153" s="42" t="str">
        <f>'A) Base RI'!B152</f>
        <v>Préverenges</v>
      </c>
      <c r="C153" s="14">
        <f>'A) Base RI'!AN152</f>
        <v>5263</v>
      </c>
      <c r="D153" s="41">
        <f t="shared" si="9"/>
        <v>1000</v>
      </c>
      <c r="E153" s="14">
        <f t="shared" si="11"/>
        <v>2000</v>
      </c>
      <c r="F153" s="14">
        <f t="shared" si="11"/>
        <v>2000</v>
      </c>
      <c r="G153" s="14">
        <f t="shared" si="11"/>
        <v>263</v>
      </c>
      <c r="H153" s="14">
        <f t="shared" si="11"/>
        <v>0</v>
      </c>
      <c r="I153" s="52">
        <f t="shared" si="11"/>
        <v>0</v>
      </c>
      <c r="J153" s="14">
        <f t="shared" si="12"/>
        <v>0</v>
      </c>
      <c r="K153" s="75">
        <f t="shared" si="13"/>
        <v>1938103.8229376259</v>
      </c>
    </row>
    <row r="154" spans="1:11" x14ac:dyDescent="0.25">
      <c r="A154" s="61">
        <f>'A) Base RI'!A153</f>
        <v>5644</v>
      </c>
      <c r="B154" s="42" t="str">
        <f>'A) Base RI'!B153</f>
        <v>Reverolle</v>
      </c>
      <c r="C154" s="14">
        <f>'A) Base RI'!AN153</f>
        <v>360</v>
      </c>
      <c r="D154" s="41">
        <f t="shared" si="9"/>
        <v>360</v>
      </c>
      <c r="E154" s="14">
        <f t="shared" si="11"/>
        <v>0</v>
      </c>
      <c r="F154" s="14">
        <f t="shared" si="11"/>
        <v>0</v>
      </c>
      <c r="G154" s="14">
        <f t="shared" si="11"/>
        <v>0</v>
      </c>
      <c r="H154" s="14">
        <f t="shared" si="11"/>
        <v>0</v>
      </c>
      <c r="I154" s="52">
        <f t="shared" si="11"/>
        <v>0</v>
      </c>
      <c r="J154" s="14">
        <f t="shared" si="12"/>
        <v>0</v>
      </c>
      <c r="K154" s="75">
        <f t="shared" si="13"/>
        <v>35637.826961770625</v>
      </c>
    </row>
    <row r="155" spans="1:11" x14ac:dyDescent="0.25">
      <c r="A155" s="61">
        <f>'A) Base RI'!A154</f>
        <v>5645</v>
      </c>
      <c r="B155" s="42" t="str">
        <f>'A) Base RI'!B154</f>
        <v>Romanel-sur-Morges</v>
      </c>
      <c r="C155" s="14">
        <f>'A) Base RI'!AN154</f>
        <v>459</v>
      </c>
      <c r="D155" s="41">
        <f t="shared" si="9"/>
        <v>459</v>
      </c>
      <c r="E155" s="14">
        <f t="shared" si="11"/>
        <v>0</v>
      </c>
      <c r="F155" s="14">
        <f t="shared" si="11"/>
        <v>0</v>
      </c>
      <c r="G155" s="14">
        <f t="shared" si="11"/>
        <v>0</v>
      </c>
      <c r="H155" s="14">
        <f t="shared" si="11"/>
        <v>0</v>
      </c>
      <c r="I155" s="52">
        <f t="shared" si="11"/>
        <v>0</v>
      </c>
      <c r="J155" s="14">
        <f t="shared" si="12"/>
        <v>0</v>
      </c>
      <c r="K155" s="75">
        <f t="shared" si="13"/>
        <v>45438.229376257543</v>
      </c>
    </row>
    <row r="156" spans="1:11" x14ac:dyDescent="0.25">
      <c r="A156" s="61">
        <f>'A) Base RI'!A155</f>
        <v>5646</v>
      </c>
      <c r="B156" s="42" t="str">
        <f>'A) Base RI'!B155</f>
        <v>Saint-Prex</v>
      </c>
      <c r="C156" s="14">
        <f>'A) Base RI'!AN155</f>
        <v>5604</v>
      </c>
      <c r="D156" s="41">
        <f t="shared" si="9"/>
        <v>1000</v>
      </c>
      <c r="E156" s="14">
        <f t="shared" si="11"/>
        <v>2000</v>
      </c>
      <c r="F156" s="14">
        <f t="shared" si="11"/>
        <v>2000</v>
      </c>
      <c r="G156" s="14">
        <f t="shared" si="11"/>
        <v>604</v>
      </c>
      <c r="H156" s="14">
        <f t="shared" si="11"/>
        <v>0</v>
      </c>
      <c r="I156" s="52">
        <f t="shared" si="11"/>
        <v>0</v>
      </c>
      <c r="J156" s="14">
        <f t="shared" si="12"/>
        <v>0</v>
      </c>
      <c r="K156" s="75">
        <f t="shared" si="13"/>
        <v>2140645.4728370225</v>
      </c>
    </row>
    <row r="157" spans="1:11" x14ac:dyDescent="0.25">
      <c r="A157" s="61">
        <f>'A) Base RI'!A156</f>
        <v>5648</v>
      </c>
      <c r="B157" s="42" t="str">
        <f>'A) Base RI'!B156</f>
        <v>Saint-Sulpice</v>
      </c>
      <c r="C157" s="14">
        <f>'A) Base RI'!AN156</f>
        <v>3898</v>
      </c>
      <c r="D157" s="41">
        <f t="shared" si="9"/>
        <v>1000</v>
      </c>
      <c r="E157" s="14">
        <f t="shared" si="11"/>
        <v>2000</v>
      </c>
      <c r="F157" s="14">
        <f t="shared" si="11"/>
        <v>898</v>
      </c>
      <c r="G157" s="14">
        <f t="shared" si="11"/>
        <v>0</v>
      </c>
      <c r="H157" s="14">
        <f t="shared" si="11"/>
        <v>0</v>
      </c>
      <c r="I157" s="52">
        <f t="shared" si="11"/>
        <v>0</v>
      </c>
      <c r="J157" s="14">
        <f t="shared" si="12"/>
        <v>0</v>
      </c>
      <c r="K157" s="75">
        <f t="shared" si="13"/>
        <v>1236434.6076458753</v>
      </c>
    </row>
    <row r="158" spans="1:11" x14ac:dyDescent="0.25">
      <c r="A158" s="61">
        <f>'A) Base RI'!A157</f>
        <v>5649</v>
      </c>
      <c r="B158" s="42" t="str">
        <f>'A) Base RI'!B157</f>
        <v>Tolochenaz</v>
      </c>
      <c r="C158" s="14">
        <f>'A) Base RI'!AN157</f>
        <v>1855</v>
      </c>
      <c r="D158" s="41">
        <f t="shared" si="9"/>
        <v>1000</v>
      </c>
      <c r="E158" s="14">
        <f t="shared" si="11"/>
        <v>855</v>
      </c>
      <c r="F158" s="14">
        <f t="shared" si="11"/>
        <v>0</v>
      </c>
      <c r="G158" s="14">
        <f t="shared" si="11"/>
        <v>0</v>
      </c>
      <c r="H158" s="14">
        <f t="shared" si="11"/>
        <v>0</v>
      </c>
      <c r="I158" s="52">
        <f t="shared" si="11"/>
        <v>0</v>
      </c>
      <c r="J158" s="14">
        <f t="shared" si="12"/>
        <v>0</v>
      </c>
      <c r="K158" s="75">
        <f t="shared" si="13"/>
        <v>395233.4004024145</v>
      </c>
    </row>
    <row r="159" spans="1:11" x14ac:dyDescent="0.25">
      <c r="A159" s="61">
        <f>'A) Base RI'!A158</f>
        <v>5650</v>
      </c>
      <c r="B159" s="42" t="str">
        <f>'A) Base RI'!B158</f>
        <v>Vaux-sur-Morges</v>
      </c>
      <c r="C159" s="14">
        <f>'A) Base RI'!AN158</f>
        <v>203</v>
      </c>
      <c r="D159" s="41">
        <f t="shared" si="9"/>
        <v>203</v>
      </c>
      <c r="E159" s="14">
        <f t="shared" si="11"/>
        <v>0</v>
      </c>
      <c r="F159" s="14">
        <f t="shared" si="11"/>
        <v>0</v>
      </c>
      <c r="G159" s="14">
        <f t="shared" si="11"/>
        <v>0</v>
      </c>
      <c r="H159" s="14">
        <f t="shared" si="11"/>
        <v>0</v>
      </c>
      <c r="I159" s="52">
        <f t="shared" si="11"/>
        <v>0</v>
      </c>
      <c r="J159" s="14">
        <f t="shared" si="12"/>
        <v>0</v>
      </c>
      <c r="K159" s="75">
        <f t="shared" si="13"/>
        <v>20095.774647887323</v>
      </c>
    </row>
    <row r="160" spans="1:11" x14ac:dyDescent="0.25">
      <c r="A160" s="61">
        <f>'A) Base RI'!A159</f>
        <v>5651</v>
      </c>
      <c r="B160" s="42" t="str">
        <f>'A) Base RI'!B159</f>
        <v>Villars-Sainte-Croix</v>
      </c>
      <c r="C160" s="14">
        <f>'A) Base RI'!AN159</f>
        <v>709</v>
      </c>
      <c r="D160" s="41">
        <f t="shared" si="9"/>
        <v>709</v>
      </c>
      <c r="E160" s="14">
        <f t="shared" si="11"/>
        <v>0</v>
      </c>
      <c r="F160" s="14">
        <f t="shared" si="11"/>
        <v>0</v>
      </c>
      <c r="G160" s="14">
        <f t="shared" si="11"/>
        <v>0</v>
      </c>
      <c r="H160" s="14">
        <f t="shared" si="11"/>
        <v>0</v>
      </c>
      <c r="I160" s="52">
        <f t="shared" si="11"/>
        <v>0</v>
      </c>
      <c r="J160" s="14">
        <f t="shared" si="12"/>
        <v>0</v>
      </c>
      <c r="K160" s="75">
        <f t="shared" si="13"/>
        <v>70186.720321931585</v>
      </c>
    </row>
    <row r="161" spans="1:11" x14ac:dyDescent="0.25">
      <c r="A161" s="61">
        <f>'A) Base RI'!A160</f>
        <v>5652</v>
      </c>
      <c r="B161" s="42" t="str">
        <f>'A) Base RI'!B160</f>
        <v>Villars-sous-Yens</v>
      </c>
      <c r="C161" s="14">
        <f>'A) Base RI'!AN160</f>
        <v>564</v>
      </c>
      <c r="D161" s="41">
        <f t="shared" si="9"/>
        <v>564</v>
      </c>
      <c r="E161" s="14">
        <f t="shared" si="11"/>
        <v>0</v>
      </c>
      <c r="F161" s="14">
        <f t="shared" si="11"/>
        <v>0</v>
      </c>
      <c r="G161" s="14">
        <f t="shared" si="11"/>
        <v>0</v>
      </c>
      <c r="H161" s="14">
        <f t="shared" si="11"/>
        <v>0</v>
      </c>
      <c r="I161" s="52">
        <f t="shared" ref="E161:I193" si="14">IF($C161&gt;I$4,IF($C161&lt;I$5,$C161-I$4,I$5-I$4),0)</f>
        <v>0</v>
      </c>
      <c r="J161" s="14">
        <f t="shared" si="12"/>
        <v>0</v>
      </c>
      <c r="K161" s="75">
        <f t="shared" si="13"/>
        <v>55832.595573440638</v>
      </c>
    </row>
    <row r="162" spans="1:11" x14ac:dyDescent="0.25">
      <c r="A162" s="61">
        <f>'A) Base RI'!A161</f>
        <v>5653</v>
      </c>
      <c r="B162" s="42" t="str">
        <f>'A) Base RI'!B161</f>
        <v>Vufflens-le-Château</v>
      </c>
      <c r="C162" s="14">
        <f>'A) Base RI'!AN161</f>
        <v>821</v>
      </c>
      <c r="D162" s="41">
        <f t="shared" si="9"/>
        <v>821</v>
      </c>
      <c r="E162" s="14">
        <f t="shared" si="14"/>
        <v>0</v>
      </c>
      <c r="F162" s="14">
        <f t="shared" si="14"/>
        <v>0</v>
      </c>
      <c r="G162" s="14">
        <f t="shared" si="14"/>
        <v>0</v>
      </c>
      <c r="H162" s="14">
        <f t="shared" si="14"/>
        <v>0</v>
      </c>
      <c r="I162" s="52">
        <f t="shared" si="14"/>
        <v>0</v>
      </c>
      <c r="J162" s="14">
        <f t="shared" si="12"/>
        <v>0</v>
      </c>
      <c r="K162" s="75">
        <f t="shared" si="13"/>
        <v>81274.044265593562</v>
      </c>
    </row>
    <row r="163" spans="1:11" x14ac:dyDescent="0.25">
      <c r="A163" s="61">
        <f>'A) Base RI'!A162</f>
        <v>5654</v>
      </c>
      <c r="B163" s="42" t="str">
        <f>'A) Base RI'!B162</f>
        <v>Vullierens</v>
      </c>
      <c r="C163" s="14">
        <f>'A) Base RI'!AN162</f>
        <v>460</v>
      </c>
      <c r="D163" s="41">
        <f t="shared" ref="D163:D215" si="15">IF($C163&gt;D$4,IF($C163&lt;D$5,$C163-D$4,D$5-D$4),0)</f>
        <v>460</v>
      </c>
      <c r="E163" s="14">
        <f t="shared" si="14"/>
        <v>0</v>
      </c>
      <c r="F163" s="14">
        <f t="shared" si="14"/>
        <v>0</v>
      </c>
      <c r="G163" s="14">
        <f t="shared" si="14"/>
        <v>0</v>
      </c>
      <c r="H163" s="14">
        <f t="shared" si="14"/>
        <v>0</v>
      </c>
      <c r="I163" s="52">
        <f t="shared" si="14"/>
        <v>0</v>
      </c>
      <c r="J163" s="14">
        <f t="shared" si="12"/>
        <v>0</v>
      </c>
      <c r="K163" s="75">
        <f t="shared" si="13"/>
        <v>45537.22334004024</v>
      </c>
    </row>
    <row r="164" spans="1:11" x14ac:dyDescent="0.25">
      <c r="A164" s="61">
        <f>'A) Base RI'!A163</f>
        <v>5655</v>
      </c>
      <c r="B164" s="42" t="str">
        <f>'A) Base RI'!B163</f>
        <v>Yens</v>
      </c>
      <c r="C164" s="14">
        <f>'A) Base RI'!AN163</f>
        <v>1405</v>
      </c>
      <c r="D164" s="41">
        <f t="shared" si="15"/>
        <v>1000</v>
      </c>
      <c r="E164" s="14">
        <f t="shared" si="14"/>
        <v>405</v>
      </c>
      <c r="F164" s="14">
        <f t="shared" si="14"/>
        <v>0</v>
      </c>
      <c r="G164" s="14">
        <f t="shared" si="14"/>
        <v>0</v>
      </c>
      <c r="H164" s="14">
        <f t="shared" si="14"/>
        <v>0</v>
      </c>
      <c r="I164" s="52">
        <f t="shared" si="14"/>
        <v>0</v>
      </c>
      <c r="J164" s="14">
        <f t="shared" si="12"/>
        <v>0</v>
      </c>
      <c r="K164" s="75">
        <f t="shared" si="13"/>
        <v>239317.907444668</v>
      </c>
    </row>
    <row r="165" spans="1:11" x14ac:dyDescent="0.25">
      <c r="A165" s="61">
        <f>'A) Base RI'!A164</f>
        <v>5661</v>
      </c>
      <c r="B165" s="42" t="str">
        <f>'A) Base RI'!B164</f>
        <v>Boulens</v>
      </c>
      <c r="C165" s="14">
        <f>'A) Base RI'!AN164</f>
        <v>325</v>
      </c>
      <c r="D165" s="41">
        <f t="shared" si="15"/>
        <v>325</v>
      </c>
      <c r="E165" s="14">
        <f t="shared" si="14"/>
        <v>0</v>
      </c>
      <c r="F165" s="14">
        <f t="shared" si="14"/>
        <v>0</v>
      </c>
      <c r="G165" s="14">
        <f t="shared" si="14"/>
        <v>0</v>
      </c>
      <c r="H165" s="14">
        <f t="shared" si="14"/>
        <v>0</v>
      </c>
      <c r="I165" s="52">
        <f t="shared" si="14"/>
        <v>0</v>
      </c>
      <c r="J165" s="14">
        <f t="shared" si="12"/>
        <v>0</v>
      </c>
      <c r="K165" s="75">
        <f t="shared" si="13"/>
        <v>32173.038229376256</v>
      </c>
    </row>
    <row r="166" spans="1:11" x14ac:dyDescent="0.25">
      <c r="A166" s="61">
        <f>'A) Base RI'!A165</f>
        <v>5662</v>
      </c>
      <c r="B166" s="42" t="str">
        <f>'A) Base RI'!B165</f>
        <v>Brenles</v>
      </c>
      <c r="C166" s="14">
        <f>'A) Base RI'!AN165</f>
        <v>144</v>
      </c>
      <c r="D166" s="41">
        <f t="shared" si="15"/>
        <v>144</v>
      </c>
      <c r="E166" s="14">
        <f t="shared" si="14"/>
        <v>0</v>
      </c>
      <c r="F166" s="14">
        <f t="shared" si="14"/>
        <v>0</v>
      </c>
      <c r="G166" s="14">
        <f t="shared" si="14"/>
        <v>0</v>
      </c>
      <c r="H166" s="14">
        <f t="shared" si="14"/>
        <v>0</v>
      </c>
      <c r="I166" s="52">
        <f t="shared" si="14"/>
        <v>0</v>
      </c>
      <c r="J166" s="14">
        <f t="shared" si="12"/>
        <v>0</v>
      </c>
      <c r="K166" s="75">
        <f t="shared" si="13"/>
        <v>14255.130784708248</v>
      </c>
    </row>
    <row r="167" spans="1:11" x14ac:dyDescent="0.25">
      <c r="A167" s="61">
        <f>'A) Base RI'!A166</f>
        <v>5663</v>
      </c>
      <c r="B167" s="42" t="str">
        <f>'A) Base RI'!B166</f>
        <v>Bussy-sur-Moudon</v>
      </c>
      <c r="C167" s="14">
        <f>'A) Base RI'!AN166</f>
        <v>198</v>
      </c>
      <c r="D167" s="41">
        <f t="shared" si="15"/>
        <v>198</v>
      </c>
      <c r="E167" s="14">
        <f t="shared" si="14"/>
        <v>0</v>
      </c>
      <c r="F167" s="14">
        <f t="shared" si="14"/>
        <v>0</v>
      </c>
      <c r="G167" s="14">
        <f t="shared" si="14"/>
        <v>0</v>
      </c>
      <c r="H167" s="14">
        <f t="shared" si="14"/>
        <v>0</v>
      </c>
      <c r="I167" s="52">
        <f t="shared" si="14"/>
        <v>0</v>
      </c>
      <c r="J167" s="14">
        <f t="shared" si="12"/>
        <v>0</v>
      </c>
      <c r="K167" s="75">
        <f t="shared" si="13"/>
        <v>19600.80482897384</v>
      </c>
    </row>
    <row r="168" spans="1:11" x14ac:dyDescent="0.25">
      <c r="A168" s="61">
        <f>'A) Base RI'!A167</f>
        <v>5665</v>
      </c>
      <c r="B168" s="42" t="str">
        <f>'A) Base RI'!B167</f>
        <v>Chavannes-sur-Moudon</v>
      </c>
      <c r="C168" s="14">
        <f>'A) Base RI'!AN167</f>
        <v>224</v>
      </c>
      <c r="D168" s="41">
        <f t="shared" si="15"/>
        <v>224</v>
      </c>
      <c r="E168" s="14">
        <f t="shared" si="14"/>
        <v>0</v>
      </c>
      <c r="F168" s="14">
        <f t="shared" si="14"/>
        <v>0</v>
      </c>
      <c r="G168" s="14">
        <f t="shared" si="14"/>
        <v>0</v>
      </c>
      <c r="H168" s="14">
        <f t="shared" si="14"/>
        <v>0</v>
      </c>
      <c r="I168" s="52">
        <f t="shared" si="14"/>
        <v>0</v>
      </c>
      <c r="J168" s="14">
        <f t="shared" si="12"/>
        <v>0</v>
      </c>
      <c r="K168" s="75">
        <f t="shared" si="13"/>
        <v>22174.647887323943</v>
      </c>
    </row>
    <row r="169" spans="1:11" x14ac:dyDescent="0.25">
      <c r="A169" s="61">
        <f>'A) Base RI'!A168</f>
        <v>5666</v>
      </c>
      <c r="B169" s="42" t="str">
        <f>'A) Base RI'!B168</f>
        <v>Chesalles-sur-Moudon</v>
      </c>
      <c r="C169" s="14">
        <f>'A) Base RI'!AN168</f>
        <v>169</v>
      </c>
      <c r="D169" s="41">
        <f t="shared" si="15"/>
        <v>169</v>
      </c>
      <c r="E169" s="14">
        <f t="shared" si="14"/>
        <v>0</v>
      </c>
      <c r="F169" s="14">
        <f t="shared" si="14"/>
        <v>0</v>
      </c>
      <c r="G169" s="14">
        <f t="shared" si="14"/>
        <v>0</v>
      </c>
      <c r="H169" s="14">
        <f t="shared" si="14"/>
        <v>0</v>
      </c>
      <c r="I169" s="52">
        <f t="shared" si="14"/>
        <v>0</v>
      </c>
      <c r="J169" s="14">
        <f>IF(C169&gt;$J$4,C169-$J$4,0)</f>
        <v>0</v>
      </c>
      <c r="K169" s="75">
        <f t="shared" si="13"/>
        <v>16729.979879275652</v>
      </c>
    </row>
    <row r="170" spans="1:11" x14ac:dyDescent="0.25">
      <c r="A170" s="61">
        <f>'A) Base RI'!A169</f>
        <v>5668</v>
      </c>
      <c r="B170" s="42" t="str">
        <f>'A) Base RI'!B169</f>
        <v>Cremin</v>
      </c>
      <c r="C170" s="14">
        <f>'A) Base RI'!AN169</f>
        <v>58</v>
      </c>
      <c r="D170" s="41">
        <f t="shared" si="15"/>
        <v>58</v>
      </c>
      <c r="E170" s="14">
        <f t="shared" si="14"/>
        <v>0</v>
      </c>
      <c r="F170" s="14">
        <f t="shared" si="14"/>
        <v>0</v>
      </c>
      <c r="G170" s="14">
        <f t="shared" si="14"/>
        <v>0</v>
      </c>
      <c r="H170" s="14">
        <f t="shared" si="14"/>
        <v>0</v>
      </c>
      <c r="I170" s="52">
        <f t="shared" si="14"/>
        <v>0</v>
      </c>
      <c r="J170" s="14">
        <f t="shared" ref="J170:J233" si="16">IF(C170&gt;$J$4,C170-$J$4,0)</f>
        <v>0</v>
      </c>
      <c r="K170" s="75">
        <f t="shared" si="13"/>
        <v>5741.6498993963778</v>
      </c>
    </row>
    <row r="171" spans="1:11" x14ac:dyDescent="0.25">
      <c r="A171" s="61">
        <f>'A) Base RI'!A170</f>
        <v>5669</v>
      </c>
      <c r="B171" s="42" t="str">
        <f>'A) Base RI'!B170</f>
        <v>Curtilles</v>
      </c>
      <c r="C171" s="14">
        <f>'A) Base RI'!AN170</f>
        <v>311</v>
      </c>
      <c r="D171" s="41">
        <f t="shared" si="15"/>
        <v>311</v>
      </c>
      <c r="E171" s="14">
        <f t="shared" si="14"/>
        <v>0</v>
      </c>
      <c r="F171" s="14">
        <f t="shared" si="14"/>
        <v>0</v>
      </c>
      <c r="G171" s="14">
        <f t="shared" si="14"/>
        <v>0</v>
      </c>
      <c r="H171" s="14">
        <f t="shared" si="14"/>
        <v>0</v>
      </c>
      <c r="I171" s="52">
        <f t="shared" si="14"/>
        <v>0</v>
      </c>
      <c r="J171" s="14">
        <f t="shared" si="16"/>
        <v>0</v>
      </c>
      <c r="K171" s="75">
        <f t="shared" si="13"/>
        <v>30787.122736418511</v>
      </c>
    </row>
    <row r="172" spans="1:11" x14ac:dyDescent="0.25">
      <c r="A172" s="61">
        <f>'A) Base RI'!A171</f>
        <v>5671</v>
      </c>
      <c r="B172" s="42" t="str">
        <f>'A) Base RI'!B171</f>
        <v>Dompierre</v>
      </c>
      <c r="C172" s="14">
        <f>'A) Base RI'!AN171</f>
        <v>247</v>
      </c>
      <c r="D172" s="41">
        <f t="shared" si="15"/>
        <v>247</v>
      </c>
      <c r="E172" s="14">
        <f t="shared" si="14"/>
        <v>0</v>
      </c>
      <c r="F172" s="14">
        <f t="shared" si="14"/>
        <v>0</v>
      </c>
      <c r="G172" s="14">
        <f t="shared" si="14"/>
        <v>0</v>
      </c>
      <c r="H172" s="14">
        <f t="shared" si="14"/>
        <v>0</v>
      </c>
      <c r="I172" s="52">
        <f t="shared" si="14"/>
        <v>0</v>
      </c>
      <c r="J172" s="14">
        <f t="shared" si="16"/>
        <v>0</v>
      </c>
      <c r="K172" s="75">
        <f t="shared" si="13"/>
        <v>24451.509054325954</v>
      </c>
    </row>
    <row r="173" spans="1:11" x14ac:dyDescent="0.25">
      <c r="A173" s="61">
        <f>'A) Base RI'!A172</f>
        <v>5672</v>
      </c>
      <c r="B173" s="42" t="str">
        <f>'A) Base RI'!B172</f>
        <v>Forel-sur-Lucens</v>
      </c>
      <c r="C173" s="14">
        <f>'A) Base RI'!AN172</f>
        <v>154</v>
      </c>
      <c r="D173" s="41">
        <f t="shared" si="15"/>
        <v>154</v>
      </c>
      <c r="E173" s="14">
        <f t="shared" si="14"/>
        <v>0</v>
      </c>
      <c r="F173" s="14">
        <f t="shared" si="14"/>
        <v>0</v>
      </c>
      <c r="G173" s="14">
        <f t="shared" si="14"/>
        <v>0</v>
      </c>
      <c r="H173" s="14">
        <f t="shared" si="14"/>
        <v>0</v>
      </c>
      <c r="I173" s="52">
        <f t="shared" si="14"/>
        <v>0</v>
      </c>
      <c r="J173" s="14">
        <f t="shared" si="16"/>
        <v>0</v>
      </c>
      <c r="K173" s="75">
        <f t="shared" si="13"/>
        <v>15245.070422535211</v>
      </c>
    </row>
    <row r="174" spans="1:11" x14ac:dyDescent="0.25">
      <c r="A174" s="61">
        <f>'A) Base RI'!A173</f>
        <v>5673</v>
      </c>
      <c r="B174" s="42" t="str">
        <f>'A) Base RI'!B173</f>
        <v>Hermenches</v>
      </c>
      <c r="C174" s="14">
        <f>'A) Base RI'!AN173</f>
        <v>382</v>
      </c>
      <c r="D174" s="41">
        <f t="shared" si="15"/>
        <v>382</v>
      </c>
      <c r="E174" s="14">
        <f t="shared" si="14"/>
        <v>0</v>
      </c>
      <c r="F174" s="14">
        <f t="shared" si="14"/>
        <v>0</v>
      </c>
      <c r="G174" s="14">
        <f t="shared" si="14"/>
        <v>0</v>
      </c>
      <c r="H174" s="14">
        <f t="shared" si="14"/>
        <v>0</v>
      </c>
      <c r="I174" s="52">
        <f t="shared" si="14"/>
        <v>0</v>
      </c>
      <c r="J174" s="14">
        <f t="shared" si="16"/>
        <v>0</v>
      </c>
      <c r="K174" s="75">
        <f t="shared" si="13"/>
        <v>37815.694164989938</v>
      </c>
    </row>
    <row r="175" spans="1:11" x14ac:dyDescent="0.25">
      <c r="A175" s="61">
        <f>'A) Base RI'!A174</f>
        <v>5674</v>
      </c>
      <c r="B175" s="42" t="str">
        <f>'A) Base RI'!B174</f>
        <v>Lovatens</v>
      </c>
      <c r="C175" s="14">
        <f>'A) Base RI'!AN174</f>
        <v>151</v>
      </c>
      <c r="D175" s="41">
        <f t="shared" si="15"/>
        <v>151</v>
      </c>
      <c r="E175" s="14">
        <f t="shared" si="14"/>
        <v>0</v>
      </c>
      <c r="F175" s="14">
        <f t="shared" si="14"/>
        <v>0</v>
      </c>
      <c r="G175" s="14">
        <f t="shared" si="14"/>
        <v>0</v>
      </c>
      <c r="H175" s="14">
        <f t="shared" si="14"/>
        <v>0</v>
      </c>
      <c r="I175" s="52">
        <f t="shared" si="14"/>
        <v>0</v>
      </c>
      <c r="J175" s="14">
        <f t="shared" si="16"/>
        <v>0</v>
      </c>
      <c r="K175" s="75">
        <f t="shared" si="13"/>
        <v>14948.088531187122</v>
      </c>
    </row>
    <row r="176" spans="1:11" x14ac:dyDescent="0.25">
      <c r="A176" s="61">
        <f>'A) Base RI'!A175</f>
        <v>5675</v>
      </c>
      <c r="B176" s="42" t="str">
        <f>'A) Base RI'!B175</f>
        <v>Lucens</v>
      </c>
      <c r="C176" s="14">
        <f>'A) Base RI'!AN175</f>
        <v>3285</v>
      </c>
      <c r="D176" s="41">
        <f t="shared" si="15"/>
        <v>1000</v>
      </c>
      <c r="E176" s="14">
        <f t="shared" si="14"/>
        <v>2000</v>
      </c>
      <c r="F176" s="14">
        <f t="shared" si="14"/>
        <v>285</v>
      </c>
      <c r="G176" s="14">
        <f t="shared" si="14"/>
        <v>0</v>
      </c>
      <c r="H176" s="14">
        <f t="shared" si="14"/>
        <v>0</v>
      </c>
      <c r="I176" s="52">
        <f t="shared" si="14"/>
        <v>0</v>
      </c>
      <c r="J176" s="14">
        <f t="shared" si="16"/>
        <v>0</v>
      </c>
      <c r="K176" s="75">
        <f t="shared" si="13"/>
        <v>933018.10865191137</v>
      </c>
    </row>
    <row r="177" spans="1:11" x14ac:dyDescent="0.25">
      <c r="A177" s="61">
        <f>'A) Base RI'!A176</f>
        <v>5678</v>
      </c>
      <c r="B177" s="42" t="str">
        <f>'A) Base RI'!B176</f>
        <v>Moudon</v>
      </c>
      <c r="C177" s="14">
        <f>'A) Base RI'!AN176</f>
        <v>5770</v>
      </c>
      <c r="D177" s="41">
        <f t="shared" si="15"/>
        <v>1000</v>
      </c>
      <c r="E177" s="14">
        <f t="shared" si="14"/>
        <v>2000</v>
      </c>
      <c r="F177" s="14">
        <f t="shared" si="14"/>
        <v>2000</v>
      </c>
      <c r="G177" s="14">
        <f t="shared" si="14"/>
        <v>770</v>
      </c>
      <c r="H177" s="14">
        <f t="shared" si="14"/>
        <v>0</v>
      </c>
      <c r="I177" s="52">
        <f t="shared" si="14"/>
        <v>0</v>
      </c>
      <c r="J177" s="14">
        <f t="shared" si="16"/>
        <v>0</v>
      </c>
      <c r="K177" s="75">
        <f t="shared" si="13"/>
        <v>2239243.4607645879</v>
      </c>
    </row>
    <row r="178" spans="1:11" x14ac:dyDescent="0.25">
      <c r="A178" s="61">
        <f>'A) Base RI'!A177</f>
        <v>5680</v>
      </c>
      <c r="B178" s="42" t="str">
        <f>'A) Base RI'!B177</f>
        <v>Ogens</v>
      </c>
      <c r="C178" s="14">
        <f>'A) Base RI'!AN177</f>
        <v>283</v>
      </c>
      <c r="D178" s="41">
        <f t="shared" si="15"/>
        <v>283</v>
      </c>
      <c r="E178" s="14">
        <f t="shared" si="14"/>
        <v>0</v>
      </c>
      <c r="F178" s="14">
        <f t="shared" si="14"/>
        <v>0</v>
      </c>
      <c r="G178" s="14">
        <f t="shared" si="14"/>
        <v>0</v>
      </c>
      <c r="H178" s="14">
        <f t="shared" si="14"/>
        <v>0</v>
      </c>
      <c r="I178" s="52">
        <f t="shared" si="14"/>
        <v>0</v>
      </c>
      <c r="J178" s="14">
        <f t="shared" si="16"/>
        <v>0</v>
      </c>
      <c r="K178" s="75">
        <f t="shared" si="13"/>
        <v>28015.291750503016</v>
      </c>
    </row>
    <row r="179" spans="1:11" x14ac:dyDescent="0.25">
      <c r="A179" s="61">
        <f>'A) Base RI'!A178</f>
        <v>5683</v>
      </c>
      <c r="B179" s="42" t="str">
        <f>'A) Base RI'!B178</f>
        <v>Prévonloup</v>
      </c>
      <c r="C179" s="14">
        <f>'A) Base RI'!AN178</f>
        <v>172</v>
      </c>
      <c r="D179" s="41">
        <f t="shared" si="15"/>
        <v>172</v>
      </c>
      <c r="E179" s="14">
        <f t="shared" si="14"/>
        <v>0</v>
      </c>
      <c r="F179" s="14">
        <f t="shared" si="14"/>
        <v>0</v>
      </c>
      <c r="G179" s="14">
        <f t="shared" si="14"/>
        <v>0</v>
      </c>
      <c r="H179" s="14">
        <f t="shared" si="14"/>
        <v>0</v>
      </c>
      <c r="I179" s="52">
        <f t="shared" si="14"/>
        <v>0</v>
      </c>
      <c r="J179" s="14">
        <f t="shared" si="16"/>
        <v>0</v>
      </c>
      <c r="K179" s="75">
        <f t="shared" si="13"/>
        <v>17026.96177062374</v>
      </c>
    </row>
    <row r="180" spans="1:11" x14ac:dyDescent="0.25">
      <c r="A180" s="61">
        <f>'A) Base RI'!A179</f>
        <v>5684</v>
      </c>
      <c r="B180" s="42" t="str">
        <f>'A) Base RI'!B179</f>
        <v>Rossenges</v>
      </c>
      <c r="C180" s="14">
        <f>'A) Base RI'!AN179</f>
        <v>65</v>
      </c>
      <c r="D180" s="41">
        <f t="shared" si="15"/>
        <v>65</v>
      </c>
      <c r="E180" s="14">
        <f t="shared" si="14"/>
        <v>0</v>
      </c>
      <c r="F180" s="14">
        <f t="shared" si="14"/>
        <v>0</v>
      </c>
      <c r="G180" s="14">
        <f t="shared" si="14"/>
        <v>0</v>
      </c>
      <c r="H180" s="14">
        <f t="shared" si="14"/>
        <v>0</v>
      </c>
      <c r="I180" s="52">
        <f t="shared" si="14"/>
        <v>0</v>
      </c>
      <c r="J180" s="14">
        <f t="shared" si="16"/>
        <v>0</v>
      </c>
      <c r="K180" s="75">
        <f t="shared" si="13"/>
        <v>6434.6076458752514</v>
      </c>
    </row>
    <row r="181" spans="1:11" x14ac:dyDescent="0.25">
      <c r="A181" s="61">
        <f>'A) Base RI'!A180</f>
        <v>5686</v>
      </c>
      <c r="B181" s="42" t="str">
        <f>'A) Base RI'!B180</f>
        <v>Sarzens</v>
      </c>
      <c r="C181" s="14">
        <f>'A) Base RI'!AN180</f>
        <v>80</v>
      </c>
      <c r="D181" s="41">
        <f t="shared" si="15"/>
        <v>80</v>
      </c>
      <c r="E181" s="14">
        <f t="shared" si="14"/>
        <v>0</v>
      </c>
      <c r="F181" s="14">
        <f t="shared" si="14"/>
        <v>0</v>
      </c>
      <c r="G181" s="14">
        <f t="shared" si="14"/>
        <v>0</v>
      </c>
      <c r="H181" s="14">
        <f t="shared" si="14"/>
        <v>0</v>
      </c>
      <c r="I181" s="52">
        <f t="shared" si="14"/>
        <v>0</v>
      </c>
      <c r="J181" s="14">
        <f t="shared" si="16"/>
        <v>0</v>
      </c>
      <c r="K181" s="75">
        <f t="shared" si="13"/>
        <v>7919.5171026156931</v>
      </c>
    </row>
    <row r="182" spans="1:11" x14ac:dyDescent="0.25">
      <c r="A182" s="61">
        <f>'A) Base RI'!A181</f>
        <v>5688</v>
      </c>
      <c r="B182" s="42" t="str">
        <f>'A) Base RI'!B181</f>
        <v>Syens</v>
      </c>
      <c r="C182" s="14">
        <f>'A) Base RI'!AN181</f>
        <v>139</v>
      </c>
      <c r="D182" s="41">
        <f t="shared" si="15"/>
        <v>139</v>
      </c>
      <c r="E182" s="14">
        <f t="shared" si="14"/>
        <v>0</v>
      </c>
      <c r="F182" s="14">
        <f t="shared" si="14"/>
        <v>0</v>
      </c>
      <c r="G182" s="14">
        <f t="shared" si="14"/>
        <v>0</v>
      </c>
      <c r="H182" s="14">
        <f t="shared" si="14"/>
        <v>0</v>
      </c>
      <c r="I182" s="52">
        <f t="shared" si="14"/>
        <v>0</v>
      </c>
      <c r="J182" s="14">
        <f t="shared" si="16"/>
        <v>0</v>
      </c>
      <c r="K182" s="75">
        <f t="shared" si="13"/>
        <v>13760.160965794768</v>
      </c>
    </row>
    <row r="183" spans="1:11" x14ac:dyDescent="0.25">
      <c r="A183" s="61">
        <f>'A) Base RI'!A182</f>
        <v>5690</v>
      </c>
      <c r="B183" s="42" t="str">
        <f>'A) Base RI'!B182</f>
        <v>Villars-le-Comte</v>
      </c>
      <c r="C183" s="14">
        <f>'A) Base RI'!AN182</f>
        <v>150</v>
      </c>
      <c r="D183" s="41">
        <f t="shared" si="15"/>
        <v>150</v>
      </c>
      <c r="E183" s="14">
        <f t="shared" si="14"/>
        <v>0</v>
      </c>
      <c r="F183" s="14">
        <f t="shared" si="14"/>
        <v>0</v>
      </c>
      <c r="G183" s="14">
        <f t="shared" si="14"/>
        <v>0</v>
      </c>
      <c r="H183" s="14">
        <f t="shared" si="14"/>
        <v>0</v>
      </c>
      <c r="I183" s="52">
        <f t="shared" si="14"/>
        <v>0</v>
      </c>
      <c r="J183" s="14">
        <f t="shared" si="16"/>
        <v>0</v>
      </c>
      <c r="K183" s="75">
        <f t="shared" si="13"/>
        <v>14849.094567404425</v>
      </c>
    </row>
    <row r="184" spans="1:11" x14ac:dyDescent="0.25">
      <c r="A184" s="61">
        <f>'A) Base RI'!A183</f>
        <v>5692</v>
      </c>
      <c r="B184" s="42" t="str">
        <f>'A) Base RI'!B183</f>
        <v>Vucherens</v>
      </c>
      <c r="C184" s="14">
        <f>'A) Base RI'!AN183</f>
        <v>543</v>
      </c>
      <c r="D184" s="41">
        <f t="shared" si="15"/>
        <v>543</v>
      </c>
      <c r="E184" s="14">
        <f t="shared" si="14"/>
        <v>0</v>
      </c>
      <c r="F184" s="14">
        <f t="shared" si="14"/>
        <v>0</v>
      </c>
      <c r="G184" s="14">
        <f t="shared" si="14"/>
        <v>0</v>
      </c>
      <c r="H184" s="14">
        <f t="shared" si="14"/>
        <v>0</v>
      </c>
      <c r="I184" s="52">
        <f t="shared" si="14"/>
        <v>0</v>
      </c>
      <c r="J184" s="14">
        <f t="shared" si="16"/>
        <v>0</v>
      </c>
      <c r="K184" s="75">
        <f t="shared" si="13"/>
        <v>53753.722334004022</v>
      </c>
    </row>
    <row r="185" spans="1:11" x14ac:dyDescent="0.25">
      <c r="A185" s="61">
        <f>'A) Base RI'!A184</f>
        <v>5693</v>
      </c>
      <c r="B185" s="42" t="str">
        <f>'A) Base RI'!B184</f>
        <v>Montanaire</v>
      </c>
      <c r="C185" s="14">
        <f>'A) Base RI'!AN184</f>
        <v>2421</v>
      </c>
      <c r="D185" s="41">
        <f t="shared" si="15"/>
        <v>1000</v>
      </c>
      <c r="E185" s="14">
        <f t="shared" si="14"/>
        <v>1421</v>
      </c>
      <c r="F185" s="14">
        <f t="shared" si="14"/>
        <v>0</v>
      </c>
      <c r="G185" s="14">
        <f t="shared" si="14"/>
        <v>0</v>
      </c>
      <c r="H185" s="14">
        <f t="shared" si="14"/>
        <v>0</v>
      </c>
      <c r="I185" s="52">
        <f t="shared" si="14"/>
        <v>0</v>
      </c>
      <c r="J185" s="14">
        <f t="shared" si="16"/>
        <v>0</v>
      </c>
      <c r="K185" s="75">
        <f t="shared" si="13"/>
        <v>591340.44265593565</v>
      </c>
    </row>
    <row r="186" spans="1:11" x14ac:dyDescent="0.25">
      <c r="A186" s="61">
        <f>'A) Base RI'!A185</f>
        <v>5701</v>
      </c>
      <c r="B186" s="42" t="str">
        <f>'A) Base RI'!B185</f>
        <v>Arnex-sur-Nyon</v>
      </c>
      <c r="C186" s="14">
        <f>'A) Base RI'!AN185</f>
        <v>208</v>
      </c>
      <c r="D186" s="41">
        <f t="shared" si="15"/>
        <v>208</v>
      </c>
      <c r="E186" s="14">
        <f t="shared" si="14"/>
        <v>0</v>
      </c>
      <c r="F186" s="14">
        <f t="shared" si="14"/>
        <v>0</v>
      </c>
      <c r="G186" s="14">
        <f t="shared" si="14"/>
        <v>0</v>
      </c>
      <c r="H186" s="14">
        <f t="shared" si="14"/>
        <v>0</v>
      </c>
      <c r="I186" s="52">
        <f t="shared" si="14"/>
        <v>0</v>
      </c>
      <c r="J186" s="14">
        <f t="shared" si="16"/>
        <v>0</v>
      </c>
      <c r="K186" s="75">
        <f t="shared" si="13"/>
        <v>20590.744466800803</v>
      </c>
    </row>
    <row r="187" spans="1:11" x14ac:dyDescent="0.25">
      <c r="A187" s="61">
        <f>'A) Base RI'!A186</f>
        <v>5702</v>
      </c>
      <c r="B187" s="42" t="str">
        <f>'A) Base RI'!B186</f>
        <v>Arzier-Le Muids</v>
      </c>
      <c r="C187" s="14">
        <f>'A) Base RI'!AN186</f>
        <v>2506</v>
      </c>
      <c r="D187" s="41">
        <f t="shared" si="15"/>
        <v>1000</v>
      </c>
      <c r="E187" s="14">
        <f t="shared" si="14"/>
        <v>1506</v>
      </c>
      <c r="F187" s="14">
        <f t="shared" si="14"/>
        <v>0</v>
      </c>
      <c r="G187" s="14">
        <f t="shared" si="14"/>
        <v>0</v>
      </c>
      <c r="H187" s="14">
        <f t="shared" si="14"/>
        <v>0</v>
      </c>
      <c r="I187" s="52">
        <f t="shared" si="14"/>
        <v>0</v>
      </c>
      <c r="J187" s="14">
        <f t="shared" si="16"/>
        <v>0</v>
      </c>
      <c r="K187" s="75">
        <f t="shared" si="13"/>
        <v>620791.14688128768</v>
      </c>
    </row>
    <row r="188" spans="1:11" x14ac:dyDescent="0.25">
      <c r="A188" s="61">
        <f>'A) Base RI'!A187</f>
        <v>5703</v>
      </c>
      <c r="B188" s="42" t="str">
        <f>'A) Base RI'!B187</f>
        <v>Bassins</v>
      </c>
      <c r="C188" s="14">
        <f>'A) Base RI'!AN187</f>
        <v>1320</v>
      </c>
      <c r="D188" s="41">
        <f t="shared" si="15"/>
        <v>1000</v>
      </c>
      <c r="E188" s="14">
        <f t="shared" si="14"/>
        <v>320</v>
      </c>
      <c r="F188" s="14">
        <f t="shared" si="14"/>
        <v>0</v>
      </c>
      <c r="G188" s="14">
        <f t="shared" si="14"/>
        <v>0</v>
      </c>
      <c r="H188" s="14">
        <f t="shared" si="14"/>
        <v>0</v>
      </c>
      <c r="I188" s="52">
        <f t="shared" si="14"/>
        <v>0</v>
      </c>
      <c r="J188" s="14">
        <f t="shared" si="16"/>
        <v>0</v>
      </c>
      <c r="K188" s="75">
        <f t="shared" si="13"/>
        <v>209867.20321931588</v>
      </c>
    </row>
    <row r="189" spans="1:11" x14ac:dyDescent="0.25">
      <c r="A189" s="61">
        <f>'A) Base RI'!A188</f>
        <v>5704</v>
      </c>
      <c r="B189" s="42" t="str">
        <f>'A) Base RI'!B188</f>
        <v>Begnins</v>
      </c>
      <c r="C189" s="14">
        <f>'A) Base RI'!AN188</f>
        <v>1802</v>
      </c>
      <c r="D189" s="41">
        <f t="shared" si="15"/>
        <v>1000</v>
      </c>
      <c r="E189" s="14">
        <f t="shared" si="14"/>
        <v>802</v>
      </c>
      <c r="F189" s="14">
        <f t="shared" si="14"/>
        <v>0</v>
      </c>
      <c r="G189" s="14">
        <f t="shared" si="14"/>
        <v>0</v>
      </c>
      <c r="H189" s="14">
        <f t="shared" si="14"/>
        <v>0</v>
      </c>
      <c r="I189" s="52">
        <f t="shared" si="14"/>
        <v>0</v>
      </c>
      <c r="J189" s="14">
        <f t="shared" si="16"/>
        <v>0</v>
      </c>
      <c r="K189" s="75">
        <f t="shared" si="13"/>
        <v>376870.02012072434</v>
      </c>
    </row>
    <row r="190" spans="1:11" x14ac:dyDescent="0.25">
      <c r="A190" s="61">
        <f>'A) Base RI'!A189</f>
        <v>5705</v>
      </c>
      <c r="B190" s="42" t="str">
        <f>'A) Base RI'!B189</f>
        <v>Bogis-Bossey</v>
      </c>
      <c r="C190" s="14">
        <f>'A) Base RI'!AN189</f>
        <v>830</v>
      </c>
      <c r="D190" s="41">
        <f t="shared" si="15"/>
        <v>830</v>
      </c>
      <c r="E190" s="14">
        <f t="shared" si="14"/>
        <v>0</v>
      </c>
      <c r="F190" s="14">
        <f t="shared" si="14"/>
        <v>0</v>
      </c>
      <c r="G190" s="14">
        <f t="shared" si="14"/>
        <v>0</v>
      </c>
      <c r="H190" s="14">
        <f t="shared" si="14"/>
        <v>0</v>
      </c>
      <c r="I190" s="52">
        <f t="shared" si="14"/>
        <v>0</v>
      </c>
      <c r="J190" s="14">
        <f t="shared" si="16"/>
        <v>0</v>
      </c>
      <c r="K190" s="75">
        <f t="shared" si="13"/>
        <v>82164.989939637817</v>
      </c>
    </row>
    <row r="191" spans="1:11" x14ac:dyDescent="0.25">
      <c r="A191" s="61">
        <f>'A) Base RI'!A190</f>
        <v>5706</v>
      </c>
      <c r="B191" s="42" t="str">
        <f>'A) Base RI'!B190</f>
        <v>Borex</v>
      </c>
      <c r="C191" s="14">
        <f>'A) Base RI'!AN190</f>
        <v>1049</v>
      </c>
      <c r="D191" s="41">
        <f t="shared" si="15"/>
        <v>1000</v>
      </c>
      <c r="E191" s="14">
        <f t="shared" si="14"/>
        <v>49</v>
      </c>
      <c r="F191" s="14">
        <f t="shared" si="14"/>
        <v>0</v>
      </c>
      <c r="G191" s="14">
        <f t="shared" si="14"/>
        <v>0</v>
      </c>
      <c r="H191" s="14">
        <f t="shared" si="14"/>
        <v>0</v>
      </c>
      <c r="I191" s="52">
        <f t="shared" si="14"/>
        <v>0</v>
      </c>
      <c r="J191" s="14">
        <f t="shared" si="16"/>
        <v>0</v>
      </c>
      <c r="K191" s="75">
        <f t="shared" si="13"/>
        <v>115971.42857142857</v>
      </c>
    </row>
    <row r="192" spans="1:11" x14ac:dyDescent="0.25">
      <c r="A192" s="61">
        <f>'A) Base RI'!A191</f>
        <v>5707</v>
      </c>
      <c r="B192" s="42" t="str">
        <f>'A) Base RI'!B191</f>
        <v>Chavannes-de-Bogis</v>
      </c>
      <c r="C192" s="14">
        <f>'A) Base RI'!AN191</f>
        <v>1155</v>
      </c>
      <c r="D192" s="41">
        <f t="shared" si="15"/>
        <v>1000</v>
      </c>
      <c r="E192" s="14">
        <f t="shared" si="14"/>
        <v>155</v>
      </c>
      <c r="F192" s="14">
        <f t="shared" si="14"/>
        <v>0</v>
      </c>
      <c r="G192" s="14">
        <f t="shared" si="14"/>
        <v>0</v>
      </c>
      <c r="H192" s="14">
        <f t="shared" si="14"/>
        <v>0</v>
      </c>
      <c r="I192" s="52">
        <f t="shared" si="14"/>
        <v>0</v>
      </c>
      <c r="J192" s="14">
        <f t="shared" si="16"/>
        <v>0</v>
      </c>
      <c r="K192" s="75">
        <f t="shared" si="13"/>
        <v>152698.18913480884</v>
      </c>
    </row>
    <row r="193" spans="1:11" x14ac:dyDescent="0.25">
      <c r="A193" s="61">
        <f>'A) Base RI'!A192</f>
        <v>5708</v>
      </c>
      <c r="B193" s="42" t="str">
        <f>'A) Base RI'!B192</f>
        <v>Chavannes-des-Bois</v>
      </c>
      <c r="C193" s="14">
        <f>'A) Base RI'!AN192</f>
        <v>807</v>
      </c>
      <c r="D193" s="41">
        <f t="shared" si="15"/>
        <v>807</v>
      </c>
      <c r="E193" s="14">
        <f t="shared" si="14"/>
        <v>0</v>
      </c>
      <c r="F193" s="14">
        <f t="shared" ref="E193:I235" si="17">IF($C193&gt;F$4,IF($C193&lt;F$5,$C193-F$4,F$5-F$4),0)</f>
        <v>0</v>
      </c>
      <c r="G193" s="14">
        <f t="shared" si="17"/>
        <v>0</v>
      </c>
      <c r="H193" s="14">
        <f t="shared" si="17"/>
        <v>0</v>
      </c>
      <c r="I193" s="52">
        <f t="shared" si="17"/>
        <v>0</v>
      </c>
      <c r="J193" s="14">
        <f t="shared" si="16"/>
        <v>0</v>
      </c>
      <c r="K193" s="75">
        <f t="shared" si="13"/>
        <v>79888.128772635813</v>
      </c>
    </row>
    <row r="194" spans="1:11" x14ac:dyDescent="0.25">
      <c r="A194" s="61">
        <f>'A) Base RI'!A193</f>
        <v>5709</v>
      </c>
      <c r="B194" s="42" t="str">
        <f>'A) Base RI'!B193</f>
        <v>Chéserex</v>
      </c>
      <c r="C194" s="14">
        <f>'A) Base RI'!AN193</f>
        <v>1174</v>
      </c>
      <c r="D194" s="41">
        <f t="shared" si="15"/>
        <v>1000</v>
      </c>
      <c r="E194" s="14">
        <f t="shared" si="17"/>
        <v>174</v>
      </c>
      <c r="F194" s="14">
        <f t="shared" si="17"/>
        <v>0</v>
      </c>
      <c r="G194" s="14">
        <f t="shared" si="17"/>
        <v>0</v>
      </c>
      <c r="H194" s="14">
        <f t="shared" si="17"/>
        <v>0</v>
      </c>
      <c r="I194" s="52">
        <f t="shared" si="17"/>
        <v>0</v>
      </c>
      <c r="J194" s="14">
        <f t="shared" si="16"/>
        <v>0</v>
      </c>
      <c r="K194" s="75">
        <f t="shared" si="13"/>
        <v>159281.28772635813</v>
      </c>
    </row>
    <row r="195" spans="1:11" x14ac:dyDescent="0.25">
      <c r="A195" s="61">
        <f>'A) Base RI'!A194</f>
        <v>5710</v>
      </c>
      <c r="B195" s="42" t="str">
        <f>'A) Base RI'!B194</f>
        <v>Coinsins</v>
      </c>
      <c r="C195" s="14">
        <f>'A) Base RI'!AN194</f>
        <v>435</v>
      </c>
      <c r="D195" s="41">
        <f t="shared" si="15"/>
        <v>435</v>
      </c>
      <c r="E195" s="14">
        <f t="shared" si="17"/>
        <v>0</v>
      </c>
      <c r="F195" s="14">
        <f t="shared" si="17"/>
        <v>0</v>
      </c>
      <c r="G195" s="14">
        <f t="shared" si="17"/>
        <v>0</v>
      </c>
      <c r="H195" s="14">
        <f t="shared" si="17"/>
        <v>0</v>
      </c>
      <c r="I195" s="52">
        <f t="shared" si="17"/>
        <v>0</v>
      </c>
      <c r="J195" s="14">
        <f t="shared" si="16"/>
        <v>0</v>
      </c>
      <c r="K195" s="75">
        <f t="shared" si="13"/>
        <v>43062.374245472834</v>
      </c>
    </row>
    <row r="196" spans="1:11" x14ac:dyDescent="0.25">
      <c r="A196" s="61">
        <f>'A) Base RI'!A195</f>
        <v>5711</v>
      </c>
      <c r="B196" s="42" t="str">
        <f>'A) Base RI'!B195</f>
        <v>Commugny</v>
      </c>
      <c r="C196" s="14">
        <f>'A) Base RI'!AN195</f>
        <v>2591</v>
      </c>
      <c r="D196" s="41">
        <f t="shared" si="15"/>
        <v>1000</v>
      </c>
      <c r="E196" s="14">
        <f t="shared" si="17"/>
        <v>1591</v>
      </c>
      <c r="F196" s="14">
        <f t="shared" si="17"/>
        <v>0</v>
      </c>
      <c r="G196" s="14">
        <f t="shared" si="17"/>
        <v>0</v>
      </c>
      <c r="H196" s="14">
        <f t="shared" si="17"/>
        <v>0</v>
      </c>
      <c r="I196" s="52">
        <f t="shared" si="17"/>
        <v>0</v>
      </c>
      <c r="J196" s="14">
        <f t="shared" si="16"/>
        <v>0</v>
      </c>
      <c r="K196" s="75">
        <f t="shared" si="13"/>
        <v>650241.85110663984</v>
      </c>
    </row>
    <row r="197" spans="1:11" x14ac:dyDescent="0.25">
      <c r="A197" s="61">
        <f>'A) Base RI'!A196</f>
        <v>5712</v>
      </c>
      <c r="B197" s="42" t="str">
        <f>'A) Base RI'!B196</f>
        <v>Coppet</v>
      </c>
      <c r="C197" s="14">
        <f>'A) Base RI'!AN196</f>
        <v>2936</v>
      </c>
      <c r="D197" s="41">
        <f t="shared" si="15"/>
        <v>1000</v>
      </c>
      <c r="E197" s="14">
        <f t="shared" si="17"/>
        <v>1936</v>
      </c>
      <c r="F197" s="14">
        <f t="shared" si="17"/>
        <v>0</v>
      </c>
      <c r="G197" s="14">
        <f t="shared" si="17"/>
        <v>0</v>
      </c>
      <c r="H197" s="14">
        <f t="shared" si="17"/>
        <v>0</v>
      </c>
      <c r="I197" s="52">
        <f t="shared" si="17"/>
        <v>0</v>
      </c>
      <c r="J197" s="14">
        <f t="shared" si="16"/>
        <v>0</v>
      </c>
      <c r="K197" s="75">
        <f t="shared" si="13"/>
        <v>769777.06237424549</v>
      </c>
    </row>
    <row r="198" spans="1:11" x14ac:dyDescent="0.25">
      <c r="A198" s="61">
        <f>'A) Base RI'!A197</f>
        <v>5713</v>
      </c>
      <c r="B198" s="42" t="str">
        <f>'A) Base RI'!B197</f>
        <v>Crans-près-Céligny</v>
      </c>
      <c r="C198" s="14">
        <f>'A) Base RI'!AN197</f>
        <v>2044</v>
      </c>
      <c r="D198" s="41">
        <f t="shared" si="15"/>
        <v>1000</v>
      </c>
      <c r="E198" s="14">
        <f t="shared" si="17"/>
        <v>1044</v>
      </c>
      <c r="F198" s="14">
        <f t="shared" si="17"/>
        <v>0</v>
      </c>
      <c r="G198" s="14">
        <f t="shared" si="17"/>
        <v>0</v>
      </c>
      <c r="H198" s="14">
        <f t="shared" si="17"/>
        <v>0</v>
      </c>
      <c r="I198" s="52">
        <f t="shared" si="17"/>
        <v>0</v>
      </c>
      <c r="J198" s="14">
        <f t="shared" si="16"/>
        <v>0</v>
      </c>
      <c r="K198" s="75">
        <f t="shared" si="13"/>
        <v>460717.907444668</v>
      </c>
    </row>
    <row r="199" spans="1:11" x14ac:dyDescent="0.25">
      <c r="A199" s="61">
        <f>'A) Base RI'!A198</f>
        <v>5714</v>
      </c>
      <c r="B199" s="42" t="str">
        <f>'A) Base RI'!B198</f>
        <v>Crassier</v>
      </c>
      <c r="C199" s="14">
        <f>'A) Base RI'!AN198</f>
        <v>1141</v>
      </c>
      <c r="D199" s="41">
        <f t="shared" si="15"/>
        <v>1000</v>
      </c>
      <c r="E199" s="14">
        <f t="shared" si="17"/>
        <v>141</v>
      </c>
      <c r="F199" s="14">
        <f t="shared" si="17"/>
        <v>0</v>
      </c>
      <c r="G199" s="14">
        <f t="shared" si="17"/>
        <v>0</v>
      </c>
      <c r="H199" s="14">
        <f t="shared" si="17"/>
        <v>0</v>
      </c>
      <c r="I199" s="52">
        <f t="shared" si="17"/>
        <v>0</v>
      </c>
      <c r="J199" s="14">
        <f t="shared" si="16"/>
        <v>0</v>
      </c>
      <c r="K199" s="75">
        <f t="shared" si="13"/>
        <v>147847.48490945675</v>
      </c>
    </row>
    <row r="200" spans="1:11" x14ac:dyDescent="0.25">
      <c r="A200" s="61">
        <f>'A) Base RI'!A199</f>
        <v>5715</v>
      </c>
      <c r="B200" s="42" t="str">
        <f>'A) Base RI'!B199</f>
        <v>Duillier</v>
      </c>
      <c r="C200" s="14">
        <f>'A) Base RI'!AN199</f>
        <v>998</v>
      </c>
      <c r="D200" s="41">
        <f t="shared" si="15"/>
        <v>998</v>
      </c>
      <c r="E200" s="14">
        <f t="shared" si="17"/>
        <v>0</v>
      </c>
      <c r="F200" s="14">
        <f t="shared" si="17"/>
        <v>0</v>
      </c>
      <c r="G200" s="14">
        <f t="shared" si="17"/>
        <v>0</v>
      </c>
      <c r="H200" s="14">
        <f t="shared" si="17"/>
        <v>0</v>
      </c>
      <c r="I200" s="52">
        <f t="shared" si="17"/>
        <v>0</v>
      </c>
      <c r="J200" s="14">
        <f t="shared" si="16"/>
        <v>0</v>
      </c>
      <c r="K200" s="75">
        <f t="shared" si="13"/>
        <v>98795.975855130775</v>
      </c>
    </row>
    <row r="201" spans="1:11" x14ac:dyDescent="0.25">
      <c r="A201" s="61">
        <f>'A) Base RI'!A200</f>
        <v>5716</v>
      </c>
      <c r="B201" s="42" t="str">
        <f>'A) Base RI'!B200</f>
        <v>Eysins</v>
      </c>
      <c r="C201" s="14">
        <f>'A) Base RI'!AN200</f>
        <v>1469</v>
      </c>
      <c r="D201" s="41">
        <f t="shared" si="15"/>
        <v>1000</v>
      </c>
      <c r="E201" s="14">
        <f t="shared" si="17"/>
        <v>469</v>
      </c>
      <c r="F201" s="14">
        <f t="shared" si="17"/>
        <v>0</v>
      </c>
      <c r="G201" s="14">
        <f t="shared" si="17"/>
        <v>0</v>
      </c>
      <c r="H201" s="14">
        <f t="shared" si="17"/>
        <v>0</v>
      </c>
      <c r="I201" s="52">
        <f t="shared" si="17"/>
        <v>0</v>
      </c>
      <c r="J201" s="14">
        <f t="shared" si="16"/>
        <v>0</v>
      </c>
      <c r="K201" s="75">
        <f t="shared" ref="K201:K264" si="18">(D201*D$7)+(E201*E$7)+(F201*F$7)+(G201*G$7)+(H201*H$7)+(I201*I$7)+(J201*J$7)</f>
        <v>261492.55533199193</v>
      </c>
    </row>
    <row r="202" spans="1:11" x14ac:dyDescent="0.25">
      <c r="A202" s="61">
        <f>'A) Base RI'!A201</f>
        <v>5717</v>
      </c>
      <c r="B202" s="42" t="str">
        <f>'A) Base RI'!B201</f>
        <v>Founex</v>
      </c>
      <c r="C202" s="14">
        <f>'A) Base RI'!AN201</f>
        <v>3372</v>
      </c>
      <c r="D202" s="41">
        <f t="shared" si="15"/>
        <v>1000</v>
      </c>
      <c r="E202" s="14">
        <f t="shared" si="17"/>
        <v>2000</v>
      </c>
      <c r="F202" s="14">
        <f t="shared" si="17"/>
        <v>372</v>
      </c>
      <c r="G202" s="14">
        <f t="shared" si="17"/>
        <v>0</v>
      </c>
      <c r="H202" s="14">
        <f t="shared" si="17"/>
        <v>0</v>
      </c>
      <c r="I202" s="52">
        <f t="shared" si="17"/>
        <v>0</v>
      </c>
      <c r="J202" s="14">
        <f t="shared" si="16"/>
        <v>0</v>
      </c>
      <c r="K202" s="75">
        <f t="shared" si="18"/>
        <v>976080.48289738421</v>
      </c>
    </row>
    <row r="203" spans="1:11" x14ac:dyDescent="0.25">
      <c r="A203" s="61">
        <f>'A) Base RI'!A202</f>
        <v>5718</v>
      </c>
      <c r="B203" s="42" t="str">
        <f>'A) Base RI'!B202</f>
        <v>Genolier</v>
      </c>
      <c r="C203" s="14">
        <f>'A) Base RI'!AN202</f>
        <v>1890</v>
      </c>
      <c r="D203" s="41">
        <f t="shared" si="15"/>
        <v>1000</v>
      </c>
      <c r="E203" s="14">
        <f t="shared" si="17"/>
        <v>890</v>
      </c>
      <c r="F203" s="14">
        <f t="shared" si="17"/>
        <v>0</v>
      </c>
      <c r="G203" s="14">
        <f t="shared" si="17"/>
        <v>0</v>
      </c>
      <c r="H203" s="14">
        <f t="shared" si="17"/>
        <v>0</v>
      </c>
      <c r="I203" s="52">
        <f t="shared" si="17"/>
        <v>0</v>
      </c>
      <c r="J203" s="14">
        <f t="shared" si="16"/>
        <v>0</v>
      </c>
      <c r="K203" s="75">
        <f t="shared" si="18"/>
        <v>407360.16096579476</v>
      </c>
    </row>
    <row r="204" spans="1:11" x14ac:dyDescent="0.25">
      <c r="A204" s="61">
        <f>'A) Base RI'!A203</f>
        <v>5719</v>
      </c>
      <c r="B204" s="42" t="str">
        <f>'A) Base RI'!B203</f>
        <v>Gingins</v>
      </c>
      <c r="C204" s="14">
        <f>'A) Base RI'!AN203</f>
        <v>1204</v>
      </c>
      <c r="D204" s="41">
        <f t="shared" si="15"/>
        <v>1000</v>
      </c>
      <c r="E204" s="14">
        <f t="shared" si="17"/>
        <v>204</v>
      </c>
      <c r="F204" s="14">
        <f t="shared" si="17"/>
        <v>0</v>
      </c>
      <c r="G204" s="14">
        <f t="shared" si="17"/>
        <v>0</v>
      </c>
      <c r="H204" s="14">
        <f t="shared" si="17"/>
        <v>0</v>
      </c>
      <c r="I204" s="52">
        <f t="shared" si="17"/>
        <v>0</v>
      </c>
      <c r="J204" s="14">
        <f t="shared" si="16"/>
        <v>0</v>
      </c>
      <c r="K204" s="75">
        <f t="shared" si="18"/>
        <v>169675.65392354125</v>
      </c>
    </row>
    <row r="205" spans="1:11" x14ac:dyDescent="0.25">
      <c r="A205" s="61">
        <f>'A) Base RI'!A204</f>
        <v>5720</v>
      </c>
      <c r="B205" s="42" t="str">
        <f>'A) Base RI'!B204</f>
        <v>Givrins</v>
      </c>
      <c r="C205" s="14">
        <f>'A) Base RI'!AN204</f>
        <v>971</v>
      </c>
      <c r="D205" s="41">
        <f t="shared" si="15"/>
        <v>971</v>
      </c>
      <c r="E205" s="14">
        <f t="shared" si="17"/>
        <v>0</v>
      </c>
      <c r="F205" s="14">
        <f t="shared" si="17"/>
        <v>0</v>
      </c>
      <c r="G205" s="14">
        <f t="shared" si="17"/>
        <v>0</v>
      </c>
      <c r="H205" s="14">
        <f t="shared" si="17"/>
        <v>0</v>
      </c>
      <c r="I205" s="52">
        <f t="shared" si="17"/>
        <v>0</v>
      </c>
      <c r="J205" s="14">
        <f t="shared" si="16"/>
        <v>0</v>
      </c>
      <c r="K205" s="75">
        <f t="shared" si="18"/>
        <v>96123.138832997982</v>
      </c>
    </row>
    <row r="206" spans="1:11" x14ac:dyDescent="0.25">
      <c r="A206" s="61">
        <f>'A) Base RI'!A205</f>
        <v>5721</v>
      </c>
      <c r="B206" s="42" t="str">
        <f>'A) Base RI'!B205</f>
        <v>Gland</v>
      </c>
      <c r="C206" s="14">
        <f>'A) Base RI'!AN205</f>
        <v>12663</v>
      </c>
      <c r="D206" s="41">
        <f t="shared" si="15"/>
        <v>1000</v>
      </c>
      <c r="E206" s="14">
        <f t="shared" si="17"/>
        <v>2000</v>
      </c>
      <c r="F206" s="14">
        <f t="shared" si="17"/>
        <v>2000</v>
      </c>
      <c r="G206" s="14">
        <f t="shared" si="17"/>
        <v>4000</v>
      </c>
      <c r="H206" s="14">
        <f t="shared" si="17"/>
        <v>3000</v>
      </c>
      <c r="I206" s="52">
        <f t="shared" si="17"/>
        <v>663</v>
      </c>
      <c r="J206" s="14">
        <f t="shared" si="16"/>
        <v>0</v>
      </c>
      <c r="K206" s="75">
        <f t="shared" si="18"/>
        <v>7338422.5352112679</v>
      </c>
    </row>
    <row r="207" spans="1:11" x14ac:dyDescent="0.25">
      <c r="A207" s="61">
        <f>'A) Base RI'!A206</f>
        <v>5722</v>
      </c>
      <c r="B207" s="42" t="str">
        <f>'A) Base RI'!B206</f>
        <v>Grens</v>
      </c>
      <c r="C207" s="14">
        <f>'A) Base RI'!AN206</f>
        <v>380</v>
      </c>
      <c r="D207" s="41">
        <f t="shared" si="15"/>
        <v>380</v>
      </c>
      <c r="E207" s="14">
        <f t="shared" si="17"/>
        <v>0</v>
      </c>
      <c r="F207" s="14">
        <f t="shared" si="17"/>
        <v>0</v>
      </c>
      <c r="G207" s="14">
        <f t="shared" si="17"/>
        <v>0</v>
      </c>
      <c r="H207" s="14">
        <f t="shared" si="17"/>
        <v>0</v>
      </c>
      <c r="I207" s="52">
        <f t="shared" si="17"/>
        <v>0</v>
      </c>
      <c r="J207" s="14">
        <f t="shared" si="16"/>
        <v>0</v>
      </c>
      <c r="K207" s="75">
        <f t="shared" si="18"/>
        <v>37617.706237424543</v>
      </c>
    </row>
    <row r="208" spans="1:11" x14ac:dyDescent="0.25">
      <c r="A208" s="61">
        <f>'A) Base RI'!A207</f>
        <v>5723</v>
      </c>
      <c r="B208" s="42" t="str">
        <f>'A) Base RI'!B207</f>
        <v>Mies</v>
      </c>
      <c r="C208" s="14">
        <f>'A) Base RI'!AN207</f>
        <v>1778</v>
      </c>
      <c r="D208" s="41">
        <f t="shared" si="15"/>
        <v>1000</v>
      </c>
      <c r="E208" s="14">
        <f t="shared" si="17"/>
        <v>778</v>
      </c>
      <c r="F208" s="14">
        <f t="shared" si="17"/>
        <v>0</v>
      </c>
      <c r="G208" s="14">
        <f t="shared" si="17"/>
        <v>0</v>
      </c>
      <c r="H208" s="14">
        <f t="shared" si="17"/>
        <v>0</v>
      </c>
      <c r="I208" s="52">
        <f t="shared" si="17"/>
        <v>0</v>
      </c>
      <c r="J208" s="14">
        <f t="shared" si="16"/>
        <v>0</v>
      </c>
      <c r="K208" s="75">
        <f t="shared" si="18"/>
        <v>368554.52716297784</v>
      </c>
    </row>
    <row r="209" spans="1:11" x14ac:dyDescent="0.25">
      <c r="A209" s="61">
        <f>'A) Base RI'!A208</f>
        <v>5724</v>
      </c>
      <c r="B209" s="42" t="str">
        <f>'A) Base RI'!B208</f>
        <v>Nyon</v>
      </c>
      <c r="C209" s="14">
        <f>'A) Base RI'!AN208</f>
        <v>19861</v>
      </c>
      <c r="D209" s="41">
        <f t="shared" si="15"/>
        <v>1000</v>
      </c>
      <c r="E209" s="14">
        <f t="shared" si="17"/>
        <v>2000</v>
      </c>
      <c r="F209" s="14">
        <f t="shared" si="17"/>
        <v>2000</v>
      </c>
      <c r="G209" s="14">
        <f t="shared" si="17"/>
        <v>4000</v>
      </c>
      <c r="H209" s="14">
        <f t="shared" si="17"/>
        <v>3000</v>
      </c>
      <c r="I209" s="52">
        <f t="shared" si="17"/>
        <v>3000</v>
      </c>
      <c r="J209" s="14">
        <f t="shared" si="16"/>
        <v>4861</v>
      </c>
      <c r="K209" s="75">
        <f t="shared" si="18"/>
        <v>14704612.877263581</v>
      </c>
    </row>
    <row r="210" spans="1:11" x14ac:dyDescent="0.25">
      <c r="A210" s="61">
        <f>'A) Base RI'!A209</f>
        <v>5725</v>
      </c>
      <c r="B210" s="42" t="str">
        <f>'A) Base RI'!B209</f>
        <v>Prangins</v>
      </c>
      <c r="C210" s="14">
        <f>'A) Base RI'!AN209</f>
        <v>3976</v>
      </c>
      <c r="D210" s="41">
        <f t="shared" si="15"/>
        <v>1000</v>
      </c>
      <c r="E210" s="14">
        <f t="shared" si="17"/>
        <v>2000</v>
      </c>
      <c r="F210" s="14">
        <f t="shared" si="17"/>
        <v>976</v>
      </c>
      <c r="G210" s="14">
        <f t="shared" si="17"/>
        <v>0</v>
      </c>
      <c r="H210" s="14">
        <f t="shared" si="17"/>
        <v>0</v>
      </c>
      <c r="I210" s="52">
        <f t="shared" si="17"/>
        <v>0</v>
      </c>
      <c r="J210" s="14">
        <f t="shared" si="16"/>
        <v>0</v>
      </c>
      <c r="K210" s="75">
        <f t="shared" si="18"/>
        <v>1275042.2535211267</v>
      </c>
    </row>
    <row r="211" spans="1:11" x14ac:dyDescent="0.25">
      <c r="A211" s="61">
        <f>'A) Base RI'!A210</f>
        <v>5726</v>
      </c>
      <c r="B211" s="42" t="str">
        <f>'A) Base RI'!B210</f>
        <v>La Rippe</v>
      </c>
      <c r="C211" s="14">
        <f>'A) Base RI'!AN210</f>
        <v>1104</v>
      </c>
      <c r="D211" s="41">
        <f t="shared" si="15"/>
        <v>1000</v>
      </c>
      <c r="E211" s="14">
        <f t="shared" si="17"/>
        <v>104</v>
      </c>
      <c r="F211" s="14">
        <f t="shared" si="17"/>
        <v>0</v>
      </c>
      <c r="G211" s="14">
        <f t="shared" si="17"/>
        <v>0</v>
      </c>
      <c r="H211" s="14">
        <f t="shared" si="17"/>
        <v>0</v>
      </c>
      <c r="I211" s="52">
        <f t="shared" si="17"/>
        <v>0</v>
      </c>
      <c r="J211" s="14">
        <f t="shared" si="16"/>
        <v>0</v>
      </c>
      <c r="K211" s="75">
        <f t="shared" si="18"/>
        <v>135027.76659959758</v>
      </c>
    </row>
    <row r="212" spans="1:11" x14ac:dyDescent="0.25">
      <c r="A212" s="61">
        <f>'A) Base RI'!A211</f>
        <v>5727</v>
      </c>
      <c r="B212" s="42" t="str">
        <f>'A) Base RI'!B211</f>
        <v>Saint-Cergue</v>
      </c>
      <c r="C212" s="14">
        <f>'A) Base RI'!AN211</f>
        <v>2406</v>
      </c>
      <c r="D212" s="41">
        <f t="shared" si="15"/>
        <v>1000</v>
      </c>
      <c r="E212" s="14">
        <f t="shared" si="17"/>
        <v>1406</v>
      </c>
      <c r="F212" s="14">
        <f t="shared" si="17"/>
        <v>0</v>
      </c>
      <c r="G212" s="14">
        <f t="shared" si="17"/>
        <v>0</v>
      </c>
      <c r="H212" s="14">
        <f t="shared" si="17"/>
        <v>0</v>
      </c>
      <c r="I212" s="52">
        <f t="shared" si="17"/>
        <v>0</v>
      </c>
      <c r="J212" s="14">
        <f t="shared" si="16"/>
        <v>0</v>
      </c>
      <c r="K212" s="75">
        <f t="shared" si="18"/>
        <v>586143.25955734402</v>
      </c>
    </row>
    <row r="213" spans="1:11" x14ac:dyDescent="0.25">
      <c r="A213" s="61">
        <f>'A) Base RI'!A212</f>
        <v>5728</v>
      </c>
      <c r="B213" s="42" t="str">
        <f>'A) Base RI'!B212</f>
        <v>Signy-Avenex</v>
      </c>
      <c r="C213" s="14">
        <f>'A) Base RI'!AN212</f>
        <v>481</v>
      </c>
      <c r="D213" s="41">
        <f t="shared" si="15"/>
        <v>481</v>
      </c>
      <c r="E213" s="14">
        <f t="shared" si="17"/>
        <v>0</v>
      </c>
      <c r="F213" s="14">
        <f t="shared" si="17"/>
        <v>0</v>
      </c>
      <c r="G213" s="14">
        <f t="shared" si="17"/>
        <v>0</v>
      </c>
      <c r="H213" s="14">
        <f t="shared" si="17"/>
        <v>0</v>
      </c>
      <c r="I213" s="52">
        <f t="shared" si="17"/>
        <v>0</v>
      </c>
      <c r="J213" s="14">
        <f t="shared" si="16"/>
        <v>0</v>
      </c>
      <c r="K213" s="75">
        <f t="shared" si="18"/>
        <v>47616.096579476856</v>
      </c>
    </row>
    <row r="214" spans="1:11" x14ac:dyDescent="0.25">
      <c r="A214" s="61">
        <f>'A) Base RI'!A213</f>
        <v>5729</v>
      </c>
      <c r="B214" s="42" t="str">
        <f>'A) Base RI'!B213</f>
        <v>Tannay</v>
      </c>
      <c r="C214" s="14">
        <f>'A) Base RI'!AN213</f>
        <v>1448</v>
      </c>
      <c r="D214" s="41">
        <f t="shared" si="15"/>
        <v>1000</v>
      </c>
      <c r="E214" s="14">
        <f t="shared" si="17"/>
        <v>448</v>
      </c>
      <c r="F214" s="14">
        <f t="shared" si="17"/>
        <v>0</v>
      </c>
      <c r="G214" s="14">
        <f t="shared" si="17"/>
        <v>0</v>
      </c>
      <c r="H214" s="14">
        <f t="shared" si="17"/>
        <v>0</v>
      </c>
      <c r="I214" s="52">
        <f t="shared" si="17"/>
        <v>0</v>
      </c>
      <c r="J214" s="14">
        <f t="shared" si="16"/>
        <v>0</v>
      </c>
      <c r="K214" s="75">
        <f t="shared" si="18"/>
        <v>254216.49899396376</v>
      </c>
    </row>
    <row r="215" spans="1:11" x14ac:dyDescent="0.25">
      <c r="A215" s="61">
        <f>'A) Base RI'!A214</f>
        <v>5730</v>
      </c>
      <c r="B215" s="42" t="str">
        <f>'A) Base RI'!B214</f>
        <v>Trélex</v>
      </c>
      <c r="C215" s="14">
        <f>'A) Base RI'!AN214</f>
        <v>1394</v>
      </c>
      <c r="D215" s="41">
        <f t="shared" si="15"/>
        <v>1000</v>
      </c>
      <c r="E215" s="14">
        <f t="shared" si="17"/>
        <v>394</v>
      </c>
      <c r="F215" s="14">
        <f t="shared" si="17"/>
        <v>0</v>
      </c>
      <c r="G215" s="14">
        <f t="shared" si="17"/>
        <v>0</v>
      </c>
      <c r="H215" s="14">
        <f t="shared" si="17"/>
        <v>0</v>
      </c>
      <c r="I215" s="52">
        <f t="shared" si="17"/>
        <v>0</v>
      </c>
      <c r="J215" s="14">
        <f t="shared" si="16"/>
        <v>0</v>
      </c>
      <c r="K215" s="75">
        <f t="shared" si="18"/>
        <v>235506.63983903421</v>
      </c>
    </row>
    <row r="216" spans="1:11" x14ac:dyDescent="0.25">
      <c r="A216" s="61">
        <f>'A) Base RI'!A215</f>
        <v>5731</v>
      </c>
      <c r="B216" s="42" t="str">
        <f>'A) Base RI'!B215</f>
        <v>Le Vaud</v>
      </c>
      <c r="C216" s="14">
        <f>'A) Base RI'!AN215</f>
        <v>1243</v>
      </c>
      <c r="D216" s="41">
        <f t="shared" ref="D216:D262" si="19">IF($C216&gt;D$4,IF($C216&lt;D$5,$C216-D$4,D$5-D$4),0)</f>
        <v>1000</v>
      </c>
      <c r="E216" s="14">
        <f t="shared" si="17"/>
        <v>243</v>
      </c>
      <c r="F216" s="14">
        <f t="shared" si="17"/>
        <v>0</v>
      </c>
      <c r="G216" s="14">
        <f t="shared" si="17"/>
        <v>0</v>
      </c>
      <c r="H216" s="14">
        <f t="shared" si="17"/>
        <v>0</v>
      </c>
      <c r="I216" s="52">
        <f t="shared" si="17"/>
        <v>0</v>
      </c>
      <c r="J216" s="14">
        <f t="shared" si="16"/>
        <v>0</v>
      </c>
      <c r="K216" s="75">
        <f t="shared" si="18"/>
        <v>183188.32997987926</v>
      </c>
    </row>
    <row r="217" spans="1:11" x14ac:dyDescent="0.25">
      <c r="A217" s="61">
        <f>'A) Base RI'!A216</f>
        <v>5732</v>
      </c>
      <c r="B217" s="42" t="str">
        <f>'A) Base RI'!B216</f>
        <v>Vich</v>
      </c>
      <c r="C217" s="14">
        <f>'A) Base RI'!AN216</f>
        <v>882</v>
      </c>
      <c r="D217" s="41">
        <f t="shared" si="19"/>
        <v>882</v>
      </c>
      <c r="E217" s="14">
        <f t="shared" si="17"/>
        <v>0</v>
      </c>
      <c r="F217" s="14">
        <f t="shared" si="17"/>
        <v>0</v>
      </c>
      <c r="G217" s="14">
        <f t="shared" si="17"/>
        <v>0</v>
      </c>
      <c r="H217" s="14">
        <f t="shared" si="17"/>
        <v>0</v>
      </c>
      <c r="I217" s="52">
        <f t="shared" si="17"/>
        <v>0</v>
      </c>
      <c r="J217" s="14">
        <f t="shared" si="16"/>
        <v>0</v>
      </c>
      <c r="K217" s="75">
        <f t="shared" si="18"/>
        <v>87312.676056338023</v>
      </c>
    </row>
    <row r="218" spans="1:11" x14ac:dyDescent="0.25">
      <c r="A218" s="61">
        <f>'A) Base RI'!A217</f>
        <v>5741</v>
      </c>
      <c r="B218" s="42" t="str">
        <f>'A) Base RI'!B217</f>
        <v>L'Abergement</v>
      </c>
      <c r="C218" s="14">
        <f>'A) Base RI'!AN217</f>
        <v>250</v>
      </c>
      <c r="D218" s="41">
        <f t="shared" si="19"/>
        <v>250</v>
      </c>
      <c r="E218" s="14">
        <f t="shared" si="17"/>
        <v>0</v>
      </c>
      <c r="F218" s="14">
        <f t="shared" si="17"/>
        <v>0</v>
      </c>
      <c r="G218" s="14">
        <f t="shared" si="17"/>
        <v>0</v>
      </c>
      <c r="H218" s="14">
        <f t="shared" si="17"/>
        <v>0</v>
      </c>
      <c r="I218" s="52">
        <f t="shared" si="17"/>
        <v>0</v>
      </c>
      <c r="J218" s="14">
        <f t="shared" si="16"/>
        <v>0</v>
      </c>
      <c r="K218" s="75">
        <f t="shared" si="18"/>
        <v>24748.490945674042</v>
      </c>
    </row>
    <row r="219" spans="1:11" x14ac:dyDescent="0.25">
      <c r="A219" s="61">
        <f>'A) Base RI'!A218</f>
        <v>5742</v>
      </c>
      <c r="B219" s="42" t="str">
        <f>'A) Base RI'!B218</f>
        <v>Agiez</v>
      </c>
      <c r="C219" s="14">
        <f>'A) Base RI'!AN218</f>
        <v>308</v>
      </c>
      <c r="D219" s="41">
        <f t="shared" si="19"/>
        <v>308</v>
      </c>
      <c r="E219" s="14">
        <f t="shared" si="17"/>
        <v>0</v>
      </c>
      <c r="F219" s="14">
        <f t="shared" si="17"/>
        <v>0</v>
      </c>
      <c r="G219" s="14">
        <f t="shared" si="17"/>
        <v>0</v>
      </c>
      <c r="H219" s="14">
        <f t="shared" si="17"/>
        <v>0</v>
      </c>
      <c r="I219" s="52">
        <f t="shared" si="17"/>
        <v>0</v>
      </c>
      <c r="J219" s="14">
        <f t="shared" si="16"/>
        <v>0</v>
      </c>
      <c r="K219" s="75">
        <f t="shared" si="18"/>
        <v>30490.140845070422</v>
      </c>
    </row>
    <row r="220" spans="1:11" x14ac:dyDescent="0.25">
      <c r="A220" s="61">
        <f>'A) Base RI'!A219</f>
        <v>5743</v>
      </c>
      <c r="B220" s="42" t="str">
        <f>'A) Base RI'!B219</f>
        <v>Arnex-sur-Orbe</v>
      </c>
      <c r="C220" s="14">
        <f>'A) Base RI'!AN219</f>
        <v>625</v>
      </c>
      <c r="D220" s="41">
        <f t="shared" si="19"/>
        <v>625</v>
      </c>
      <c r="E220" s="14">
        <f t="shared" si="17"/>
        <v>0</v>
      </c>
      <c r="F220" s="14">
        <f t="shared" si="17"/>
        <v>0</v>
      </c>
      <c r="G220" s="14">
        <f t="shared" si="17"/>
        <v>0</v>
      </c>
      <c r="H220" s="14">
        <f t="shared" si="17"/>
        <v>0</v>
      </c>
      <c r="I220" s="52">
        <f t="shared" si="17"/>
        <v>0</v>
      </c>
      <c r="J220" s="14">
        <f t="shared" si="16"/>
        <v>0</v>
      </c>
      <c r="K220" s="75">
        <f t="shared" si="18"/>
        <v>61871.227364185106</v>
      </c>
    </row>
    <row r="221" spans="1:11" x14ac:dyDescent="0.25">
      <c r="A221" s="61">
        <f>'A) Base RI'!A220</f>
        <v>5744</v>
      </c>
      <c r="B221" s="42" t="str">
        <f>'A) Base RI'!B220</f>
        <v>Ballaigues</v>
      </c>
      <c r="C221" s="14">
        <f>'A) Base RI'!AN220</f>
        <v>1069</v>
      </c>
      <c r="D221" s="41">
        <f t="shared" si="19"/>
        <v>1000</v>
      </c>
      <c r="E221" s="14">
        <f t="shared" si="17"/>
        <v>69</v>
      </c>
      <c r="F221" s="14">
        <f t="shared" si="17"/>
        <v>0</v>
      </c>
      <c r="G221" s="14">
        <f t="shared" si="17"/>
        <v>0</v>
      </c>
      <c r="H221" s="14">
        <f t="shared" si="17"/>
        <v>0</v>
      </c>
      <c r="I221" s="52">
        <f t="shared" si="17"/>
        <v>0</v>
      </c>
      <c r="J221" s="14">
        <f t="shared" si="16"/>
        <v>0</v>
      </c>
      <c r="K221" s="75">
        <f t="shared" si="18"/>
        <v>122901.0060362173</v>
      </c>
    </row>
    <row r="222" spans="1:11" x14ac:dyDescent="0.25">
      <c r="A222" s="61">
        <f>'A) Base RI'!A221</f>
        <v>5745</v>
      </c>
      <c r="B222" s="42" t="str">
        <f>'A) Base RI'!B221</f>
        <v>Baulmes</v>
      </c>
      <c r="C222" s="14">
        <f>'A) Base RI'!AN221</f>
        <v>1034</v>
      </c>
      <c r="D222" s="41">
        <f t="shared" si="19"/>
        <v>1000</v>
      </c>
      <c r="E222" s="14">
        <f t="shared" si="17"/>
        <v>34</v>
      </c>
      <c r="F222" s="14">
        <f t="shared" si="17"/>
        <v>0</v>
      </c>
      <c r="G222" s="14">
        <f t="shared" si="17"/>
        <v>0</v>
      </c>
      <c r="H222" s="14">
        <f t="shared" si="17"/>
        <v>0</v>
      </c>
      <c r="I222" s="52">
        <f t="shared" si="17"/>
        <v>0</v>
      </c>
      <c r="J222" s="14">
        <f t="shared" si="16"/>
        <v>0</v>
      </c>
      <c r="K222" s="75">
        <f t="shared" si="18"/>
        <v>110774.24547283701</v>
      </c>
    </row>
    <row r="223" spans="1:11" x14ac:dyDescent="0.25">
      <c r="A223" s="61">
        <f>'A) Base RI'!A222</f>
        <v>5746</v>
      </c>
      <c r="B223" s="42" t="str">
        <f>'A) Base RI'!B222</f>
        <v>Bavois</v>
      </c>
      <c r="C223" s="14">
        <f>'A) Base RI'!AN222</f>
        <v>939</v>
      </c>
      <c r="D223" s="41">
        <f t="shared" si="19"/>
        <v>939</v>
      </c>
      <c r="E223" s="14">
        <f t="shared" si="17"/>
        <v>0</v>
      </c>
      <c r="F223" s="14">
        <f t="shared" si="17"/>
        <v>0</v>
      </c>
      <c r="G223" s="14">
        <f t="shared" si="17"/>
        <v>0</v>
      </c>
      <c r="H223" s="14">
        <f t="shared" si="17"/>
        <v>0</v>
      </c>
      <c r="I223" s="52">
        <f t="shared" si="17"/>
        <v>0</v>
      </c>
      <c r="J223" s="14">
        <f t="shared" si="16"/>
        <v>0</v>
      </c>
      <c r="K223" s="75">
        <f t="shared" si="18"/>
        <v>92955.331991951709</v>
      </c>
    </row>
    <row r="224" spans="1:11" x14ac:dyDescent="0.25">
      <c r="A224" s="61">
        <f>'A) Base RI'!A223</f>
        <v>5747</v>
      </c>
      <c r="B224" s="42" t="str">
        <f>'A) Base RI'!B223</f>
        <v>Bofflens</v>
      </c>
      <c r="C224" s="14">
        <f>'A) Base RI'!AN223</f>
        <v>187</v>
      </c>
      <c r="D224" s="41">
        <f t="shared" si="19"/>
        <v>187</v>
      </c>
      <c r="E224" s="14">
        <f t="shared" si="17"/>
        <v>0</v>
      </c>
      <c r="F224" s="14">
        <f t="shared" si="17"/>
        <v>0</v>
      </c>
      <c r="G224" s="14">
        <f t="shared" si="17"/>
        <v>0</v>
      </c>
      <c r="H224" s="14">
        <f t="shared" si="17"/>
        <v>0</v>
      </c>
      <c r="I224" s="52">
        <f t="shared" si="17"/>
        <v>0</v>
      </c>
      <c r="J224" s="14">
        <f t="shared" si="16"/>
        <v>0</v>
      </c>
      <c r="K224" s="75">
        <f t="shared" si="18"/>
        <v>18511.871227364183</v>
      </c>
    </row>
    <row r="225" spans="1:11" x14ac:dyDescent="0.25">
      <c r="A225" s="61">
        <f>'A) Base RI'!A224</f>
        <v>5748</v>
      </c>
      <c r="B225" s="42" t="str">
        <f>'A) Base RI'!B224</f>
        <v>Bretonnières</v>
      </c>
      <c r="C225" s="14">
        <f>'A) Base RI'!AN224</f>
        <v>252</v>
      </c>
      <c r="D225" s="41">
        <f t="shared" si="19"/>
        <v>252</v>
      </c>
      <c r="E225" s="14">
        <f t="shared" si="17"/>
        <v>0</v>
      </c>
      <c r="F225" s="14">
        <f t="shared" si="17"/>
        <v>0</v>
      </c>
      <c r="G225" s="14">
        <f t="shared" si="17"/>
        <v>0</v>
      </c>
      <c r="H225" s="14">
        <f t="shared" si="17"/>
        <v>0</v>
      </c>
      <c r="I225" s="52">
        <f t="shared" si="17"/>
        <v>0</v>
      </c>
      <c r="J225" s="14">
        <f t="shared" si="16"/>
        <v>0</v>
      </c>
      <c r="K225" s="75">
        <f t="shared" si="18"/>
        <v>24946.478873239434</v>
      </c>
    </row>
    <row r="226" spans="1:11" x14ac:dyDescent="0.25">
      <c r="A226" s="61">
        <f>'A) Base RI'!A225</f>
        <v>5749</v>
      </c>
      <c r="B226" s="42" t="str">
        <f>'A) Base RI'!B225</f>
        <v>Chavornay</v>
      </c>
      <c r="C226" s="14">
        <f>'A) Base RI'!AN225</f>
        <v>4156</v>
      </c>
      <c r="D226" s="41">
        <f t="shared" si="19"/>
        <v>1000</v>
      </c>
      <c r="E226" s="14">
        <f t="shared" si="17"/>
        <v>2000</v>
      </c>
      <c r="F226" s="14">
        <f t="shared" si="17"/>
        <v>1156</v>
      </c>
      <c r="G226" s="14">
        <f t="shared" si="17"/>
        <v>0</v>
      </c>
      <c r="H226" s="14">
        <f t="shared" si="17"/>
        <v>0</v>
      </c>
      <c r="I226" s="52">
        <f t="shared" si="17"/>
        <v>0</v>
      </c>
      <c r="J226" s="14">
        <f t="shared" si="16"/>
        <v>0</v>
      </c>
      <c r="K226" s="75">
        <f t="shared" si="18"/>
        <v>1364136.8209255533</v>
      </c>
    </row>
    <row r="227" spans="1:11" x14ac:dyDescent="0.25">
      <c r="A227" s="61">
        <f>'A) Base RI'!A226</f>
        <v>5750</v>
      </c>
      <c r="B227" s="42" t="str">
        <f>'A) Base RI'!B226</f>
        <v>Les Clées</v>
      </c>
      <c r="C227" s="14">
        <f>'A) Base RI'!AN226</f>
        <v>186</v>
      </c>
      <c r="D227" s="41">
        <f t="shared" si="19"/>
        <v>186</v>
      </c>
      <c r="E227" s="14">
        <f t="shared" si="17"/>
        <v>0</v>
      </c>
      <c r="F227" s="14">
        <f t="shared" si="17"/>
        <v>0</v>
      </c>
      <c r="G227" s="14">
        <f t="shared" si="17"/>
        <v>0</v>
      </c>
      <c r="H227" s="14">
        <f t="shared" si="17"/>
        <v>0</v>
      </c>
      <c r="I227" s="52">
        <f t="shared" si="17"/>
        <v>0</v>
      </c>
      <c r="J227" s="14">
        <f t="shared" si="16"/>
        <v>0</v>
      </c>
      <c r="K227" s="75">
        <f t="shared" si="18"/>
        <v>18412.877263581489</v>
      </c>
    </row>
    <row r="228" spans="1:11" x14ac:dyDescent="0.25">
      <c r="A228" s="61">
        <f>'A) Base RI'!A227</f>
        <v>5751</v>
      </c>
      <c r="B228" s="42" t="str">
        <f>'A) Base RI'!B227</f>
        <v>Corcelles-sur-Chavornay</v>
      </c>
      <c r="C228" s="14">
        <f>'A) Base RI'!AN227</f>
        <v>352</v>
      </c>
      <c r="D228" s="41">
        <f t="shared" si="19"/>
        <v>352</v>
      </c>
      <c r="E228" s="14">
        <f t="shared" si="17"/>
        <v>0</v>
      </c>
      <c r="F228" s="14">
        <f t="shared" si="17"/>
        <v>0</v>
      </c>
      <c r="G228" s="14">
        <f t="shared" si="17"/>
        <v>0</v>
      </c>
      <c r="H228" s="14">
        <f t="shared" si="17"/>
        <v>0</v>
      </c>
      <c r="I228" s="52">
        <f t="shared" si="17"/>
        <v>0</v>
      </c>
      <c r="J228" s="14">
        <f t="shared" si="16"/>
        <v>0</v>
      </c>
      <c r="K228" s="75">
        <f t="shared" si="18"/>
        <v>34845.875251509053</v>
      </c>
    </row>
    <row r="229" spans="1:11" x14ac:dyDescent="0.25">
      <c r="A229" s="61">
        <f>'A) Base RI'!A228</f>
        <v>5752</v>
      </c>
      <c r="B229" s="42" t="str">
        <f>'A) Base RI'!B228</f>
        <v>Croy</v>
      </c>
      <c r="C229" s="14">
        <f>'A) Base RI'!AN228</f>
        <v>335</v>
      </c>
      <c r="D229" s="41">
        <f t="shared" si="19"/>
        <v>335</v>
      </c>
      <c r="E229" s="14">
        <f t="shared" si="17"/>
        <v>0</v>
      </c>
      <c r="F229" s="14">
        <f t="shared" si="17"/>
        <v>0</v>
      </c>
      <c r="G229" s="14">
        <f t="shared" si="17"/>
        <v>0</v>
      </c>
      <c r="H229" s="14">
        <f t="shared" si="17"/>
        <v>0</v>
      </c>
      <c r="I229" s="52">
        <f t="shared" si="17"/>
        <v>0</v>
      </c>
      <c r="J229" s="14">
        <f t="shared" si="16"/>
        <v>0</v>
      </c>
      <c r="K229" s="75">
        <f t="shared" si="18"/>
        <v>33162.977867203219</v>
      </c>
    </row>
    <row r="230" spans="1:11" x14ac:dyDescent="0.25">
      <c r="A230" s="61">
        <f>'A) Base RI'!A229</f>
        <v>5754</v>
      </c>
      <c r="B230" s="42" t="str">
        <f>'A) Base RI'!B229</f>
        <v>Juriens</v>
      </c>
      <c r="C230" s="14">
        <f>'A) Base RI'!AN229</f>
        <v>302</v>
      </c>
      <c r="D230" s="41">
        <f t="shared" si="19"/>
        <v>302</v>
      </c>
      <c r="E230" s="14">
        <f t="shared" si="17"/>
        <v>0</v>
      </c>
      <c r="F230" s="14">
        <f t="shared" si="17"/>
        <v>0</v>
      </c>
      <c r="G230" s="14">
        <f t="shared" si="17"/>
        <v>0</v>
      </c>
      <c r="H230" s="14">
        <f t="shared" si="17"/>
        <v>0</v>
      </c>
      <c r="I230" s="52">
        <f t="shared" si="17"/>
        <v>0</v>
      </c>
      <c r="J230" s="14">
        <f t="shared" si="16"/>
        <v>0</v>
      </c>
      <c r="K230" s="75">
        <f t="shared" si="18"/>
        <v>29896.177062374245</v>
      </c>
    </row>
    <row r="231" spans="1:11" x14ac:dyDescent="0.25">
      <c r="A231" s="61">
        <f>'A) Base RI'!A230</f>
        <v>5755</v>
      </c>
      <c r="B231" s="42" t="str">
        <f>'A) Base RI'!B230</f>
        <v>Lignerolle</v>
      </c>
      <c r="C231" s="14">
        <f>'A) Base RI'!AN230</f>
        <v>394</v>
      </c>
      <c r="D231" s="41">
        <f t="shared" si="19"/>
        <v>394</v>
      </c>
      <c r="E231" s="14">
        <f t="shared" si="17"/>
        <v>0</v>
      </c>
      <c r="F231" s="14">
        <f t="shared" si="17"/>
        <v>0</v>
      </c>
      <c r="G231" s="14">
        <f t="shared" si="17"/>
        <v>0</v>
      </c>
      <c r="H231" s="14">
        <f t="shared" si="17"/>
        <v>0</v>
      </c>
      <c r="I231" s="52">
        <f t="shared" si="17"/>
        <v>0</v>
      </c>
      <c r="J231" s="14">
        <f t="shared" si="16"/>
        <v>0</v>
      </c>
      <c r="K231" s="75">
        <f t="shared" si="18"/>
        <v>39003.621730382292</v>
      </c>
    </row>
    <row r="232" spans="1:11" x14ac:dyDescent="0.25">
      <c r="A232" s="61">
        <f>'A) Base RI'!A231</f>
        <v>5756</v>
      </c>
      <c r="B232" s="42" t="str">
        <f>'A) Base RI'!B231</f>
        <v>Montcherand</v>
      </c>
      <c r="C232" s="14">
        <f>'A) Base RI'!AN231</f>
        <v>474</v>
      </c>
      <c r="D232" s="41">
        <f t="shared" si="19"/>
        <v>474</v>
      </c>
      <c r="E232" s="14">
        <f t="shared" si="17"/>
        <v>0</v>
      </c>
      <c r="F232" s="14">
        <f t="shared" si="17"/>
        <v>0</v>
      </c>
      <c r="G232" s="14">
        <f t="shared" si="17"/>
        <v>0</v>
      </c>
      <c r="H232" s="14">
        <f t="shared" si="17"/>
        <v>0</v>
      </c>
      <c r="I232" s="52">
        <f t="shared" si="17"/>
        <v>0</v>
      </c>
      <c r="J232" s="14">
        <f t="shared" si="16"/>
        <v>0</v>
      </c>
      <c r="K232" s="75">
        <f t="shared" si="18"/>
        <v>46923.138832997982</v>
      </c>
    </row>
    <row r="233" spans="1:11" x14ac:dyDescent="0.25">
      <c r="A233" s="61">
        <f>'A) Base RI'!A232</f>
        <v>5757</v>
      </c>
      <c r="B233" s="42" t="str">
        <f>'A) Base RI'!B232</f>
        <v>Orbe</v>
      </c>
      <c r="C233" s="14">
        <f>'A) Base RI'!AN232</f>
        <v>6767</v>
      </c>
      <c r="D233" s="41">
        <f t="shared" si="19"/>
        <v>1000</v>
      </c>
      <c r="E233" s="14">
        <f t="shared" si="17"/>
        <v>2000</v>
      </c>
      <c r="F233" s="14">
        <f t="shared" si="17"/>
        <v>2000</v>
      </c>
      <c r="G233" s="14">
        <f t="shared" si="17"/>
        <v>1767</v>
      </c>
      <c r="H233" s="14">
        <f t="shared" si="17"/>
        <v>0</v>
      </c>
      <c r="I233" s="52">
        <f t="shared" si="17"/>
        <v>0</v>
      </c>
      <c r="J233" s="14">
        <f t="shared" si="16"/>
        <v>0</v>
      </c>
      <c r="K233" s="75">
        <f t="shared" si="18"/>
        <v>2831425.352112676</v>
      </c>
    </row>
    <row r="234" spans="1:11" x14ac:dyDescent="0.25">
      <c r="A234" s="61">
        <f>'A) Base RI'!A233</f>
        <v>5758</v>
      </c>
      <c r="B234" s="42" t="str">
        <f>'A) Base RI'!B233</f>
        <v>La Praz</v>
      </c>
      <c r="C234" s="14">
        <f>'A) Base RI'!AN233</f>
        <v>160</v>
      </c>
      <c r="D234" s="41">
        <f t="shared" si="19"/>
        <v>160</v>
      </c>
      <c r="E234" s="14">
        <f t="shared" si="17"/>
        <v>0</v>
      </c>
      <c r="F234" s="14">
        <f t="shared" si="17"/>
        <v>0</v>
      </c>
      <c r="G234" s="14">
        <f t="shared" si="17"/>
        <v>0</v>
      </c>
      <c r="H234" s="14">
        <f t="shared" si="17"/>
        <v>0</v>
      </c>
      <c r="I234" s="52">
        <f t="shared" si="17"/>
        <v>0</v>
      </c>
      <c r="J234" s="14">
        <f t="shared" ref="J234:J280" si="20">IF(C234&gt;$J$4,C234-$J$4,0)</f>
        <v>0</v>
      </c>
      <c r="K234" s="75">
        <f t="shared" si="18"/>
        <v>15839.034205231386</v>
      </c>
    </row>
    <row r="235" spans="1:11" x14ac:dyDescent="0.25">
      <c r="A235" s="61">
        <f>'A) Base RI'!A234</f>
        <v>5759</v>
      </c>
      <c r="B235" s="42" t="str">
        <f>'A) Base RI'!B234</f>
        <v>Premier</v>
      </c>
      <c r="C235" s="14">
        <f>'A) Base RI'!AN234</f>
        <v>185</v>
      </c>
      <c r="D235" s="41">
        <f t="shared" si="19"/>
        <v>185</v>
      </c>
      <c r="E235" s="14">
        <f t="shared" si="17"/>
        <v>0</v>
      </c>
      <c r="F235" s="14">
        <f t="shared" si="17"/>
        <v>0</v>
      </c>
      <c r="G235" s="14">
        <f t="shared" si="17"/>
        <v>0</v>
      </c>
      <c r="H235" s="14">
        <f t="shared" si="17"/>
        <v>0</v>
      </c>
      <c r="I235" s="52">
        <f t="shared" ref="E235:I261" si="21">IF($C235&gt;I$4,IF($C235&lt;I$5,$C235-I$4,I$5-I$4),0)</f>
        <v>0</v>
      </c>
      <c r="J235" s="14">
        <f t="shared" si="20"/>
        <v>0</v>
      </c>
      <c r="K235" s="75">
        <f t="shared" si="18"/>
        <v>18313.883299798792</v>
      </c>
    </row>
    <row r="236" spans="1:11" x14ac:dyDescent="0.25">
      <c r="A236" s="61">
        <f>'A) Base RI'!A235</f>
        <v>5760</v>
      </c>
      <c r="B236" s="42" t="str">
        <f>'A) Base RI'!B235</f>
        <v>Rances</v>
      </c>
      <c r="C236" s="14">
        <f>'A) Base RI'!AN235</f>
        <v>460</v>
      </c>
      <c r="D236" s="41">
        <f t="shared" si="19"/>
        <v>460</v>
      </c>
      <c r="E236" s="14">
        <f t="shared" si="21"/>
        <v>0</v>
      </c>
      <c r="F236" s="14">
        <f t="shared" si="21"/>
        <v>0</v>
      </c>
      <c r="G236" s="14">
        <f t="shared" si="21"/>
        <v>0</v>
      </c>
      <c r="H236" s="14">
        <f t="shared" si="21"/>
        <v>0</v>
      </c>
      <c r="I236" s="52">
        <f t="shared" si="21"/>
        <v>0</v>
      </c>
      <c r="J236" s="14">
        <f t="shared" si="20"/>
        <v>0</v>
      </c>
      <c r="K236" s="75">
        <f t="shared" si="18"/>
        <v>45537.22334004024</v>
      </c>
    </row>
    <row r="237" spans="1:11" x14ac:dyDescent="0.25">
      <c r="A237" s="61">
        <f>'A) Base RI'!A236</f>
        <v>5761</v>
      </c>
      <c r="B237" s="42" t="str">
        <f>'A) Base RI'!B236</f>
        <v>Romainmôtier-Envy</v>
      </c>
      <c r="C237" s="14">
        <f>'A) Base RI'!AN236</f>
        <v>525</v>
      </c>
      <c r="D237" s="41">
        <f t="shared" si="19"/>
        <v>525</v>
      </c>
      <c r="E237" s="14">
        <f t="shared" si="21"/>
        <v>0</v>
      </c>
      <c r="F237" s="14">
        <f t="shared" si="21"/>
        <v>0</v>
      </c>
      <c r="G237" s="14">
        <f t="shared" si="21"/>
        <v>0</v>
      </c>
      <c r="H237" s="14">
        <f t="shared" si="21"/>
        <v>0</v>
      </c>
      <c r="I237" s="52">
        <f t="shared" si="21"/>
        <v>0</v>
      </c>
      <c r="J237" s="14">
        <f t="shared" si="20"/>
        <v>0</v>
      </c>
      <c r="K237" s="75">
        <f t="shared" si="18"/>
        <v>51971.830985915491</v>
      </c>
    </row>
    <row r="238" spans="1:11" x14ac:dyDescent="0.25">
      <c r="A238" s="61">
        <f>'A) Base RI'!A237</f>
        <v>5762</v>
      </c>
      <c r="B238" s="42" t="str">
        <f>'A) Base RI'!B237</f>
        <v>Sergey</v>
      </c>
      <c r="C238" s="14">
        <f>'A) Base RI'!AN237</f>
        <v>144</v>
      </c>
      <c r="D238" s="41">
        <f t="shared" si="19"/>
        <v>144</v>
      </c>
      <c r="E238" s="14">
        <f t="shared" si="21"/>
        <v>0</v>
      </c>
      <c r="F238" s="14">
        <f t="shared" si="21"/>
        <v>0</v>
      </c>
      <c r="G238" s="14">
        <f t="shared" si="21"/>
        <v>0</v>
      </c>
      <c r="H238" s="14">
        <f t="shared" si="21"/>
        <v>0</v>
      </c>
      <c r="I238" s="52">
        <f t="shared" si="21"/>
        <v>0</v>
      </c>
      <c r="J238" s="14">
        <f t="shared" si="20"/>
        <v>0</v>
      </c>
      <c r="K238" s="75">
        <f t="shared" si="18"/>
        <v>14255.130784708248</v>
      </c>
    </row>
    <row r="239" spans="1:11" x14ac:dyDescent="0.25">
      <c r="A239" s="61">
        <f>'A) Base RI'!A238</f>
        <v>5763</v>
      </c>
      <c r="B239" s="42" t="str">
        <f>'A) Base RI'!B238</f>
        <v>Valeyres-sous-Rances</v>
      </c>
      <c r="C239" s="14">
        <f>'A) Base RI'!AN238</f>
        <v>600</v>
      </c>
      <c r="D239" s="41">
        <f t="shared" si="19"/>
        <v>600</v>
      </c>
      <c r="E239" s="14">
        <f t="shared" si="21"/>
        <v>0</v>
      </c>
      <c r="F239" s="14">
        <f t="shared" si="21"/>
        <v>0</v>
      </c>
      <c r="G239" s="14">
        <f t="shared" si="21"/>
        <v>0</v>
      </c>
      <c r="H239" s="14">
        <f t="shared" si="21"/>
        <v>0</v>
      </c>
      <c r="I239" s="52">
        <f t="shared" si="21"/>
        <v>0</v>
      </c>
      <c r="J239" s="14">
        <f t="shared" si="20"/>
        <v>0</v>
      </c>
      <c r="K239" s="75">
        <f t="shared" si="18"/>
        <v>59396.3782696177</v>
      </c>
    </row>
    <row r="240" spans="1:11" x14ac:dyDescent="0.25">
      <c r="A240" s="61">
        <f>'A) Base RI'!A239</f>
        <v>5764</v>
      </c>
      <c r="B240" s="42" t="str">
        <f>'A) Base RI'!B239</f>
        <v>Vallorbe</v>
      </c>
      <c r="C240" s="14">
        <f>'A) Base RI'!AN239</f>
        <v>3650</v>
      </c>
      <c r="D240" s="41">
        <f t="shared" si="19"/>
        <v>1000</v>
      </c>
      <c r="E240" s="14">
        <f t="shared" si="21"/>
        <v>2000</v>
      </c>
      <c r="F240" s="14">
        <f t="shared" si="21"/>
        <v>650</v>
      </c>
      <c r="G240" s="14">
        <f t="shared" si="21"/>
        <v>0</v>
      </c>
      <c r="H240" s="14">
        <f t="shared" si="21"/>
        <v>0</v>
      </c>
      <c r="I240" s="52">
        <f t="shared" si="21"/>
        <v>0</v>
      </c>
      <c r="J240" s="14">
        <f t="shared" si="20"/>
        <v>0</v>
      </c>
      <c r="K240" s="75">
        <f t="shared" si="18"/>
        <v>1113682.092555332</v>
      </c>
    </row>
    <row r="241" spans="1:11" x14ac:dyDescent="0.25">
      <c r="A241" s="61">
        <f>'A) Base RI'!A240</f>
        <v>5765</v>
      </c>
      <c r="B241" s="42" t="str">
        <f>'A) Base RI'!B240</f>
        <v>Vaulion</v>
      </c>
      <c r="C241" s="14">
        <f>'A) Base RI'!AN240</f>
        <v>491</v>
      </c>
      <c r="D241" s="41">
        <f t="shared" si="19"/>
        <v>491</v>
      </c>
      <c r="E241" s="14">
        <f t="shared" si="21"/>
        <v>0</v>
      </c>
      <c r="F241" s="14">
        <f t="shared" si="21"/>
        <v>0</v>
      </c>
      <c r="G241" s="14">
        <f t="shared" si="21"/>
        <v>0</v>
      </c>
      <c r="H241" s="14">
        <f t="shared" si="21"/>
        <v>0</v>
      </c>
      <c r="I241" s="52">
        <f t="shared" si="21"/>
        <v>0</v>
      </c>
      <c r="J241" s="14">
        <f t="shared" si="20"/>
        <v>0</v>
      </c>
      <c r="K241" s="75">
        <f t="shared" si="18"/>
        <v>48606.036217303823</v>
      </c>
    </row>
    <row r="242" spans="1:11" x14ac:dyDescent="0.25">
      <c r="A242" s="61">
        <f>'A) Base RI'!A241</f>
        <v>5766</v>
      </c>
      <c r="B242" s="42" t="str">
        <f>'A) Base RI'!B241</f>
        <v>Vuiteboeuf</v>
      </c>
      <c r="C242" s="14">
        <f>'A) Base RI'!AN241</f>
        <v>538</v>
      </c>
      <c r="D242" s="41">
        <f t="shared" si="19"/>
        <v>538</v>
      </c>
      <c r="E242" s="14">
        <f t="shared" si="21"/>
        <v>0</v>
      </c>
      <c r="F242" s="14">
        <f t="shared" si="21"/>
        <v>0</v>
      </c>
      <c r="G242" s="14">
        <f t="shared" si="21"/>
        <v>0</v>
      </c>
      <c r="H242" s="14">
        <f t="shared" si="21"/>
        <v>0</v>
      </c>
      <c r="I242" s="52">
        <f t="shared" si="21"/>
        <v>0</v>
      </c>
      <c r="J242" s="14">
        <f t="shared" si="20"/>
        <v>0</v>
      </c>
      <c r="K242" s="75">
        <f t="shared" si="18"/>
        <v>53258.752515090542</v>
      </c>
    </row>
    <row r="243" spans="1:11" x14ac:dyDescent="0.25">
      <c r="A243" s="61">
        <f>'A) Base RI'!A242</f>
        <v>5782</v>
      </c>
      <c r="B243" s="42" t="str">
        <f>'A) Base RI'!B242</f>
        <v>Carrouge</v>
      </c>
      <c r="C243" s="14">
        <f>'A) Base RI'!AN242</f>
        <v>1204</v>
      </c>
      <c r="D243" s="41">
        <f t="shared" si="19"/>
        <v>1000</v>
      </c>
      <c r="E243" s="14">
        <f t="shared" si="21"/>
        <v>204</v>
      </c>
      <c r="F243" s="14">
        <f t="shared" si="21"/>
        <v>0</v>
      </c>
      <c r="G243" s="14">
        <f t="shared" si="21"/>
        <v>0</v>
      </c>
      <c r="H243" s="14">
        <f t="shared" si="21"/>
        <v>0</v>
      </c>
      <c r="I243" s="52">
        <f t="shared" si="21"/>
        <v>0</v>
      </c>
      <c r="J243" s="14">
        <f t="shared" si="20"/>
        <v>0</v>
      </c>
      <c r="K243" s="75">
        <f t="shared" si="18"/>
        <v>169675.65392354125</v>
      </c>
    </row>
    <row r="244" spans="1:11" x14ac:dyDescent="0.25">
      <c r="A244" s="61">
        <f>'A) Base RI'!A243</f>
        <v>5785</v>
      </c>
      <c r="B244" s="42" t="str">
        <f>'A) Base RI'!B243</f>
        <v>Corcelles-le-Jorat</v>
      </c>
      <c r="C244" s="14">
        <f>'A) Base RI'!AN243</f>
        <v>421</v>
      </c>
      <c r="D244" s="41">
        <f t="shared" si="19"/>
        <v>421</v>
      </c>
      <c r="E244" s="14">
        <f t="shared" si="21"/>
        <v>0</v>
      </c>
      <c r="F244" s="14">
        <f t="shared" si="21"/>
        <v>0</v>
      </c>
      <c r="G244" s="14">
        <f t="shared" si="21"/>
        <v>0</v>
      </c>
      <c r="H244" s="14">
        <f t="shared" si="21"/>
        <v>0</v>
      </c>
      <c r="I244" s="52">
        <f t="shared" si="21"/>
        <v>0</v>
      </c>
      <c r="J244" s="14">
        <f t="shared" si="20"/>
        <v>0</v>
      </c>
      <c r="K244" s="75">
        <f t="shared" si="18"/>
        <v>41676.458752515086</v>
      </c>
    </row>
    <row r="245" spans="1:11" x14ac:dyDescent="0.25">
      <c r="A245" s="61">
        <f>'A) Base RI'!A244</f>
        <v>5788</v>
      </c>
      <c r="B245" s="42" t="str">
        <f>'A) Base RI'!B244</f>
        <v>Essertes</v>
      </c>
      <c r="C245" s="14">
        <f>'A) Base RI'!AN244</f>
        <v>330</v>
      </c>
      <c r="D245" s="41">
        <f t="shared" si="19"/>
        <v>330</v>
      </c>
      <c r="E245" s="14">
        <f t="shared" si="21"/>
        <v>0</v>
      </c>
      <c r="F245" s="14">
        <f t="shared" si="21"/>
        <v>0</v>
      </c>
      <c r="G245" s="14">
        <f t="shared" si="21"/>
        <v>0</v>
      </c>
      <c r="H245" s="14">
        <f t="shared" si="21"/>
        <v>0</v>
      </c>
      <c r="I245" s="52">
        <f t="shared" si="21"/>
        <v>0</v>
      </c>
      <c r="J245" s="14">
        <f t="shared" si="20"/>
        <v>0</v>
      </c>
      <c r="K245" s="75">
        <f t="shared" si="18"/>
        <v>32668.008048289736</v>
      </c>
    </row>
    <row r="246" spans="1:11" x14ac:dyDescent="0.25">
      <c r="A246" s="61">
        <f>'A) Base RI'!A245</f>
        <v>5789</v>
      </c>
      <c r="B246" s="42" t="str">
        <f>'A) Base RI'!B245</f>
        <v>Ferlens</v>
      </c>
      <c r="C246" s="14">
        <f>'A) Base RI'!AN245</f>
        <v>336</v>
      </c>
      <c r="D246" s="41">
        <f t="shared" si="19"/>
        <v>336</v>
      </c>
      <c r="E246" s="14">
        <f t="shared" si="21"/>
        <v>0</v>
      </c>
      <c r="F246" s="14">
        <f t="shared" si="21"/>
        <v>0</v>
      </c>
      <c r="G246" s="14">
        <f t="shared" si="21"/>
        <v>0</v>
      </c>
      <c r="H246" s="14">
        <f t="shared" si="21"/>
        <v>0</v>
      </c>
      <c r="I246" s="52">
        <f t="shared" si="21"/>
        <v>0</v>
      </c>
      <c r="J246" s="14">
        <f t="shared" si="20"/>
        <v>0</v>
      </c>
      <c r="K246" s="75">
        <f t="shared" si="18"/>
        <v>33261.971830985916</v>
      </c>
    </row>
    <row r="247" spans="1:11" x14ac:dyDescent="0.25">
      <c r="A247" s="61">
        <f>'A) Base RI'!A246</f>
        <v>5790</v>
      </c>
      <c r="B247" s="42" t="str">
        <f>'A) Base RI'!B246</f>
        <v>Maracon</v>
      </c>
      <c r="C247" s="14">
        <f>'A) Base RI'!AN246</f>
        <v>444</v>
      </c>
      <c r="D247" s="41">
        <f t="shared" si="19"/>
        <v>444</v>
      </c>
      <c r="E247" s="14">
        <f t="shared" si="21"/>
        <v>0</v>
      </c>
      <c r="F247" s="14">
        <f t="shared" si="21"/>
        <v>0</v>
      </c>
      <c r="G247" s="14">
        <f t="shared" si="21"/>
        <v>0</v>
      </c>
      <c r="H247" s="14">
        <f t="shared" si="21"/>
        <v>0</v>
      </c>
      <c r="I247" s="52">
        <f t="shared" si="21"/>
        <v>0</v>
      </c>
      <c r="J247" s="14">
        <f t="shared" si="20"/>
        <v>0</v>
      </c>
      <c r="K247" s="75">
        <f t="shared" si="18"/>
        <v>43953.319919517096</v>
      </c>
    </row>
    <row r="248" spans="1:11" x14ac:dyDescent="0.25">
      <c r="A248" s="61">
        <f>'A) Base RI'!A247</f>
        <v>5791</v>
      </c>
      <c r="B248" s="42" t="str">
        <f>'A) Base RI'!B247</f>
        <v>Mézières</v>
      </c>
      <c r="C248" s="14">
        <f>'A) Base RI'!AN247</f>
        <v>1215</v>
      </c>
      <c r="D248" s="41">
        <f t="shared" si="19"/>
        <v>1000</v>
      </c>
      <c r="E248" s="14">
        <f t="shared" si="21"/>
        <v>215</v>
      </c>
      <c r="F248" s="14">
        <f t="shared" si="21"/>
        <v>0</v>
      </c>
      <c r="G248" s="14">
        <f t="shared" si="21"/>
        <v>0</v>
      </c>
      <c r="H248" s="14">
        <f t="shared" si="21"/>
        <v>0</v>
      </c>
      <c r="I248" s="52">
        <f t="shared" si="21"/>
        <v>0</v>
      </c>
      <c r="J248" s="14">
        <f t="shared" si="20"/>
        <v>0</v>
      </c>
      <c r="K248" s="75">
        <f t="shared" si="18"/>
        <v>173486.92152917504</v>
      </c>
    </row>
    <row r="249" spans="1:11" x14ac:dyDescent="0.25">
      <c r="A249" s="61">
        <f>'A) Base RI'!A248</f>
        <v>5792</v>
      </c>
      <c r="B249" s="42" t="str">
        <f>'A) Base RI'!B248</f>
        <v>Montpreveyres</v>
      </c>
      <c r="C249" s="14">
        <f>'A) Base RI'!AN248</f>
        <v>628</v>
      </c>
      <c r="D249" s="41">
        <f t="shared" si="19"/>
        <v>628</v>
      </c>
      <c r="E249" s="14">
        <f t="shared" si="21"/>
        <v>0</v>
      </c>
      <c r="F249" s="14">
        <f t="shared" si="21"/>
        <v>0</v>
      </c>
      <c r="G249" s="14">
        <f t="shared" si="21"/>
        <v>0</v>
      </c>
      <c r="H249" s="14">
        <f t="shared" si="21"/>
        <v>0</v>
      </c>
      <c r="I249" s="52">
        <f t="shared" si="21"/>
        <v>0</v>
      </c>
      <c r="J249" s="14">
        <f t="shared" si="20"/>
        <v>0</v>
      </c>
      <c r="K249" s="75">
        <f t="shared" si="18"/>
        <v>62168.209255533198</v>
      </c>
    </row>
    <row r="250" spans="1:11" x14ac:dyDescent="0.25">
      <c r="A250" s="61">
        <f>'A) Base RI'!A249</f>
        <v>5798</v>
      </c>
      <c r="B250" s="42" t="str">
        <f>'A) Base RI'!B249</f>
        <v>Ropraz</v>
      </c>
      <c r="C250" s="14">
        <f>'A) Base RI'!AN249</f>
        <v>405</v>
      </c>
      <c r="D250" s="41">
        <f t="shared" si="19"/>
        <v>405</v>
      </c>
      <c r="E250" s="14">
        <f t="shared" si="21"/>
        <v>0</v>
      </c>
      <c r="F250" s="14">
        <f t="shared" si="21"/>
        <v>0</v>
      </c>
      <c r="G250" s="14">
        <f t="shared" si="21"/>
        <v>0</v>
      </c>
      <c r="H250" s="14">
        <f t="shared" si="21"/>
        <v>0</v>
      </c>
      <c r="I250" s="52">
        <f t="shared" si="21"/>
        <v>0</v>
      </c>
      <c r="J250" s="14">
        <f t="shared" si="20"/>
        <v>0</v>
      </c>
      <c r="K250" s="75">
        <f t="shared" si="18"/>
        <v>40092.555331991949</v>
      </c>
    </row>
    <row r="251" spans="1:11" x14ac:dyDescent="0.25">
      <c r="A251" s="61">
        <f>'A) Base RI'!A250</f>
        <v>5799</v>
      </c>
      <c r="B251" s="42" t="str">
        <f>'A) Base RI'!B250</f>
        <v>Servion</v>
      </c>
      <c r="C251" s="14">
        <f>'A) Base RI'!AN250</f>
        <v>1908</v>
      </c>
      <c r="D251" s="41">
        <f t="shared" si="19"/>
        <v>1000</v>
      </c>
      <c r="E251" s="14">
        <f t="shared" si="21"/>
        <v>908</v>
      </c>
      <c r="F251" s="14">
        <f t="shared" si="21"/>
        <v>0</v>
      </c>
      <c r="G251" s="14">
        <f t="shared" si="21"/>
        <v>0</v>
      </c>
      <c r="H251" s="14">
        <f t="shared" si="21"/>
        <v>0</v>
      </c>
      <c r="I251" s="52">
        <f t="shared" si="21"/>
        <v>0</v>
      </c>
      <c r="J251" s="14">
        <f t="shared" si="20"/>
        <v>0</v>
      </c>
      <c r="K251" s="75">
        <f t="shared" si="18"/>
        <v>413596.7806841046</v>
      </c>
    </row>
    <row r="252" spans="1:11" x14ac:dyDescent="0.25">
      <c r="A252" s="61">
        <f>'A) Base RI'!A251</f>
        <v>5803</v>
      </c>
      <c r="B252" s="42" t="str">
        <f>'A) Base RI'!B251</f>
        <v>Vulliens</v>
      </c>
      <c r="C252" s="14">
        <f>'A) Base RI'!AN251</f>
        <v>462</v>
      </c>
      <c r="D252" s="41">
        <f t="shared" si="19"/>
        <v>462</v>
      </c>
      <c r="E252" s="14">
        <f t="shared" si="21"/>
        <v>0</v>
      </c>
      <c r="F252" s="14">
        <f t="shared" si="21"/>
        <v>0</v>
      </c>
      <c r="G252" s="14">
        <f t="shared" si="21"/>
        <v>0</v>
      </c>
      <c r="H252" s="14">
        <f t="shared" si="21"/>
        <v>0</v>
      </c>
      <c r="I252" s="52">
        <f t="shared" si="21"/>
        <v>0</v>
      </c>
      <c r="J252" s="14">
        <f t="shared" si="20"/>
        <v>0</v>
      </c>
      <c r="K252" s="75">
        <f t="shared" si="18"/>
        <v>45735.211267605628</v>
      </c>
    </row>
    <row r="253" spans="1:11" x14ac:dyDescent="0.25">
      <c r="A253" s="61">
        <f>'A) Base RI'!A252</f>
        <v>5804</v>
      </c>
      <c r="B253" s="42" t="str">
        <f>'A) Base RI'!B252</f>
        <v>Jorat-Menthue</v>
      </c>
      <c r="C253" s="14">
        <f>'A) Base RI'!AN252</f>
        <v>1518</v>
      </c>
      <c r="D253" s="41">
        <f t="shared" si="19"/>
        <v>1000</v>
      </c>
      <c r="E253" s="14">
        <f t="shared" si="21"/>
        <v>518</v>
      </c>
      <c r="F253" s="14">
        <f t="shared" si="21"/>
        <v>0</v>
      </c>
      <c r="G253" s="14">
        <f t="shared" si="21"/>
        <v>0</v>
      </c>
      <c r="H253" s="14">
        <f t="shared" si="21"/>
        <v>0</v>
      </c>
      <c r="I253" s="52">
        <f t="shared" si="21"/>
        <v>0</v>
      </c>
      <c r="J253" s="14">
        <f t="shared" si="20"/>
        <v>0</v>
      </c>
      <c r="K253" s="75">
        <f t="shared" si="18"/>
        <v>278470.02012072434</v>
      </c>
    </row>
    <row r="254" spans="1:11" x14ac:dyDescent="0.25">
      <c r="A254" s="61">
        <f>'A) Base RI'!A253</f>
        <v>5805</v>
      </c>
      <c r="B254" s="42" t="str">
        <f>'A) Base RI'!B253</f>
        <v>Oron</v>
      </c>
      <c r="C254" s="14">
        <f>'A) Base RI'!AN253</f>
        <v>5297</v>
      </c>
      <c r="D254" s="41">
        <f t="shared" si="19"/>
        <v>1000</v>
      </c>
      <c r="E254" s="14">
        <f t="shared" si="21"/>
        <v>2000</v>
      </c>
      <c r="F254" s="14">
        <f t="shared" si="21"/>
        <v>2000</v>
      </c>
      <c r="G254" s="14">
        <f t="shared" si="21"/>
        <v>297</v>
      </c>
      <c r="H254" s="14">
        <f t="shared" si="21"/>
        <v>0</v>
      </c>
      <c r="I254" s="52">
        <f t="shared" si="21"/>
        <v>0</v>
      </c>
      <c r="J254" s="14">
        <f t="shared" si="20"/>
        <v>0</v>
      </c>
      <c r="K254" s="75">
        <f t="shared" si="18"/>
        <v>1958298.5915492959</v>
      </c>
    </row>
    <row r="255" spans="1:11" x14ac:dyDescent="0.25">
      <c r="A255" s="61">
        <f>'A) Base RI'!A254</f>
        <v>5812</v>
      </c>
      <c r="B255" s="42" t="str">
        <f>'A) Base RI'!B254</f>
        <v>Champtauroz</v>
      </c>
      <c r="C255" s="14">
        <f>'A) Base RI'!AN254</f>
        <v>133</v>
      </c>
      <c r="D255" s="41">
        <f t="shared" si="19"/>
        <v>133</v>
      </c>
      <c r="E255" s="14">
        <f t="shared" si="21"/>
        <v>0</v>
      </c>
      <c r="F255" s="14">
        <f t="shared" si="21"/>
        <v>0</v>
      </c>
      <c r="G255" s="14">
        <f t="shared" si="21"/>
        <v>0</v>
      </c>
      <c r="H255" s="14">
        <f t="shared" si="21"/>
        <v>0</v>
      </c>
      <c r="I255" s="52">
        <f t="shared" si="21"/>
        <v>0</v>
      </c>
      <c r="J255" s="14">
        <f t="shared" si="20"/>
        <v>0</v>
      </c>
      <c r="K255" s="75">
        <f t="shared" si="18"/>
        <v>13166.197183098591</v>
      </c>
    </row>
    <row r="256" spans="1:11" x14ac:dyDescent="0.25">
      <c r="A256" s="61">
        <f>'A) Base RI'!A255</f>
        <v>5813</v>
      </c>
      <c r="B256" s="42" t="str">
        <f>'A) Base RI'!B255</f>
        <v>Chevroux</v>
      </c>
      <c r="C256" s="14">
        <f>'A) Base RI'!AN255</f>
        <v>430</v>
      </c>
      <c r="D256" s="41">
        <f t="shared" si="19"/>
        <v>430</v>
      </c>
      <c r="E256" s="14">
        <f t="shared" si="21"/>
        <v>0</v>
      </c>
      <c r="F256" s="14">
        <f t="shared" si="21"/>
        <v>0</v>
      </c>
      <c r="G256" s="14">
        <f t="shared" si="21"/>
        <v>0</v>
      </c>
      <c r="H256" s="14">
        <f t="shared" si="21"/>
        <v>0</v>
      </c>
      <c r="I256" s="52">
        <f t="shared" si="21"/>
        <v>0</v>
      </c>
      <c r="J256" s="14">
        <f t="shared" si="20"/>
        <v>0</v>
      </c>
      <c r="K256" s="75">
        <f t="shared" si="18"/>
        <v>42567.404426559355</v>
      </c>
    </row>
    <row r="257" spans="1:11" x14ac:dyDescent="0.25">
      <c r="A257" s="61">
        <f>'A) Base RI'!A256</f>
        <v>5816</v>
      </c>
      <c r="B257" s="42" t="str">
        <f>'A) Base RI'!B256</f>
        <v>Corcelles-près-Payerne</v>
      </c>
      <c r="C257" s="14">
        <f>'A) Base RI'!AN256</f>
        <v>2229</v>
      </c>
      <c r="D257" s="41">
        <f t="shared" si="19"/>
        <v>1000</v>
      </c>
      <c r="E257" s="14">
        <f t="shared" si="21"/>
        <v>1229</v>
      </c>
      <c r="F257" s="14">
        <f t="shared" si="21"/>
        <v>0</v>
      </c>
      <c r="G257" s="14">
        <f t="shared" si="21"/>
        <v>0</v>
      </c>
      <c r="H257" s="14">
        <f t="shared" si="21"/>
        <v>0</v>
      </c>
      <c r="I257" s="52">
        <f t="shared" si="21"/>
        <v>0</v>
      </c>
      <c r="J257" s="14">
        <f t="shared" si="20"/>
        <v>0</v>
      </c>
      <c r="K257" s="75">
        <f t="shared" si="18"/>
        <v>524816.4989939637</v>
      </c>
    </row>
    <row r="258" spans="1:11" x14ac:dyDescent="0.25">
      <c r="A258" s="61">
        <f>'A) Base RI'!A257</f>
        <v>5817</v>
      </c>
      <c r="B258" s="42" t="str">
        <f>'A) Base RI'!B257</f>
        <v>Grandcour</v>
      </c>
      <c r="C258" s="14">
        <f>'A) Base RI'!AN257</f>
        <v>856</v>
      </c>
      <c r="D258" s="41">
        <f t="shared" si="19"/>
        <v>856</v>
      </c>
      <c r="E258" s="14">
        <f t="shared" si="21"/>
        <v>0</v>
      </c>
      <c r="F258" s="14">
        <f t="shared" si="21"/>
        <v>0</v>
      </c>
      <c r="G258" s="14">
        <f t="shared" si="21"/>
        <v>0</v>
      </c>
      <c r="H258" s="14">
        <f t="shared" si="21"/>
        <v>0</v>
      </c>
      <c r="I258" s="52">
        <f t="shared" si="21"/>
        <v>0</v>
      </c>
      <c r="J258" s="14">
        <f t="shared" si="20"/>
        <v>0</v>
      </c>
      <c r="K258" s="75">
        <f t="shared" si="18"/>
        <v>84738.83299798792</v>
      </c>
    </row>
    <row r="259" spans="1:11" x14ac:dyDescent="0.25">
      <c r="A259" s="61">
        <f>'A) Base RI'!A258</f>
        <v>5819</v>
      </c>
      <c r="B259" s="42" t="str">
        <f>'A) Base RI'!B258</f>
        <v>Henniez</v>
      </c>
      <c r="C259" s="14">
        <f>'A) Base RI'!AN258</f>
        <v>339</v>
      </c>
      <c r="D259" s="41">
        <f t="shared" si="19"/>
        <v>339</v>
      </c>
      <c r="E259" s="14">
        <f t="shared" si="21"/>
        <v>0</v>
      </c>
      <c r="F259" s="14">
        <f t="shared" si="21"/>
        <v>0</v>
      </c>
      <c r="G259" s="14">
        <f t="shared" si="21"/>
        <v>0</v>
      </c>
      <c r="H259" s="14">
        <f t="shared" si="21"/>
        <v>0</v>
      </c>
      <c r="I259" s="52">
        <f t="shared" si="21"/>
        <v>0</v>
      </c>
      <c r="J259" s="14">
        <f t="shared" si="20"/>
        <v>0</v>
      </c>
      <c r="K259" s="75">
        <f t="shared" si="18"/>
        <v>33558.953722334001</v>
      </c>
    </row>
    <row r="260" spans="1:11" x14ac:dyDescent="0.25">
      <c r="A260" s="61">
        <f>'A) Base RI'!A259</f>
        <v>5821</v>
      </c>
      <c r="B260" s="42" t="str">
        <f>'A) Base RI'!B259</f>
        <v>Missy</v>
      </c>
      <c r="C260" s="14">
        <f>'A) Base RI'!AN259</f>
        <v>350</v>
      </c>
      <c r="D260" s="41">
        <f t="shared" si="19"/>
        <v>350</v>
      </c>
      <c r="E260" s="14">
        <f t="shared" si="21"/>
        <v>0</v>
      </c>
      <c r="F260" s="14">
        <f t="shared" si="21"/>
        <v>0</v>
      </c>
      <c r="G260" s="14">
        <f t="shared" si="21"/>
        <v>0</v>
      </c>
      <c r="H260" s="14">
        <f t="shared" si="21"/>
        <v>0</v>
      </c>
      <c r="I260" s="52">
        <f t="shared" si="21"/>
        <v>0</v>
      </c>
      <c r="J260" s="14">
        <f t="shared" si="20"/>
        <v>0</v>
      </c>
      <c r="K260" s="75">
        <f t="shared" si="18"/>
        <v>34647.887323943658</v>
      </c>
    </row>
    <row r="261" spans="1:11" x14ac:dyDescent="0.25">
      <c r="A261" s="61">
        <f>'A) Base RI'!A260</f>
        <v>5822</v>
      </c>
      <c r="B261" s="42" t="str">
        <f>'A) Base RI'!B260</f>
        <v>Payerne</v>
      </c>
      <c r="C261" s="14">
        <f>'A) Base RI'!AN260</f>
        <v>9302</v>
      </c>
      <c r="D261" s="41">
        <f t="shared" si="19"/>
        <v>1000</v>
      </c>
      <c r="E261" s="14">
        <f t="shared" si="21"/>
        <v>2000</v>
      </c>
      <c r="F261" s="14">
        <f t="shared" si="21"/>
        <v>2000</v>
      </c>
      <c r="G261" s="14">
        <f t="shared" si="21"/>
        <v>4000</v>
      </c>
      <c r="H261" s="14">
        <f t="shared" si="21"/>
        <v>302</v>
      </c>
      <c r="I261" s="52">
        <f t="shared" si="21"/>
        <v>0</v>
      </c>
      <c r="J261" s="14">
        <f t="shared" si="20"/>
        <v>0</v>
      </c>
      <c r="K261" s="75">
        <f t="shared" si="18"/>
        <v>4411863.9839034202</v>
      </c>
    </row>
    <row r="262" spans="1:11" x14ac:dyDescent="0.25">
      <c r="A262" s="61">
        <f>'A) Base RI'!A261</f>
        <v>5827</v>
      </c>
      <c r="B262" s="42" t="str">
        <f>'A) Base RI'!B261</f>
        <v>Trey</v>
      </c>
      <c r="C262" s="14">
        <f>'A) Base RI'!AN261</f>
        <v>255</v>
      </c>
      <c r="D262" s="41">
        <f t="shared" si="19"/>
        <v>255</v>
      </c>
      <c r="E262" s="14">
        <f t="shared" ref="E262:I302" si="22">IF($C262&gt;E$4,IF($C262&lt;E$5,$C262-E$4,E$5-E$4),0)</f>
        <v>0</v>
      </c>
      <c r="F262" s="14">
        <f t="shared" si="22"/>
        <v>0</v>
      </c>
      <c r="G262" s="14">
        <f t="shared" si="22"/>
        <v>0</v>
      </c>
      <c r="H262" s="14">
        <f t="shared" si="22"/>
        <v>0</v>
      </c>
      <c r="I262" s="52">
        <f t="shared" si="22"/>
        <v>0</v>
      </c>
      <c r="J262" s="14">
        <f t="shared" si="20"/>
        <v>0</v>
      </c>
      <c r="K262" s="75">
        <f t="shared" si="18"/>
        <v>25243.460764587522</v>
      </c>
    </row>
    <row r="263" spans="1:11" x14ac:dyDescent="0.25">
      <c r="A263" s="61">
        <f>'A) Base RI'!A262</f>
        <v>5828</v>
      </c>
      <c r="B263" s="42" t="str">
        <f>'A) Base RI'!B262</f>
        <v>Treytorrens (Payerne)</v>
      </c>
      <c r="C263" s="14">
        <f>'A) Base RI'!AN262</f>
        <v>124</v>
      </c>
      <c r="D263" s="41">
        <f t="shared" ref="D263:D294" si="23">IF($C263&gt;D$4,IF($C263&lt;D$5,$C263-D$4,D$5-D$4),0)</f>
        <v>124</v>
      </c>
      <c r="E263" s="14">
        <f t="shared" si="22"/>
        <v>0</v>
      </c>
      <c r="F263" s="14">
        <f t="shared" si="22"/>
        <v>0</v>
      </c>
      <c r="G263" s="14">
        <f t="shared" si="22"/>
        <v>0</v>
      </c>
      <c r="H263" s="14">
        <f t="shared" si="22"/>
        <v>0</v>
      </c>
      <c r="I263" s="52">
        <f t="shared" si="22"/>
        <v>0</v>
      </c>
      <c r="J263" s="14">
        <f t="shared" si="20"/>
        <v>0</v>
      </c>
      <c r="K263" s="75">
        <f t="shared" si="18"/>
        <v>12275.251509054326</v>
      </c>
    </row>
    <row r="264" spans="1:11" x14ac:dyDescent="0.25">
      <c r="A264" s="61">
        <f>'A) Base RI'!A263</f>
        <v>5830</v>
      </c>
      <c r="B264" s="42" t="str">
        <f>'A) Base RI'!B263</f>
        <v>Villarzel</v>
      </c>
      <c r="C264" s="14">
        <f>'A) Base RI'!AN263</f>
        <v>415</v>
      </c>
      <c r="D264" s="41">
        <f t="shared" si="23"/>
        <v>415</v>
      </c>
      <c r="E264" s="14">
        <f t="shared" si="22"/>
        <v>0</v>
      </c>
      <c r="F264" s="14">
        <f t="shared" si="22"/>
        <v>0</v>
      </c>
      <c r="G264" s="14">
        <f t="shared" si="22"/>
        <v>0</v>
      </c>
      <c r="H264" s="14">
        <f t="shared" si="22"/>
        <v>0</v>
      </c>
      <c r="I264" s="52">
        <f t="shared" si="22"/>
        <v>0</v>
      </c>
      <c r="J264" s="14">
        <f t="shared" si="20"/>
        <v>0</v>
      </c>
      <c r="K264" s="75">
        <f t="shared" si="18"/>
        <v>41082.494969818908</v>
      </c>
    </row>
    <row r="265" spans="1:11" x14ac:dyDescent="0.25">
      <c r="A265" s="61">
        <f>'A) Base RI'!A264</f>
        <v>5831</v>
      </c>
      <c r="B265" s="42" t="str">
        <f>'A) Base RI'!B264</f>
        <v>Valbroye</v>
      </c>
      <c r="C265" s="14">
        <f>'A) Base RI'!AN264</f>
        <v>2960</v>
      </c>
      <c r="D265" s="41">
        <f t="shared" si="23"/>
        <v>1000</v>
      </c>
      <c r="E265" s="14">
        <f t="shared" ref="E265:I266" si="24">IF($C265&gt;E$4,IF($C265&lt;E$5,$C265-E$4,E$5-E$4),0)</f>
        <v>1960</v>
      </c>
      <c r="F265" s="14">
        <f t="shared" si="24"/>
        <v>0</v>
      </c>
      <c r="G265" s="14">
        <f t="shared" si="24"/>
        <v>0</v>
      </c>
      <c r="H265" s="14">
        <f t="shared" si="24"/>
        <v>0</v>
      </c>
      <c r="I265" s="52">
        <f t="shared" si="24"/>
        <v>0</v>
      </c>
      <c r="J265" s="14">
        <f t="shared" si="20"/>
        <v>0</v>
      </c>
      <c r="K265" s="75">
        <f t="shared" ref="K265:K325" si="25">(D265*D$7)+(E265*E$7)+(F265*F$7)+(G265*G$7)+(H265*H$7)+(I265*I$7)+(J265*J$7)</f>
        <v>778092.55533199187</v>
      </c>
    </row>
    <row r="266" spans="1:11" x14ac:dyDescent="0.25">
      <c r="A266" s="61">
        <f>'A) Base RI'!A265</f>
        <v>5841</v>
      </c>
      <c r="B266" s="42" t="str">
        <f>'A) Base RI'!B265</f>
        <v>Château-d'Oex</v>
      </c>
      <c r="C266" s="14">
        <f>'A) Base RI'!AN265</f>
        <v>3408</v>
      </c>
      <c r="D266" s="41">
        <f t="shared" si="23"/>
        <v>1000</v>
      </c>
      <c r="E266" s="14">
        <f t="shared" si="24"/>
        <v>2000</v>
      </c>
      <c r="F266" s="14">
        <f t="shared" si="24"/>
        <v>408</v>
      </c>
      <c r="G266" s="14">
        <f t="shared" si="24"/>
        <v>0</v>
      </c>
      <c r="H266" s="14">
        <f t="shared" si="24"/>
        <v>0</v>
      </c>
      <c r="I266" s="52">
        <f t="shared" si="24"/>
        <v>0</v>
      </c>
      <c r="J266" s="14">
        <f t="shared" si="20"/>
        <v>0</v>
      </c>
      <c r="K266" s="75">
        <f t="shared" si="25"/>
        <v>993899.39637826954</v>
      </c>
    </row>
    <row r="267" spans="1:11" x14ac:dyDescent="0.25">
      <c r="A267" s="61">
        <f>'A) Base RI'!A266</f>
        <v>5842</v>
      </c>
      <c r="B267" s="42" t="str">
        <f>'A) Base RI'!B266</f>
        <v>Rossinière</v>
      </c>
      <c r="C267" s="14">
        <f>'A) Base RI'!AN266</f>
        <v>565</v>
      </c>
      <c r="D267" s="41">
        <f t="shared" si="23"/>
        <v>565</v>
      </c>
      <c r="E267" s="14">
        <f t="shared" si="22"/>
        <v>0</v>
      </c>
      <c r="F267" s="14">
        <f t="shared" si="22"/>
        <v>0</v>
      </c>
      <c r="G267" s="14">
        <f t="shared" si="22"/>
        <v>0</v>
      </c>
      <c r="H267" s="14">
        <f t="shared" si="22"/>
        <v>0</v>
      </c>
      <c r="I267" s="52">
        <f t="shared" si="22"/>
        <v>0</v>
      </c>
      <c r="J267" s="14">
        <f t="shared" si="20"/>
        <v>0</v>
      </c>
      <c r="K267" s="75">
        <f t="shared" si="25"/>
        <v>55931.589537223335</v>
      </c>
    </row>
    <row r="268" spans="1:11" x14ac:dyDescent="0.25">
      <c r="A268" s="61">
        <f>'A) Base RI'!A267</f>
        <v>5843</v>
      </c>
      <c r="B268" s="42" t="str">
        <f>'A) Base RI'!B267</f>
        <v>Rougemont</v>
      </c>
      <c r="C268" s="14">
        <f>'A) Base RI'!AN267</f>
        <v>881</v>
      </c>
      <c r="D268" s="41">
        <f t="shared" si="23"/>
        <v>881</v>
      </c>
      <c r="E268" s="14">
        <f t="shared" si="22"/>
        <v>0</v>
      </c>
      <c r="F268" s="14">
        <f t="shared" si="22"/>
        <v>0</v>
      </c>
      <c r="G268" s="14">
        <f t="shared" si="22"/>
        <v>0</v>
      </c>
      <c r="H268" s="14">
        <f t="shared" si="22"/>
        <v>0</v>
      </c>
      <c r="I268" s="52">
        <f t="shared" si="22"/>
        <v>0</v>
      </c>
      <c r="J268" s="14">
        <f t="shared" si="20"/>
        <v>0</v>
      </c>
      <c r="K268" s="75">
        <f t="shared" si="25"/>
        <v>87213.682092555333</v>
      </c>
    </row>
    <row r="269" spans="1:11" x14ac:dyDescent="0.25">
      <c r="A269" s="61">
        <f>'A) Base RI'!A268</f>
        <v>5851</v>
      </c>
      <c r="B269" s="42" t="str">
        <f>'A) Base RI'!B268</f>
        <v>Allaman</v>
      </c>
      <c r="C269" s="14">
        <f>'A) Base RI'!AN268</f>
        <v>393</v>
      </c>
      <c r="D269" s="41">
        <f t="shared" si="23"/>
        <v>393</v>
      </c>
      <c r="E269" s="14">
        <f t="shared" si="22"/>
        <v>0</v>
      </c>
      <c r="F269" s="14">
        <f t="shared" si="22"/>
        <v>0</v>
      </c>
      <c r="G269" s="14">
        <f t="shared" si="22"/>
        <v>0</v>
      </c>
      <c r="H269" s="14">
        <f t="shared" si="22"/>
        <v>0</v>
      </c>
      <c r="I269" s="52">
        <f t="shared" si="22"/>
        <v>0</v>
      </c>
      <c r="J269" s="14">
        <f t="shared" si="20"/>
        <v>0</v>
      </c>
      <c r="K269" s="75">
        <f t="shared" si="25"/>
        <v>38904.627766599595</v>
      </c>
    </row>
    <row r="270" spans="1:11" x14ac:dyDescent="0.25">
      <c r="A270" s="61">
        <f>'A) Base RI'!A269</f>
        <v>5852</v>
      </c>
      <c r="B270" s="42" t="str">
        <f>'A) Base RI'!B269</f>
        <v>Bursinel</v>
      </c>
      <c r="C270" s="14">
        <f>'A) Base RI'!AN269</f>
        <v>477</v>
      </c>
      <c r="D270" s="41">
        <f t="shared" si="23"/>
        <v>477</v>
      </c>
      <c r="E270" s="14">
        <f t="shared" si="22"/>
        <v>0</v>
      </c>
      <c r="F270" s="14">
        <f t="shared" si="22"/>
        <v>0</v>
      </c>
      <c r="G270" s="14">
        <f t="shared" si="22"/>
        <v>0</v>
      </c>
      <c r="H270" s="14">
        <f t="shared" si="22"/>
        <v>0</v>
      </c>
      <c r="I270" s="52">
        <f t="shared" si="22"/>
        <v>0</v>
      </c>
      <c r="J270" s="14">
        <f t="shared" si="20"/>
        <v>0</v>
      </c>
      <c r="K270" s="75">
        <f t="shared" si="25"/>
        <v>47220.120724346074</v>
      </c>
    </row>
    <row r="271" spans="1:11" x14ac:dyDescent="0.25">
      <c r="A271" s="61">
        <f>'A) Base RI'!A270</f>
        <v>5853</v>
      </c>
      <c r="B271" s="42" t="str">
        <f>'A) Base RI'!B270</f>
        <v>Bursins</v>
      </c>
      <c r="C271" s="14">
        <f>'A) Base RI'!AN270</f>
        <v>772</v>
      </c>
      <c r="D271" s="41">
        <f t="shared" si="23"/>
        <v>772</v>
      </c>
      <c r="E271" s="14">
        <f t="shared" si="22"/>
        <v>0</v>
      </c>
      <c r="F271" s="14">
        <f t="shared" si="22"/>
        <v>0</v>
      </c>
      <c r="G271" s="14">
        <f t="shared" si="22"/>
        <v>0</v>
      </c>
      <c r="H271" s="14">
        <f t="shared" si="22"/>
        <v>0</v>
      </c>
      <c r="I271" s="52">
        <f t="shared" si="22"/>
        <v>0</v>
      </c>
      <c r="J271" s="14">
        <f t="shared" si="20"/>
        <v>0</v>
      </c>
      <c r="K271" s="75">
        <f t="shared" si="25"/>
        <v>76423.340040241441</v>
      </c>
    </row>
    <row r="272" spans="1:11" x14ac:dyDescent="0.25">
      <c r="A272" s="61">
        <f>'A) Base RI'!A271</f>
        <v>5854</v>
      </c>
      <c r="B272" s="42" t="str">
        <f>'A) Base RI'!B271</f>
        <v>Burtigny</v>
      </c>
      <c r="C272" s="14">
        <f>'A) Base RI'!AN271</f>
        <v>352</v>
      </c>
      <c r="D272" s="41">
        <f t="shared" si="23"/>
        <v>352</v>
      </c>
      <c r="E272" s="14">
        <f t="shared" si="22"/>
        <v>0</v>
      </c>
      <c r="F272" s="14">
        <f t="shared" si="22"/>
        <v>0</v>
      </c>
      <c r="G272" s="14">
        <f t="shared" si="22"/>
        <v>0</v>
      </c>
      <c r="H272" s="14">
        <f t="shared" si="22"/>
        <v>0</v>
      </c>
      <c r="I272" s="52">
        <f t="shared" si="22"/>
        <v>0</v>
      </c>
      <c r="J272" s="14">
        <f t="shared" si="20"/>
        <v>0</v>
      </c>
      <c r="K272" s="75">
        <f t="shared" si="25"/>
        <v>34845.875251509053</v>
      </c>
    </row>
    <row r="273" spans="1:11" x14ac:dyDescent="0.25">
      <c r="A273" s="61">
        <f>'A) Base RI'!A272</f>
        <v>5855</v>
      </c>
      <c r="B273" s="42" t="str">
        <f>'A) Base RI'!B272</f>
        <v>Dully</v>
      </c>
      <c r="C273" s="14">
        <f>'A) Base RI'!AN272</f>
        <v>636</v>
      </c>
      <c r="D273" s="41">
        <f t="shared" si="23"/>
        <v>636</v>
      </c>
      <c r="E273" s="14">
        <f t="shared" si="22"/>
        <v>0</v>
      </c>
      <c r="F273" s="14">
        <f t="shared" si="22"/>
        <v>0</v>
      </c>
      <c r="G273" s="14">
        <f t="shared" si="22"/>
        <v>0</v>
      </c>
      <c r="H273" s="14">
        <f t="shared" si="22"/>
        <v>0</v>
      </c>
      <c r="I273" s="52">
        <f t="shared" si="22"/>
        <v>0</v>
      </c>
      <c r="J273" s="14">
        <f t="shared" si="20"/>
        <v>0</v>
      </c>
      <c r="K273" s="75">
        <f t="shared" si="25"/>
        <v>62960.160965794763</v>
      </c>
    </row>
    <row r="274" spans="1:11" x14ac:dyDescent="0.25">
      <c r="A274" s="61">
        <f>'A) Base RI'!A273</f>
        <v>5856</v>
      </c>
      <c r="B274" s="42" t="str">
        <f>'A) Base RI'!B273</f>
        <v>Essertines-sur-Rolle</v>
      </c>
      <c r="C274" s="14">
        <f>'A) Base RI'!AN273</f>
        <v>700</v>
      </c>
      <c r="D274" s="41">
        <f t="shared" si="23"/>
        <v>700</v>
      </c>
      <c r="E274" s="14">
        <f t="shared" si="22"/>
        <v>0</v>
      </c>
      <c r="F274" s="14">
        <f t="shared" si="22"/>
        <v>0</v>
      </c>
      <c r="G274" s="14">
        <f t="shared" si="22"/>
        <v>0</v>
      </c>
      <c r="H274" s="14">
        <f t="shared" si="22"/>
        <v>0</v>
      </c>
      <c r="I274" s="52">
        <f t="shared" si="22"/>
        <v>0</v>
      </c>
      <c r="J274" s="14">
        <f t="shared" si="20"/>
        <v>0</v>
      </c>
      <c r="K274" s="75">
        <f t="shared" si="25"/>
        <v>69295.774647887316</v>
      </c>
    </row>
    <row r="275" spans="1:11" x14ac:dyDescent="0.25">
      <c r="A275" s="61">
        <f>'A) Base RI'!A274</f>
        <v>5857</v>
      </c>
      <c r="B275" s="42" t="str">
        <f>'A) Base RI'!B274</f>
        <v>Gilly</v>
      </c>
      <c r="C275" s="14">
        <f>'A) Base RI'!AN274</f>
        <v>1131</v>
      </c>
      <c r="D275" s="41">
        <f t="shared" si="23"/>
        <v>1000</v>
      </c>
      <c r="E275" s="14">
        <f t="shared" si="22"/>
        <v>131</v>
      </c>
      <c r="F275" s="14">
        <f t="shared" si="22"/>
        <v>0</v>
      </c>
      <c r="G275" s="14">
        <f t="shared" si="22"/>
        <v>0</v>
      </c>
      <c r="H275" s="14">
        <f t="shared" si="22"/>
        <v>0</v>
      </c>
      <c r="I275" s="52">
        <f t="shared" si="22"/>
        <v>0</v>
      </c>
      <c r="J275" s="14">
        <f t="shared" si="20"/>
        <v>0</v>
      </c>
      <c r="K275" s="75">
        <f t="shared" si="25"/>
        <v>144382.69617706237</v>
      </c>
    </row>
    <row r="276" spans="1:11" x14ac:dyDescent="0.25">
      <c r="A276" s="61">
        <f>'A) Base RI'!A275</f>
        <v>5858</v>
      </c>
      <c r="B276" s="42" t="str">
        <f>'A) Base RI'!B275</f>
        <v>Luins</v>
      </c>
      <c r="C276" s="14">
        <f>'A) Base RI'!AN275</f>
        <v>633</v>
      </c>
      <c r="D276" s="41">
        <f t="shared" si="23"/>
        <v>633</v>
      </c>
      <c r="E276" s="14">
        <f t="shared" si="22"/>
        <v>0</v>
      </c>
      <c r="F276" s="14">
        <f t="shared" si="22"/>
        <v>0</v>
      </c>
      <c r="G276" s="14">
        <f t="shared" si="22"/>
        <v>0</v>
      </c>
      <c r="H276" s="14">
        <f t="shared" si="22"/>
        <v>0</v>
      </c>
      <c r="I276" s="52">
        <f t="shared" si="22"/>
        <v>0</v>
      </c>
      <c r="J276" s="14">
        <f t="shared" si="20"/>
        <v>0</v>
      </c>
      <c r="K276" s="75">
        <f t="shared" si="25"/>
        <v>62663.179074446678</v>
      </c>
    </row>
    <row r="277" spans="1:11" x14ac:dyDescent="0.25">
      <c r="A277" s="61">
        <f>'A) Base RI'!A276</f>
        <v>5859</v>
      </c>
      <c r="B277" s="42" t="str">
        <f>'A) Base RI'!B276</f>
        <v>Mont-sur-Rolle</v>
      </c>
      <c r="C277" s="14">
        <f>'A) Base RI'!AN276</f>
        <v>2594</v>
      </c>
      <c r="D277" s="41">
        <f t="shared" si="23"/>
        <v>1000</v>
      </c>
      <c r="E277" s="14">
        <f t="shared" si="22"/>
        <v>1594</v>
      </c>
      <c r="F277" s="14">
        <f t="shared" si="22"/>
        <v>0</v>
      </c>
      <c r="G277" s="14">
        <f t="shared" si="22"/>
        <v>0</v>
      </c>
      <c r="H277" s="14">
        <f t="shared" si="22"/>
        <v>0</v>
      </c>
      <c r="I277" s="52">
        <f t="shared" si="22"/>
        <v>0</v>
      </c>
      <c r="J277" s="14">
        <f t="shared" si="20"/>
        <v>0</v>
      </c>
      <c r="K277" s="75">
        <f t="shared" si="25"/>
        <v>651281.28772635816</v>
      </c>
    </row>
    <row r="278" spans="1:11" x14ac:dyDescent="0.25">
      <c r="A278" s="61">
        <f>'A) Base RI'!A277</f>
        <v>5860</v>
      </c>
      <c r="B278" s="42" t="str">
        <f>'A) Base RI'!B277</f>
        <v>Perroy</v>
      </c>
      <c r="C278" s="14">
        <f>'A) Base RI'!AN277</f>
        <v>1464</v>
      </c>
      <c r="D278" s="41">
        <f t="shared" si="23"/>
        <v>1000</v>
      </c>
      <c r="E278" s="14">
        <f t="shared" si="22"/>
        <v>464</v>
      </c>
      <c r="F278" s="14">
        <f t="shared" si="22"/>
        <v>0</v>
      </c>
      <c r="G278" s="14">
        <f t="shared" si="22"/>
        <v>0</v>
      </c>
      <c r="H278" s="14">
        <f t="shared" si="22"/>
        <v>0</v>
      </c>
      <c r="I278" s="52">
        <f t="shared" si="22"/>
        <v>0</v>
      </c>
      <c r="J278" s="14">
        <f t="shared" si="20"/>
        <v>0</v>
      </c>
      <c r="K278" s="75">
        <f t="shared" si="25"/>
        <v>259760.16096579476</v>
      </c>
    </row>
    <row r="279" spans="1:11" x14ac:dyDescent="0.25">
      <c r="A279" s="61">
        <f>'A) Base RI'!A278</f>
        <v>5861</v>
      </c>
      <c r="B279" s="42" t="str">
        <f>'A) Base RI'!B278</f>
        <v>Rolle</v>
      </c>
      <c r="C279" s="14">
        <f>'A) Base RI'!AN278</f>
        <v>6047</v>
      </c>
      <c r="D279" s="41">
        <f t="shared" si="23"/>
        <v>1000</v>
      </c>
      <c r="E279" s="14">
        <f t="shared" si="22"/>
        <v>2000</v>
      </c>
      <c r="F279" s="14">
        <f t="shared" si="22"/>
        <v>2000</v>
      </c>
      <c r="G279" s="14">
        <f t="shared" si="22"/>
        <v>1047</v>
      </c>
      <c r="H279" s="14">
        <f t="shared" si="22"/>
        <v>0</v>
      </c>
      <c r="I279" s="52">
        <f t="shared" si="22"/>
        <v>0</v>
      </c>
      <c r="J279" s="14">
        <f t="shared" si="20"/>
        <v>0</v>
      </c>
      <c r="K279" s="75">
        <f t="shared" si="25"/>
        <v>2403771.4285714286</v>
      </c>
    </row>
    <row r="280" spans="1:11" x14ac:dyDescent="0.25">
      <c r="A280" s="61">
        <f>'A) Base RI'!A279</f>
        <v>5862</v>
      </c>
      <c r="B280" s="42" t="str">
        <f>'A) Base RI'!B279</f>
        <v>Tartegnin</v>
      </c>
      <c r="C280" s="14">
        <f>'A) Base RI'!AN279</f>
        <v>230</v>
      </c>
      <c r="D280" s="41">
        <f t="shared" si="23"/>
        <v>230</v>
      </c>
      <c r="E280" s="14">
        <f t="shared" si="22"/>
        <v>0</v>
      </c>
      <c r="F280" s="14">
        <f t="shared" si="22"/>
        <v>0</v>
      </c>
      <c r="G280" s="14">
        <f t="shared" si="22"/>
        <v>0</v>
      </c>
      <c r="H280" s="14">
        <f t="shared" si="22"/>
        <v>0</v>
      </c>
      <c r="I280" s="52">
        <f t="shared" si="22"/>
        <v>0</v>
      </c>
      <c r="J280" s="14">
        <f t="shared" si="20"/>
        <v>0</v>
      </c>
      <c r="K280" s="75">
        <f t="shared" si="25"/>
        <v>22768.61167002012</v>
      </c>
    </row>
    <row r="281" spans="1:11" x14ac:dyDescent="0.25">
      <c r="A281" s="61">
        <f>'A) Base RI'!A280</f>
        <v>5863</v>
      </c>
      <c r="B281" s="42" t="str">
        <f>'A) Base RI'!B280</f>
        <v>Vinzel</v>
      </c>
      <c r="C281" s="14">
        <f>'A) Base RI'!AN280</f>
        <v>349</v>
      </c>
      <c r="D281" s="41">
        <f t="shared" si="23"/>
        <v>349</v>
      </c>
      <c r="E281" s="14">
        <f t="shared" si="22"/>
        <v>0</v>
      </c>
      <c r="F281" s="14">
        <f t="shared" si="22"/>
        <v>0</v>
      </c>
      <c r="G281" s="14">
        <f t="shared" si="22"/>
        <v>0</v>
      </c>
      <c r="H281" s="14">
        <f t="shared" si="22"/>
        <v>0</v>
      </c>
      <c r="I281" s="52">
        <f t="shared" si="22"/>
        <v>0</v>
      </c>
      <c r="J281" s="14">
        <f t="shared" ref="J281:J286" si="26">IF(C281&gt;$J$4,C281-$J$4,0)</f>
        <v>0</v>
      </c>
      <c r="K281" s="75">
        <f t="shared" si="25"/>
        <v>34548.893360160961</v>
      </c>
    </row>
    <row r="282" spans="1:11" x14ac:dyDescent="0.25">
      <c r="A282" s="61">
        <f>'A) Base RI'!A281</f>
        <v>5871</v>
      </c>
      <c r="B282" s="42" t="str">
        <f>'A) Base RI'!B281</f>
        <v>L'Abbaye</v>
      </c>
      <c r="C282" s="14">
        <f>'A) Base RI'!AN281</f>
        <v>1423</v>
      </c>
      <c r="D282" s="41">
        <f t="shared" si="23"/>
        <v>1000</v>
      </c>
      <c r="E282" s="14">
        <f t="shared" si="22"/>
        <v>423</v>
      </c>
      <c r="F282" s="14">
        <f t="shared" si="22"/>
        <v>0</v>
      </c>
      <c r="G282" s="14">
        <f t="shared" si="22"/>
        <v>0</v>
      </c>
      <c r="H282" s="14">
        <f t="shared" si="22"/>
        <v>0</v>
      </c>
      <c r="I282" s="52">
        <f t="shared" si="22"/>
        <v>0</v>
      </c>
      <c r="J282" s="14">
        <f t="shared" si="26"/>
        <v>0</v>
      </c>
      <c r="K282" s="75">
        <f t="shared" si="25"/>
        <v>245554.52716297784</v>
      </c>
    </row>
    <row r="283" spans="1:11" x14ac:dyDescent="0.25">
      <c r="A283" s="61">
        <f>'A) Base RI'!A282</f>
        <v>5872</v>
      </c>
      <c r="B283" s="42" t="str">
        <f>'A) Base RI'!B282</f>
        <v>Le Chenit</v>
      </c>
      <c r="C283" s="14">
        <f>'A) Base RI'!AN282</f>
        <v>4614</v>
      </c>
      <c r="D283" s="41">
        <f t="shared" si="23"/>
        <v>1000</v>
      </c>
      <c r="E283" s="14">
        <f t="shared" si="22"/>
        <v>2000</v>
      </c>
      <c r="F283" s="14">
        <f t="shared" si="22"/>
        <v>1614</v>
      </c>
      <c r="G283" s="14">
        <f t="shared" si="22"/>
        <v>0</v>
      </c>
      <c r="H283" s="14">
        <f t="shared" si="22"/>
        <v>0</v>
      </c>
      <c r="I283" s="52">
        <f t="shared" si="22"/>
        <v>0</v>
      </c>
      <c r="J283" s="14">
        <f t="shared" si="26"/>
        <v>0</v>
      </c>
      <c r="K283" s="75">
        <f t="shared" si="25"/>
        <v>1590832.9979879274</v>
      </c>
    </row>
    <row r="284" spans="1:11" x14ac:dyDescent="0.25">
      <c r="A284" s="61">
        <f>'A) Base RI'!A283</f>
        <v>5873</v>
      </c>
      <c r="B284" s="42" t="str">
        <f>'A) Base RI'!B283</f>
        <v>Le Lieu</v>
      </c>
      <c r="C284" s="14">
        <f>'A) Base RI'!AN283</f>
        <v>859</v>
      </c>
      <c r="D284" s="41">
        <f t="shared" si="23"/>
        <v>859</v>
      </c>
      <c r="E284" s="14">
        <f t="shared" si="22"/>
        <v>0</v>
      </c>
      <c r="F284" s="14">
        <f t="shared" si="22"/>
        <v>0</v>
      </c>
      <c r="G284" s="14">
        <f t="shared" si="22"/>
        <v>0</v>
      </c>
      <c r="H284" s="14">
        <f t="shared" si="22"/>
        <v>0</v>
      </c>
      <c r="I284" s="52">
        <f t="shared" si="22"/>
        <v>0</v>
      </c>
      <c r="J284" s="14">
        <f t="shared" si="26"/>
        <v>0</v>
      </c>
      <c r="K284" s="75">
        <f t="shared" si="25"/>
        <v>85035.814889336005</v>
      </c>
    </row>
    <row r="285" spans="1:11" x14ac:dyDescent="0.25">
      <c r="A285" s="61">
        <f>'A) Base RI'!A284</f>
        <v>5881</v>
      </c>
      <c r="B285" s="42" t="str">
        <f>'A) Base RI'!B284</f>
        <v>Blonay</v>
      </c>
      <c r="C285" s="14">
        <f>'A) Base RI'!AN284</f>
        <v>6132</v>
      </c>
      <c r="D285" s="41">
        <f t="shared" si="23"/>
        <v>1000</v>
      </c>
      <c r="E285" s="14">
        <f t="shared" si="22"/>
        <v>2000</v>
      </c>
      <c r="F285" s="14">
        <f t="shared" si="22"/>
        <v>2000</v>
      </c>
      <c r="G285" s="14">
        <f t="shared" si="22"/>
        <v>1132</v>
      </c>
      <c r="H285" s="14">
        <f t="shared" si="22"/>
        <v>0</v>
      </c>
      <c r="I285" s="52">
        <f t="shared" si="22"/>
        <v>0</v>
      </c>
      <c r="J285" s="14">
        <f t="shared" si="26"/>
        <v>0</v>
      </c>
      <c r="K285" s="75">
        <f t="shared" si="25"/>
        <v>2454258.3501006039</v>
      </c>
    </row>
    <row r="286" spans="1:11" x14ac:dyDescent="0.25">
      <c r="A286" s="61">
        <f>'A) Base RI'!A285</f>
        <v>5882</v>
      </c>
      <c r="B286" s="42" t="str">
        <f>'A) Base RI'!B285</f>
        <v>Chardonne</v>
      </c>
      <c r="C286" s="14">
        <f>'A) Base RI'!AN285</f>
        <v>2889</v>
      </c>
      <c r="D286" s="41">
        <f t="shared" si="23"/>
        <v>1000</v>
      </c>
      <c r="E286" s="14">
        <f t="shared" si="22"/>
        <v>1889</v>
      </c>
      <c r="F286" s="14">
        <f t="shared" si="22"/>
        <v>0</v>
      </c>
      <c r="G286" s="14">
        <f t="shared" si="22"/>
        <v>0</v>
      </c>
      <c r="H286" s="14">
        <f t="shared" si="22"/>
        <v>0</v>
      </c>
      <c r="I286" s="52">
        <f t="shared" si="22"/>
        <v>0</v>
      </c>
      <c r="J286" s="14">
        <f t="shared" si="26"/>
        <v>0</v>
      </c>
      <c r="K286" s="75">
        <f t="shared" si="25"/>
        <v>753492.55533199187</v>
      </c>
    </row>
    <row r="287" spans="1:11" x14ac:dyDescent="0.25">
      <c r="A287" s="61">
        <f>'A) Base RI'!A286</f>
        <v>5883</v>
      </c>
      <c r="B287" s="42" t="str">
        <f>'A) Base RI'!B286</f>
        <v>Corseaux</v>
      </c>
      <c r="C287" s="14">
        <f>'A) Base RI'!AN286</f>
        <v>2172</v>
      </c>
      <c r="D287" s="41">
        <f t="shared" si="23"/>
        <v>1000</v>
      </c>
      <c r="E287" s="14">
        <f t="shared" si="22"/>
        <v>1172</v>
      </c>
      <c r="F287" s="14">
        <f t="shared" si="22"/>
        <v>0</v>
      </c>
      <c r="G287" s="14">
        <f t="shared" si="22"/>
        <v>0</v>
      </c>
      <c r="H287" s="14">
        <f t="shared" si="22"/>
        <v>0</v>
      </c>
      <c r="I287" s="52">
        <f t="shared" si="22"/>
        <v>0</v>
      </c>
      <c r="J287" s="14">
        <f t="shared" ref="J287:J325" si="27">IF(C287&gt;$J$4,C287-$J$4,0)</f>
        <v>0</v>
      </c>
      <c r="K287" s="75">
        <f t="shared" si="25"/>
        <v>505067.20321931585</v>
      </c>
    </row>
    <row r="288" spans="1:11" x14ac:dyDescent="0.25">
      <c r="A288" s="61">
        <f>'A) Base RI'!A287</f>
        <v>5884</v>
      </c>
      <c r="B288" s="42" t="str">
        <f>'A) Base RI'!B287</f>
        <v>Corsier-sur-Vevey</v>
      </c>
      <c r="C288" s="14">
        <f>'A) Base RI'!AN287</f>
        <v>3427</v>
      </c>
      <c r="D288" s="41">
        <f t="shared" si="23"/>
        <v>1000</v>
      </c>
      <c r="E288" s="14">
        <f t="shared" si="22"/>
        <v>2000</v>
      </c>
      <c r="F288" s="14">
        <f t="shared" si="22"/>
        <v>427</v>
      </c>
      <c r="G288" s="14">
        <f t="shared" si="22"/>
        <v>0</v>
      </c>
      <c r="H288" s="14">
        <f t="shared" si="22"/>
        <v>0</v>
      </c>
      <c r="I288" s="52">
        <f t="shared" si="22"/>
        <v>0</v>
      </c>
      <c r="J288" s="14">
        <f t="shared" si="27"/>
        <v>0</v>
      </c>
      <c r="K288" s="75">
        <f t="shared" si="25"/>
        <v>1003303.8229376257</v>
      </c>
    </row>
    <row r="289" spans="1:11" x14ac:dyDescent="0.25">
      <c r="A289" s="61">
        <f>'A) Base RI'!A288</f>
        <v>5885</v>
      </c>
      <c r="B289" s="42" t="str">
        <f>'A) Base RI'!B288</f>
        <v>Jongny</v>
      </c>
      <c r="C289" s="14">
        <f>'A) Base RI'!AN288</f>
        <v>1493</v>
      </c>
      <c r="D289" s="41">
        <f t="shared" si="23"/>
        <v>1000</v>
      </c>
      <c r="E289" s="14">
        <f t="shared" si="22"/>
        <v>493</v>
      </c>
      <c r="F289" s="14">
        <f t="shared" si="22"/>
        <v>0</v>
      </c>
      <c r="G289" s="14">
        <f t="shared" si="22"/>
        <v>0</v>
      </c>
      <c r="H289" s="14">
        <f t="shared" si="22"/>
        <v>0</v>
      </c>
      <c r="I289" s="52">
        <f t="shared" si="22"/>
        <v>0</v>
      </c>
      <c r="J289" s="14">
        <f t="shared" si="27"/>
        <v>0</v>
      </c>
      <c r="K289" s="75">
        <f t="shared" si="25"/>
        <v>269808.04828973842</v>
      </c>
    </row>
    <row r="290" spans="1:11" x14ac:dyDescent="0.25">
      <c r="A290" s="61">
        <f>'A) Base RI'!A289</f>
        <v>5886</v>
      </c>
      <c r="B290" s="42" t="str">
        <f>'A) Base RI'!B289</f>
        <v>Montreux</v>
      </c>
      <c r="C290" s="14">
        <f>'A) Base RI'!AN289</f>
        <v>26283</v>
      </c>
      <c r="D290" s="41">
        <f t="shared" si="23"/>
        <v>1000</v>
      </c>
      <c r="E290" s="14">
        <f t="shared" si="22"/>
        <v>2000</v>
      </c>
      <c r="F290" s="14">
        <f t="shared" si="22"/>
        <v>2000</v>
      </c>
      <c r="G290" s="14">
        <f t="shared" si="22"/>
        <v>4000</v>
      </c>
      <c r="H290" s="14">
        <f t="shared" si="22"/>
        <v>3000</v>
      </c>
      <c r="I290" s="52">
        <f t="shared" si="22"/>
        <v>3000</v>
      </c>
      <c r="J290" s="14">
        <f t="shared" si="27"/>
        <v>11283</v>
      </c>
      <c r="K290" s="75">
        <f t="shared" si="25"/>
        <v>21379874.84909457</v>
      </c>
    </row>
    <row r="291" spans="1:11" x14ac:dyDescent="0.25">
      <c r="A291" s="61">
        <f>'A) Base RI'!A290</f>
        <v>5888</v>
      </c>
      <c r="B291" s="42" t="str">
        <f>'A) Base RI'!B290</f>
        <v>Saint-Légier-La Chiésaz</v>
      </c>
      <c r="C291" s="14">
        <f>'A) Base RI'!AN290</f>
        <v>5071</v>
      </c>
      <c r="D291" s="41">
        <f t="shared" si="23"/>
        <v>1000</v>
      </c>
      <c r="E291" s="14">
        <f t="shared" si="22"/>
        <v>2000</v>
      </c>
      <c r="F291" s="14">
        <f t="shared" si="22"/>
        <v>2000</v>
      </c>
      <c r="G291" s="14">
        <f t="shared" si="22"/>
        <v>71</v>
      </c>
      <c r="H291" s="14">
        <f t="shared" si="22"/>
        <v>0</v>
      </c>
      <c r="I291" s="52">
        <f t="shared" si="22"/>
        <v>0</v>
      </c>
      <c r="J291" s="14">
        <f t="shared" si="27"/>
        <v>0</v>
      </c>
      <c r="K291" s="75">
        <f t="shared" si="25"/>
        <v>1824062.7766599599</v>
      </c>
    </row>
    <row r="292" spans="1:11" x14ac:dyDescent="0.25">
      <c r="A292" s="61">
        <f>'A) Base RI'!A291</f>
        <v>5889</v>
      </c>
      <c r="B292" s="42" t="str">
        <f>'A) Base RI'!B291</f>
        <v>La Tour-de-Peilz</v>
      </c>
      <c r="C292" s="14">
        <f>'A) Base RI'!AN291</f>
        <v>11421</v>
      </c>
      <c r="D292" s="41">
        <f t="shared" si="23"/>
        <v>1000</v>
      </c>
      <c r="E292" s="14">
        <f t="shared" si="22"/>
        <v>2000</v>
      </c>
      <c r="F292" s="14">
        <f t="shared" si="22"/>
        <v>2000</v>
      </c>
      <c r="G292" s="14">
        <f t="shared" si="22"/>
        <v>4000</v>
      </c>
      <c r="H292" s="14">
        <f t="shared" si="22"/>
        <v>2421</v>
      </c>
      <c r="I292" s="52">
        <f t="shared" si="22"/>
        <v>0</v>
      </c>
      <c r="J292" s="14">
        <f t="shared" si="27"/>
        <v>0</v>
      </c>
      <c r="K292" s="75">
        <f t="shared" si="25"/>
        <v>6194893.7625754531</v>
      </c>
    </row>
    <row r="293" spans="1:11" x14ac:dyDescent="0.25">
      <c r="A293" s="61">
        <f>'A) Base RI'!A292</f>
        <v>5890</v>
      </c>
      <c r="B293" s="42" t="str">
        <f>'A) Base RI'!B292</f>
        <v>Vevey</v>
      </c>
      <c r="C293" s="14">
        <f>'A) Base RI'!AN292</f>
        <v>19217</v>
      </c>
      <c r="D293" s="41">
        <f t="shared" si="23"/>
        <v>1000</v>
      </c>
      <c r="E293" s="14">
        <f t="shared" si="22"/>
        <v>2000</v>
      </c>
      <c r="F293" s="14">
        <f t="shared" si="22"/>
        <v>2000</v>
      </c>
      <c r="G293" s="14">
        <f t="shared" si="22"/>
        <v>4000</v>
      </c>
      <c r="H293" s="14">
        <f t="shared" si="22"/>
        <v>3000</v>
      </c>
      <c r="I293" s="52">
        <f t="shared" si="22"/>
        <v>3000</v>
      </c>
      <c r="J293" s="14">
        <f t="shared" si="27"/>
        <v>4217</v>
      </c>
      <c r="K293" s="75">
        <f t="shared" si="25"/>
        <v>14035215.694164991</v>
      </c>
    </row>
    <row r="294" spans="1:11" x14ac:dyDescent="0.25">
      <c r="A294" s="61">
        <f>'A) Base RI'!A293</f>
        <v>5891</v>
      </c>
      <c r="B294" s="42" t="str">
        <f>'A) Base RI'!B293</f>
        <v>Veytaux</v>
      </c>
      <c r="C294" s="14">
        <f>'A) Base RI'!AN293</f>
        <v>854</v>
      </c>
      <c r="D294" s="41">
        <f t="shared" si="23"/>
        <v>854</v>
      </c>
      <c r="E294" s="14">
        <f t="shared" si="22"/>
        <v>0</v>
      </c>
      <c r="F294" s="14">
        <f t="shared" si="22"/>
        <v>0</v>
      </c>
      <c r="G294" s="14">
        <f t="shared" si="22"/>
        <v>0</v>
      </c>
      <c r="H294" s="14">
        <f t="shared" si="22"/>
        <v>0</v>
      </c>
      <c r="I294" s="52">
        <f t="shared" si="22"/>
        <v>0</v>
      </c>
      <c r="J294" s="14">
        <f t="shared" si="27"/>
        <v>0</v>
      </c>
      <c r="K294" s="75">
        <f t="shared" si="25"/>
        <v>84540.845070422525</v>
      </c>
    </row>
    <row r="295" spans="1:11" x14ac:dyDescent="0.25">
      <c r="A295" s="61">
        <f>'A) Base RI'!A294</f>
        <v>5902</v>
      </c>
      <c r="B295" s="42" t="str">
        <f>'A) Base RI'!B294</f>
        <v>Belmont-sur-Yverdon</v>
      </c>
      <c r="C295" s="14">
        <f>'A) Base RI'!AN294</f>
        <v>369</v>
      </c>
      <c r="D295" s="41">
        <f t="shared" ref="D295:D325" si="28">IF($C295&gt;D$4,IF($C295&lt;D$5,$C295-D$4,D$5-D$4),0)</f>
        <v>369</v>
      </c>
      <c r="E295" s="14">
        <f t="shared" si="22"/>
        <v>0</v>
      </c>
      <c r="F295" s="14">
        <f t="shared" si="22"/>
        <v>0</v>
      </c>
      <c r="G295" s="14">
        <f t="shared" si="22"/>
        <v>0</v>
      </c>
      <c r="H295" s="14">
        <f t="shared" si="22"/>
        <v>0</v>
      </c>
      <c r="I295" s="52">
        <f t="shared" si="22"/>
        <v>0</v>
      </c>
      <c r="J295" s="14">
        <f t="shared" si="27"/>
        <v>0</v>
      </c>
      <c r="K295" s="75">
        <f t="shared" si="25"/>
        <v>36528.772635814887</v>
      </c>
    </row>
    <row r="296" spans="1:11" x14ac:dyDescent="0.25">
      <c r="A296" s="61">
        <f>'A) Base RI'!A295</f>
        <v>5903</v>
      </c>
      <c r="B296" s="42" t="str">
        <f>'A) Base RI'!B295</f>
        <v>Bioley-Magnoux</v>
      </c>
      <c r="C296" s="14">
        <f>'A) Base RI'!AN295</f>
        <v>201</v>
      </c>
      <c r="D296" s="41">
        <f t="shared" si="28"/>
        <v>201</v>
      </c>
      <c r="E296" s="14">
        <f t="shared" si="22"/>
        <v>0</v>
      </c>
      <c r="F296" s="14">
        <f t="shared" si="22"/>
        <v>0</v>
      </c>
      <c r="G296" s="14">
        <f t="shared" si="22"/>
        <v>0</v>
      </c>
      <c r="H296" s="14">
        <f t="shared" si="22"/>
        <v>0</v>
      </c>
      <c r="I296" s="52">
        <f t="shared" si="22"/>
        <v>0</v>
      </c>
      <c r="J296" s="14">
        <f t="shared" si="27"/>
        <v>0</v>
      </c>
      <c r="K296" s="75">
        <f t="shared" si="25"/>
        <v>19897.786720321928</v>
      </c>
    </row>
    <row r="297" spans="1:11" x14ac:dyDescent="0.25">
      <c r="A297" s="61">
        <f>'A) Base RI'!A296</f>
        <v>5904</v>
      </c>
      <c r="B297" s="42" t="str">
        <f>'A) Base RI'!B296</f>
        <v>Chamblon</v>
      </c>
      <c r="C297" s="14">
        <f>'A) Base RI'!AN296</f>
        <v>568</v>
      </c>
      <c r="D297" s="41">
        <f t="shared" si="28"/>
        <v>568</v>
      </c>
      <c r="E297" s="14">
        <f t="shared" si="22"/>
        <v>0</v>
      </c>
      <c r="F297" s="14">
        <f t="shared" si="22"/>
        <v>0</v>
      </c>
      <c r="G297" s="14">
        <f t="shared" si="22"/>
        <v>0</v>
      </c>
      <c r="H297" s="14">
        <f t="shared" si="22"/>
        <v>0</v>
      </c>
      <c r="I297" s="52">
        <f t="shared" si="22"/>
        <v>0</v>
      </c>
      <c r="J297" s="14">
        <f t="shared" si="27"/>
        <v>0</v>
      </c>
      <c r="K297" s="75">
        <f t="shared" si="25"/>
        <v>56228.571428571428</v>
      </c>
    </row>
    <row r="298" spans="1:11" x14ac:dyDescent="0.25">
      <c r="A298" s="61">
        <f>'A) Base RI'!A297</f>
        <v>5905</v>
      </c>
      <c r="B298" s="42" t="str">
        <f>'A) Base RI'!B297</f>
        <v>Champvent</v>
      </c>
      <c r="C298" s="14">
        <f>'A) Base RI'!AN297</f>
        <v>617</v>
      </c>
      <c r="D298" s="41">
        <f t="shared" si="28"/>
        <v>617</v>
      </c>
      <c r="E298" s="14">
        <f t="shared" si="22"/>
        <v>0</v>
      </c>
      <c r="F298" s="14">
        <f t="shared" si="22"/>
        <v>0</v>
      </c>
      <c r="G298" s="14">
        <f t="shared" si="22"/>
        <v>0</v>
      </c>
      <c r="H298" s="14">
        <f t="shared" si="22"/>
        <v>0</v>
      </c>
      <c r="I298" s="52">
        <f t="shared" si="22"/>
        <v>0</v>
      </c>
      <c r="J298" s="14">
        <f t="shared" si="27"/>
        <v>0</v>
      </c>
      <c r="K298" s="75">
        <f t="shared" si="25"/>
        <v>61079.275653923534</v>
      </c>
    </row>
    <row r="299" spans="1:11" x14ac:dyDescent="0.25">
      <c r="A299" s="61">
        <f>'A) Base RI'!A298</f>
        <v>5907</v>
      </c>
      <c r="B299" s="42" t="str">
        <f>'A) Base RI'!B298</f>
        <v>Chavannes-le-Chêne</v>
      </c>
      <c r="C299" s="14">
        <f>'A) Base RI'!AN298</f>
        <v>278</v>
      </c>
      <c r="D299" s="41">
        <f t="shared" si="28"/>
        <v>278</v>
      </c>
      <c r="E299" s="14">
        <f t="shared" si="22"/>
        <v>0</v>
      </c>
      <c r="F299" s="14">
        <f t="shared" si="22"/>
        <v>0</v>
      </c>
      <c r="G299" s="14">
        <f t="shared" si="22"/>
        <v>0</v>
      </c>
      <c r="H299" s="14">
        <f t="shared" si="22"/>
        <v>0</v>
      </c>
      <c r="I299" s="52">
        <f t="shared" si="22"/>
        <v>0</v>
      </c>
      <c r="J299" s="14">
        <f t="shared" si="27"/>
        <v>0</v>
      </c>
      <c r="K299" s="75">
        <f t="shared" si="25"/>
        <v>27520.321931589537</v>
      </c>
    </row>
    <row r="300" spans="1:11" x14ac:dyDescent="0.25">
      <c r="A300" s="61">
        <f>'A) Base RI'!A299</f>
        <v>5908</v>
      </c>
      <c r="B300" s="42" t="str">
        <f>'A) Base RI'!B299</f>
        <v>Chêne-Pâquier</v>
      </c>
      <c r="C300" s="14">
        <f>'A) Base RI'!AN299</f>
        <v>125</v>
      </c>
      <c r="D300" s="41">
        <f t="shared" si="28"/>
        <v>125</v>
      </c>
      <c r="E300" s="14">
        <f t="shared" si="22"/>
        <v>0</v>
      </c>
      <c r="F300" s="14">
        <f t="shared" si="22"/>
        <v>0</v>
      </c>
      <c r="G300" s="14">
        <f t="shared" si="22"/>
        <v>0</v>
      </c>
      <c r="H300" s="14">
        <f t="shared" si="22"/>
        <v>0</v>
      </c>
      <c r="I300" s="52">
        <f t="shared" si="22"/>
        <v>0</v>
      </c>
      <c r="J300" s="14">
        <f t="shared" si="27"/>
        <v>0</v>
      </c>
      <c r="K300" s="75">
        <f t="shared" si="25"/>
        <v>12374.245472837021</v>
      </c>
    </row>
    <row r="301" spans="1:11" x14ac:dyDescent="0.25">
      <c r="A301" s="61">
        <f>'A) Base RI'!A300</f>
        <v>5909</v>
      </c>
      <c r="B301" s="42" t="str">
        <f>'A) Base RI'!B300</f>
        <v>Cheseaux-Noréaz</v>
      </c>
      <c r="C301" s="14">
        <f>'A) Base RI'!AN300</f>
        <v>664</v>
      </c>
      <c r="D301" s="41">
        <f t="shared" si="28"/>
        <v>664</v>
      </c>
      <c r="E301" s="14">
        <f t="shared" si="22"/>
        <v>0</v>
      </c>
      <c r="F301" s="14">
        <f t="shared" si="22"/>
        <v>0</v>
      </c>
      <c r="G301" s="14">
        <f t="shared" si="22"/>
        <v>0</v>
      </c>
      <c r="H301" s="14">
        <f t="shared" si="22"/>
        <v>0</v>
      </c>
      <c r="I301" s="52">
        <f t="shared" si="22"/>
        <v>0</v>
      </c>
      <c r="J301" s="14">
        <f t="shared" si="27"/>
        <v>0</v>
      </c>
      <c r="K301" s="75">
        <f t="shared" si="25"/>
        <v>65731.991951710253</v>
      </c>
    </row>
    <row r="302" spans="1:11" x14ac:dyDescent="0.25">
      <c r="A302" s="61">
        <f>'A) Base RI'!A301</f>
        <v>5910</v>
      </c>
      <c r="B302" s="42" t="str">
        <f>'A) Base RI'!B301</f>
        <v>Cronay</v>
      </c>
      <c r="C302" s="14">
        <f>'A) Base RI'!AN301</f>
        <v>364</v>
      </c>
      <c r="D302" s="41">
        <f t="shared" si="28"/>
        <v>364</v>
      </c>
      <c r="E302" s="14">
        <f t="shared" si="22"/>
        <v>0</v>
      </c>
      <c r="F302" s="14">
        <f t="shared" si="22"/>
        <v>0</v>
      </c>
      <c r="G302" s="14">
        <f t="shared" si="22"/>
        <v>0</v>
      </c>
      <c r="H302" s="14">
        <f t="shared" si="22"/>
        <v>0</v>
      </c>
      <c r="I302" s="52">
        <f t="shared" ref="E302:I325" si="29">IF($C302&gt;I$4,IF($C302&lt;I$5,$C302-I$4,I$5-I$4),0)</f>
        <v>0</v>
      </c>
      <c r="J302" s="14">
        <f t="shared" si="27"/>
        <v>0</v>
      </c>
      <c r="K302" s="75">
        <f t="shared" si="25"/>
        <v>36033.802816901407</v>
      </c>
    </row>
    <row r="303" spans="1:11" x14ac:dyDescent="0.25">
      <c r="A303" s="61">
        <f>'A) Base RI'!A302</f>
        <v>5911</v>
      </c>
      <c r="B303" s="42" t="str">
        <f>'A) Base RI'!B302</f>
        <v>Cuarny</v>
      </c>
      <c r="C303" s="14">
        <f>'A) Base RI'!AN302</f>
        <v>216</v>
      </c>
      <c r="D303" s="41">
        <f t="shared" si="28"/>
        <v>216</v>
      </c>
      <c r="E303" s="14">
        <f t="shared" si="29"/>
        <v>0</v>
      </c>
      <c r="F303" s="14">
        <f t="shared" si="29"/>
        <v>0</v>
      </c>
      <c r="G303" s="14">
        <f t="shared" si="29"/>
        <v>0</v>
      </c>
      <c r="H303" s="14">
        <f t="shared" si="29"/>
        <v>0</v>
      </c>
      <c r="I303" s="52">
        <f t="shared" si="29"/>
        <v>0</v>
      </c>
      <c r="J303" s="14">
        <f t="shared" si="27"/>
        <v>0</v>
      </c>
      <c r="K303" s="75">
        <f t="shared" si="25"/>
        <v>21382.696177062371</v>
      </c>
    </row>
    <row r="304" spans="1:11" x14ac:dyDescent="0.25">
      <c r="A304" s="61">
        <f>'A) Base RI'!A303</f>
        <v>5912</v>
      </c>
      <c r="B304" s="42" t="str">
        <f>'A) Base RI'!B303</f>
        <v>Démoret</v>
      </c>
      <c r="C304" s="14">
        <f>'A) Base RI'!AN303</f>
        <v>123</v>
      </c>
      <c r="D304" s="41">
        <f t="shared" si="28"/>
        <v>123</v>
      </c>
      <c r="E304" s="14">
        <f t="shared" si="29"/>
        <v>0</v>
      </c>
      <c r="F304" s="14">
        <f t="shared" si="29"/>
        <v>0</v>
      </c>
      <c r="G304" s="14">
        <f t="shared" si="29"/>
        <v>0</v>
      </c>
      <c r="H304" s="14">
        <f t="shared" si="29"/>
        <v>0</v>
      </c>
      <c r="I304" s="52">
        <f t="shared" si="29"/>
        <v>0</v>
      </c>
      <c r="J304" s="14">
        <f t="shared" si="27"/>
        <v>0</v>
      </c>
      <c r="K304" s="75">
        <f t="shared" si="25"/>
        <v>12176.257545271628</v>
      </c>
    </row>
    <row r="305" spans="1:11" x14ac:dyDescent="0.25">
      <c r="A305" s="61">
        <f>'A) Base RI'!A304</f>
        <v>5913</v>
      </c>
      <c r="B305" s="42" t="str">
        <f>'A) Base RI'!B304</f>
        <v>Donneloye</v>
      </c>
      <c r="C305" s="14">
        <f>'A) Base RI'!AN304</f>
        <v>765</v>
      </c>
      <c r="D305" s="41">
        <f t="shared" si="28"/>
        <v>765</v>
      </c>
      <c r="E305" s="14">
        <f t="shared" si="29"/>
        <v>0</v>
      </c>
      <c r="F305" s="14">
        <f t="shared" si="29"/>
        <v>0</v>
      </c>
      <c r="G305" s="14">
        <f t="shared" si="29"/>
        <v>0</v>
      </c>
      <c r="H305" s="14">
        <f t="shared" si="29"/>
        <v>0</v>
      </c>
      <c r="I305" s="52">
        <f t="shared" si="29"/>
        <v>0</v>
      </c>
      <c r="J305" s="14">
        <f t="shared" si="27"/>
        <v>0</v>
      </c>
      <c r="K305" s="75">
        <f t="shared" si="25"/>
        <v>75730.382293762566</v>
      </c>
    </row>
    <row r="306" spans="1:11" x14ac:dyDescent="0.25">
      <c r="A306" s="61">
        <f>'A) Base RI'!A305</f>
        <v>5914</v>
      </c>
      <c r="B306" s="42" t="str">
        <f>'A) Base RI'!B305</f>
        <v>Ependes</v>
      </c>
      <c r="C306" s="14">
        <f>'A) Base RI'!AN305</f>
        <v>345</v>
      </c>
      <c r="D306" s="41">
        <f t="shared" si="28"/>
        <v>345</v>
      </c>
      <c r="E306" s="14">
        <f t="shared" si="29"/>
        <v>0</v>
      </c>
      <c r="F306" s="14">
        <f t="shared" si="29"/>
        <v>0</v>
      </c>
      <c r="G306" s="14">
        <f t="shared" si="29"/>
        <v>0</v>
      </c>
      <c r="H306" s="14">
        <f t="shared" si="29"/>
        <v>0</v>
      </c>
      <c r="I306" s="52">
        <f t="shared" si="29"/>
        <v>0</v>
      </c>
      <c r="J306" s="14">
        <f t="shared" si="27"/>
        <v>0</v>
      </c>
      <c r="K306" s="75">
        <f t="shared" si="25"/>
        <v>34152.917505030178</v>
      </c>
    </row>
    <row r="307" spans="1:11" x14ac:dyDescent="0.25">
      <c r="A307" s="61">
        <f>'A) Base RI'!A306</f>
        <v>5915</v>
      </c>
      <c r="B307" s="42" t="str">
        <f>'A) Base RI'!B306</f>
        <v>Essert-Pittet</v>
      </c>
      <c r="C307" s="14">
        <f>'A) Base RI'!AN306</f>
        <v>164</v>
      </c>
      <c r="D307" s="41">
        <f t="shared" si="28"/>
        <v>164</v>
      </c>
      <c r="E307" s="14">
        <f t="shared" si="29"/>
        <v>0</v>
      </c>
      <c r="F307" s="14">
        <f t="shared" si="29"/>
        <v>0</v>
      </c>
      <c r="G307" s="14">
        <f t="shared" si="29"/>
        <v>0</v>
      </c>
      <c r="H307" s="14">
        <f t="shared" si="29"/>
        <v>0</v>
      </c>
      <c r="I307" s="52">
        <f t="shared" si="29"/>
        <v>0</v>
      </c>
      <c r="J307" s="14">
        <f t="shared" si="27"/>
        <v>0</v>
      </c>
      <c r="K307" s="75">
        <f t="shared" si="25"/>
        <v>16235.010060362172</v>
      </c>
    </row>
    <row r="308" spans="1:11" x14ac:dyDescent="0.25">
      <c r="A308" s="61">
        <f>'A) Base RI'!A307</f>
        <v>5919</v>
      </c>
      <c r="B308" s="42" t="str">
        <f>'A) Base RI'!B307</f>
        <v>Mathod</v>
      </c>
      <c r="C308" s="14">
        <f>'A) Base RI'!AN307</f>
        <v>581</v>
      </c>
      <c r="D308" s="41">
        <f t="shared" si="28"/>
        <v>581</v>
      </c>
      <c r="E308" s="14">
        <f t="shared" si="29"/>
        <v>0</v>
      </c>
      <c r="F308" s="14">
        <f t="shared" si="29"/>
        <v>0</v>
      </c>
      <c r="G308" s="14">
        <f t="shared" si="29"/>
        <v>0</v>
      </c>
      <c r="H308" s="14">
        <f t="shared" si="29"/>
        <v>0</v>
      </c>
      <c r="I308" s="52">
        <f t="shared" si="29"/>
        <v>0</v>
      </c>
      <c r="J308" s="14">
        <f t="shared" si="27"/>
        <v>0</v>
      </c>
      <c r="K308" s="75">
        <f t="shared" si="25"/>
        <v>57515.492957746472</v>
      </c>
    </row>
    <row r="309" spans="1:11" x14ac:dyDescent="0.25">
      <c r="A309" s="61">
        <f>'A) Base RI'!A308</f>
        <v>5921</v>
      </c>
      <c r="B309" s="42" t="str">
        <f>'A) Base RI'!B308</f>
        <v>Molondin</v>
      </c>
      <c r="C309" s="14">
        <f>'A) Base RI'!AN308</f>
        <v>224</v>
      </c>
      <c r="D309" s="41">
        <f t="shared" si="28"/>
        <v>224</v>
      </c>
      <c r="E309" s="14">
        <f t="shared" si="29"/>
        <v>0</v>
      </c>
      <c r="F309" s="14">
        <f t="shared" si="29"/>
        <v>0</v>
      </c>
      <c r="G309" s="14">
        <f t="shared" si="29"/>
        <v>0</v>
      </c>
      <c r="H309" s="14">
        <f t="shared" si="29"/>
        <v>0</v>
      </c>
      <c r="I309" s="52">
        <f t="shared" si="29"/>
        <v>0</v>
      </c>
      <c r="J309" s="14">
        <f t="shared" si="27"/>
        <v>0</v>
      </c>
      <c r="K309" s="75">
        <f t="shared" si="25"/>
        <v>22174.647887323943</v>
      </c>
    </row>
    <row r="310" spans="1:11" x14ac:dyDescent="0.25">
      <c r="A310" s="61">
        <f>'A) Base RI'!A309</f>
        <v>5922</v>
      </c>
      <c r="B310" s="42" t="str">
        <f>'A) Base RI'!B309</f>
        <v>Montagny-près-Yverdon</v>
      </c>
      <c r="C310" s="14">
        <f>'A) Base RI'!AN309</f>
        <v>713</v>
      </c>
      <c r="D310" s="41">
        <f t="shared" si="28"/>
        <v>713</v>
      </c>
      <c r="E310" s="14">
        <f t="shared" si="29"/>
        <v>0</v>
      </c>
      <c r="F310" s="14">
        <f t="shared" si="29"/>
        <v>0</v>
      </c>
      <c r="G310" s="14">
        <f t="shared" si="29"/>
        <v>0</v>
      </c>
      <c r="H310" s="14">
        <f t="shared" si="29"/>
        <v>0</v>
      </c>
      <c r="I310" s="52">
        <f t="shared" si="29"/>
        <v>0</v>
      </c>
      <c r="J310" s="14">
        <f t="shared" si="27"/>
        <v>0</v>
      </c>
      <c r="K310" s="75">
        <f t="shared" si="25"/>
        <v>70582.696177062375</v>
      </c>
    </row>
    <row r="311" spans="1:11" x14ac:dyDescent="0.25">
      <c r="A311" s="61">
        <f>'A) Base RI'!A310</f>
        <v>5923</v>
      </c>
      <c r="B311" s="42" t="str">
        <f>'A) Base RI'!B310</f>
        <v>Oppens</v>
      </c>
      <c r="C311" s="14">
        <f>'A) Base RI'!AN310</f>
        <v>182</v>
      </c>
      <c r="D311" s="41">
        <f t="shared" si="28"/>
        <v>182</v>
      </c>
      <c r="E311" s="14">
        <f t="shared" si="29"/>
        <v>0</v>
      </c>
      <c r="F311" s="14">
        <f t="shared" si="29"/>
        <v>0</v>
      </c>
      <c r="G311" s="14">
        <f t="shared" si="29"/>
        <v>0</v>
      </c>
      <c r="H311" s="14">
        <f t="shared" si="29"/>
        <v>0</v>
      </c>
      <c r="I311" s="52">
        <f t="shared" si="29"/>
        <v>0</v>
      </c>
      <c r="J311" s="14">
        <f t="shared" si="27"/>
        <v>0</v>
      </c>
      <c r="K311" s="75">
        <f t="shared" si="25"/>
        <v>18016.901408450703</v>
      </c>
    </row>
    <row r="312" spans="1:11" x14ac:dyDescent="0.25">
      <c r="A312" s="61">
        <f>'A) Base RI'!A311</f>
        <v>5924</v>
      </c>
      <c r="B312" s="42" t="str">
        <f>'A) Base RI'!B311</f>
        <v>Orges</v>
      </c>
      <c r="C312" s="14">
        <f>'A) Base RI'!AN311</f>
        <v>275</v>
      </c>
      <c r="D312" s="41">
        <f t="shared" si="28"/>
        <v>275</v>
      </c>
      <c r="E312" s="14">
        <f t="shared" si="29"/>
        <v>0</v>
      </c>
      <c r="F312" s="14">
        <f t="shared" si="29"/>
        <v>0</v>
      </c>
      <c r="G312" s="14">
        <f t="shared" si="29"/>
        <v>0</v>
      </c>
      <c r="H312" s="14">
        <f t="shared" si="29"/>
        <v>0</v>
      </c>
      <c r="I312" s="52">
        <f t="shared" si="29"/>
        <v>0</v>
      </c>
      <c r="J312" s="14">
        <f t="shared" si="27"/>
        <v>0</v>
      </c>
      <c r="K312" s="75">
        <f t="shared" si="25"/>
        <v>27223.340040241448</v>
      </c>
    </row>
    <row r="313" spans="1:11" x14ac:dyDescent="0.25">
      <c r="A313" s="61">
        <f>'A) Base RI'!A312</f>
        <v>5925</v>
      </c>
      <c r="B313" s="42" t="str">
        <f>'A) Base RI'!B312</f>
        <v>Orzens</v>
      </c>
      <c r="C313" s="14">
        <f>'A) Base RI'!AN312</f>
        <v>211</v>
      </c>
      <c r="D313" s="41">
        <f t="shared" si="28"/>
        <v>211</v>
      </c>
      <c r="E313" s="14">
        <f t="shared" si="29"/>
        <v>0</v>
      </c>
      <c r="F313" s="14">
        <f t="shared" si="29"/>
        <v>0</v>
      </c>
      <c r="G313" s="14">
        <f t="shared" si="29"/>
        <v>0</v>
      </c>
      <c r="H313" s="14">
        <f t="shared" si="29"/>
        <v>0</v>
      </c>
      <c r="I313" s="52">
        <f t="shared" si="29"/>
        <v>0</v>
      </c>
      <c r="J313" s="14">
        <f t="shared" si="27"/>
        <v>0</v>
      </c>
      <c r="K313" s="75">
        <f t="shared" si="25"/>
        <v>20887.726358148891</v>
      </c>
    </row>
    <row r="314" spans="1:11" x14ac:dyDescent="0.25">
      <c r="A314" s="61">
        <f>'A) Base RI'!A313</f>
        <v>5926</v>
      </c>
      <c r="B314" s="42" t="str">
        <f>'A) Base RI'!B313</f>
        <v>Pomy</v>
      </c>
      <c r="C314" s="14">
        <f>'A) Base RI'!AN313</f>
        <v>730</v>
      </c>
      <c r="D314" s="41">
        <f t="shared" si="28"/>
        <v>730</v>
      </c>
      <c r="E314" s="14">
        <f t="shared" si="29"/>
        <v>0</v>
      </c>
      <c r="F314" s="14">
        <f t="shared" si="29"/>
        <v>0</v>
      </c>
      <c r="G314" s="14">
        <f t="shared" si="29"/>
        <v>0</v>
      </c>
      <c r="H314" s="14">
        <f t="shared" si="29"/>
        <v>0</v>
      </c>
      <c r="I314" s="52">
        <f t="shared" si="29"/>
        <v>0</v>
      </c>
      <c r="J314" s="14">
        <f t="shared" si="27"/>
        <v>0</v>
      </c>
      <c r="K314" s="75">
        <f t="shared" si="25"/>
        <v>72265.593561368209</v>
      </c>
    </row>
    <row r="315" spans="1:11" x14ac:dyDescent="0.25">
      <c r="A315" s="61">
        <f>'A) Base RI'!A314</f>
        <v>5928</v>
      </c>
      <c r="B315" s="42" t="str">
        <f>'A) Base RI'!B314</f>
        <v>Rovray</v>
      </c>
      <c r="C315" s="14">
        <f>'A) Base RI'!AN314</f>
        <v>176</v>
      </c>
      <c r="D315" s="41">
        <f t="shared" si="28"/>
        <v>176</v>
      </c>
      <c r="E315" s="14">
        <f t="shared" si="29"/>
        <v>0</v>
      </c>
      <c r="F315" s="14">
        <f t="shared" si="29"/>
        <v>0</v>
      </c>
      <c r="G315" s="14">
        <f t="shared" si="29"/>
        <v>0</v>
      </c>
      <c r="H315" s="14">
        <f t="shared" si="29"/>
        <v>0</v>
      </c>
      <c r="I315" s="52">
        <f t="shared" si="29"/>
        <v>0</v>
      </c>
      <c r="J315" s="14">
        <f t="shared" si="27"/>
        <v>0</v>
      </c>
      <c r="K315" s="75">
        <f t="shared" si="25"/>
        <v>17422.937625754526</v>
      </c>
    </row>
    <row r="316" spans="1:11" x14ac:dyDescent="0.25">
      <c r="A316" s="61">
        <f>'A) Base RI'!A315</f>
        <v>5929</v>
      </c>
      <c r="B316" s="42" t="str">
        <f>'A) Base RI'!B315</f>
        <v>Suchy</v>
      </c>
      <c r="C316" s="14">
        <f>'A) Base RI'!AN315</f>
        <v>542</v>
      </c>
      <c r="D316" s="41">
        <f t="shared" si="28"/>
        <v>542</v>
      </c>
      <c r="E316" s="14">
        <f t="shared" si="29"/>
        <v>0</v>
      </c>
      <c r="F316" s="14">
        <f t="shared" si="29"/>
        <v>0</v>
      </c>
      <c r="G316" s="14">
        <f t="shared" si="29"/>
        <v>0</v>
      </c>
      <c r="H316" s="14">
        <f t="shared" si="29"/>
        <v>0</v>
      </c>
      <c r="I316" s="52">
        <f t="shared" si="29"/>
        <v>0</v>
      </c>
      <c r="J316" s="14">
        <f t="shared" si="27"/>
        <v>0</v>
      </c>
      <c r="K316" s="75">
        <f t="shared" si="25"/>
        <v>53654.728370221324</v>
      </c>
    </row>
    <row r="317" spans="1:11" x14ac:dyDescent="0.25">
      <c r="A317" s="61">
        <f>'A) Base RI'!A316</f>
        <v>5930</v>
      </c>
      <c r="B317" s="42" t="str">
        <f>'A) Base RI'!B316</f>
        <v>Suscévaz</v>
      </c>
      <c r="C317" s="14">
        <f>'A) Base RI'!AN316</f>
        <v>199</v>
      </c>
      <c r="D317" s="41">
        <f t="shared" si="28"/>
        <v>199</v>
      </c>
      <c r="E317" s="14">
        <f t="shared" si="29"/>
        <v>0</v>
      </c>
      <c r="F317" s="14">
        <f t="shared" si="29"/>
        <v>0</v>
      </c>
      <c r="G317" s="14">
        <f t="shared" si="29"/>
        <v>0</v>
      </c>
      <c r="H317" s="14">
        <f t="shared" si="29"/>
        <v>0</v>
      </c>
      <c r="I317" s="52">
        <f t="shared" si="29"/>
        <v>0</v>
      </c>
      <c r="J317" s="14">
        <f t="shared" si="27"/>
        <v>0</v>
      </c>
      <c r="K317" s="75">
        <f t="shared" si="25"/>
        <v>19699.798792756537</v>
      </c>
    </row>
    <row r="318" spans="1:11" x14ac:dyDescent="0.25">
      <c r="A318" s="61">
        <f>'A) Base RI'!A317</f>
        <v>5931</v>
      </c>
      <c r="B318" s="42" t="str">
        <f>'A) Base RI'!B317</f>
        <v>Treycovagnes</v>
      </c>
      <c r="C318" s="14">
        <f>'A) Base RI'!AN317</f>
        <v>462</v>
      </c>
      <c r="D318" s="41">
        <f t="shared" si="28"/>
        <v>462</v>
      </c>
      <c r="E318" s="14">
        <f t="shared" si="29"/>
        <v>0</v>
      </c>
      <c r="F318" s="14">
        <f t="shared" si="29"/>
        <v>0</v>
      </c>
      <c r="G318" s="14">
        <f t="shared" si="29"/>
        <v>0</v>
      </c>
      <c r="H318" s="14">
        <f t="shared" si="29"/>
        <v>0</v>
      </c>
      <c r="I318" s="52">
        <f t="shared" si="29"/>
        <v>0</v>
      </c>
      <c r="J318" s="14">
        <f t="shared" si="27"/>
        <v>0</v>
      </c>
      <c r="K318" s="75">
        <f t="shared" si="25"/>
        <v>45735.211267605628</v>
      </c>
    </row>
    <row r="319" spans="1:11" x14ac:dyDescent="0.25">
      <c r="A319" s="61">
        <f>'A) Base RI'!A318</f>
        <v>5932</v>
      </c>
      <c r="B319" s="42" t="str">
        <f>'A) Base RI'!B318</f>
        <v>Ursins</v>
      </c>
      <c r="C319" s="14">
        <f>'A) Base RI'!AN318</f>
        <v>207</v>
      </c>
      <c r="D319" s="41">
        <f t="shared" si="28"/>
        <v>207</v>
      </c>
      <c r="E319" s="14">
        <f t="shared" si="29"/>
        <v>0</v>
      </c>
      <c r="F319" s="14">
        <f t="shared" si="29"/>
        <v>0</v>
      </c>
      <c r="G319" s="14">
        <f t="shared" si="29"/>
        <v>0</v>
      </c>
      <c r="H319" s="14">
        <f t="shared" si="29"/>
        <v>0</v>
      </c>
      <c r="I319" s="52">
        <f t="shared" si="29"/>
        <v>0</v>
      </c>
      <c r="J319" s="14">
        <f t="shared" si="27"/>
        <v>0</v>
      </c>
      <c r="K319" s="75">
        <f t="shared" si="25"/>
        <v>20491.750503018106</v>
      </c>
    </row>
    <row r="320" spans="1:11" x14ac:dyDescent="0.25">
      <c r="A320" s="61">
        <f>'A) Base RI'!A319</f>
        <v>5933</v>
      </c>
      <c r="B320" s="42" t="str">
        <f>'A) Base RI'!B319</f>
        <v>Valeyres-sous-Montagny</v>
      </c>
      <c r="C320" s="14">
        <f>'A) Base RI'!AN319</f>
        <v>661</v>
      </c>
      <c r="D320" s="41">
        <f t="shared" si="28"/>
        <v>661</v>
      </c>
      <c r="E320" s="14">
        <f t="shared" si="29"/>
        <v>0</v>
      </c>
      <c r="F320" s="14">
        <f t="shared" si="29"/>
        <v>0</v>
      </c>
      <c r="G320" s="14">
        <f t="shared" si="29"/>
        <v>0</v>
      </c>
      <c r="H320" s="14">
        <f t="shared" si="29"/>
        <v>0</v>
      </c>
      <c r="I320" s="52">
        <f t="shared" si="29"/>
        <v>0</v>
      </c>
      <c r="J320" s="14">
        <f t="shared" si="27"/>
        <v>0</v>
      </c>
      <c r="K320" s="75">
        <f t="shared" si="25"/>
        <v>65435.010060362169</v>
      </c>
    </row>
    <row r="321" spans="1:11" x14ac:dyDescent="0.25">
      <c r="A321" s="61">
        <f>'A) Base RI'!A320</f>
        <v>5934</v>
      </c>
      <c r="B321" s="42" t="str">
        <f>'A) Base RI'!B320</f>
        <v>Valeyres-sous-Ursins</v>
      </c>
      <c r="C321" s="14">
        <f>'A) Base RI'!AN320</f>
        <v>245</v>
      </c>
      <c r="D321" s="41">
        <f t="shared" si="28"/>
        <v>245</v>
      </c>
      <c r="E321" s="14">
        <f t="shared" si="29"/>
        <v>0</v>
      </c>
      <c r="F321" s="14">
        <f t="shared" si="29"/>
        <v>0</v>
      </c>
      <c r="G321" s="14">
        <f t="shared" si="29"/>
        <v>0</v>
      </c>
      <c r="H321" s="14">
        <f t="shared" si="29"/>
        <v>0</v>
      </c>
      <c r="I321" s="52">
        <f t="shared" si="29"/>
        <v>0</v>
      </c>
      <c r="J321" s="14">
        <f t="shared" si="27"/>
        <v>0</v>
      </c>
      <c r="K321" s="75">
        <f t="shared" si="25"/>
        <v>24253.521126760563</v>
      </c>
    </row>
    <row r="322" spans="1:11" x14ac:dyDescent="0.25">
      <c r="A322" s="61">
        <f>'A) Base RI'!A321</f>
        <v>5935</v>
      </c>
      <c r="B322" s="42" t="str">
        <f>'A) Base RI'!B321</f>
        <v>Villars-Epeney</v>
      </c>
      <c r="C322" s="14">
        <f>'A) Base RI'!AN321</f>
        <v>90</v>
      </c>
      <c r="D322" s="41">
        <f t="shared" si="28"/>
        <v>90</v>
      </c>
      <c r="E322" s="14">
        <f t="shared" si="29"/>
        <v>0</v>
      </c>
      <c r="F322" s="14">
        <f t="shared" si="29"/>
        <v>0</v>
      </c>
      <c r="G322" s="14">
        <f t="shared" si="29"/>
        <v>0</v>
      </c>
      <c r="H322" s="14">
        <f t="shared" si="29"/>
        <v>0</v>
      </c>
      <c r="I322" s="52">
        <f t="shared" si="29"/>
        <v>0</v>
      </c>
      <c r="J322" s="14">
        <f t="shared" si="27"/>
        <v>0</v>
      </c>
      <c r="K322" s="75">
        <f t="shared" si="25"/>
        <v>8909.4567404426562</v>
      </c>
    </row>
    <row r="323" spans="1:11" x14ac:dyDescent="0.25">
      <c r="A323" s="61">
        <f>'A) Base RI'!A322</f>
        <v>5937</v>
      </c>
      <c r="B323" s="42" t="str">
        <f>'A) Base RI'!B322</f>
        <v>Vugelles-La Mothe</v>
      </c>
      <c r="C323" s="14">
        <f>'A) Base RI'!AN322</f>
        <v>135</v>
      </c>
      <c r="D323" s="41">
        <f t="shared" si="28"/>
        <v>135</v>
      </c>
      <c r="E323" s="14">
        <f t="shared" si="29"/>
        <v>0</v>
      </c>
      <c r="F323" s="14">
        <f t="shared" si="29"/>
        <v>0</v>
      </c>
      <c r="G323" s="14">
        <f t="shared" si="29"/>
        <v>0</v>
      </c>
      <c r="H323" s="14">
        <f t="shared" si="29"/>
        <v>0</v>
      </c>
      <c r="I323" s="52">
        <f t="shared" si="29"/>
        <v>0</v>
      </c>
      <c r="J323" s="14">
        <f t="shared" si="27"/>
        <v>0</v>
      </c>
      <c r="K323" s="75">
        <f t="shared" si="25"/>
        <v>13364.185110663982</v>
      </c>
    </row>
    <row r="324" spans="1:11" x14ac:dyDescent="0.25">
      <c r="A324" s="61">
        <f>'A) Base RI'!A323</f>
        <v>5938</v>
      </c>
      <c r="B324" s="42" t="str">
        <f>'A) Base RI'!B323</f>
        <v>Yverdon-les-Bains</v>
      </c>
      <c r="C324" s="14">
        <f>'A) Base RI'!AN323</f>
        <v>29308</v>
      </c>
      <c r="D324" s="41">
        <f t="shared" si="28"/>
        <v>1000</v>
      </c>
      <c r="E324" s="14">
        <f t="shared" si="29"/>
        <v>2000</v>
      </c>
      <c r="F324" s="14">
        <f t="shared" si="29"/>
        <v>2000</v>
      </c>
      <c r="G324" s="14">
        <f t="shared" si="29"/>
        <v>4000</v>
      </c>
      <c r="H324" s="14">
        <f t="shared" si="29"/>
        <v>3000</v>
      </c>
      <c r="I324" s="52">
        <f t="shared" si="29"/>
        <v>3000</v>
      </c>
      <c r="J324" s="14">
        <f t="shared" si="27"/>
        <v>14308</v>
      </c>
      <c r="K324" s="75">
        <f t="shared" si="25"/>
        <v>24524170.623742454</v>
      </c>
    </row>
    <row r="325" spans="1:11" x14ac:dyDescent="0.25">
      <c r="A325" s="63">
        <f>'A) Base RI'!A324</f>
        <v>5939</v>
      </c>
      <c r="B325" s="64" t="str">
        <f>'A) Base RI'!B324</f>
        <v>Yvonand</v>
      </c>
      <c r="C325" s="25">
        <f>'A) Base RI'!AN324</f>
        <v>3152</v>
      </c>
      <c r="D325" s="162">
        <f t="shared" si="28"/>
        <v>1000</v>
      </c>
      <c r="E325" s="25">
        <f t="shared" si="29"/>
        <v>2000</v>
      </c>
      <c r="F325" s="25">
        <f t="shared" si="29"/>
        <v>152</v>
      </c>
      <c r="G325" s="25">
        <f t="shared" si="29"/>
        <v>0</v>
      </c>
      <c r="H325" s="25">
        <f t="shared" si="29"/>
        <v>0</v>
      </c>
      <c r="I325" s="103">
        <f t="shared" si="29"/>
        <v>0</v>
      </c>
      <c r="J325" s="25">
        <f t="shared" si="27"/>
        <v>0</v>
      </c>
      <c r="K325" s="149">
        <f t="shared" si="25"/>
        <v>867187.12273641839</v>
      </c>
    </row>
    <row r="326" spans="1:11" x14ac:dyDescent="0.25">
      <c r="B326" s="76">
        <f>COUNTA(B8:B325)</f>
        <v>318</v>
      </c>
      <c r="C326" s="25">
        <f>SUM(C8:C325)</f>
        <v>767496</v>
      </c>
      <c r="D326" s="15">
        <f t="shared" ref="D326:J326" si="30">SUM(D8:D325)</f>
        <v>214952</v>
      </c>
      <c r="E326" s="15">
        <f t="shared" si="30"/>
        <v>159810</v>
      </c>
      <c r="F326" s="15">
        <f t="shared" si="30"/>
        <v>80906</v>
      </c>
      <c r="G326" s="15">
        <f t="shared" si="30"/>
        <v>86289</v>
      </c>
      <c r="H326" s="15">
        <f t="shared" si="30"/>
        <v>37186</v>
      </c>
      <c r="I326" s="15">
        <f t="shared" si="30"/>
        <v>24951</v>
      </c>
      <c r="J326" s="25">
        <f t="shared" si="30"/>
        <v>163402</v>
      </c>
      <c r="K326" s="149">
        <f>SUM(K8:K325)</f>
        <v>393784425.75452745</v>
      </c>
    </row>
    <row r="327" spans="1:11" x14ac:dyDescent="0.25">
      <c r="C327" s="107"/>
    </row>
    <row r="337" spans="3:3" x14ac:dyDescent="0.25">
      <c r="C337" s="80"/>
    </row>
  </sheetData>
  <sheetProtection sheet="1" objects="1" scenarios="1"/>
  <mergeCells count="6">
    <mergeCell ref="K6:K7"/>
    <mergeCell ref="C3:J3"/>
    <mergeCell ref="A6:A7"/>
    <mergeCell ref="B6:B7"/>
    <mergeCell ref="C6:C7"/>
    <mergeCell ref="D6:J6"/>
  </mergeCells>
  <phoneticPr fontId="7"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14</vt:i4>
      </vt:variant>
    </vt:vector>
  </HeadingPairs>
  <TitlesOfParts>
    <vt:vector size="32" baseType="lpstr">
      <vt:lpstr>Paramètres</vt:lpstr>
      <vt:lpstr>Recherche</vt:lpstr>
      <vt:lpstr>Validation Rend. Imp.</vt:lpstr>
      <vt:lpstr>A) Base RI</vt:lpstr>
      <vt:lpstr>B) D RI</vt:lpstr>
      <vt:lpstr>C) Prél. conj.</vt:lpstr>
      <vt:lpstr>D) Ecrêtage</vt:lpstr>
      <vt:lpstr>E) Fact soc</vt:lpstr>
      <vt:lpstr>F) Population</vt:lpstr>
      <vt:lpstr>G) Solidarité</vt:lpstr>
      <vt:lpstr>H) Péréquation directe</vt:lpstr>
      <vt:lpstr>I) Dépenses thématiques</vt:lpstr>
      <vt:lpstr>J) Plafonnement effort</vt:lpstr>
      <vt:lpstr>K) Plafonnement aide</vt:lpstr>
      <vt:lpstr>L) Plafonnement taux</vt:lpstr>
      <vt:lpstr>M) Police</vt:lpstr>
      <vt:lpstr>Synthèse</vt:lpstr>
      <vt:lpstr>Acomptes vs Décompte</vt:lpstr>
      <vt:lpstr>'C) Prél. conj.'!Impression_des_titres</vt:lpstr>
      <vt:lpstr>'E) Fact soc'!Impression_des_titres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'A) Base RI'!Zone_d_impression</vt:lpstr>
      <vt:lpstr>'H) Péréquation directe'!Zone_d_impression</vt:lpstr>
      <vt:lpstr>'L) Plafonnement taux'!Zone_d_impression</vt:lpstr>
      <vt:lpstr>'M) Police'!Zone_d_impression</vt:lpstr>
      <vt:lpstr>Recherche!Zone_d_impression</vt:lpstr>
      <vt:lpstr>Synthèse!Zone_d_impression</vt:lpstr>
      <vt:lpstr>'Validation Rend. Imp.'!Zone_d_impression</vt:lpstr>
    </vt:vector>
  </TitlesOfParts>
  <Company>Etat de Vaud / ASFiCo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CLERC,Charles Henri</dc:creator>
  <cp:lastModifiedBy>Coelho Liliana</cp:lastModifiedBy>
  <cp:lastPrinted>2016-07-07T08:27:12Z</cp:lastPrinted>
  <dcterms:created xsi:type="dcterms:W3CDTF">2005-06-06T00:37:42Z</dcterms:created>
  <dcterms:modified xsi:type="dcterms:W3CDTF">2016-07-08T11:56:12Z</dcterms:modified>
</cp:coreProperties>
</file>