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S_Sas\AMN\15_Education\1_Accueil de jour\2_Enquete prescolaire et parascolaire\5_Enquete 2024\7_SAS\Résultats\Internet\"/>
    </mc:Choice>
  </mc:AlternateContent>
  <xr:revisionPtr revIDLastSave="0" documentId="13_ncr:1_{C421B464-32CA-43E5-9370-5C1D889EACE5}" xr6:coauthVersionLast="47" xr6:coauthVersionMax="47" xr10:uidLastSave="{00000000-0000-0000-0000-000000000000}"/>
  <workbookProtection workbookAlgorithmName="SHA-512" workbookHashValue="sa6huIg84NycBc+7mP8pcRhO1/QzJqqZyD/rc5bUuWFiHRBA3BldUepIFYDHxMcTFBuxfK3Mgoynmg5jaayv2g==" workbookSaltValue="nsidEAix1Ghhf576IlCrUA==" workbookSpinCount="100000" lockStructure="1"/>
  <bookViews>
    <workbookView xWindow="-120" yWindow="-120" windowWidth="29040" windowHeight="15720" tabRatio="903" xr2:uid="{00000000-000D-0000-FFFF-FFFF00000000}"/>
  </bookViews>
  <sheets>
    <sheet name="FICHE RESEAUX" sheetId="6" r:id="rId1"/>
    <sheet name="Population" sheetId="62" state="hidden" r:id="rId2"/>
    <sheet name="Pour graphiques" sheetId="56" state="hidden" r:id="rId3"/>
    <sheet name="Liste_reseau_depuis_2010" sheetId="41" state="hidden" r:id="rId4"/>
    <sheet name="PRE_places_off_sub" sheetId="18" state="hidden" r:id="rId5"/>
    <sheet name="PRE_places_pt_sub" sheetId="19" state="hidden" r:id="rId6"/>
    <sheet name="PRE_Tx_couv_nursery" sheetId="21" state="hidden" r:id="rId7"/>
    <sheet name="PRE_Tx_couv_garderie" sheetId="22" state="hidden" r:id="rId8"/>
    <sheet name="PRE_Tx_couv_sub" sheetId="32" state="hidden" r:id="rId9"/>
    <sheet name="PRE_Tx_couv_ns" sheetId="47" state="hidden" r:id="rId10"/>
    <sheet name="PRE_Tx_couv_TOR" sheetId="45" state="hidden" r:id="rId11"/>
    <sheet name="PRE_Tx_couv_all" sheetId="49" state="hidden" r:id="rId12"/>
    <sheet name="PARA_places_aut_sub" sheetId="38" state="hidden" r:id="rId13"/>
    <sheet name="PARA_places_off_max_sub" sheetId="40" state="hidden" r:id="rId14"/>
    <sheet name="PARA_places_PT_sub" sheetId="39" state="hidden" r:id="rId15"/>
    <sheet name="PARA_Tx_couv_sub" sheetId="42" state="hidden" r:id="rId16"/>
    <sheet name="PARA_Tx_couv_sub_annee" sheetId="43" state="hidden" r:id="rId17"/>
    <sheet name="AMF_Nbre" sheetId="50" state="hidden" r:id="rId18"/>
    <sheet name="AMF_Nbre_places_aut" sheetId="51" state="hidden" r:id="rId19"/>
    <sheet name="AMF_Nbre_places_PT_pre" sheetId="52" state="hidden" r:id="rId20"/>
    <sheet name="AMF_Nbre_places_PT_para" sheetId="53" state="hidden" r:id="rId21"/>
    <sheet name="AMF_Tx_couv_pre" sheetId="55" state="hidden" r:id="rId22"/>
    <sheet name="AMF_Tx_couv_para" sheetId="54" state="hidden" r:id="rId23"/>
    <sheet name="AMF_Tx_couv" sheetId="63" state="hidden" r:id="rId24"/>
  </sheets>
  <definedNames>
    <definedName name="_xlnm._FilterDatabase" localSheetId="0" hidden="1">'FICHE RESEAUX'!#REF!</definedName>
    <definedName name="_xlnm._FilterDatabase" localSheetId="3" hidden="1">Liste_reseau_depuis_2010!$A$1:$B$36</definedName>
    <definedName name="_xlnm._FilterDatabase" localSheetId="9" hidden="1">PRE_Tx_couv_ns!$A$5:$N$40</definedName>
    <definedName name="_xlnm.Print_Area" localSheetId="0">'FICHE RESEAUX'!$A$1:$U$308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9" i="6" l="1"/>
  <c r="B80" i="6"/>
  <c r="B282" i="6"/>
  <c r="B258" i="6"/>
  <c r="B274" i="6"/>
  <c r="B212" i="6"/>
  <c r="K212" i="6"/>
  <c r="K150" i="6"/>
  <c r="B234" i="6"/>
  <c r="B150" i="6"/>
  <c r="B135" i="6"/>
  <c r="B196" i="6"/>
  <c r="B174" i="6"/>
  <c r="L285" i="6" l="1"/>
  <c r="F307" i="6"/>
  <c r="F306" i="6"/>
  <c r="L286" i="6"/>
  <c r="O246" i="6"/>
  <c r="O245" i="6"/>
  <c r="O188" i="6"/>
  <c r="O187" i="6"/>
  <c r="N279" i="6"/>
  <c r="N278" i="6"/>
  <c r="N277" i="6"/>
  <c r="T264" i="6"/>
  <c r="T263" i="6"/>
  <c r="T262" i="6"/>
  <c r="T261" i="6"/>
  <c r="F261" i="6"/>
  <c r="Q9" i="56"/>
  <c r="C37" i="56"/>
  <c r="C33" i="56"/>
  <c r="P29" i="56"/>
  <c r="T200" i="6"/>
  <c r="T199" i="6"/>
  <c r="C18" i="56"/>
  <c r="Q18" i="56"/>
  <c r="Q17" i="56"/>
  <c r="Q16" i="56"/>
  <c r="Q15" i="56"/>
  <c r="Q7" i="56"/>
  <c r="Q8" i="56"/>
  <c r="T139" i="6"/>
  <c r="T138" i="6"/>
  <c r="F83" i="6"/>
  <c r="C36" i="56"/>
  <c r="C35" i="56"/>
  <c r="C34" i="56"/>
  <c r="C29" i="56"/>
  <c r="B31" i="56"/>
  <c r="B26" i="56"/>
  <c r="B4" i="56"/>
  <c r="B13" i="56"/>
  <c r="B95" i="6"/>
  <c r="F305" i="6"/>
  <c r="L284" i="6"/>
  <c r="F256" i="6"/>
  <c r="B147" i="6"/>
  <c r="B208" i="6"/>
  <c r="B270" i="6"/>
  <c r="M279" i="6"/>
  <c r="K279" i="6"/>
  <c r="L279" i="6"/>
  <c r="J279" i="6"/>
  <c r="I279" i="6"/>
  <c r="H279" i="6"/>
  <c r="G279" i="6"/>
  <c r="F279" i="6"/>
  <c r="F278" i="6"/>
  <c r="M278" i="6"/>
  <c r="L278" i="6"/>
  <c r="K278" i="6"/>
  <c r="J278" i="6"/>
  <c r="H278" i="6"/>
  <c r="I278" i="6"/>
  <c r="G278" i="6"/>
  <c r="M277" i="6"/>
  <c r="L277" i="6"/>
  <c r="K277" i="6"/>
  <c r="J277" i="6"/>
  <c r="I277" i="6"/>
  <c r="H277" i="6"/>
  <c r="G277" i="6"/>
  <c r="F277" i="6"/>
  <c r="S263" i="6"/>
  <c r="S264" i="6"/>
  <c r="S262" i="6"/>
  <c r="S261" i="6"/>
  <c r="S200" i="6"/>
  <c r="S199" i="6"/>
  <c r="S139" i="6"/>
  <c r="S138" i="6"/>
  <c r="F95" i="6"/>
  <c r="F97" i="6"/>
  <c r="F96" i="6"/>
  <c r="F89" i="6"/>
  <c r="F93" i="6"/>
  <c r="F92" i="6"/>
  <c r="F91" i="6"/>
  <c r="F90" i="6"/>
  <c r="F87" i="6"/>
  <c r="F86" i="6"/>
  <c r="F85" i="6"/>
  <c r="F84" i="6"/>
  <c r="F82" i="6"/>
  <c r="E73" i="6"/>
  <c r="D73" i="6"/>
  <c r="E72" i="6"/>
  <c r="D72" i="6"/>
  <c r="F138" i="6"/>
  <c r="B21" i="6"/>
  <c r="P17" i="56"/>
  <c r="P16" i="56"/>
  <c r="P15" i="56"/>
  <c r="O29" i="56"/>
  <c r="H18" i="56"/>
  <c r="P18" i="56"/>
  <c r="D9" i="56"/>
  <c r="C9" i="56"/>
  <c r="P9" i="56"/>
  <c r="P8" i="56"/>
  <c r="P7" i="56"/>
  <c r="R264" i="6"/>
  <c r="R263" i="6"/>
  <c r="R262" i="6"/>
  <c r="R261" i="6"/>
  <c r="R138" i="6"/>
  <c r="R139" i="6"/>
  <c r="R199" i="6"/>
  <c r="R200" i="6"/>
  <c r="Q138" i="6"/>
  <c r="P138" i="6"/>
  <c r="O138" i="6"/>
  <c r="M138" i="6"/>
  <c r="L138" i="6"/>
  <c r="K138" i="6"/>
  <c r="J138" i="6"/>
  <c r="I138" i="6"/>
  <c r="H138" i="6"/>
  <c r="G138" i="6"/>
  <c r="Q139" i="6"/>
  <c r="P139" i="6"/>
  <c r="O139" i="6"/>
  <c r="M139" i="6"/>
  <c r="L139" i="6"/>
  <c r="K139" i="6"/>
  <c r="J139" i="6"/>
  <c r="I139" i="6"/>
  <c r="H139" i="6"/>
  <c r="G139" i="6"/>
  <c r="F139" i="6"/>
  <c r="D15" i="56"/>
  <c r="E15" i="56"/>
  <c r="Q262" i="6"/>
  <c r="P262" i="6"/>
  <c r="O262" i="6"/>
  <c r="M262" i="6"/>
  <c r="L262" i="6"/>
  <c r="K262" i="6"/>
  <c r="J262" i="6"/>
  <c r="I262" i="6"/>
  <c r="H262" i="6"/>
  <c r="G262" i="6"/>
  <c r="F262" i="6"/>
  <c r="O199" i="6"/>
  <c r="M199" i="6"/>
  <c r="L199" i="6"/>
  <c r="K199" i="6"/>
  <c r="J199" i="6"/>
  <c r="I199" i="6"/>
  <c r="H199" i="6"/>
  <c r="G199" i="6"/>
  <c r="F199" i="6"/>
  <c r="P199" i="6"/>
  <c r="Q199" i="6"/>
  <c r="N29" i="56"/>
  <c r="M29" i="56"/>
  <c r="L29" i="56"/>
  <c r="K29" i="56"/>
  <c r="I29" i="56"/>
  <c r="H29" i="56"/>
  <c r="G29" i="56"/>
  <c r="F29" i="56"/>
  <c r="E29" i="56"/>
  <c r="D29" i="56"/>
  <c r="C15" i="56"/>
  <c r="C7" i="56"/>
  <c r="C177" i="56"/>
  <c r="C176" i="56"/>
  <c r="C175" i="56"/>
  <c r="C174" i="56"/>
  <c r="C173" i="56"/>
  <c r="N155" i="56"/>
  <c r="M155" i="56"/>
  <c r="L155" i="56"/>
  <c r="K155" i="56"/>
  <c r="I155" i="56"/>
  <c r="H155" i="56"/>
  <c r="G155" i="56"/>
  <c r="F155" i="56"/>
  <c r="E155" i="56"/>
  <c r="D155" i="56"/>
  <c r="C155" i="56"/>
  <c r="O103" i="56"/>
  <c r="N103" i="56"/>
  <c r="M103" i="56"/>
  <c r="L103" i="56"/>
  <c r="J103" i="56"/>
  <c r="I103" i="56"/>
  <c r="H103" i="56"/>
  <c r="G103" i="56"/>
  <c r="F103" i="56"/>
  <c r="E103" i="56"/>
  <c r="D103" i="56"/>
  <c r="C103" i="56"/>
  <c r="O102" i="56"/>
  <c r="N102" i="56"/>
  <c r="M102" i="56"/>
  <c r="L102" i="56"/>
  <c r="J102" i="56"/>
  <c r="I102" i="56"/>
  <c r="H102" i="56"/>
  <c r="G102" i="56"/>
  <c r="F102" i="56"/>
  <c r="E102" i="56"/>
  <c r="D102" i="56"/>
  <c r="C102" i="56"/>
  <c r="O101" i="56"/>
  <c r="N101" i="56"/>
  <c r="M101" i="56"/>
  <c r="L101" i="56"/>
  <c r="J101" i="56"/>
  <c r="I101" i="56"/>
  <c r="H101" i="56"/>
  <c r="G101" i="56"/>
  <c r="F101" i="56"/>
  <c r="E101" i="56"/>
  <c r="D101" i="56"/>
  <c r="C101" i="56"/>
  <c r="O100" i="56"/>
  <c r="N100" i="56"/>
  <c r="M100" i="56"/>
  <c r="L100" i="56"/>
  <c r="J100" i="56"/>
  <c r="I100" i="56"/>
  <c r="H100" i="56"/>
  <c r="G100" i="56"/>
  <c r="F100" i="56"/>
  <c r="E100" i="56"/>
  <c r="D100" i="56"/>
  <c r="C100" i="56"/>
  <c r="O93" i="56"/>
  <c r="N93" i="56"/>
  <c r="M93" i="56"/>
  <c r="L93" i="56"/>
  <c r="J93" i="56"/>
  <c r="I93" i="56"/>
  <c r="H93" i="56"/>
  <c r="G93" i="56"/>
  <c r="F93" i="56"/>
  <c r="E93" i="56"/>
  <c r="D93" i="56"/>
  <c r="C93" i="56"/>
  <c r="O92" i="56"/>
  <c r="N92" i="56"/>
  <c r="M92" i="56"/>
  <c r="L92" i="56"/>
  <c r="J92" i="56"/>
  <c r="I92" i="56"/>
  <c r="H92" i="56"/>
  <c r="G92" i="56"/>
  <c r="F92" i="56"/>
  <c r="E92" i="56"/>
  <c r="D92" i="56"/>
  <c r="C92" i="56"/>
  <c r="O91" i="56"/>
  <c r="N91" i="56"/>
  <c r="M91" i="56"/>
  <c r="L91" i="56"/>
  <c r="J91" i="56"/>
  <c r="I91" i="56"/>
  <c r="H91" i="56"/>
  <c r="G91" i="56"/>
  <c r="F91" i="56"/>
  <c r="E91" i="56"/>
  <c r="D91" i="56"/>
  <c r="C91" i="56"/>
  <c r="O18" i="56"/>
  <c r="N18" i="56"/>
  <c r="M18" i="56"/>
  <c r="L18" i="56"/>
  <c r="J18" i="56"/>
  <c r="I18" i="56"/>
  <c r="G18" i="56"/>
  <c r="F18" i="56"/>
  <c r="E18" i="56"/>
  <c r="D18" i="56"/>
  <c r="O17" i="56"/>
  <c r="N17" i="56"/>
  <c r="M17" i="56"/>
  <c r="L17" i="56"/>
  <c r="J17" i="56"/>
  <c r="I17" i="56"/>
  <c r="H17" i="56"/>
  <c r="G17" i="56"/>
  <c r="F17" i="56"/>
  <c r="E17" i="56"/>
  <c r="D17" i="56"/>
  <c r="C17" i="56"/>
  <c r="O16" i="56"/>
  <c r="N16" i="56"/>
  <c r="M16" i="56"/>
  <c r="L16" i="56"/>
  <c r="J16" i="56"/>
  <c r="I16" i="56"/>
  <c r="H16" i="56"/>
  <c r="G16" i="56"/>
  <c r="F16" i="56"/>
  <c r="E16" i="56"/>
  <c r="D16" i="56"/>
  <c r="C16" i="56"/>
  <c r="O15" i="56"/>
  <c r="N15" i="56"/>
  <c r="M15" i="56"/>
  <c r="L15" i="56"/>
  <c r="J15" i="56"/>
  <c r="I15" i="56"/>
  <c r="H15" i="56"/>
  <c r="G15" i="56"/>
  <c r="F15" i="56"/>
  <c r="O9" i="56"/>
  <c r="N9" i="56"/>
  <c r="M9" i="56"/>
  <c r="L9" i="56"/>
  <c r="J9" i="56"/>
  <c r="I9" i="56"/>
  <c r="H9" i="56"/>
  <c r="G9" i="56"/>
  <c r="F9" i="56"/>
  <c r="E9" i="56"/>
  <c r="O8" i="56"/>
  <c r="N8" i="56"/>
  <c r="M8" i="56"/>
  <c r="L8" i="56"/>
  <c r="J8" i="56"/>
  <c r="I8" i="56"/>
  <c r="H8" i="56"/>
  <c r="G8" i="56"/>
  <c r="F8" i="56"/>
  <c r="E8" i="56"/>
  <c r="D8" i="56"/>
  <c r="C8" i="56"/>
  <c r="O7" i="56"/>
  <c r="N7" i="56"/>
  <c r="M7" i="56"/>
  <c r="L7" i="56"/>
  <c r="J7" i="56"/>
  <c r="I7" i="56"/>
  <c r="H7" i="56"/>
  <c r="G7" i="56"/>
  <c r="F7" i="56"/>
  <c r="E7" i="56"/>
  <c r="D7" i="56"/>
  <c r="B209" i="56"/>
  <c r="B152" i="56"/>
  <c r="Q264" i="6"/>
  <c r="P264" i="6"/>
  <c r="O264" i="6"/>
  <c r="M264" i="6"/>
  <c r="L264" i="6"/>
  <c r="Q263" i="6"/>
  <c r="P263" i="6"/>
  <c r="O263" i="6"/>
  <c r="M263" i="6"/>
  <c r="L263" i="6"/>
  <c r="Q261" i="6"/>
  <c r="P261" i="6"/>
  <c r="O261" i="6"/>
  <c r="M261" i="6"/>
  <c r="L261" i="6"/>
  <c r="K261" i="6"/>
  <c r="J261" i="6"/>
  <c r="I261" i="6"/>
  <c r="H261" i="6"/>
  <c r="G261" i="6"/>
  <c r="O266" i="6"/>
  <c r="Q200" i="6"/>
  <c r="P200" i="6"/>
  <c r="O200" i="6"/>
  <c r="M200" i="6"/>
  <c r="L200" i="6"/>
  <c r="K200" i="6"/>
  <c r="J200" i="6"/>
  <c r="I200" i="6"/>
  <c r="H200" i="6"/>
  <c r="G200" i="6"/>
  <c r="F200" i="6"/>
  <c r="G39" i="56" l="1"/>
  <c r="G165" i="56"/>
  <c r="C22" i="56" a="1"/>
  <c r="C22" i="56" s="1"/>
  <c r="C107" i="56" a="1"/>
  <c r="C107" i="5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<sst xmlns="http://schemas.openxmlformats.org/spreadsheetml/2006/main" count="987" uniqueCount="171">
  <si>
    <t>Total</t>
  </si>
  <si>
    <t>Total préscolaire</t>
  </si>
  <si>
    <r>
      <rPr>
        <vertAlign val="superscript"/>
        <sz val="10"/>
        <rFont val="Arial Narrow"/>
        <family val="2"/>
      </rPr>
      <t>2</t>
    </r>
    <r>
      <rPr>
        <sz val="10"/>
        <rFont val="Arial Narrow"/>
        <family val="2"/>
      </rPr>
      <t xml:space="preserve"> Nombre de places à plein temps rapporté aux enfants du même âge dans la population.</t>
    </r>
  </si>
  <si>
    <r>
      <t>Taux de couverture (en %)</t>
    </r>
    <r>
      <rPr>
        <b/>
        <vertAlign val="superscript"/>
        <sz val="11"/>
        <rFont val="Arial Narrow"/>
        <family val="2"/>
      </rPr>
      <t xml:space="preserve">3 </t>
    </r>
    <r>
      <rPr>
        <b/>
        <sz val="11"/>
        <rFont val="Arial Narrow"/>
        <family val="2"/>
      </rPr>
      <t>avec les structures non subventionnées</t>
    </r>
  </si>
  <si>
    <t>1-2P</t>
  </si>
  <si>
    <t>7-8P</t>
  </si>
  <si>
    <t>3-4P</t>
  </si>
  <si>
    <t>5-6P</t>
  </si>
  <si>
    <t>Subventionnée</t>
  </si>
  <si>
    <t>Places offertes</t>
  </si>
  <si>
    <t>Nursery (bébés + trotteurs)</t>
  </si>
  <si>
    <t>Garderie (grands)</t>
  </si>
  <si>
    <t>Les résultats complets sont disponibles à l'adresse ci-dessous:</t>
  </si>
  <si>
    <t>Non subventionnée TOE</t>
  </si>
  <si>
    <t>Non subventionnée TOR</t>
  </si>
  <si>
    <t>www.vd.ch/stat-accueil-scol</t>
  </si>
  <si>
    <t>AJEMA</t>
  </si>
  <si>
    <t>Réseau</t>
  </si>
  <si>
    <t>Soit le nombre de places à plein temps rapporté aux enfants du même âge dans la population.</t>
  </si>
  <si>
    <t>2011*</t>
  </si>
  <si>
    <t>2012*</t>
  </si>
  <si>
    <t>2013*</t>
  </si>
  <si>
    <t>2014*</t>
  </si>
  <si>
    <t>enquete.faje@vd.ch</t>
  </si>
  <si>
    <t>021.316.95.80</t>
  </si>
  <si>
    <t>Contact :</t>
  </si>
  <si>
    <t>Taux de couverture</t>
  </si>
  <si>
    <t>Nbre d'accueillant-e-s au 31.12</t>
  </si>
  <si>
    <t xml:space="preserve">Préscolaire </t>
  </si>
  <si>
    <t xml:space="preserve">Parascolaire </t>
  </si>
  <si>
    <t>AJENOL</t>
  </si>
  <si>
    <t>AJERCO</t>
  </si>
  <si>
    <t>AJERE - Rolle et environs</t>
  </si>
  <si>
    <t>AJESOL</t>
  </si>
  <si>
    <t>AJOVAL</t>
  </si>
  <si>
    <t>APERO</t>
  </si>
  <si>
    <t>ARAJEL</t>
  </si>
  <si>
    <t>Asse &amp; Boiron</t>
  </si>
  <si>
    <t>Blonay - St-Légier</t>
  </si>
  <si>
    <t>BussiVillAje</t>
  </si>
  <si>
    <t>Dame Tartine</t>
  </si>
  <si>
    <t>EFAJE</t>
  </si>
  <si>
    <t>Enfants Chablais</t>
  </si>
  <si>
    <t>Epalinges</t>
  </si>
  <si>
    <t>Nyon</t>
  </si>
  <si>
    <t>PPBL</t>
  </si>
  <si>
    <t>RAdEGE</t>
  </si>
  <si>
    <t>RéAjY</t>
  </si>
  <si>
    <t>REME</t>
  </si>
  <si>
    <t>Renens - Crissier</t>
  </si>
  <si>
    <t>Réseau-L</t>
  </si>
  <si>
    <t>REVE</t>
  </si>
  <si>
    <t>Rymaje</t>
  </si>
  <si>
    <t>Sainte-Croix</t>
  </si>
  <si>
    <t>Réseaux</t>
  </si>
  <si>
    <t>ARAJ Broye</t>
  </si>
  <si>
    <t>ARPAJE – Pays d’Enhaut</t>
  </si>
  <si>
    <t>ARPEJE</t>
  </si>
  <si>
    <t>ASAICE</t>
  </si>
  <si>
    <t>LAC</t>
  </si>
  <si>
    <t>Réseau VV</t>
  </si>
  <si>
    <t>Nombre de places offertes en accueil collectif préscolaire (0 à 4 ans) par réseau, structures subventionnées, Vaud, depuis 2010</t>
  </si>
  <si>
    <t>Taux de couverture en Nursery (enfants de moins de 30-36 mois)  par réseau, structures subventionnées, Vaud, depuis 2010</t>
  </si>
  <si>
    <t>Taux de couverture en Garderie (enfants de 30-36 mois à l'entrée de l'école)  par réseau, structures subventionnées, Vaud, depuis 2010</t>
  </si>
  <si>
    <t>En %</t>
  </si>
  <si>
    <r>
      <t>Taux de couverture</t>
    </r>
    <r>
      <rPr>
        <b/>
        <vertAlign val="superscript"/>
        <sz val="11"/>
        <rFont val="Arial Narrow"/>
        <family val="2"/>
      </rPr>
      <t>1</t>
    </r>
    <r>
      <rPr>
        <b/>
        <sz val="11"/>
        <rFont val="Arial Narrow"/>
        <family val="2"/>
      </rPr>
      <t xml:space="preserve"> en accueil collectif préscolaire (0 à 4 ans)</t>
    </r>
    <r>
      <rPr>
        <b/>
        <vertAlign val="superscript"/>
        <sz val="11"/>
        <rFont val="Arial Narrow"/>
        <family val="2"/>
      </rPr>
      <t>2</t>
    </r>
    <r>
      <rPr>
        <b/>
        <sz val="11"/>
        <rFont val="Arial Narrow"/>
        <family val="2"/>
      </rPr>
      <t xml:space="preserve"> par réseau, structures subventionnées ou non, Vaud, depuis 2010</t>
    </r>
  </si>
  <si>
    <t>Taux de couverture (en %) SUBVENTIONNE</t>
  </si>
  <si>
    <t>Nombre de places offertes  temps plein en accueil collectif préscolaire (0 à 4 ans) par réseau, structures subventionnées, Vaud, depuis 2010</t>
  </si>
  <si>
    <t>Nombre de places autorisées à temps plein en accueil collectif parascolaire (4 à 12 ans) par réseau, structures subventionnées, Vaud, depuis 2010</t>
  </si>
  <si>
    <t>Nombre de places offertes maximum (entre matin, midi et après-midi) en accueil collectif parascolaire (4 à 12 ans) par réseau, structures subventionnées, Vaud, depuis 2010</t>
  </si>
  <si>
    <t>Taux de couverture en parascolaire par réseau, structures subventionnées, Vaud, depuis 2010</t>
  </si>
  <si>
    <t>Parascolaire</t>
  </si>
  <si>
    <t>1) Nombre de places offertes à plein temps rapporté aux enfants du même âge dans la population.</t>
  </si>
  <si>
    <t>2) Nouveaux réseaux créés en 2022.</t>
  </si>
  <si>
    <t>Source: StatVD, Enquête sur l'accueil de jour des enfants</t>
  </si>
  <si>
    <t xml:space="preserve">Vérification </t>
  </si>
  <si>
    <t>0</t>
  </si>
  <si>
    <t>Date de création</t>
  </si>
  <si>
    <t>Depuis 2022</t>
  </si>
  <si>
    <t>Depuis 2021</t>
  </si>
  <si>
    <t>Taux de couverture en parascolaire par réseau, structures non subvention - temps d'accueil restreint (TEO), Vaud, depuis 2010</t>
  </si>
  <si>
    <t>Nombre de places à temps plein en préscolaire depuis 2016</t>
  </si>
  <si>
    <t xml:space="preserve">Jusqu'à 2021.
Dès 2022, le réseau REVE a donné naissance à deux réseaux distincts : LAC et Réseau VV. </t>
  </si>
  <si>
    <t>Ensemble des réseaux</t>
  </si>
  <si>
    <t>Toblerones</t>
  </si>
  <si>
    <t>PARASCOLAIRE</t>
  </si>
  <si>
    <t>Préscolaire</t>
  </si>
  <si>
    <r>
      <t>Places offertes à plein temps</t>
    </r>
    <r>
      <rPr>
        <vertAlign val="superscript"/>
        <sz val="11"/>
        <rFont val="Calibri"/>
        <family val="2"/>
        <scheme val="minor"/>
      </rPr>
      <t>1</t>
    </r>
  </si>
  <si>
    <t>*Les taux de couverture 2011-2014 ont été recalculés sur la base d'une estimation des places offertes à plein temps.</t>
  </si>
  <si>
    <t>APEJ</t>
  </si>
  <si>
    <t>Résultats de l’enquête "Accueil de jour des enfants"</t>
  </si>
  <si>
    <t>Fiche synthétique</t>
  </si>
  <si>
    <t>Réseau des géants</t>
  </si>
  <si>
    <t xml:space="preserve">TOR </t>
  </si>
  <si>
    <t>Taux de couverture en parascolaire par réseau, structures non subventionnées uniquement TOE, Vaud, depuis 2010</t>
  </si>
  <si>
    <t>En 2022, le réseau AJET est devenu APEJ</t>
  </si>
  <si>
    <t>Hors-réseau</t>
  </si>
  <si>
    <t xml:space="preserve">Population Vaud </t>
  </si>
  <si>
    <t>Préscolaire (0-4 ans)</t>
  </si>
  <si>
    <t xml:space="preserve">Parascolaire (4-12 ans) </t>
  </si>
  <si>
    <t xml:space="preserve">Total enfants 0-12 ans </t>
  </si>
  <si>
    <t xml:space="preserve">TOTAL </t>
  </si>
  <si>
    <t>Bébés</t>
  </si>
  <si>
    <t>Trotteurs</t>
  </si>
  <si>
    <t>Grands</t>
  </si>
  <si>
    <t>Total 
Préscolaire</t>
  </si>
  <si>
    <t xml:space="preserve">Total
Parascolaire </t>
  </si>
  <si>
    <t>Total
enfants</t>
  </si>
  <si>
    <t>Autres</t>
  </si>
  <si>
    <t>POPULATION TOTALE</t>
  </si>
  <si>
    <t>Source : StatVD, Statistique annuelle de la population</t>
  </si>
  <si>
    <t xml:space="preserve">Enfants 0-12 ANS </t>
  </si>
  <si>
    <t>&gt;12 ans</t>
  </si>
  <si>
    <t xml:space="preserve">Population &gt; 12 ans </t>
  </si>
  <si>
    <t>Réseau
 (veuillez sélectionner le réseau souhaité dans la liste déroulante)</t>
  </si>
  <si>
    <r>
      <rPr>
        <vertAlign val="superscript"/>
        <sz val="9"/>
        <rFont val="Calibri"/>
        <family val="2"/>
        <scheme val="minor"/>
      </rPr>
      <t xml:space="preserve">1 </t>
    </r>
    <r>
      <rPr>
        <sz val="9"/>
        <rFont val="Calibri"/>
        <family val="2"/>
        <scheme val="minor"/>
      </rPr>
      <t>Une place à plein temps correspond à 2530 heures par an.</t>
    </r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</si>
  <si>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Sans les enfants de l'accueillante ni les écoliers supplémentaires autorisés.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</si>
  <si>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Nombre d'heures facturées divisées par le nombre d'heures correspondant à une place à plein temps.</t>
    </r>
  </si>
  <si>
    <r>
      <t xml:space="preserve">Nbre de places autorisées </t>
    </r>
    <r>
      <rPr>
        <vertAlign val="superscript"/>
        <sz val="11"/>
        <rFont val="Calibri"/>
        <family val="2"/>
        <scheme val="minor"/>
      </rPr>
      <t>1</t>
    </r>
  </si>
  <si>
    <t>A2 : Taux de couverture accueil en milieu familial depuis 2016</t>
  </si>
  <si>
    <t>2016*</t>
  </si>
  <si>
    <t xml:space="preserve">*Les taux de couverture ont été révisés en été 2018 sur la base de la nouvelle définition de la population résidante permanente. </t>
  </si>
  <si>
    <r>
      <t>Places offertes à plein temps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</t>
    </r>
  </si>
  <si>
    <t xml:space="preserve">En préscolaire </t>
  </si>
  <si>
    <t xml:space="preserve">En parascolaire </t>
  </si>
  <si>
    <r>
      <rPr>
        <vertAlign val="superscript"/>
        <sz val="9"/>
        <rFont val="Calibri"/>
        <family val="2"/>
        <scheme val="minor"/>
      </rPr>
      <t xml:space="preserve">1 </t>
    </r>
    <r>
      <rPr>
        <sz val="9"/>
        <rFont val="Calibri"/>
        <family val="2"/>
        <scheme val="minor"/>
      </rPr>
      <t>Le calcul des places à plein temps tient compte dès 2015 du nombre de places offertes suivant la période de la journée (matin, midi, après-midi) et du nombre de jours d’ouverture par an selon les tranches d'âges.</t>
    </r>
  </si>
  <si>
    <t xml:space="preserve">Sources </t>
  </si>
  <si>
    <t>Depuis 2022.</t>
  </si>
  <si>
    <t>Enfants 0 - 12 ans</t>
  </si>
  <si>
    <t xml:space="preserve"> </t>
  </si>
  <si>
    <r>
      <t>Taux de couverture</t>
    </r>
    <r>
      <rPr>
        <b/>
        <vertAlign val="superscript"/>
        <sz val="11"/>
        <rFont val="Arial Narrow"/>
        <family val="2"/>
      </rPr>
      <t>1</t>
    </r>
    <r>
      <rPr>
        <b/>
        <sz val="11"/>
        <rFont val="Arial Narrow"/>
        <family val="2"/>
      </rPr>
      <t xml:space="preserve"> en accueil collectif parascolaire (4 à 12 ans) par réseau et tranches d'âges, structures subventionnées, Vaud, 2023</t>
    </r>
  </si>
  <si>
    <t>Nursery 
(bébés + trotteurs)</t>
  </si>
  <si>
    <t>Population par catégorie d'âge et par réseau, Vaud, 2024</t>
  </si>
  <si>
    <t>2010*</t>
  </si>
  <si>
    <t>2015*</t>
  </si>
  <si>
    <t>26.6 (r)</t>
  </si>
  <si>
    <t>33.8 (r)</t>
  </si>
  <si>
    <t>29.5 (r)</t>
  </si>
  <si>
    <t/>
  </si>
  <si>
    <t>A2 : Nombre d'accueillant-e-s en milieu familial, Vaud, depuis 2010</t>
  </si>
  <si>
    <t>L'accueil familial est délégué à RéAjY</t>
  </si>
  <si>
    <t>A3 : Nombre de places autorisées en accueil familial, sans les enfants de l'accueillante ni les écoliers supplémentaires autorisés, Vaud, depuis 2010</t>
  </si>
  <si>
    <t>A4 : Nombre de places offertes à temps plein en accueil familial préscolaire, Vaud, depuis 2016</t>
  </si>
  <si>
    <t>A4 : Nombre de places offertes à temps plein en accueil familial parascolaire, Vaud, depuis 2016</t>
  </si>
  <si>
    <t>StatVD, Statistique annuelle de la population.</t>
  </si>
  <si>
    <t>StatVD, Enquête sur l’accueil de jour des enfants.</t>
  </si>
  <si>
    <t>Réseaux de géants</t>
  </si>
  <si>
    <t>En 2023, le réseau Barge - Baumes est devenu le réseau des géants. 
L'accueil en milieu familial est délégué à RéajY</t>
  </si>
  <si>
    <t>Liste déroulante</t>
  </si>
  <si>
    <t>t</t>
  </si>
  <si>
    <t>Subventionné TOE</t>
  </si>
  <si>
    <t>Non subventionné TOE</t>
  </si>
  <si>
    <t>Taux de couverture en accueil familial parascolaire, Vaud, 2024</t>
  </si>
  <si>
    <t>ACCUEIL COLLECTIF PRESCOLAIRE (0 à 4 ans)</t>
  </si>
  <si>
    <t>ACCUEIL COLLECTIF PARASCOLAIRE (4 à 12 ans)</t>
  </si>
  <si>
    <t>ACCUEIL FAMILIAL</t>
  </si>
  <si>
    <r>
      <t>POPULATION RESIDANTE PERMANENTE</t>
    </r>
    <r>
      <rPr>
        <b/>
        <vertAlign val="superscript"/>
        <sz val="20"/>
        <rFont val="Calibri"/>
        <family val="2"/>
        <scheme val="minor"/>
      </rPr>
      <t>1</t>
    </r>
  </si>
  <si>
    <r>
      <rPr>
        <i/>
        <vertAlign val="superscript"/>
        <sz val="10"/>
        <rFont val="Calibri"/>
        <family val="2"/>
        <scheme val="minor"/>
      </rPr>
      <t>1</t>
    </r>
    <r>
      <rPr>
        <i/>
        <sz val="10"/>
        <rFont val="Calibri"/>
        <family val="2"/>
        <scheme val="minor"/>
      </rPr>
      <t>La population résidante permanente exclut la population étrangère en court séjour, les personnes en demande d'asile de moins d'un an, les sans-papiers et les personnes vivant dans un domicile secondaire dans le canton</t>
    </r>
  </si>
  <si>
    <t xml:space="preserve">Préscolaire (0 - 4 ans) </t>
  </si>
  <si>
    <t>0 - 2 ans | Bébés</t>
  </si>
  <si>
    <t>2 - 3 ans | Trotteurs</t>
  </si>
  <si>
    <t>0 - 3 ans | Nursery</t>
  </si>
  <si>
    <t>3 - 4 ans | Moyens</t>
  </si>
  <si>
    <t>4 - 6 ans | 1ère et 2e primaire</t>
  </si>
  <si>
    <t>6 - 8 ans | 3e et 4e primaire</t>
  </si>
  <si>
    <t>8 - 10 ans | 5e et 6e primaire</t>
  </si>
  <si>
    <t>10 - 12 ans | 7e et 8e primaire</t>
  </si>
  <si>
    <t>Parascolaire (4 - 12 ans)</t>
  </si>
  <si>
    <t>Préscolaire (0 - 4 ans)</t>
  </si>
  <si>
    <t>Nursery</t>
  </si>
  <si>
    <t>Moyens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</si>
</sst>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"/>
    <numFmt numFmtId="166" formatCode="########################0"/>
    <numFmt numFmtId="167" formatCode="##0.0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vertAlign val="superscript"/>
      <sz val="11"/>
      <name val="Arial Narrow"/>
      <family val="2"/>
    </font>
    <font>
      <b/>
      <vertAlign val="superscript"/>
      <sz val="11"/>
      <name val="Arial Narrow"/>
      <family val="2"/>
    </font>
    <font>
      <vertAlign val="superscript"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name val="Calibri"/>
      <family val="2"/>
      <scheme val="minor"/>
    </font>
    <font>
      <b/>
      <sz val="9"/>
      <color rgb="FFFF0000"/>
      <name val="Arial"/>
      <family val="2"/>
    </font>
    <font>
      <u/>
      <sz val="9"/>
      <name val="Calibri"/>
      <family val="2"/>
      <scheme val="minor"/>
    </font>
    <font>
      <b/>
      <sz val="8"/>
      <name val="Arial Narrow"/>
      <family val="2"/>
    </font>
    <font>
      <u/>
      <sz val="8"/>
      <name val="Calibri"/>
      <family val="2"/>
      <scheme val="minor"/>
    </font>
    <font>
      <b/>
      <sz val="14"/>
      <color rgb="FF556977"/>
      <name val="Calibri"/>
      <family val="2"/>
      <scheme val="minor"/>
    </font>
    <font>
      <u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A51A3"/>
      <name val="Calibri"/>
      <family val="2"/>
      <scheme val="minor"/>
    </font>
    <font>
      <b/>
      <sz val="36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u/>
      <sz val="18"/>
      <color rgb="FF556977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  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.5"/>
      <color rgb="FF000000"/>
      <name val="Arial"/>
      <family val="2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vertAlign val="superscript"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color rgb="FF000000"/>
      <name val="Arial"/>
      <family val="2"/>
    </font>
    <font>
      <sz val="16"/>
      <name val="Calibri"/>
      <family val="2"/>
      <scheme val="minor"/>
    </font>
    <font>
      <u/>
      <sz val="12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  "/>
    </font>
    <font>
      <sz val="10"/>
      <color indexed="8"/>
      <name val="Calibri  "/>
    </font>
    <font>
      <b/>
      <sz val="10"/>
      <name val="Calibri  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C00000"/>
      <name val="Wingdings 3"/>
      <family val="1"/>
      <charset val="2"/>
    </font>
    <font>
      <b/>
      <sz val="22"/>
      <color rgb="FF556977"/>
      <name val="Calibri"/>
      <family val="2"/>
      <scheme val="minor"/>
    </font>
    <font>
      <b/>
      <u/>
      <sz val="26"/>
      <name val="Calibri"/>
      <family val="2"/>
      <scheme val="minor"/>
    </font>
    <font>
      <i/>
      <sz val="10"/>
      <name val="Calibri"/>
      <family val="2"/>
      <scheme val="minor"/>
    </font>
    <font>
      <b/>
      <vertAlign val="superscript"/>
      <sz val="20"/>
      <name val="Calibri"/>
      <family val="2"/>
      <scheme val="minor"/>
    </font>
    <font>
      <i/>
      <vertAlign val="superscript"/>
      <sz val="10"/>
      <name val="Calibri"/>
      <family val="2"/>
      <scheme val="minor"/>
    </font>
    <font>
      <i/>
      <sz val="12"/>
      <color rgb="FF000000"/>
      <name val="Calibri"/>
      <family val="2"/>
    </font>
    <font>
      <i/>
      <sz val="1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5697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rgb="FF556977"/>
      </left>
      <right/>
      <top style="medium">
        <color rgb="FF556977"/>
      </top>
      <bottom style="medium">
        <color rgb="FF556977"/>
      </bottom>
      <diagonal/>
    </border>
    <border>
      <left/>
      <right/>
      <top style="medium">
        <color rgb="FF556977"/>
      </top>
      <bottom style="medium">
        <color rgb="FF556977"/>
      </bottom>
      <diagonal/>
    </border>
    <border>
      <left/>
      <right style="medium">
        <color rgb="FF556977"/>
      </right>
      <top style="medium">
        <color rgb="FF556977"/>
      </top>
      <bottom style="medium">
        <color rgb="FF556977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556977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49">
    <xf numFmtId="0" fontId="0" fillId="0" borderId="0"/>
    <xf numFmtId="0" fontId="16" fillId="0" borderId="0" applyNumberFormat="0" applyFill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6" applyNumberFormat="0" applyAlignment="0" applyProtection="0"/>
    <xf numFmtId="0" fontId="24" fillId="6" borderId="7" applyNumberFormat="0" applyAlignment="0" applyProtection="0"/>
    <xf numFmtId="0" fontId="25" fillId="6" borderId="6" applyNumberFormat="0" applyAlignment="0" applyProtection="0"/>
    <xf numFmtId="0" fontId="26" fillId="0" borderId="8" applyNumberFormat="0" applyFill="0" applyAlignment="0" applyProtection="0"/>
    <xf numFmtId="0" fontId="27" fillId="7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1" fillId="32" borderId="0" applyNumberFormat="0" applyBorder="0" applyAlignment="0" applyProtection="0"/>
    <xf numFmtId="0" fontId="7" fillId="0" borderId="0"/>
    <xf numFmtId="0" fontId="7" fillId="8" borderId="10" applyNumberFormat="0" applyFont="0" applyAlignment="0" applyProtection="0"/>
    <xf numFmtId="0" fontId="32" fillId="0" borderId="0" applyNumberFormat="0" applyFill="0" applyBorder="0" applyAlignment="0" applyProtection="0"/>
    <xf numFmtId="0" fontId="15" fillId="0" borderId="0"/>
    <xf numFmtId="0" fontId="6" fillId="0" borderId="0"/>
    <xf numFmtId="0" fontId="5" fillId="0" borderId="0"/>
    <xf numFmtId="0" fontId="67" fillId="0" borderId="0"/>
    <xf numFmtId="0" fontId="4" fillId="0" borderId="0"/>
  </cellStyleXfs>
  <cellXfs count="382">
    <xf numFmtId="0" fontId="0" fillId="0" borderId="0" xfId="0"/>
    <xf numFmtId="0" fontId="9" fillId="33" borderId="0" xfId="0" applyFont="1" applyFill="1"/>
    <xf numFmtId="0" fontId="10" fillId="33" borderId="0" xfId="0" applyFont="1" applyFill="1"/>
    <xf numFmtId="3" fontId="10" fillId="33" borderId="2" xfId="0" applyNumberFormat="1" applyFont="1" applyFill="1" applyBorder="1" applyAlignment="1">
      <alignment wrapText="1"/>
    </xf>
    <xf numFmtId="0" fontId="10" fillId="33" borderId="0" xfId="0" applyFont="1" applyFill="1" applyBorder="1"/>
    <xf numFmtId="0" fontId="0" fillId="33" borderId="0" xfId="0" applyFill="1"/>
    <xf numFmtId="0" fontId="33" fillId="33" borderId="0" xfId="0" applyFont="1" applyFill="1"/>
    <xf numFmtId="0" fontId="34" fillId="33" borderId="2" xfId="0" applyFont="1" applyFill="1" applyBorder="1" applyAlignment="1">
      <alignment horizontal="right" wrapText="1"/>
    </xf>
    <xf numFmtId="3" fontId="33" fillId="33" borderId="0" xfId="0" applyNumberFormat="1" applyFont="1" applyFill="1" applyBorder="1"/>
    <xf numFmtId="0" fontId="35" fillId="33" borderId="0" xfId="0" applyFont="1" applyFill="1"/>
    <xf numFmtId="0" fontId="36" fillId="33" borderId="0" xfId="0" applyFont="1" applyFill="1"/>
    <xf numFmtId="0" fontId="37" fillId="33" borderId="0" xfId="0" applyFont="1" applyFill="1"/>
    <xf numFmtId="0" fontId="38" fillId="33" borderId="0" xfId="0" applyFont="1" applyFill="1"/>
    <xf numFmtId="3" fontId="35" fillId="33" borderId="0" xfId="0" applyNumberFormat="1" applyFont="1" applyFill="1" applyBorder="1"/>
    <xf numFmtId="0" fontId="42" fillId="33" borderId="0" xfId="0" applyFont="1" applyFill="1"/>
    <xf numFmtId="0" fontId="43" fillId="33" borderId="0" xfId="0" applyFont="1" applyFill="1"/>
    <xf numFmtId="0" fontId="44" fillId="33" borderId="0" xfId="0" applyFont="1" applyFill="1"/>
    <xf numFmtId="0" fontId="44" fillId="33" borderId="0" xfId="0" applyFont="1" applyFill="1" applyBorder="1"/>
    <xf numFmtId="0" fontId="44" fillId="33" borderId="2" xfId="0" applyFont="1" applyFill="1" applyBorder="1" applyAlignment="1">
      <alignment horizontal="right" wrapText="1"/>
    </xf>
    <xf numFmtId="165" fontId="43" fillId="33" borderId="2" xfId="0" applyNumberFormat="1" applyFont="1" applyFill="1" applyBorder="1"/>
    <xf numFmtId="0" fontId="9" fillId="33" borderId="0" xfId="0" applyFont="1" applyFill="1" applyBorder="1"/>
    <xf numFmtId="0" fontId="10" fillId="33" borderId="0" xfId="0" applyFont="1" applyFill="1" applyBorder="1" applyAlignment="1">
      <alignment horizontal="right" wrapText="1"/>
    </xf>
    <xf numFmtId="2" fontId="10" fillId="33" borderId="0" xfId="0" applyNumberFormat="1" applyFont="1" applyFill="1" applyBorder="1"/>
    <xf numFmtId="3" fontId="10" fillId="33" borderId="0" xfId="0" applyNumberFormat="1" applyFont="1" applyFill="1" applyBorder="1" applyAlignment="1">
      <alignment wrapText="1"/>
    </xf>
    <xf numFmtId="0" fontId="33" fillId="33" borderId="0" xfId="0" applyFont="1" applyFill="1" applyAlignment="1">
      <alignment wrapText="1"/>
    </xf>
    <xf numFmtId="0" fontId="10" fillId="33" borderId="0" xfId="0" applyFont="1" applyFill="1" applyAlignment="1">
      <alignment wrapText="1"/>
    </xf>
    <xf numFmtId="0" fontId="9" fillId="33" borderId="0" xfId="0" applyFont="1" applyFill="1" applyAlignment="1">
      <alignment wrapText="1"/>
    </xf>
    <xf numFmtId="3" fontId="9" fillId="33" borderId="2" xfId="0" applyNumberFormat="1" applyFont="1" applyFill="1" applyBorder="1" applyAlignment="1">
      <alignment wrapText="1"/>
    </xf>
    <xf numFmtId="0" fontId="11" fillId="33" borderId="0" xfId="0" applyFont="1" applyFill="1" applyAlignment="1">
      <alignment wrapText="1"/>
    </xf>
    <xf numFmtId="0" fontId="0" fillId="33" borderId="0" xfId="0" applyFill="1" applyAlignment="1">
      <alignment wrapText="1"/>
    </xf>
    <xf numFmtId="0" fontId="9" fillId="33" borderId="0" xfId="0" applyFont="1" applyFill="1" applyBorder="1" applyAlignment="1">
      <alignment wrapText="1"/>
    </xf>
    <xf numFmtId="165" fontId="9" fillId="33" borderId="0" xfId="0" applyNumberFormat="1" applyFont="1" applyFill="1" applyBorder="1" applyAlignment="1">
      <alignment wrapText="1"/>
    </xf>
    <xf numFmtId="0" fontId="40" fillId="33" borderId="0" xfId="0" applyFont="1" applyFill="1"/>
    <xf numFmtId="0" fontId="43" fillId="33" borderId="0" xfId="0" applyFont="1" applyFill="1" applyBorder="1"/>
    <xf numFmtId="0" fontId="44" fillId="33" borderId="0" xfId="0" applyFont="1" applyFill="1" applyBorder="1" applyAlignment="1">
      <alignment horizontal="right" wrapText="1"/>
    </xf>
    <xf numFmtId="165" fontId="43" fillId="33" borderId="0" xfId="0" applyNumberFormat="1" applyFont="1" applyFill="1" applyBorder="1"/>
    <xf numFmtId="0" fontId="43" fillId="33" borderId="0" xfId="0" applyFont="1" applyFill="1" applyAlignment="1">
      <alignment horizontal="left" wrapText="1"/>
    </xf>
    <xf numFmtId="0" fontId="43" fillId="33" borderId="0" xfId="0" applyFont="1" applyFill="1" applyAlignment="1"/>
    <xf numFmtId="0" fontId="10" fillId="33" borderId="0" xfId="0" applyFont="1" applyFill="1" applyAlignment="1"/>
    <xf numFmtId="3" fontId="33" fillId="33" borderId="2" xfId="0" applyNumberFormat="1" applyFont="1" applyFill="1" applyBorder="1" applyAlignment="1">
      <alignment wrapText="1"/>
    </xf>
    <xf numFmtId="0" fontId="40" fillId="33" borderId="0" xfId="0" applyFont="1" applyFill="1" applyAlignment="1">
      <alignment wrapText="1"/>
    </xf>
    <xf numFmtId="0" fontId="40" fillId="33" borderId="0" xfId="0" quotePrefix="1" applyFont="1" applyFill="1"/>
    <xf numFmtId="0" fontId="9" fillId="0" borderId="0" xfId="45" applyFont="1"/>
    <xf numFmtId="0" fontId="6" fillId="0" borderId="0" xfId="45"/>
    <xf numFmtId="0" fontId="30" fillId="0" borderId="0" xfId="45" applyFont="1"/>
    <xf numFmtId="0" fontId="6" fillId="0" borderId="0" xfId="45" applyAlignment="1">
      <alignment horizontal="right"/>
    </xf>
    <xf numFmtId="164" fontId="6" fillId="0" borderId="0" xfId="45" applyNumberFormat="1" applyAlignment="1">
      <alignment horizontal="right"/>
    </xf>
    <xf numFmtId="0" fontId="9" fillId="0" borderId="0" xfId="45" applyFont="1" applyAlignment="1">
      <alignment horizontal="right"/>
    </xf>
    <xf numFmtId="0" fontId="10" fillId="0" borderId="0" xfId="45" applyFont="1"/>
    <xf numFmtId="1" fontId="30" fillId="0" borderId="0" xfId="45" applyNumberFormat="1" applyFont="1"/>
    <xf numFmtId="165" fontId="40" fillId="33" borderId="2" xfId="0" applyNumberFormat="1" applyFont="1" applyFill="1" applyBorder="1"/>
    <xf numFmtId="0" fontId="14" fillId="0" borderId="0" xfId="45" applyFont="1"/>
    <xf numFmtId="0" fontId="9" fillId="0" borderId="0" xfId="45" applyFont="1" applyAlignment="1">
      <alignment horizontal="right" wrapText="1"/>
    </xf>
    <xf numFmtId="164" fontId="9" fillId="0" borderId="0" xfId="45" applyNumberFormat="1" applyFont="1"/>
    <xf numFmtId="0" fontId="46" fillId="33" borderId="0" xfId="0" applyFont="1" applyFill="1"/>
    <xf numFmtId="0" fontId="10" fillId="0" borderId="0" xfId="45" applyFont="1" applyAlignment="1">
      <alignment horizontal="left" wrapText="1"/>
    </xf>
    <xf numFmtId="0" fontId="15" fillId="0" borderId="0" xfId="0" applyFont="1"/>
    <xf numFmtId="0" fontId="9" fillId="0" borderId="0" xfId="0" applyFont="1"/>
    <xf numFmtId="165" fontId="45" fillId="33" borderId="2" xfId="0" applyNumberFormat="1" applyFont="1" applyFill="1" applyBorder="1"/>
    <xf numFmtId="0" fontId="9" fillId="0" borderId="0" xfId="46" applyFont="1"/>
    <xf numFmtId="0" fontId="5" fillId="0" borderId="0" xfId="46"/>
    <xf numFmtId="0" fontId="10" fillId="0" borderId="0" xfId="46" applyFont="1" applyAlignment="1">
      <alignment horizontal="left" wrapText="1"/>
    </xf>
    <xf numFmtId="0" fontId="15" fillId="0" borderId="0" xfId="0" applyFont="1" applyAlignment="1">
      <alignment wrapText="1"/>
    </xf>
    <xf numFmtId="165" fontId="47" fillId="33" borderId="2" xfId="0" applyNumberFormat="1" applyFont="1" applyFill="1" applyBorder="1"/>
    <xf numFmtId="0" fontId="48" fillId="33" borderId="2" xfId="0" applyFont="1" applyFill="1" applyBorder="1" applyAlignment="1">
      <alignment horizontal="right" wrapText="1"/>
    </xf>
    <xf numFmtId="165" fontId="39" fillId="33" borderId="2" xfId="0" applyNumberFormat="1" applyFont="1" applyFill="1" applyBorder="1"/>
    <xf numFmtId="165" fontId="49" fillId="33" borderId="2" xfId="0" applyNumberFormat="1" applyFont="1" applyFill="1" applyBorder="1"/>
    <xf numFmtId="0" fontId="38" fillId="33" borderId="0" xfId="0" applyFont="1" applyFill="1" applyAlignment="1">
      <alignment wrapText="1"/>
    </xf>
    <xf numFmtId="165" fontId="33" fillId="33" borderId="2" xfId="0" applyNumberFormat="1" applyFont="1" applyFill="1" applyBorder="1"/>
    <xf numFmtId="3" fontId="34" fillId="33" borderId="2" xfId="0" applyNumberFormat="1" applyFont="1" applyFill="1" applyBorder="1" applyAlignment="1">
      <alignment wrapText="1"/>
    </xf>
    <xf numFmtId="0" fontId="35" fillId="33" borderId="0" xfId="0" applyFont="1" applyFill="1" applyAlignment="1"/>
    <xf numFmtId="0" fontId="51" fillId="33" borderId="0" xfId="43" applyFont="1" applyFill="1" applyAlignment="1">
      <alignment horizontal="right"/>
    </xf>
    <xf numFmtId="0" fontId="35" fillId="33" borderId="1" xfId="0" applyFont="1" applyFill="1" applyBorder="1" applyAlignment="1">
      <alignment vertical="center"/>
    </xf>
    <xf numFmtId="0" fontId="38" fillId="33" borderId="1" xfId="0" applyFont="1" applyFill="1" applyBorder="1"/>
    <xf numFmtId="0" fontId="35" fillId="33" borderId="0" xfId="0" applyFont="1" applyFill="1" applyAlignment="1">
      <alignment horizontal="center"/>
    </xf>
    <xf numFmtId="0" fontId="38" fillId="33" borderId="0" xfId="0" applyFont="1" applyFill="1" applyBorder="1"/>
    <xf numFmtId="0" fontId="35" fillId="33" borderId="0" xfId="0" applyFont="1" applyFill="1" applyBorder="1" applyAlignment="1">
      <alignment horizontal="right" wrapText="1"/>
    </xf>
    <xf numFmtId="3" fontId="38" fillId="33" borderId="0" xfId="0" applyNumberFormat="1" applyFont="1" applyFill="1" applyBorder="1"/>
    <xf numFmtId="165" fontId="38" fillId="33" borderId="0" xfId="0" applyNumberFormat="1" applyFont="1" applyFill="1" applyBorder="1"/>
    <xf numFmtId="165" fontId="35" fillId="33" borderId="0" xfId="0" applyNumberFormat="1" applyFont="1" applyFill="1" applyBorder="1"/>
    <xf numFmtId="0" fontId="38" fillId="33" borderId="0" xfId="0" applyFont="1" applyFill="1" applyBorder="1" applyAlignment="1">
      <alignment wrapText="1"/>
    </xf>
    <xf numFmtId="0" fontId="52" fillId="33" borderId="0" xfId="0" applyFont="1" applyFill="1" applyBorder="1"/>
    <xf numFmtId="0" fontId="35" fillId="33" borderId="0" xfId="0" applyFont="1" applyFill="1" applyBorder="1"/>
    <xf numFmtId="3" fontId="35" fillId="33" borderId="0" xfId="0" applyNumberFormat="1" applyFont="1" applyFill="1" applyBorder="1" applyAlignment="1">
      <alignment wrapText="1"/>
    </xf>
    <xf numFmtId="0" fontId="35" fillId="33" borderId="0" xfId="0" applyFont="1" applyFill="1" applyBorder="1" applyAlignment="1">
      <alignment horizontal="left" wrapText="1"/>
    </xf>
    <xf numFmtId="0" fontId="38" fillId="33" borderId="0" xfId="0" applyFont="1" applyFill="1" applyAlignment="1"/>
    <xf numFmtId="0" fontId="35" fillId="33" borderId="0" xfId="0" applyFont="1" applyFill="1" applyAlignment="1">
      <alignment horizontal="left" vertical="center"/>
    </xf>
    <xf numFmtId="0" fontId="38" fillId="33" borderId="0" xfId="0" applyFont="1" applyFill="1" applyBorder="1" applyAlignment="1"/>
    <xf numFmtId="0" fontId="35" fillId="33" borderId="0" xfId="0" applyFont="1" applyFill="1" applyBorder="1" applyAlignment="1"/>
    <xf numFmtId="3" fontId="33" fillId="33" borderId="0" xfId="0" applyNumberFormat="1" applyFont="1" applyFill="1" applyBorder="1" applyAlignment="1">
      <alignment horizontal="left"/>
    </xf>
    <xf numFmtId="0" fontId="57" fillId="33" borderId="0" xfId="43" applyFont="1" applyFill="1"/>
    <xf numFmtId="0" fontId="34" fillId="33" borderId="0" xfId="0" applyFont="1" applyFill="1" applyBorder="1" applyAlignment="1">
      <alignment wrapText="1"/>
    </xf>
    <xf numFmtId="0" fontId="58" fillId="33" borderId="0" xfId="0" applyFont="1" applyFill="1"/>
    <xf numFmtId="0" fontId="38" fillId="33" borderId="0" xfId="0" applyFont="1" applyFill="1" applyAlignment="1">
      <alignment vertical="center"/>
    </xf>
    <xf numFmtId="0" fontId="38" fillId="33" borderId="0" xfId="0" applyFont="1" applyFill="1" applyAlignment="1">
      <alignment horizontal="right" vertical="top"/>
    </xf>
    <xf numFmtId="0" fontId="55" fillId="33" borderId="0" xfId="0" applyFont="1" applyFill="1" applyAlignment="1">
      <alignment horizontal="left" wrapText="1"/>
    </xf>
    <xf numFmtId="0" fontId="55" fillId="33" borderId="0" xfId="0" applyFont="1" applyFill="1" applyAlignment="1">
      <alignment wrapText="1"/>
    </xf>
    <xf numFmtId="0" fontId="55" fillId="33" borderId="0" xfId="0" applyFont="1" applyFill="1" applyAlignment="1"/>
    <xf numFmtId="3" fontId="30" fillId="36" borderId="17" xfId="45" applyNumberFormat="1" applyFont="1" applyFill="1" applyBorder="1"/>
    <xf numFmtId="1" fontId="9" fillId="0" borderId="0" xfId="45" applyNumberFormat="1" applyFont="1"/>
    <xf numFmtId="1" fontId="6" fillId="0" borderId="0" xfId="45" applyNumberFormat="1"/>
    <xf numFmtId="164" fontId="59" fillId="37" borderId="17" xfId="0" applyNumberFormat="1" applyFont="1" applyFill="1" applyBorder="1" applyAlignment="1">
      <alignment horizontal="right"/>
    </xf>
    <xf numFmtId="164" fontId="59" fillId="37" borderId="17" xfId="45" applyNumberFormat="1" applyFont="1" applyFill="1" applyBorder="1" applyAlignment="1">
      <alignment horizontal="right"/>
    </xf>
    <xf numFmtId="165" fontId="43" fillId="33" borderId="0" xfId="0" applyNumberFormat="1" applyFont="1" applyFill="1"/>
    <xf numFmtId="164" fontId="60" fillId="36" borderId="17" xfId="45" applyNumberFormat="1" applyFont="1" applyFill="1" applyBorder="1" applyAlignment="1">
      <alignment horizontal="right"/>
    </xf>
    <xf numFmtId="0" fontId="50" fillId="33" borderId="0" xfId="0" applyFont="1" applyFill="1" applyAlignment="1">
      <alignment horizontal="center" wrapText="1"/>
    </xf>
    <xf numFmtId="0" fontId="34" fillId="33" borderId="0" xfId="0" applyFont="1" applyFill="1" applyAlignment="1">
      <alignment horizontal="left" vertical="center" wrapText="1"/>
    </xf>
    <xf numFmtId="0" fontId="14" fillId="33" borderId="0" xfId="0" applyFont="1" applyFill="1" applyAlignment="1">
      <alignment horizontal="left" wrapText="1"/>
    </xf>
    <xf numFmtId="0" fontId="33" fillId="33" borderId="0" xfId="0" applyFont="1" applyFill="1" applyAlignment="1">
      <alignment horizontal="left" wrapText="1"/>
    </xf>
    <xf numFmtId="3" fontId="61" fillId="37" borderId="17" xfId="45" applyNumberFormat="1" applyFont="1" applyFill="1" applyBorder="1"/>
    <xf numFmtId="3" fontId="30" fillId="37" borderId="17" xfId="45" applyNumberFormat="1" applyFont="1" applyFill="1" applyBorder="1" applyAlignment="1">
      <alignment horizontal="right"/>
    </xf>
    <xf numFmtId="164" fontId="62" fillId="0" borderId="0" xfId="0" applyNumberFormat="1" applyFont="1"/>
    <xf numFmtId="0" fontId="34" fillId="33" borderId="0" xfId="0" applyFont="1" applyFill="1" applyBorder="1" applyAlignment="1">
      <alignment vertical="center" wrapText="1"/>
    </xf>
    <xf numFmtId="0" fontId="34" fillId="33" borderId="0" xfId="0" applyFont="1" applyFill="1" applyAlignment="1">
      <alignment horizontal="left" vertical="center"/>
    </xf>
    <xf numFmtId="0" fontId="54" fillId="33" borderId="0" xfId="0" applyFont="1" applyFill="1" applyBorder="1" applyAlignment="1">
      <alignment vertical="center" wrapText="1"/>
    </xf>
    <xf numFmtId="0" fontId="34" fillId="33" borderId="0" xfId="0" applyFont="1" applyFill="1" applyBorder="1" applyAlignment="1">
      <alignment vertical="top"/>
    </xf>
    <xf numFmtId="165" fontId="35" fillId="33" borderId="0" xfId="0" applyNumberFormat="1" applyFont="1" applyFill="1" applyBorder="1" applyAlignment="1"/>
    <xf numFmtId="0" fontId="39" fillId="33" borderId="0" xfId="0" applyFont="1" applyFill="1" applyBorder="1" applyAlignment="1"/>
    <xf numFmtId="0" fontId="39" fillId="33" borderId="0" xfId="0" applyFont="1" applyFill="1"/>
    <xf numFmtId="0" fontId="41" fillId="33" borderId="0" xfId="0" applyFont="1" applyFill="1"/>
    <xf numFmtId="0" fontId="41" fillId="33" borderId="0" xfId="0" applyFont="1" applyFill="1" applyAlignment="1">
      <alignment horizontal="center"/>
    </xf>
    <xf numFmtId="0" fontId="39" fillId="33" borderId="0" xfId="0" applyFont="1" applyFill="1" applyBorder="1" applyAlignment="1">
      <alignment vertical="top"/>
    </xf>
    <xf numFmtId="0" fontId="41" fillId="33" borderId="0" xfId="0" applyFont="1" applyFill="1" applyBorder="1"/>
    <xf numFmtId="0" fontId="64" fillId="34" borderId="21" xfId="0" applyFont="1" applyFill="1" applyBorder="1" applyAlignment="1">
      <alignment horizontal="right" wrapText="1"/>
    </xf>
    <xf numFmtId="166" fontId="63" fillId="33" borderId="0" xfId="0" applyNumberFormat="1" applyFont="1" applyFill="1"/>
    <xf numFmtId="0" fontId="34" fillId="33" borderId="0" xfId="0" applyFont="1" applyFill="1" applyBorder="1" applyAlignment="1">
      <alignment horizontal="left" vertical="top" wrapText="1"/>
    </xf>
    <xf numFmtId="0" fontId="53" fillId="33" borderId="0" xfId="0" applyFont="1" applyFill="1" applyBorder="1" applyAlignment="1">
      <alignment horizontal="left" wrapText="1"/>
    </xf>
    <xf numFmtId="0" fontId="53" fillId="33" borderId="0" xfId="0" applyFont="1" applyFill="1" applyBorder="1" applyAlignment="1">
      <alignment horizontal="left"/>
    </xf>
    <xf numFmtId="0" fontId="34" fillId="33" borderId="0" xfId="0" applyFont="1" applyFill="1" applyBorder="1" applyAlignment="1">
      <alignment horizontal="left" vertical="center" wrapText="1"/>
    </xf>
    <xf numFmtId="0" fontId="39" fillId="33" borderId="0" xfId="0" applyFont="1" applyFill="1" applyAlignment="1">
      <alignment horizontal="left" vertical="top" wrapText="1"/>
    </xf>
    <xf numFmtId="0" fontId="34" fillId="33" borderId="0" xfId="0" applyFont="1" applyFill="1" applyBorder="1" applyAlignment="1">
      <alignment horizontal="left" wrapText="1"/>
    </xf>
    <xf numFmtId="0" fontId="34" fillId="33" borderId="0" xfId="0" applyFont="1" applyFill="1" applyBorder="1" applyAlignment="1">
      <alignment horizontal="center" vertical="center" wrapText="1"/>
    </xf>
    <xf numFmtId="0" fontId="63" fillId="33" borderId="0" xfId="47" applyFont="1" applyFill="1" applyAlignment="1">
      <alignment horizontal="left"/>
    </xf>
    <xf numFmtId="0" fontId="65" fillId="33" borderId="0" xfId="47" applyFont="1" applyFill="1" applyAlignment="1">
      <alignment horizontal="left" wrapText="1"/>
    </xf>
    <xf numFmtId="0" fontId="63" fillId="33" borderId="0" xfId="47" applyFont="1" applyFill="1" applyAlignment="1">
      <alignment horizontal="left" vertical="center"/>
    </xf>
    <xf numFmtId="0" fontId="63" fillId="33" borderId="0" xfId="47" applyFont="1" applyFill="1"/>
    <xf numFmtId="0" fontId="39" fillId="33" borderId="0" xfId="0" applyFont="1" applyFill="1" applyAlignment="1">
      <alignment horizontal="left" vertical="top"/>
    </xf>
    <xf numFmtId="0" fontId="35" fillId="33" borderId="0" xfId="0" applyFont="1" applyFill="1" applyBorder="1" applyAlignment="1">
      <alignment vertical="center"/>
    </xf>
    <xf numFmtId="0" fontId="35" fillId="33" borderId="12" xfId="0" applyFont="1" applyFill="1" applyBorder="1" applyAlignment="1">
      <alignment horizontal="right" vertical="center" wrapText="1"/>
    </xf>
    <xf numFmtId="3" fontId="38" fillId="33" borderId="12" xfId="0" applyNumberFormat="1" applyFont="1" applyFill="1" applyBorder="1" applyAlignment="1">
      <alignment vertical="center"/>
    </xf>
    <xf numFmtId="0" fontId="40" fillId="33" borderId="0" xfId="0" applyFont="1" applyFill="1" applyBorder="1" applyAlignment="1"/>
    <xf numFmtId="3" fontId="33" fillId="33" borderId="0" xfId="0" applyNumberFormat="1" applyFont="1" applyFill="1" applyBorder="1" applyAlignment="1">
      <alignment horizontal="left" wrapText="1"/>
    </xf>
    <xf numFmtId="3" fontId="33" fillId="33" borderId="0" xfId="0" applyNumberFormat="1" applyFont="1" applyFill="1" applyBorder="1" applyAlignment="1">
      <alignment horizontal="right" wrapText="1"/>
    </xf>
    <xf numFmtId="3" fontId="33" fillId="33" borderId="0" xfId="0" applyNumberFormat="1" applyFont="1" applyFill="1" applyBorder="1" applyAlignment="1">
      <alignment wrapText="1"/>
    </xf>
    <xf numFmtId="0" fontId="38" fillId="33" borderId="0" xfId="48" applyFont="1" applyFill="1"/>
    <xf numFmtId="0" fontId="35" fillId="33" borderId="0" xfId="48" applyFont="1" applyFill="1" applyAlignment="1">
      <alignment vertical="center" wrapText="1"/>
    </xf>
    <xf numFmtId="0" fontId="4" fillId="33" borderId="0" xfId="48" applyFill="1"/>
    <xf numFmtId="0" fontId="35" fillId="33" borderId="0" xfId="48" applyFont="1" applyFill="1" applyAlignment="1">
      <alignment horizontal="left" wrapText="1"/>
    </xf>
    <xf numFmtId="0" fontId="72" fillId="33" borderId="0" xfId="48" applyFont="1" applyFill="1"/>
    <xf numFmtId="0" fontId="35" fillId="33" borderId="0" xfId="0" applyFont="1" applyFill="1" applyBorder="1" applyAlignment="1">
      <alignment horizontal="left" vertical="center"/>
    </xf>
    <xf numFmtId="0" fontId="73" fillId="33" borderId="0" xfId="0" applyFont="1" applyFill="1"/>
    <xf numFmtId="0" fontId="74" fillId="33" borderId="1" xfId="0" applyFont="1" applyFill="1" applyBorder="1" applyAlignment="1">
      <alignment vertical="center"/>
    </xf>
    <xf numFmtId="0" fontId="33" fillId="33" borderId="0" xfId="0" applyFont="1" applyFill="1" applyAlignment="1">
      <alignment horizontal="left" vertical="center"/>
    </xf>
    <xf numFmtId="0" fontId="75" fillId="0" borderId="0" xfId="0" applyFont="1" applyAlignment="1">
      <alignment horizontal="left"/>
    </xf>
    <xf numFmtId="0" fontId="76" fillId="33" borderId="0" xfId="0" applyFont="1" applyFill="1"/>
    <xf numFmtId="0" fontId="38" fillId="33" borderId="0" xfId="0" applyFont="1" applyFill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76" fillId="33" borderId="0" xfId="0" applyFont="1" applyFill="1" applyAlignment="1">
      <alignment vertical="center"/>
    </xf>
    <xf numFmtId="0" fontId="76" fillId="33" borderId="0" xfId="0" applyFont="1" applyFill="1" applyAlignment="1">
      <alignment vertical="top"/>
    </xf>
    <xf numFmtId="0" fontId="77" fillId="33" borderId="0" xfId="43" applyFont="1" applyFill="1" applyAlignment="1">
      <alignment horizontal="right"/>
    </xf>
    <xf numFmtId="0" fontId="58" fillId="33" borderId="0" xfId="0" applyFont="1" applyFill="1" applyAlignment="1">
      <alignment horizontal="right" vertical="top"/>
    </xf>
    <xf numFmtId="0" fontId="35" fillId="33" borderId="0" xfId="0" applyFont="1" applyFill="1" applyAlignment="1">
      <alignment vertical="center"/>
    </xf>
    <xf numFmtId="0" fontId="35" fillId="33" borderId="13" xfId="0" applyFont="1" applyFill="1" applyBorder="1" applyAlignment="1">
      <alignment horizontal="right" vertical="center" wrapText="1"/>
    </xf>
    <xf numFmtId="3" fontId="38" fillId="33" borderId="13" xfId="0" applyNumberFormat="1" applyFont="1" applyFill="1" applyBorder="1" applyAlignment="1">
      <alignment vertical="center"/>
    </xf>
    <xf numFmtId="3" fontId="38" fillId="33" borderId="13" xfId="0" applyNumberFormat="1" applyFont="1" applyFill="1" applyBorder="1" applyAlignment="1">
      <alignment horizontal="right" vertical="center" wrapText="1"/>
    </xf>
    <xf numFmtId="3" fontId="38" fillId="33" borderId="13" xfId="0" applyNumberFormat="1" applyFont="1" applyFill="1" applyBorder="1" applyAlignment="1">
      <alignment vertical="center" wrapText="1"/>
    </xf>
    <xf numFmtId="0" fontId="35" fillId="33" borderId="0" xfId="0" applyFont="1" applyFill="1" applyBorder="1" applyAlignment="1">
      <alignment vertical="center" wrapText="1"/>
    </xf>
    <xf numFmtId="0" fontId="38" fillId="33" borderId="0" xfId="0" applyFont="1" applyFill="1" applyAlignment="1">
      <alignment vertical="center" wrapText="1"/>
    </xf>
    <xf numFmtId="3" fontId="38" fillId="33" borderId="14" xfId="0" applyNumberFormat="1" applyFont="1" applyFill="1" applyBorder="1" applyAlignment="1">
      <alignment horizontal="left" vertical="center"/>
    </xf>
    <xf numFmtId="3" fontId="38" fillId="33" borderId="15" xfId="0" applyNumberFormat="1" applyFont="1" applyFill="1" applyBorder="1" applyAlignment="1">
      <alignment horizontal="left" vertical="center"/>
    </xf>
    <xf numFmtId="165" fontId="38" fillId="33" borderId="13" xfId="0" applyNumberFormat="1" applyFont="1" applyFill="1" applyBorder="1" applyAlignment="1">
      <alignment vertical="center"/>
    </xf>
    <xf numFmtId="0" fontId="38" fillId="33" borderId="16" xfId="0" applyFont="1" applyFill="1" applyBorder="1" applyAlignment="1">
      <alignment vertical="center"/>
    </xf>
    <xf numFmtId="3" fontId="38" fillId="37" borderId="14" xfId="0" applyNumberFormat="1" applyFont="1" applyFill="1" applyBorder="1" applyAlignment="1">
      <alignment horizontal="left" vertical="center"/>
    </xf>
    <xf numFmtId="0" fontId="38" fillId="37" borderId="15" xfId="0" applyFont="1" applyFill="1" applyBorder="1" applyAlignment="1">
      <alignment vertical="center"/>
    </xf>
    <xf numFmtId="165" fontId="38" fillId="37" borderId="13" xfId="0" applyNumberFormat="1" applyFont="1" applyFill="1" applyBorder="1" applyAlignment="1">
      <alignment vertical="center"/>
    </xf>
    <xf numFmtId="0" fontId="38" fillId="33" borderId="23" xfId="0" applyFont="1" applyFill="1" applyBorder="1"/>
    <xf numFmtId="0" fontId="78" fillId="33" borderId="1" xfId="0" applyFont="1" applyFill="1" applyBorder="1" applyAlignment="1">
      <alignment vertical="center"/>
    </xf>
    <xf numFmtId="0" fontId="34" fillId="33" borderId="0" xfId="0" applyFont="1" applyFill="1" applyBorder="1" applyAlignment="1">
      <alignment horizontal="left" vertical="top"/>
    </xf>
    <xf numFmtId="0" fontId="0" fillId="33" borderId="0" xfId="0" applyFill="1" applyAlignment="1">
      <alignment vertical="center"/>
    </xf>
    <xf numFmtId="0" fontId="3" fillId="0" borderId="0" xfId="45" applyFont="1" applyAlignment="1">
      <alignment horizontal="right"/>
    </xf>
    <xf numFmtId="0" fontId="63" fillId="37" borderId="0" xfId="0" applyFont="1" applyFill="1" applyAlignment="1">
      <alignment vertical="center"/>
    </xf>
    <xf numFmtId="0" fontId="63" fillId="37" borderId="0" xfId="0" applyFont="1" applyFill="1"/>
    <xf numFmtId="0" fontId="64" fillId="34" borderId="27" xfId="0" applyFont="1" applyFill="1" applyBorder="1" applyAlignment="1">
      <alignment horizontal="right"/>
    </xf>
    <xf numFmtId="0" fontId="64" fillId="34" borderId="0" xfId="0" applyFont="1" applyFill="1" applyAlignment="1">
      <alignment horizontal="right"/>
    </xf>
    <xf numFmtId="0" fontId="64" fillId="34" borderId="0" xfId="0" applyFont="1" applyFill="1" applyAlignment="1">
      <alignment horizontal="right" wrapText="1"/>
    </xf>
    <xf numFmtId="3" fontId="63" fillId="33" borderId="27" xfId="0" applyNumberFormat="1" applyFont="1" applyFill="1" applyBorder="1" applyAlignment="1">
      <alignment horizontal="right"/>
    </xf>
    <xf numFmtId="3" fontId="63" fillId="33" borderId="0" xfId="0" applyNumberFormat="1" applyFont="1" applyFill="1" applyAlignment="1">
      <alignment horizontal="right"/>
    </xf>
    <xf numFmtId="3" fontId="63" fillId="33" borderId="21" xfId="0" applyNumberFormat="1" applyFont="1" applyFill="1" applyBorder="1" applyAlignment="1">
      <alignment horizontal="right"/>
    </xf>
    <xf numFmtId="3" fontId="64" fillId="33" borderId="0" xfId="0" applyNumberFormat="1" applyFont="1" applyFill="1" applyAlignment="1">
      <alignment horizontal="right"/>
    </xf>
    <xf numFmtId="166" fontId="64" fillId="37" borderId="0" xfId="0" applyNumberFormat="1" applyFont="1" applyFill="1"/>
    <xf numFmtId="3" fontId="64" fillId="37" borderId="0" xfId="0" applyNumberFormat="1" applyFont="1" applyFill="1"/>
    <xf numFmtId="0" fontId="0" fillId="0" borderId="0" xfId="0" applyAlignment="1">
      <alignment vertical="top"/>
    </xf>
    <xf numFmtId="0" fontId="15" fillId="0" borderId="0" xfId="0" applyFont="1" applyAlignment="1">
      <alignment vertical="top"/>
    </xf>
    <xf numFmtId="0" fontId="6" fillId="0" borderId="0" xfId="45" applyAlignment="1">
      <alignment vertical="top"/>
    </xf>
    <xf numFmtId="0" fontId="30" fillId="37" borderId="1" xfId="45" applyFont="1" applyFill="1" applyBorder="1"/>
    <xf numFmtId="1" fontId="30" fillId="37" borderId="28" xfId="45" applyNumberFormat="1" applyFont="1" applyFill="1" applyBorder="1" applyAlignment="1">
      <alignment horizontal="right"/>
    </xf>
    <xf numFmtId="1" fontId="30" fillId="37" borderId="1" xfId="45" applyNumberFormat="1" applyFont="1" applyFill="1" applyBorder="1" applyAlignment="1">
      <alignment horizontal="right"/>
    </xf>
    <xf numFmtId="3" fontId="6" fillId="0" borderId="27" xfId="45" applyNumberFormat="1" applyBorder="1" applyAlignment="1">
      <alignment horizontal="right"/>
    </xf>
    <xf numFmtId="3" fontId="6" fillId="0" borderId="0" xfId="45" applyNumberFormat="1" applyAlignment="1">
      <alignment horizontal="right"/>
    </xf>
    <xf numFmtId="3" fontId="6" fillId="0" borderId="0" xfId="45" applyNumberFormat="1"/>
    <xf numFmtId="3" fontId="6" fillId="0" borderId="27" xfId="45" applyNumberFormat="1" applyBorder="1"/>
    <xf numFmtId="3" fontId="2" fillId="0" borderId="27" xfId="45" applyNumberFormat="1" applyFont="1" applyBorder="1" applyAlignment="1">
      <alignment horizontal="right"/>
    </xf>
    <xf numFmtId="3" fontId="2" fillId="0" borderId="0" xfId="45" applyNumberFormat="1" applyFont="1" applyAlignment="1">
      <alignment horizontal="right"/>
    </xf>
    <xf numFmtId="0" fontId="80" fillId="36" borderId="17" xfId="0" applyFont="1" applyFill="1" applyBorder="1"/>
    <xf numFmtId="3" fontId="30" fillId="36" borderId="26" xfId="45" applyNumberFormat="1" applyFont="1" applyFill="1" applyBorder="1"/>
    <xf numFmtId="0" fontId="59" fillId="37" borderId="1" xfId="0" applyFont="1" applyFill="1" applyBorder="1"/>
    <xf numFmtId="0" fontId="81" fillId="36" borderId="28" xfId="45" applyFont="1" applyFill="1" applyBorder="1" applyAlignment="1">
      <alignment horizontal="right"/>
    </xf>
    <xf numFmtId="0" fontId="81" fillId="36" borderId="1" xfId="45" applyFont="1" applyFill="1" applyBorder="1" applyAlignment="1">
      <alignment horizontal="right"/>
    </xf>
    <xf numFmtId="0" fontId="82" fillId="33" borderId="0" xfId="0" applyFont="1" applyFill="1"/>
    <xf numFmtId="164" fontId="82" fillId="33" borderId="27" xfId="0" applyNumberFormat="1" applyFont="1" applyFill="1" applyBorder="1" applyAlignment="1">
      <alignment horizontal="right"/>
    </xf>
    <xf numFmtId="164" fontId="82" fillId="33" borderId="0" xfId="0" applyNumberFormat="1" applyFont="1" applyFill="1" applyAlignment="1">
      <alignment horizontal="right"/>
    </xf>
    <xf numFmtId="0" fontId="83" fillId="33" borderId="0" xfId="0" applyFont="1" applyFill="1"/>
    <xf numFmtId="0" fontId="84" fillId="37" borderId="17" xfId="0" applyFont="1" applyFill="1" applyBorder="1"/>
    <xf numFmtId="164" fontId="59" fillId="37" borderId="26" xfId="0" applyNumberFormat="1" applyFont="1" applyFill="1" applyBorder="1" applyAlignment="1">
      <alignment horizontal="right"/>
    </xf>
    <xf numFmtId="0" fontId="59" fillId="37" borderId="1" xfId="45" applyFont="1" applyFill="1" applyBorder="1"/>
    <xf numFmtId="0" fontId="82" fillId="33" borderId="0" xfId="45" applyFont="1" applyFill="1"/>
    <xf numFmtId="164" fontId="82" fillId="33" borderId="27" xfId="45" applyNumberFormat="1" applyFont="1" applyFill="1" applyBorder="1" applyAlignment="1">
      <alignment horizontal="right"/>
    </xf>
    <xf numFmtId="164" fontId="82" fillId="33" borderId="0" xfId="45" applyNumberFormat="1" applyFont="1" applyFill="1" applyAlignment="1">
      <alignment horizontal="right"/>
    </xf>
    <xf numFmtId="0" fontId="83" fillId="33" borderId="0" xfId="45" applyFont="1" applyFill="1"/>
    <xf numFmtId="0" fontId="84" fillId="37" borderId="17" xfId="45" applyFont="1" applyFill="1" applyBorder="1"/>
    <xf numFmtId="164" fontId="59" fillId="37" borderId="26" xfId="45" applyNumberFormat="1" applyFont="1" applyFill="1" applyBorder="1" applyAlignment="1">
      <alignment horizontal="right"/>
    </xf>
    <xf numFmtId="0" fontId="30" fillId="37" borderId="29" xfId="45" applyFont="1" applyFill="1" applyBorder="1" applyAlignment="1">
      <alignment vertical="center"/>
    </xf>
    <xf numFmtId="0" fontId="30" fillId="37" borderId="27" xfId="45" applyFont="1" applyFill="1" applyBorder="1" applyAlignment="1">
      <alignment vertical="center"/>
    </xf>
    <xf numFmtId="0" fontId="30" fillId="37" borderId="0" xfId="45" applyFont="1" applyFill="1" applyAlignment="1">
      <alignment vertical="center"/>
    </xf>
    <xf numFmtId="2" fontId="6" fillId="33" borderId="0" xfId="45" applyNumberFormat="1" applyFill="1"/>
    <xf numFmtId="164" fontId="6" fillId="33" borderId="22" xfId="45" applyNumberFormat="1" applyFill="1" applyBorder="1" applyAlignment="1">
      <alignment horizontal="right"/>
    </xf>
    <xf numFmtId="164" fontId="6" fillId="33" borderId="23" xfId="45" applyNumberFormat="1" applyFill="1" applyBorder="1" applyAlignment="1">
      <alignment horizontal="right"/>
    </xf>
    <xf numFmtId="164" fontId="6" fillId="33" borderId="27" xfId="45" applyNumberFormat="1" applyFill="1" applyBorder="1" applyAlignment="1">
      <alignment horizontal="right"/>
    </xf>
    <xf numFmtId="164" fontId="6" fillId="33" borderId="0" xfId="45" applyNumberFormat="1" applyFill="1" applyAlignment="1">
      <alignment horizontal="right"/>
    </xf>
    <xf numFmtId="164" fontId="6" fillId="33" borderId="27" xfId="45" applyNumberFormat="1" applyFill="1" applyBorder="1"/>
    <xf numFmtId="164" fontId="6" fillId="33" borderId="0" xfId="45" applyNumberFormat="1" applyFill="1"/>
    <xf numFmtId="164" fontId="30" fillId="37" borderId="26" xfId="45" applyNumberFormat="1" applyFont="1" applyFill="1" applyBorder="1" applyAlignment="1">
      <alignment horizontal="right"/>
    </xf>
    <xf numFmtId="164" fontId="30" fillId="37" borderId="17" xfId="45" applyNumberFormat="1" applyFont="1" applyFill="1" applyBorder="1" applyAlignment="1">
      <alignment horizontal="right"/>
    </xf>
    <xf numFmtId="3" fontId="30" fillId="36" borderId="1" xfId="45" applyNumberFormat="1" applyFont="1" applyFill="1" applyBorder="1"/>
    <xf numFmtId="1" fontId="30" fillId="36" borderId="28" xfId="45" applyNumberFormat="1" applyFont="1" applyFill="1" applyBorder="1" applyAlignment="1">
      <alignment horizontal="right"/>
    </xf>
    <xf numFmtId="1" fontId="30" fillId="36" borderId="1" xfId="45" applyNumberFormat="1" applyFont="1" applyFill="1" applyBorder="1"/>
    <xf numFmtId="3" fontId="6" fillId="33" borderId="0" xfId="45" applyNumberFormat="1" applyFill="1"/>
    <xf numFmtId="3" fontId="6" fillId="33" borderId="27" xfId="45" applyNumberFormat="1" applyFill="1" applyBorder="1" applyAlignment="1">
      <alignment horizontal="right"/>
    </xf>
    <xf numFmtId="3" fontId="6" fillId="33" borderId="0" xfId="45" applyNumberFormat="1" applyFill="1" applyAlignment="1">
      <alignment horizontal="right"/>
    </xf>
    <xf numFmtId="3" fontId="6" fillId="33" borderId="27" xfId="45" applyNumberFormat="1" applyFill="1" applyBorder="1"/>
    <xf numFmtId="3" fontId="30" fillId="37" borderId="26" xfId="45" applyNumberFormat="1" applyFont="1" applyFill="1" applyBorder="1" applyAlignment="1">
      <alignment horizontal="right"/>
    </xf>
    <xf numFmtId="0" fontId="30" fillId="36" borderId="1" xfId="45" applyFont="1" applyFill="1" applyBorder="1"/>
    <xf numFmtId="0" fontId="30" fillId="36" borderId="28" xfId="45" applyFont="1" applyFill="1" applyBorder="1" applyAlignment="1">
      <alignment horizontal="right"/>
    </xf>
    <xf numFmtId="0" fontId="6" fillId="33" borderId="0" xfId="45" applyFill="1"/>
    <xf numFmtId="0" fontId="30" fillId="37" borderId="17" xfId="45" applyFont="1" applyFill="1" applyBorder="1"/>
    <xf numFmtId="0" fontId="38" fillId="37" borderId="0" xfId="0" applyFont="1" applyFill="1" applyAlignment="1">
      <alignment horizontal="right" wrapText="1"/>
    </xf>
    <xf numFmtId="0" fontId="35" fillId="37" borderId="0" xfId="0" applyFont="1" applyFill="1" applyAlignment="1">
      <alignment horizontal="right" wrapText="1"/>
    </xf>
    <xf numFmtId="164" fontId="38" fillId="33" borderId="0" xfId="0" applyNumberFormat="1" applyFont="1" applyFill="1"/>
    <xf numFmtId="0" fontId="35" fillId="37" borderId="0" xfId="0" applyFont="1" applyFill="1"/>
    <xf numFmtId="164" fontId="35" fillId="37" borderId="0" xfId="0" applyNumberFormat="1" applyFont="1" applyFill="1"/>
    <xf numFmtId="167" fontId="85" fillId="37" borderId="0" xfId="0" applyNumberFormat="1" applyFont="1" applyFill="1" applyAlignment="1">
      <alignment horizontal="right"/>
    </xf>
    <xf numFmtId="0" fontId="60" fillId="37" borderId="0" xfId="45" applyFont="1" applyFill="1"/>
    <xf numFmtId="0" fontId="60" fillId="37" borderId="27" xfId="45" applyFont="1" applyFill="1" applyBorder="1" applyAlignment="1">
      <alignment horizontal="right"/>
    </xf>
    <xf numFmtId="0" fontId="60" fillId="37" borderId="0" xfId="45" applyFont="1" applyFill="1" applyAlignment="1">
      <alignment horizontal="right"/>
    </xf>
    <xf numFmtId="164" fontId="86" fillId="33" borderId="0" xfId="45" applyNumberFormat="1" applyFont="1" applyFill="1"/>
    <xf numFmtId="164" fontId="86" fillId="33" borderId="27" xfId="45" applyNumberFormat="1" applyFont="1" applyFill="1" applyBorder="1"/>
    <xf numFmtId="0" fontId="33" fillId="0" borderId="0" xfId="0" applyFont="1"/>
    <xf numFmtId="0" fontId="86" fillId="33" borderId="0" xfId="45" applyFont="1" applyFill="1"/>
    <xf numFmtId="0" fontId="34" fillId="36" borderId="17" xfId="45" applyFont="1" applyFill="1" applyBorder="1"/>
    <xf numFmtId="164" fontId="60" fillId="36" borderId="26" xfId="45" applyNumberFormat="1" applyFont="1" applyFill="1" applyBorder="1" applyAlignment="1">
      <alignment horizontal="right"/>
    </xf>
    <xf numFmtId="0" fontId="10" fillId="0" borderId="0" xfId="46" applyFont="1" applyAlignment="1">
      <alignment horizontal="left" wrapText="1"/>
    </xf>
    <xf numFmtId="0" fontId="9" fillId="33" borderId="0" xfId="45" applyFont="1" applyFill="1"/>
    <xf numFmtId="1" fontId="6" fillId="33" borderId="0" xfId="45" applyNumberFormat="1" applyFill="1" applyAlignment="1">
      <alignment horizontal="right"/>
    </xf>
    <xf numFmtId="0" fontId="10" fillId="33" borderId="0" xfId="45" applyFont="1" applyFill="1" applyAlignment="1">
      <alignment horizontal="left" wrapText="1"/>
    </xf>
    <xf numFmtId="3" fontId="87" fillId="33" borderId="0" xfId="0" applyNumberFormat="1" applyFont="1" applyFill="1" applyAlignment="1"/>
    <xf numFmtId="0" fontId="10" fillId="0" borderId="0" xfId="46" applyFont="1" applyAlignment="1">
      <alignment vertical="center" wrapText="1"/>
    </xf>
    <xf numFmtId="0" fontId="10" fillId="33" borderId="0" xfId="45" applyFont="1" applyFill="1" applyAlignment="1">
      <alignment vertical="center"/>
    </xf>
    <xf numFmtId="165" fontId="61" fillId="37" borderId="17" xfId="45" applyNumberFormat="1" applyFont="1" applyFill="1" applyBorder="1" applyAlignment="1">
      <alignment horizontal="left"/>
    </xf>
    <xf numFmtId="2" fontId="30" fillId="37" borderId="17" xfId="45" applyNumberFormat="1" applyFont="1" applyFill="1" applyBorder="1"/>
    <xf numFmtId="3" fontId="61" fillId="37" borderId="17" xfId="45" applyNumberFormat="1" applyFont="1" applyFill="1" applyBorder="1" applyAlignment="1">
      <alignment horizontal="right"/>
    </xf>
    <xf numFmtId="0" fontId="30" fillId="37" borderId="28" xfId="45" applyFont="1" applyFill="1" applyBorder="1" applyAlignment="1">
      <alignment horizontal="right"/>
    </xf>
    <xf numFmtId="0" fontId="30" fillId="37" borderId="1" xfId="45" applyFont="1" applyFill="1" applyBorder="1" applyAlignment="1">
      <alignment horizontal="right"/>
    </xf>
    <xf numFmtId="0" fontId="1" fillId="33" borderId="0" xfId="45" applyFont="1" applyFill="1"/>
    <xf numFmtId="164" fontId="1" fillId="33" borderId="27" xfId="45" applyNumberFormat="1" applyFont="1" applyFill="1" applyBorder="1" applyAlignment="1">
      <alignment horizontal="right"/>
    </xf>
    <xf numFmtId="164" fontId="1" fillId="33" borderId="0" xfId="45" applyNumberFormat="1" applyFont="1" applyFill="1" applyAlignment="1">
      <alignment horizontal="right"/>
    </xf>
    <xf numFmtId="0" fontId="38" fillId="33" borderId="0" xfId="45" applyFont="1" applyFill="1"/>
    <xf numFmtId="164" fontId="61" fillId="37" borderId="26" xfId="45" applyNumberFormat="1" applyFont="1" applyFill="1" applyBorder="1" applyAlignment="1">
      <alignment horizontal="right"/>
    </xf>
    <xf numFmtId="164" fontId="61" fillId="37" borderId="17" xfId="45" applyNumberFormat="1" applyFont="1" applyFill="1" applyBorder="1" applyAlignment="1">
      <alignment horizontal="right"/>
    </xf>
    <xf numFmtId="164" fontId="1" fillId="33" borderId="27" xfId="45" applyNumberFormat="1" applyFont="1" applyFill="1" applyBorder="1" applyAlignment="1"/>
    <xf numFmtId="164" fontId="1" fillId="33" borderId="0" xfId="45" applyNumberFormat="1" applyFont="1" applyFill="1" applyAlignment="1"/>
    <xf numFmtId="0" fontId="88" fillId="33" borderId="0" xfId="45" applyFont="1" applyFill="1"/>
    <xf numFmtId="0" fontId="35" fillId="33" borderId="0" xfId="0" applyFont="1" applyFill="1" applyBorder="1" applyAlignment="1">
      <alignment horizontal="left" vertical="center" wrapText="1"/>
    </xf>
    <xf numFmtId="0" fontId="40" fillId="33" borderId="0" xfId="0" applyFont="1" applyFill="1" applyAlignment="1">
      <alignment horizontal="left" vertical="center" wrapText="1"/>
    </xf>
    <xf numFmtId="0" fontId="89" fillId="33" borderId="0" xfId="0" applyFont="1" applyFill="1" applyAlignment="1">
      <alignment horizontal="center" vertical="center"/>
    </xf>
    <xf numFmtId="0" fontId="68" fillId="33" borderId="0" xfId="0" applyFont="1" applyFill="1" applyAlignment="1">
      <alignment horizontal="left" vertical="center"/>
    </xf>
    <xf numFmtId="0" fontId="90" fillId="33" borderId="0" xfId="0" applyFont="1" applyFill="1" applyAlignment="1">
      <alignment horizontal="left" vertical="center"/>
    </xf>
    <xf numFmtId="0" fontId="91" fillId="33" borderId="0" xfId="0" applyFont="1" applyFill="1"/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68" fillId="33" borderId="0" xfId="0" applyFont="1" applyFill="1" applyAlignment="1">
      <alignment vertical="center"/>
    </xf>
    <xf numFmtId="0" fontId="69" fillId="33" borderId="0" xfId="47" applyFont="1" applyFill="1" applyBorder="1" applyAlignment="1">
      <alignment horizontal="center" vertical="center"/>
    </xf>
    <xf numFmtId="0" fontId="55" fillId="33" borderId="0" xfId="0" applyFont="1" applyFill="1" applyAlignment="1">
      <alignment horizontal="left"/>
    </xf>
    <xf numFmtId="0" fontId="92" fillId="33" borderId="0" xfId="0" applyFont="1" applyFill="1" applyAlignment="1">
      <alignment horizontal="left" vertical="center" wrapText="1"/>
    </xf>
    <xf numFmtId="0" fontId="68" fillId="33" borderId="14" xfId="0" applyFont="1" applyFill="1" applyBorder="1" applyAlignment="1">
      <alignment horizontal="center" vertical="center" wrapText="1"/>
    </xf>
    <xf numFmtId="0" fontId="68" fillId="33" borderId="16" xfId="0" applyFont="1" applyFill="1" applyBorder="1" applyAlignment="1">
      <alignment horizontal="center" vertical="center" wrapText="1"/>
    </xf>
    <xf numFmtId="3" fontId="58" fillId="33" borderId="14" xfId="0" applyNumberFormat="1" applyFont="1" applyFill="1" applyBorder="1" applyAlignment="1">
      <alignment horizontal="center" vertical="center"/>
    </xf>
    <xf numFmtId="3" fontId="58" fillId="33" borderId="16" xfId="0" applyNumberFormat="1" applyFont="1" applyFill="1" applyBorder="1" applyAlignment="1">
      <alignment horizontal="center" vertical="center"/>
    </xf>
    <xf numFmtId="3" fontId="58" fillId="33" borderId="22" xfId="0" applyNumberFormat="1" applyFont="1" applyFill="1" applyBorder="1" applyAlignment="1">
      <alignment horizontal="center" vertical="center"/>
    </xf>
    <xf numFmtId="3" fontId="58" fillId="33" borderId="23" xfId="0" applyNumberFormat="1" applyFont="1" applyFill="1" applyBorder="1" applyAlignment="1">
      <alignment horizontal="center" vertical="center"/>
    </xf>
    <xf numFmtId="3" fontId="69" fillId="34" borderId="14" xfId="47" applyNumberFormat="1" applyFont="1" applyFill="1" applyBorder="1" applyAlignment="1">
      <alignment horizontal="right" vertical="center"/>
    </xf>
    <xf numFmtId="3" fontId="69" fillId="34" borderId="16" xfId="47" applyNumberFormat="1" applyFont="1" applyFill="1" applyBorder="1" applyAlignment="1">
      <alignment horizontal="right" vertical="center"/>
    </xf>
    <xf numFmtId="3" fontId="58" fillId="33" borderId="22" xfId="0" applyNumberFormat="1" applyFont="1" applyFill="1" applyBorder="1" applyAlignment="1">
      <alignment horizontal="right" vertical="center"/>
    </xf>
    <xf numFmtId="3" fontId="58" fillId="33" borderId="24" xfId="0" applyNumberFormat="1" applyFont="1" applyFill="1" applyBorder="1" applyAlignment="1">
      <alignment horizontal="right" vertical="center"/>
    </xf>
    <xf numFmtId="0" fontId="73" fillId="33" borderId="0" xfId="0" applyFont="1" applyFill="1" applyBorder="1" applyAlignment="1">
      <alignment horizontal="left" wrapText="1"/>
    </xf>
    <xf numFmtId="0" fontId="79" fillId="38" borderId="31" xfId="0" applyFont="1" applyFill="1" applyBorder="1" applyAlignment="1">
      <alignment horizontal="center" vertical="center" wrapText="1"/>
    </xf>
    <xf numFmtId="0" fontId="79" fillId="38" borderId="32" xfId="0" applyFont="1" applyFill="1" applyBorder="1" applyAlignment="1">
      <alignment horizontal="center" vertical="center" wrapText="1"/>
    </xf>
    <xf numFmtId="0" fontId="79" fillId="38" borderId="33" xfId="0" applyFont="1" applyFill="1" applyBorder="1" applyAlignment="1">
      <alignment horizontal="center" vertical="center" wrapText="1"/>
    </xf>
    <xf numFmtId="3" fontId="58" fillId="33" borderId="14" xfId="0" applyNumberFormat="1" applyFont="1" applyFill="1" applyBorder="1" applyAlignment="1">
      <alignment horizontal="right" vertical="center"/>
    </xf>
    <xf numFmtId="3" fontId="58" fillId="33" borderId="16" xfId="0" applyNumberFormat="1" applyFont="1" applyFill="1" applyBorder="1" applyAlignment="1">
      <alignment horizontal="right" vertical="center"/>
    </xf>
    <xf numFmtId="0" fontId="35" fillId="33" borderId="0" xfId="0" applyFont="1" applyFill="1" applyBorder="1" applyAlignment="1">
      <alignment horizontal="left" wrapText="1"/>
    </xf>
    <xf numFmtId="0" fontId="40" fillId="33" borderId="0" xfId="0" applyFont="1" applyFill="1" applyBorder="1" applyAlignment="1">
      <alignment horizontal="left" vertical="top" wrapText="1"/>
    </xf>
    <xf numFmtId="0" fontId="35" fillId="33" borderId="0" xfId="0" applyFont="1" applyFill="1" applyBorder="1" applyAlignment="1">
      <alignment horizontal="left" vertical="center" wrapText="1"/>
    </xf>
    <xf numFmtId="3" fontId="38" fillId="33" borderId="15" xfId="0" applyNumberFormat="1" applyFont="1" applyFill="1" applyBorder="1" applyAlignment="1">
      <alignment horizontal="right" vertical="center" wrapText="1"/>
    </xf>
    <xf numFmtId="3" fontId="38" fillId="33" borderId="16" xfId="0" applyNumberFormat="1" applyFont="1" applyFill="1" applyBorder="1" applyAlignment="1">
      <alignment horizontal="right" vertical="center" wrapText="1"/>
    </xf>
    <xf numFmtId="3" fontId="38" fillId="33" borderId="22" xfId="0" applyNumberFormat="1" applyFont="1" applyFill="1" applyBorder="1" applyAlignment="1">
      <alignment horizontal="left" vertical="center" wrapText="1"/>
    </xf>
    <xf numFmtId="3" fontId="38" fillId="33" borderId="28" xfId="0" applyNumberFormat="1" applyFont="1" applyFill="1" applyBorder="1" applyAlignment="1">
      <alignment horizontal="left" vertical="center" wrapText="1"/>
    </xf>
    <xf numFmtId="3" fontId="38" fillId="33" borderId="15" xfId="0" applyNumberFormat="1" applyFont="1" applyFill="1" applyBorder="1" applyAlignment="1">
      <alignment horizontal="center" vertical="center"/>
    </xf>
    <xf numFmtId="3" fontId="38" fillId="33" borderId="16" xfId="0" applyNumberFormat="1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left" vertical="top" wrapText="1"/>
    </xf>
    <xf numFmtId="0" fontId="73" fillId="33" borderId="30" xfId="0" applyFont="1" applyFill="1" applyBorder="1" applyAlignment="1">
      <alignment horizontal="left" wrapText="1"/>
    </xf>
    <xf numFmtId="0" fontId="56" fillId="35" borderId="18" xfId="0" applyFont="1" applyFill="1" applyBorder="1" applyAlignment="1" applyProtection="1">
      <alignment horizontal="center" vertical="center"/>
      <protection locked="0"/>
    </xf>
    <xf numFmtId="0" fontId="56" fillId="35" borderId="19" xfId="0" applyFont="1" applyFill="1" applyBorder="1" applyAlignment="1" applyProtection="1">
      <alignment horizontal="center" vertical="center"/>
      <protection locked="0"/>
    </xf>
    <xf numFmtId="0" fontId="56" fillId="35" borderId="20" xfId="0" applyFont="1" applyFill="1" applyBorder="1" applyAlignment="1" applyProtection="1">
      <alignment horizontal="center" vertical="center"/>
      <protection locked="0"/>
    </xf>
    <xf numFmtId="0" fontId="69" fillId="34" borderId="14" xfId="47" applyFont="1" applyFill="1" applyBorder="1" applyAlignment="1">
      <alignment horizontal="left" vertical="center"/>
    </xf>
    <xf numFmtId="0" fontId="69" fillId="34" borderId="15" xfId="47" applyFont="1" applyFill="1" applyBorder="1" applyAlignment="1">
      <alignment horizontal="left" vertical="center"/>
    </xf>
    <xf numFmtId="0" fontId="69" fillId="34" borderId="16" xfId="47" applyFont="1" applyFill="1" applyBorder="1" applyAlignment="1">
      <alignment horizontal="left" vertical="center"/>
    </xf>
    <xf numFmtId="0" fontId="95" fillId="33" borderId="14" xfId="47" applyFont="1" applyFill="1" applyBorder="1" applyAlignment="1">
      <alignment horizontal="right" vertical="center"/>
    </xf>
    <xf numFmtId="0" fontId="95" fillId="33" borderId="15" xfId="47" applyFont="1" applyFill="1" applyBorder="1" applyAlignment="1">
      <alignment horizontal="right" vertical="center"/>
    </xf>
    <xf numFmtId="0" fontId="95" fillId="33" borderId="16" xfId="47" applyFont="1" applyFill="1" applyBorder="1" applyAlignment="1">
      <alignment horizontal="right" vertical="center"/>
    </xf>
    <xf numFmtId="0" fontId="70" fillId="33" borderId="14" xfId="47" applyFont="1" applyFill="1" applyBorder="1" applyAlignment="1">
      <alignment horizontal="right" vertical="center"/>
    </xf>
    <xf numFmtId="0" fontId="70" fillId="33" borderId="15" xfId="47" applyFont="1" applyFill="1" applyBorder="1" applyAlignment="1">
      <alignment horizontal="right" vertical="center"/>
    </xf>
    <xf numFmtId="0" fontId="70" fillId="33" borderId="16" xfId="47" applyFont="1" applyFill="1" applyBorder="1" applyAlignment="1">
      <alignment horizontal="right" vertical="center"/>
    </xf>
    <xf numFmtId="0" fontId="58" fillId="33" borderId="0" xfId="0" applyFont="1" applyFill="1" applyAlignment="1">
      <alignment horizontal="center" vertical="center"/>
    </xf>
    <xf numFmtId="0" fontId="58" fillId="33" borderId="21" xfId="0" applyFont="1" applyFill="1" applyBorder="1" applyAlignment="1">
      <alignment horizontal="center" vertical="center"/>
    </xf>
    <xf numFmtId="3" fontId="96" fillId="33" borderId="22" xfId="0" applyNumberFormat="1" applyFont="1" applyFill="1" applyBorder="1" applyAlignment="1">
      <alignment horizontal="right" vertical="center"/>
    </xf>
    <xf numFmtId="3" fontId="96" fillId="33" borderId="24" xfId="0" applyNumberFormat="1" applyFont="1" applyFill="1" applyBorder="1" applyAlignment="1">
      <alignment horizontal="right" vertical="center"/>
    </xf>
    <xf numFmtId="3" fontId="58" fillId="33" borderId="34" xfId="0" applyNumberFormat="1" applyFont="1" applyFill="1" applyBorder="1" applyAlignment="1">
      <alignment horizontal="right" vertical="center"/>
    </xf>
    <xf numFmtId="3" fontId="58" fillId="33" borderId="36" xfId="0" applyNumberFormat="1" applyFont="1" applyFill="1" applyBorder="1" applyAlignment="1">
      <alignment horizontal="right" vertical="center"/>
    </xf>
    <xf numFmtId="3" fontId="38" fillId="33" borderId="12" xfId="0" applyNumberFormat="1" applyFont="1" applyFill="1" applyBorder="1" applyAlignment="1">
      <alignment horizontal="left" vertical="center"/>
    </xf>
    <xf numFmtId="0" fontId="68" fillId="33" borderId="14" xfId="0" applyFont="1" applyFill="1" applyBorder="1" applyAlignment="1">
      <alignment horizontal="right" vertical="center" wrapText="1"/>
    </xf>
    <xf numFmtId="0" fontId="68" fillId="33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left" wrapText="1"/>
    </xf>
    <xf numFmtId="0" fontId="73" fillId="33" borderId="0" xfId="0" applyFont="1" applyFill="1" applyAlignment="1">
      <alignment horizontal="left" vertical="center" wrapText="1"/>
    </xf>
    <xf numFmtId="3" fontId="38" fillId="33" borderId="13" xfId="0" applyNumberFormat="1" applyFont="1" applyFill="1" applyBorder="1" applyAlignment="1">
      <alignment horizontal="left" vertical="center"/>
    </xf>
    <xf numFmtId="3" fontId="38" fillId="33" borderId="14" xfId="0" applyNumberFormat="1" applyFont="1" applyFill="1" applyBorder="1" applyAlignment="1">
      <alignment horizontal="left" vertical="center"/>
    </xf>
    <xf numFmtId="3" fontId="38" fillId="33" borderId="15" xfId="0" applyNumberFormat="1" applyFont="1" applyFill="1" applyBorder="1" applyAlignment="1">
      <alignment horizontal="left" vertical="center"/>
    </xf>
    <xf numFmtId="3" fontId="38" fillId="33" borderId="16" xfId="0" applyNumberFormat="1" applyFont="1" applyFill="1" applyBorder="1" applyAlignment="1">
      <alignment horizontal="left" vertical="center"/>
    </xf>
    <xf numFmtId="3" fontId="58" fillId="33" borderId="12" xfId="0" applyNumberFormat="1" applyFont="1" applyFill="1" applyBorder="1" applyAlignment="1">
      <alignment horizontal="left" vertical="center"/>
    </xf>
    <xf numFmtId="3" fontId="58" fillId="33" borderId="25" xfId="0" applyNumberFormat="1" applyFont="1" applyFill="1" applyBorder="1" applyAlignment="1">
      <alignment horizontal="left" vertical="center"/>
    </xf>
    <xf numFmtId="3" fontId="68" fillId="33" borderId="14" xfId="0" applyNumberFormat="1" applyFont="1" applyFill="1" applyBorder="1" applyAlignment="1">
      <alignment horizontal="left" vertical="center"/>
    </xf>
    <xf numFmtId="3" fontId="68" fillId="33" borderId="15" xfId="0" applyNumberFormat="1" applyFont="1" applyFill="1" applyBorder="1" applyAlignment="1">
      <alignment horizontal="left" vertical="center"/>
    </xf>
    <xf numFmtId="3" fontId="68" fillId="33" borderId="16" xfId="0" applyNumberFormat="1" applyFont="1" applyFill="1" applyBorder="1" applyAlignment="1">
      <alignment horizontal="left" vertical="center"/>
    </xf>
    <xf numFmtId="0" fontId="70" fillId="33" borderId="34" xfId="47" applyFont="1" applyFill="1" applyBorder="1" applyAlignment="1">
      <alignment horizontal="right" vertical="center"/>
    </xf>
    <xf numFmtId="0" fontId="70" fillId="33" borderId="35" xfId="47" applyFont="1" applyFill="1" applyBorder="1" applyAlignment="1">
      <alignment horizontal="right" vertical="center"/>
    </xf>
    <xf numFmtId="0" fontId="70" fillId="33" borderId="36" xfId="47" applyFont="1" applyFill="1" applyBorder="1" applyAlignment="1">
      <alignment horizontal="right" vertical="center"/>
    </xf>
    <xf numFmtId="0" fontId="95" fillId="33" borderId="22" xfId="47" applyFont="1" applyFill="1" applyBorder="1" applyAlignment="1">
      <alignment horizontal="right" vertical="center"/>
    </xf>
    <xf numFmtId="0" fontId="95" fillId="33" borderId="23" xfId="47" applyFont="1" applyFill="1" applyBorder="1" applyAlignment="1">
      <alignment horizontal="right" vertical="center"/>
    </xf>
    <xf numFmtId="0" fontId="95" fillId="33" borderId="24" xfId="47" applyFont="1" applyFill="1" applyBorder="1" applyAlignment="1">
      <alignment horizontal="right" vertical="center"/>
    </xf>
    <xf numFmtId="0" fontId="40" fillId="33" borderId="0" xfId="0" applyFont="1" applyFill="1" applyAlignment="1">
      <alignment horizontal="left" vertical="center" wrapText="1"/>
    </xf>
    <xf numFmtId="0" fontId="65" fillId="33" borderId="0" xfId="47" applyFont="1" applyFill="1" applyAlignment="1">
      <alignment horizontal="left" wrapText="1"/>
    </xf>
    <xf numFmtId="0" fontId="66" fillId="33" borderId="0" xfId="47" applyFont="1" applyFill="1" applyAlignment="1">
      <alignment horizontal="left"/>
    </xf>
    <xf numFmtId="0" fontId="64" fillId="37" borderId="27" xfId="0" applyFont="1" applyFill="1" applyBorder="1" applyAlignment="1">
      <alignment horizontal="center" vertical="center"/>
    </xf>
    <xf numFmtId="0" fontId="64" fillId="37" borderId="0" xfId="0" applyFont="1" applyFill="1" applyAlignment="1">
      <alignment horizontal="center" vertical="center"/>
    </xf>
    <xf numFmtId="0" fontId="64" fillId="37" borderId="21" xfId="0" applyFont="1" applyFill="1" applyBorder="1" applyAlignment="1">
      <alignment horizontal="center" vertical="center"/>
    </xf>
    <xf numFmtId="0" fontId="50" fillId="33" borderId="0" xfId="0" applyFont="1" applyFill="1" applyAlignment="1">
      <alignment horizontal="center" wrapText="1"/>
    </xf>
    <xf numFmtId="0" fontId="34" fillId="33" borderId="0" xfId="0" applyFont="1" applyFill="1" applyAlignment="1">
      <alignment horizontal="left" vertical="center" wrapText="1"/>
    </xf>
    <xf numFmtId="0" fontId="14" fillId="33" borderId="0" xfId="0" applyFont="1" applyFill="1" applyAlignment="1">
      <alignment horizontal="left" wrapText="1"/>
    </xf>
    <xf numFmtId="0" fontId="41" fillId="33" borderId="0" xfId="0" applyFont="1" applyFill="1" applyBorder="1" applyAlignment="1">
      <alignment horizontal="left" wrapText="1"/>
    </xf>
    <xf numFmtId="0" fontId="33" fillId="33" borderId="0" xfId="0" applyFont="1" applyFill="1" applyAlignment="1">
      <alignment horizontal="left" wrapText="1"/>
    </xf>
    <xf numFmtId="0" fontId="33" fillId="33" borderId="0" xfId="0" applyFont="1" applyFill="1" applyAlignment="1">
      <alignment horizontal="left" vertical="center" wrapText="1"/>
    </xf>
    <xf numFmtId="0" fontId="10" fillId="0" borderId="0" xfId="45" applyFont="1" applyAlignment="1">
      <alignment horizontal="left" wrapText="1"/>
    </xf>
    <xf numFmtId="0" fontId="10" fillId="0" borderId="0" xfId="45" applyFont="1" applyAlignment="1">
      <alignment horizontal="left" vertical="center" wrapText="1"/>
    </xf>
    <xf numFmtId="0" fontId="10" fillId="0" borderId="0" xfId="45" applyFont="1" applyAlignment="1">
      <alignment horizontal="left" vertical="top" wrapText="1"/>
    </xf>
    <xf numFmtId="0" fontId="14" fillId="0" borderId="0" xfId="45" applyFont="1" applyAlignment="1">
      <alignment horizontal="left" wrapText="1"/>
    </xf>
    <xf numFmtId="0" fontId="10" fillId="33" borderId="0" xfId="45" applyFont="1" applyFill="1" applyAlignment="1">
      <alignment horizontal="left" wrapText="1"/>
    </xf>
    <xf numFmtId="3" fontId="87" fillId="33" borderId="0" xfId="0" applyNumberFormat="1" applyFont="1" applyFill="1" applyAlignment="1">
      <alignment horizontal="center"/>
    </xf>
    <xf numFmtId="0" fontId="10" fillId="33" borderId="0" xfId="45" applyFont="1" applyFill="1" applyAlignment="1">
      <alignment horizontal="left" vertical="center" wrapText="1"/>
    </xf>
    <xf numFmtId="0" fontId="10" fillId="0" borderId="0" xfId="46" applyFont="1" applyAlignment="1">
      <alignment horizontal="left" vertical="center" wrapText="1"/>
    </xf>
    <xf numFmtId="0" fontId="35" fillId="33" borderId="0" xfId="48" applyFont="1" applyFill="1" applyAlignment="1">
      <alignment horizontal="left" vertical="center" wrapText="1"/>
    </xf>
    <xf numFmtId="164" fontId="1" fillId="33" borderId="27" xfId="45" applyNumberFormat="1" applyFont="1" applyFill="1" applyBorder="1" applyAlignment="1">
      <alignment horizontal="center"/>
    </xf>
    <xf numFmtId="164" fontId="1" fillId="33" borderId="0" xfId="45" applyNumberFormat="1" applyFont="1" applyFill="1" applyAlignment="1">
      <alignment horizontal="center"/>
    </xf>
  </cellXfs>
  <cellStyles count="49">
    <cellStyle name="20 % - Accent1" xfId="18" builtinId="30" customBuiltin="1"/>
    <cellStyle name="20 % - Accent2" xfId="22" builtinId="34" customBuiltin="1"/>
    <cellStyle name="20 % - Accent3" xfId="26" builtinId="38" customBuiltin="1"/>
    <cellStyle name="20 % - Accent4" xfId="30" builtinId="42" customBuiltin="1"/>
    <cellStyle name="20 % - Accent5" xfId="34" builtinId="46" customBuiltin="1"/>
    <cellStyle name="20 % - Accent6" xfId="38" builtinId="50" customBuiltin="1"/>
    <cellStyle name="40 % - Accent1" xfId="19" builtinId="31" customBuiltin="1"/>
    <cellStyle name="40 % - Accent2" xfId="23" builtinId="35" customBuiltin="1"/>
    <cellStyle name="40 % - Accent3" xfId="27" builtinId="39" customBuiltin="1"/>
    <cellStyle name="40 % - Accent4" xfId="31" builtinId="43" customBuiltin="1"/>
    <cellStyle name="40 % - Accent5" xfId="35" builtinId="47" customBuiltin="1"/>
    <cellStyle name="40 % - Accent6" xfId="39" builtinId="51" customBuiltin="1"/>
    <cellStyle name="60 % - Accent1" xfId="20" builtinId="32" customBuiltin="1"/>
    <cellStyle name="60 % - Accent2" xfId="24" builtinId="36" customBuiltin="1"/>
    <cellStyle name="60 % - Accent3" xfId="28" builtinId="40" customBuiltin="1"/>
    <cellStyle name="60 % - Accent4" xfId="32" builtinId="44" customBuiltin="1"/>
    <cellStyle name="60 % - Accent5" xfId="36" builtinId="48" customBuiltin="1"/>
    <cellStyle name="60 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 2" xfId="42" xr:uid="{00000000-0005-0000-0000-00001B000000}"/>
    <cellStyle name="Entrée" xfId="9" builtinId="20" customBuiltin="1"/>
    <cellStyle name="Insatisfaisant" xfId="7" builtinId="27" customBuiltin="1"/>
    <cellStyle name="Lien hypertexte" xfId="43" builtinId="8"/>
    <cellStyle name="Neutre" xfId="8" builtinId="28" customBuiltin="1"/>
    <cellStyle name="Normal" xfId="0" builtinId="0"/>
    <cellStyle name="Normal 2" xfId="41" xr:uid="{00000000-0005-0000-0000-000021000000}"/>
    <cellStyle name="Normal 3" xfId="44" xr:uid="{00000000-0005-0000-0000-000022000000}"/>
    <cellStyle name="Normal 4" xfId="45" xr:uid="{FC7538A4-7F98-48EC-8D2C-21E4D817B01E}"/>
    <cellStyle name="Normal 4 2" xfId="46" xr:uid="{B9D1DB7C-6886-4D52-9C7F-ABB30835C863}"/>
    <cellStyle name="Normal 4 3" xfId="48" xr:uid="{52A865B6-5E73-4D16-8993-429DD86093C7}"/>
    <cellStyle name="Normal 5" xfId="47" xr:uid="{0981D079-0219-4542-8367-DEF94691AF1D}"/>
    <cellStyle name="Satisfaisant" xfId="6" builtinId="26" customBuiltin="1"/>
    <cellStyle name="Sortie" xfId="10" builtinId="21" customBuiltin="1"/>
    <cellStyle name="Texte explicatif" xfId="15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6" builtinId="25" customBuiltin="1"/>
    <cellStyle name="Vérification" xfId="13" builtinId="23" customBuiltin="1"/>
  </cellStyles>
  <dxfs count="0"/>
  <tableStyles count="0" defaultTableStyle="TableStyleMedium9" defaultPivotStyle="PivotStyleLight16"/>
  <colors>
    <mruColors>
      <color rgb="FF556977"/>
      <color rgb="FF6A51A3"/>
      <color rgb="FF4F000B"/>
      <color rgb="FFD7301F"/>
      <color rgb="FFF0F9E8"/>
      <color rgb="FF9E9AC8"/>
      <color rgb="FFCBC9E2"/>
      <color rgb="FFF2F0F7"/>
      <color rgb="FF2B8CBE"/>
      <color rgb="FF7BCC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19236239419186E-2"/>
          <c:y val="0.1140461794371424"/>
          <c:w val="0.90272203120216143"/>
          <c:h val="0.76708262121274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'Pour graphiques'!$B$29</c:f>
              <c:strCache>
                <c:ptCount val="1"/>
                <c:pt idx="0">
                  <c:v>Taux de couverture</c:v>
                </c:pt>
              </c:strCache>
            </c:strRef>
          </c:tx>
          <c:spPr>
            <a:solidFill>
              <a:srgbClr val="556977"/>
            </a:solidFill>
            <a:ln w="19050">
              <a:noFill/>
              <a:prstDash val="sysDash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3ED6-47A6-8625-8F19C9DF02F1}"/>
              </c:ext>
            </c:extLst>
          </c:dPt>
          <c:dPt>
            <c:idx val="1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A-3ED6-47A6-8625-8F19C9DF02F1}"/>
              </c:ext>
            </c:extLst>
          </c:dPt>
          <c:dPt>
            <c:idx val="2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B-3ED6-47A6-8625-8F19C9DF02F1}"/>
              </c:ext>
            </c:extLst>
          </c:dPt>
          <c:dPt>
            <c:idx val="3"/>
            <c:invertIfNegative val="0"/>
            <c:bubble3D val="0"/>
            <c:spPr>
              <a:solidFill>
                <a:srgbClr val="4CB7C5"/>
              </a:solidFill>
              <a:ln w="19050"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C-3ED6-47A6-8625-8F19C9DF02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D6-47A6-8625-8F19C9DF02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D6-47A6-8625-8F19C9DF02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D6-47A6-8625-8F19C9DF02F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D6-47A6-8625-8F19C9DF02F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ED6-47A6-8625-8F19C9DF02F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ED6-47A6-8625-8F19C9DF02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'Pour graphiques'!$C$28:$P$28</c:f>
              <c:strCache>
                <c:ptCount val="14"/>
                <c:pt idx="0">
                  <c:v>2011*</c:v>
                </c:pt>
                <c:pt idx="1">
                  <c:v>2012*</c:v>
                </c:pt>
                <c:pt idx="2">
                  <c:v>2013*</c:v>
                </c:pt>
                <c:pt idx="3">
                  <c:v>2014*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'Pour graphiques'!$C$29:$P$29</c:f>
              <c:numCache>
                <c:formatCode>#,##0.0</c:formatCode>
                <c:ptCount val="14"/>
                <c:pt idx="0">
                  <c:v>6.8123060371220596</c:v>
                </c:pt>
                <c:pt idx="1">
                  <c:v>7.70586461926393</c:v>
                </c:pt>
                <c:pt idx="2">
                  <c:v>8.4048779700077372</c:v>
                </c:pt>
                <c:pt idx="3">
                  <c:v>8.7216151806242852</c:v>
                </c:pt>
                <c:pt idx="4">
                  <c:v>9.8880194644278561</c:v>
                </c:pt>
                <c:pt idx="5">
                  <c:v>10.61873644771584</c:v>
                </c:pt>
                <c:pt idx="6">
                  <c:v>11.268101107771827</c:v>
                </c:pt>
                <c:pt idx="8">
                  <c:v>13.143865379153652</c:v>
                </c:pt>
                <c:pt idx="9">
                  <c:v>13.855050583437981</c:v>
                </c:pt>
                <c:pt idx="10">
                  <c:v>14.95921762715656</c:v>
                </c:pt>
                <c:pt idx="11">
                  <c:v>15.7515349989781</c:v>
                </c:pt>
                <c:pt idx="12">
                  <c:v>16.93</c:v>
                </c:pt>
                <c:pt idx="13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D6-47A6-8625-8F19C9DF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253781120"/>
        <c:axId val="253782656"/>
      </c:barChart>
      <c:catAx>
        <c:axId val="2537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53782656"/>
        <c:crosses val="autoZero"/>
        <c:auto val="1"/>
        <c:lblAlgn val="ctr"/>
        <c:lblOffset val="100"/>
        <c:noMultiLvlLbl val="0"/>
      </c:catAx>
      <c:valAx>
        <c:axId val="2537826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fr-FR"/>
          </a:p>
        </c:txPr>
        <c:crossAx val="253781120"/>
        <c:crosses val="autoZero"/>
        <c:crossBetween val="between"/>
        <c:majorUnit val="2"/>
      </c:valAx>
    </c:plotArea>
    <c:plotVisOnly val="0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800">
          <a:latin typeface="+mn-lt"/>
        </a:defRPr>
      </a:pPr>
      <a:endParaRPr lang="fr-FR"/>
    </a:p>
  </c:tx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72593718338401"/>
          <c:y val="4.6980091471616893E-2"/>
          <c:w val="0.81160700213891701"/>
          <c:h val="0.86187113263384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'Pour graphiques'!$C$32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A1DAB4"/>
            </a:solidFill>
            <a:ln>
              <a:solidFill>
                <a:srgbClr val="A1DAB4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'Pour graphiques'!$B$33:$B$37</c:f>
              <c:strCache>
                <c:ptCount val="5"/>
                <c:pt idx="0">
                  <c:v>1-2P</c:v>
                </c:pt>
                <c:pt idx="1">
                  <c:v>3-4P</c:v>
                </c:pt>
                <c:pt idx="2">
                  <c:v>5-6P</c:v>
                </c:pt>
                <c:pt idx="3">
                  <c:v>7-8P</c:v>
                </c:pt>
                <c:pt idx="4">
                  <c:v>Total</c:v>
                </c:pt>
              </c:strCache>
            </c:strRef>
          </c:cat>
          <c:val>
            <c:numRef>
              <c:f>'Pour graphiques'!$C$33:$C$37</c:f>
              <c:numCache>
                <c:formatCode>#,##0.0</c:formatCode>
                <c:ptCount val="5"/>
                <c:pt idx="0">
                  <c:v>25.535298191698502</c:v>
                </c:pt>
                <c:pt idx="1">
                  <c:v>22.202960833316201</c:v>
                </c:pt>
                <c:pt idx="2">
                  <c:v>19.376703107329401</c:v>
                </c:pt>
                <c:pt idx="3">
                  <c:v>3.6126756800085502</c:v>
                </c:pt>
                <c:pt idx="4">
                  <c:v>17.603568328139598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7-476A-A612-C2BF0AF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677638872"/>
        <c:axId val="677640840"/>
      </c:barChart>
      <c:catAx>
        <c:axId val="67763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7640840"/>
        <c:crosses val="autoZero"/>
        <c:auto val="1"/>
        <c:lblAlgn val="ctr"/>
        <c:lblOffset val="100"/>
        <c:noMultiLvlLbl val="0"/>
      </c:catAx>
      <c:valAx>
        <c:axId val="677640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763887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>
      <c:oddFooter>&amp;R2</c:oddFooter>
    </c:headerFooter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04908306364624E-2"/>
          <c:y val="8.4194556001784923E-2"/>
          <c:w val="0.89234708737864077"/>
          <c:h val="0.7432083891120036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'Pour graphiques'!$B$18</c:f>
              <c:strCache>
                <c:ptCount val="1"/>
                <c:pt idx="0">
                  <c:v>Préscolaire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alpha val="0"/>
                </a:schemeClr>
              </a:solidFill>
            </a:ln>
          </c:spPr>
          <c:invertIfNegative val="0"/>
          <c:cat>
            <c:numRef>
              <c:f>'Pour graphiques'!$C$14:$Q$14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graphiques'!$C$18:$Q$18</c:f>
              <c:numCache>
                <c:formatCode>#,##0.0</c:formatCode>
                <c:ptCount val="15"/>
                <c:pt idx="0">
                  <c:v>19.974699999999999</c:v>
                </c:pt>
                <c:pt idx="1">
                  <c:v>21.366099999999999</c:v>
                </c:pt>
                <c:pt idx="2">
                  <c:v>23.074999999999999</c:v>
                </c:pt>
                <c:pt idx="3">
                  <c:v>24.6309</c:v>
                </c:pt>
                <c:pt idx="4">
                  <c:v>25.127300000000002</c:v>
                </c:pt>
                <c:pt idx="5">
                  <c:v>26.774899999999999</c:v>
                </c:pt>
                <c:pt idx="6">
                  <c:v>26.774899999999999</c:v>
                </c:pt>
                <c:pt idx="7">
                  <c:v>27.548400000000001</c:v>
                </c:pt>
                <c:pt idx="9">
                  <c:v>29.1646</c:v>
                </c:pt>
                <c:pt idx="10">
                  <c:v>29.452000000000002</c:v>
                </c:pt>
                <c:pt idx="11">
                  <c:v>30.850915599614488</c:v>
                </c:pt>
                <c:pt idx="12">
                  <c:v>31.4277706153011</c:v>
                </c:pt>
                <c:pt idx="13">
                  <c:v>33</c:v>
                </c:pt>
                <c:pt idx="14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C-4D0B-8670-A71EA087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59129728"/>
        <c:axId val="272630528"/>
      </c:barChart>
      <c:barChart>
        <c:barDir val="col"/>
        <c:grouping val="stacked"/>
        <c:varyColors val="0"/>
        <c:ser>
          <c:idx val="0"/>
          <c:order val="0"/>
          <c:tx>
            <c:strRef>
              <c:f>'Pour graphiques'!$B$15</c:f>
              <c:strCache>
                <c:ptCount val="1"/>
                <c:pt idx="0">
                  <c:v>Subventionné TOE</c:v>
                </c:pt>
              </c:strCache>
            </c:strRef>
          </c:tx>
          <c:spPr>
            <a:solidFill>
              <a:srgbClr val="4F000B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graphiques'!$C$14:$Q$14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graphiques'!$C$15:$Q$15</c:f>
              <c:numCache>
                <c:formatCode>#,##0.0</c:formatCode>
                <c:ptCount val="15"/>
                <c:pt idx="0">
                  <c:v>14.9147</c:v>
                </c:pt>
                <c:pt idx="1">
                  <c:v>16.142800000000001</c:v>
                </c:pt>
                <c:pt idx="2">
                  <c:v>17.380500000000001</c:v>
                </c:pt>
                <c:pt idx="3">
                  <c:v>18.018000000000001</c:v>
                </c:pt>
                <c:pt idx="4">
                  <c:v>19.004300000000001</c:v>
                </c:pt>
                <c:pt idx="5">
                  <c:v>19.704599999999999</c:v>
                </c:pt>
                <c:pt idx="6">
                  <c:v>20.525200000000002</c:v>
                </c:pt>
                <c:pt idx="7">
                  <c:v>21.156099999999999</c:v>
                </c:pt>
                <c:pt idx="9">
                  <c:v>22.482900000000001</c:v>
                </c:pt>
                <c:pt idx="10">
                  <c:v>22.991337078962665</c:v>
                </c:pt>
                <c:pt idx="11">
                  <c:v>23.779555800800114</c:v>
                </c:pt>
                <c:pt idx="12">
                  <c:v>24.612958503997</c:v>
                </c:pt>
                <c:pt idx="13">
                  <c:v>26.061053445320201</c:v>
                </c:pt>
                <c:pt idx="14">
                  <c:v>27.991609638105601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3-4718-B264-96F59DF79DE9}"/>
            </c:ext>
          </c:extLst>
        </c:ser>
        <c:ser>
          <c:idx val="2"/>
          <c:order val="1"/>
          <c:tx>
            <c:strRef>
              <c:f>'Pour graphiques'!$B$16</c:f>
              <c:strCache>
                <c:ptCount val="1"/>
                <c:pt idx="0">
                  <c:v>Non subventionné TOE</c:v>
                </c:pt>
              </c:strCache>
            </c:strRef>
          </c:tx>
          <c:spPr>
            <a:solidFill>
              <a:srgbClr val="CC4C0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graphiques'!$C$14:$Q$14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graphiques'!$C$16:$Q$16</c:f>
              <c:numCache>
                <c:formatCode>#,##0.0</c:formatCode>
                <c:ptCount val="15"/>
                <c:pt idx="0">
                  <c:v>3.8106</c:v>
                </c:pt>
                <c:pt idx="1">
                  <c:v>3.7928999999999999</c:v>
                </c:pt>
                <c:pt idx="2">
                  <c:v>4.3766999999999996</c:v>
                </c:pt>
                <c:pt idx="3">
                  <c:v>5.2877000000000001</c:v>
                </c:pt>
                <c:pt idx="4">
                  <c:v>4.7275</c:v>
                </c:pt>
                <c:pt idx="5">
                  <c:v>4.9401000000000002</c:v>
                </c:pt>
                <c:pt idx="6">
                  <c:v>4.9640000000000004</c:v>
                </c:pt>
                <c:pt idx="7">
                  <c:v>5.0959000000000003</c:v>
                </c:pt>
                <c:pt idx="9">
                  <c:v>5.4257999999999997</c:v>
                </c:pt>
                <c:pt idx="10">
                  <c:v>5.3390000000000004</c:v>
                </c:pt>
                <c:pt idx="11">
                  <c:v>5.8271394857085745</c:v>
                </c:pt>
                <c:pt idx="12">
                  <c:v>5.57905993233841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3-4718-B264-96F59DF79DE9}"/>
            </c:ext>
          </c:extLst>
        </c:ser>
        <c:ser>
          <c:idx val="1"/>
          <c:order val="2"/>
          <c:tx>
            <c:strRef>
              <c:f>'Pour graphiques'!$B$17</c:f>
              <c:strCache>
                <c:ptCount val="1"/>
                <c:pt idx="0">
                  <c:v>TOR </c:v>
                </c:pt>
              </c:strCache>
            </c:strRef>
          </c:tx>
          <c:spPr>
            <a:solidFill>
              <a:srgbClr val="FE992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graphiques'!$C$14:$Q$14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graphiques'!$C$17:$Q$17</c:f>
              <c:numCache>
                <c:formatCode>#,##0.0</c:formatCode>
                <c:ptCount val="15"/>
                <c:pt idx="0">
                  <c:v>1.4740200000000001</c:v>
                </c:pt>
                <c:pt idx="1">
                  <c:v>1.59484</c:v>
                </c:pt>
                <c:pt idx="2">
                  <c:v>1.5363199999999999</c:v>
                </c:pt>
                <c:pt idx="3">
                  <c:v>1.48506</c:v>
                </c:pt>
                <c:pt idx="4">
                  <c:v>1.45997</c:v>
                </c:pt>
                <c:pt idx="5">
                  <c:v>1.49292066</c:v>
                </c:pt>
                <c:pt idx="6">
                  <c:v>1.365</c:v>
                </c:pt>
                <c:pt idx="7">
                  <c:v>1.3663000000000001</c:v>
                </c:pt>
                <c:pt idx="9">
                  <c:v>1.28576</c:v>
                </c:pt>
                <c:pt idx="10">
                  <c:v>1.1778</c:v>
                </c:pt>
                <c:pt idx="11">
                  <c:v>1.2441415393088255</c:v>
                </c:pt>
                <c:pt idx="12">
                  <c:v>1.23575217896569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73-4718-B264-96F59DF79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802168336"/>
        <c:axId val="1143638208"/>
      </c:barChart>
      <c:catAx>
        <c:axId val="2591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050"/>
            </a:pPr>
            <a:endParaRPr lang="fr-FR"/>
          </a:p>
        </c:txPr>
        <c:crossAx val="272630528"/>
        <c:crosses val="autoZero"/>
        <c:auto val="1"/>
        <c:lblAlgn val="ctr"/>
        <c:lblOffset val="100"/>
        <c:noMultiLvlLbl val="0"/>
      </c:catAx>
      <c:valAx>
        <c:axId val="27263052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50"/>
            </a:pPr>
            <a:endParaRPr lang="fr-FR"/>
          </a:p>
        </c:txPr>
        <c:crossAx val="259129728"/>
        <c:crosses val="autoZero"/>
        <c:crossBetween val="between"/>
      </c:valAx>
      <c:valAx>
        <c:axId val="1143638208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02168336"/>
        <c:crosses val="max"/>
        <c:crossBetween val="between"/>
      </c:valAx>
      <c:catAx>
        <c:axId val="80216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63820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overlay val="0"/>
      <c:spPr>
        <a:noFill/>
      </c:spPr>
      <c:txPr>
        <a:bodyPr/>
        <a:lstStyle/>
        <a:p>
          <a:pPr>
            <a:defRPr sz="1050"/>
          </a:pPr>
          <a:endParaRPr lang="fr-FR"/>
        </a:p>
      </c:txPr>
    </c:legend>
    <c:plotVisOnly val="0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1200">
          <a:solidFill>
            <a:schemeClr val="tx1"/>
          </a:solidFill>
        </a:defRPr>
      </a:pPr>
      <a:endParaRPr lang="fr-FR"/>
    </a:p>
  </c:txPr>
  <c:printSettings>
    <c:headerFooter>
      <c:oddHeader>&amp;L&amp;G</c:oddHeader>
    </c:headerFooter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44793422753748E-2"/>
          <c:y val="8.8005264326331586E-2"/>
          <c:w val="0.9030517118569511"/>
          <c:h val="0.73893155689618129"/>
        </c:manualLayout>
      </c:layout>
      <c:lineChart>
        <c:grouping val="standard"/>
        <c:varyColors val="0"/>
        <c:ser>
          <c:idx val="0"/>
          <c:order val="0"/>
          <c:tx>
            <c:strRef>
              <c:f>'Pour graphiques'!$B$7</c:f>
              <c:strCache>
                <c:ptCount val="1"/>
                <c:pt idx="0">
                  <c:v>Nursery</c:v>
                </c:pt>
              </c:strCache>
            </c:strRef>
          </c:tx>
          <c:spPr>
            <a:ln w="28575">
              <a:solidFill>
                <a:srgbClr val="CC4C02">
                  <a:alpha val="97000"/>
                </a:srgbClr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2.326357441215377E-3"/>
                  <c:y val="4.2235398006812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9-4354-9CE1-0BDA86E70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'Pour graphiques'!$C$6:$Q$6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graphiques'!$C$7:$Q$7</c:f>
              <c:numCache>
                <c:formatCode>#,##0.0</c:formatCode>
                <c:ptCount val="15"/>
                <c:pt idx="0">
                  <c:v>12.493499999999999</c:v>
                </c:pt>
                <c:pt idx="1">
                  <c:v>13.496</c:v>
                </c:pt>
                <c:pt idx="2">
                  <c:v>14.799899999999999</c:v>
                </c:pt>
                <c:pt idx="3">
                  <c:v>15.759399999999999</c:v>
                </c:pt>
                <c:pt idx="4">
                  <c:v>16.603300000000001</c:v>
                </c:pt>
                <c:pt idx="5">
                  <c:v>17.473299999999998</c:v>
                </c:pt>
                <c:pt idx="6">
                  <c:v>18.371300000000002</c:v>
                </c:pt>
                <c:pt idx="7">
                  <c:v>19.0305</c:v>
                </c:pt>
                <c:pt idx="9">
                  <c:v>20.215</c:v>
                </c:pt>
                <c:pt idx="10">
                  <c:v>20.455999268939049</c:v>
                </c:pt>
                <c:pt idx="11">
                  <c:v>21.434802424684381</c:v>
                </c:pt>
                <c:pt idx="12">
                  <c:v>22.434703815116102</c:v>
                </c:pt>
                <c:pt idx="13">
                  <c:v>24.348960893242499</c:v>
                </c:pt>
                <c:pt idx="14">
                  <c:v>26.773734660757899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E-4144-974E-90AF33B2505F}"/>
            </c:ext>
          </c:extLst>
        </c:ser>
        <c:ser>
          <c:idx val="1"/>
          <c:order val="1"/>
          <c:tx>
            <c:strRef>
              <c:f>'Pour graphiques'!$B$8</c:f>
              <c:strCache>
                <c:ptCount val="1"/>
                <c:pt idx="0">
                  <c:v>Moyens</c:v>
                </c:pt>
              </c:strCache>
            </c:strRef>
          </c:tx>
          <c:spPr>
            <a:ln w="22225">
              <a:solidFill>
                <a:srgbClr val="FE9929"/>
              </a:solidFill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276E-4144-974E-90AF33B250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'Pour graphiques'!$C$6:$Q$6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graphiques'!$C$8:$Q$8</c:f>
              <c:numCache>
                <c:formatCode>#,##0.0</c:formatCode>
                <c:ptCount val="15"/>
                <c:pt idx="0">
                  <c:v>18.634499999999999</c:v>
                </c:pt>
                <c:pt idx="1">
                  <c:v>20.322099999999999</c:v>
                </c:pt>
                <c:pt idx="2">
                  <c:v>21.307700000000001</c:v>
                </c:pt>
                <c:pt idx="3">
                  <c:v>21.3858</c:v>
                </c:pt>
                <c:pt idx="4">
                  <c:v>22.751200000000001</c:v>
                </c:pt>
                <c:pt idx="5">
                  <c:v>23.238099999999999</c:v>
                </c:pt>
                <c:pt idx="6">
                  <c:v>23.895099999999999</c:v>
                </c:pt>
                <c:pt idx="7">
                  <c:v>24.4602</c:v>
                </c:pt>
                <c:pt idx="9">
                  <c:v>26.034700000000001</c:v>
                </c:pt>
                <c:pt idx="10">
                  <c:v>26.884240084240083</c:v>
                </c:pt>
                <c:pt idx="11">
                  <c:v>27.376048657718123</c:v>
                </c:pt>
                <c:pt idx="12">
                  <c:v>27.931093322890501</c:v>
                </c:pt>
                <c:pt idx="13">
                  <c:v>28.6125218671399</c:v>
                </c:pt>
                <c:pt idx="14">
                  <c:v>29.710942650147999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E-4144-974E-90AF33B2505F}"/>
            </c:ext>
          </c:extLst>
        </c:ser>
        <c:ser>
          <c:idx val="2"/>
          <c:order val="2"/>
          <c:tx>
            <c:strRef>
              <c:f>'Pour graphiques'!$B$9</c:f>
              <c:strCache>
                <c:ptCount val="1"/>
                <c:pt idx="0">
                  <c:v>Préscolaire (0 - 4 ans)</c:v>
                </c:pt>
              </c:strCache>
            </c:strRef>
          </c:tx>
          <c:spPr>
            <a:ln>
              <a:solidFill>
                <a:srgbClr val="4F000B"/>
              </a:solidFill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2.3682917813574568E-3"/>
                  <c:y val="-1.826185216698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E9-4354-9CE1-0BDA86E70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bg1"/>
                      </a:solidFill>
                    </a:ln>
                  </c:spPr>
                </c15:leaderLines>
              </c:ext>
            </c:extLst>
          </c:dLbls>
          <c:cat>
            <c:numRef>
              <c:f>'Pour graphiques'!$C$6:$Q$6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'Pour graphiques'!$C$9:$Q$9</c:f>
              <c:numCache>
                <c:formatCode>#,##0.0</c:formatCode>
                <c:ptCount val="15"/>
                <c:pt idx="0">
                  <c:v>14.9147</c:v>
                </c:pt>
                <c:pt idx="1">
                  <c:v>16.142800000000001</c:v>
                </c:pt>
                <c:pt idx="2">
                  <c:v>17.380500000000001</c:v>
                </c:pt>
                <c:pt idx="3">
                  <c:v>18.018000000000001</c:v>
                </c:pt>
                <c:pt idx="4">
                  <c:v>19.004300000000001</c:v>
                </c:pt>
                <c:pt idx="5">
                  <c:v>19.704599999999999</c:v>
                </c:pt>
                <c:pt idx="6">
                  <c:v>20.525200000000002</c:v>
                </c:pt>
                <c:pt idx="7">
                  <c:v>21.156099999999999</c:v>
                </c:pt>
                <c:pt idx="9">
                  <c:v>22.482900000000001</c:v>
                </c:pt>
                <c:pt idx="10">
                  <c:v>22.991337078962665</c:v>
                </c:pt>
                <c:pt idx="11">
                  <c:v>23.779555800800114</c:v>
                </c:pt>
                <c:pt idx="12">
                  <c:v>24.612958503997</c:v>
                </c:pt>
                <c:pt idx="13">
                  <c:v>26.061053445320201</c:v>
                </c:pt>
                <c:pt idx="14">
                  <c:v>27.991609638105601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D-4E3A-BFC8-D6E5B432B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763584"/>
        <c:axId val="253765120"/>
      </c:lineChart>
      <c:catAx>
        <c:axId val="2537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050"/>
            </a:pPr>
            <a:endParaRPr lang="fr-FR"/>
          </a:p>
        </c:txPr>
        <c:crossAx val="253765120"/>
        <c:crosses val="autoZero"/>
        <c:auto val="1"/>
        <c:lblAlgn val="ctr"/>
        <c:lblOffset val="100"/>
        <c:noMultiLvlLbl val="0"/>
      </c:catAx>
      <c:valAx>
        <c:axId val="253765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 algn="ctr">
              <a:defRPr sz="1050"/>
            </a:pPr>
            <a:endParaRPr lang="fr-FR"/>
          </a:p>
        </c:txPr>
        <c:crossAx val="25376358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000"/>
          </a:pPr>
          <a:endParaRPr lang="fr-FR"/>
        </a:p>
      </c:txPr>
    </c:legend>
    <c:plotVisOnly val="0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700"/>
      </a:pPr>
      <a:endParaRPr lang="fr-FR"/>
    </a:p>
  </c:tx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31215</xdr:colOff>
      <xdr:row>212</xdr:row>
      <xdr:rowOff>87926</xdr:rowOff>
    </xdr:from>
    <xdr:to>
      <xdr:col>9</xdr:col>
      <xdr:colOff>327443</xdr:colOff>
      <xdr:row>230</xdr:row>
      <xdr:rowOff>145161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481386</xdr:colOff>
      <xdr:row>212</xdr:row>
      <xdr:rowOff>87926</xdr:rowOff>
    </xdr:from>
    <xdr:to>
      <xdr:col>20</xdr:col>
      <xdr:colOff>287758</xdr:colOff>
      <xdr:row>230</xdr:row>
      <xdr:rowOff>145161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364936</xdr:colOff>
      <xdr:row>176</xdr:row>
      <xdr:rowOff>81069</xdr:rowOff>
    </xdr:from>
    <xdr:to>
      <xdr:col>16</xdr:col>
      <xdr:colOff>220195</xdr:colOff>
      <xdr:row>184</xdr:row>
      <xdr:rowOff>242608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6908197" y="43515069"/>
          <a:ext cx="1809955" cy="2281887"/>
          <a:chOff x="6143818" y="19994766"/>
          <a:chExt cx="1551856" cy="1182724"/>
        </a:xfrm>
      </xdr:grpSpPr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259584" y="20614450"/>
            <a:ext cx="134700" cy="85800"/>
          </a:xfrm>
          <a:prstGeom prst="rect">
            <a:avLst/>
          </a:prstGeom>
          <a:solidFill>
            <a:srgbClr val="FDCC8A"/>
          </a:solidFill>
          <a:ln>
            <a:solidFill>
              <a:srgbClr val="FDCC8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  <xdr:grpSp>
        <xdr:nvGrpSpPr>
          <xdr:cNvPr id="19" name="Group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6143818" y="19994766"/>
            <a:ext cx="1551856" cy="1182724"/>
            <a:chOff x="6143818" y="19994766"/>
            <a:chExt cx="1551856" cy="1182724"/>
          </a:xfrm>
        </xdr:grpSpPr>
        <xdr:sp macro="" textlink="">
          <xdr:nvSpPr>
            <xdr:cNvPr id="7" name="Rectangl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6259584" y="20212569"/>
              <a:ext cx="134700" cy="85800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6376642" y="20180494"/>
              <a:ext cx="79823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10" name="ZoneText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6143818" y="19994766"/>
              <a:ext cx="155185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/>
          </xdr:nvSpPr>
          <xdr:spPr>
            <a:xfrm>
              <a:off x="6259584" y="20411915"/>
              <a:ext cx="134700" cy="85800"/>
            </a:xfrm>
            <a:prstGeom prst="rect">
              <a:avLst/>
            </a:prstGeom>
            <a:solidFill>
              <a:srgbClr val="FFF0D9"/>
            </a:solidFill>
            <a:ln>
              <a:solidFill>
                <a:srgbClr val="FFF0D9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2" name="ZoneText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6376642" y="20379845"/>
              <a:ext cx="39354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10</a:t>
              </a:r>
            </a:p>
          </xdr:txBody>
        </xdr:sp>
        <xdr:sp macro="" textlink="">
          <xdr:nvSpPr>
            <xdr:cNvPr id="14" name="ZoneText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 txBox="1"/>
          </xdr:nvSpPr>
          <xdr:spPr>
            <a:xfrm>
              <a:off x="6376642" y="20582376"/>
              <a:ext cx="52614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10</a:t>
              </a:r>
              <a:r>
                <a:rPr lang="fr-CH" sz="1050" baseline="0"/>
                <a:t> - 20</a:t>
              </a:r>
              <a:endParaRPr lang="fr-CH" sz="1050"/>
            </a:p>
          </xdr:txBody>
        </xdr:sp>
        <xdr:sp macro="" textlink="">
          <xdr:nvSpPr>
            <xdr:cNvPr id="15" name="Rectangl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6259584" y="20832019"/>
              <a:ext cx="134700" cy="85800"/>
            </a:xfrm>
            <a:prstGeom prst="rect">
              <a:avLst/>
            </a:prstGeom>
            <a:solidFill>
              <a:srgbClr val="FC8D59"/>
            </a:solidFill>
            <a:ln>
              <a:solidFill>
                <a:srgbClr val="FC8D59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6" name="ZoneText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 txBox="1"/>
          </xdr:nvSpPr>
          <xdr:spPr>
            <a:xfrm>
              <a:off x="6376642" y="20799949"/>
              <a:ext cx="526146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20 - 30</a:t>
              </a:r>
            </a:p>
          </xdr:txBody>
        </xdr:sp>
        <xdr:sp macro="" textlink="">
          <xdr:nvSpPr>
            <xdr:cNvPr id="17" name="Rectangl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6259584" y="21059615"/>
              <a:ext cx="134700" cy="85800"/>
            </a:xfrm>
            <a:prstGeom prst="rect">
              <a:avLst/>
            </a:prstGeom>
            <a:solidFill>
              <a:srgbClr val="D7301F"/>
            </a:solidFill>
            <a:ln>
              <a:solidFill>
                <a:srgbClr val="D7301F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18" name="ZoneText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 txBox="1"/>
          </xdr:nvSpPr>
          <xdr:spPr>
            <a:xfrm>
              <a:off x="6376642" y="21027548"/>
              <a:ext cx="393540" cy="1499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≥ 30</a:t>
              </a:r>
              <a:endParaRPr lang="fr-CH" sz="1050"/>
            </a:p>
          </xdr:txBody>
        </xdr:sp>
      </xdr:grpSp>
    </xdr:grpSp>
    <xdr:clientData/>
  </xdr:twoCellAnchor>
  <xdr:twoCellAnchor>
    <xdr:from>
      <xdr:col>12</xdr:col>
      <xdr:colOff>364936</xdr:colOff>
      <xdr:row>235</xdr:row>
      <xdr:rowOff>223313</xdr:rowOff>
    </xdr:from>
    <xdr:to>
      <xdr:col>16</xdr:col>
      <xdr:colOff>40336</xdr:colOff>
      <xdr:row>243</xdr:row>
      <xdr:rowOff>222113</xdr:rowOff>
    </xdr:to>
    <xdr:grpSp>
      <xdr:nvGrpSpPr>
        <xdr:cNvPr id="22" name="Group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6908197" y="59328009"/>
          <a:ext cx="1630096" cy="1970061"/>
          <a:chOff x="6143818" y="20012526"/>
          <a:chExt cx="1551856" cy="1316474"/>
        </a:xfrm>
      </xdr:grpSpPr>
      <xdr:grpSp>
        <xdr:nvGrpSpPr>
          <xdr:cNvPr id="24" name="Group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6143818" y="20012526"/>
            <a:ext cx="1551856" cy="1316474"/>
            <a:chOff x="6143818" y="20012526"/>
            <a:chExt cx="1551856" cy="1316474"/>
          </a:xfrm>
        </xdr:grpSpPr>
        <xdr:sp macro="" textlink="">
          <xdr:nvSpPr>
            <xdr:cNvPr id="26" name="ZoneText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 txBox="1"/>
          </xdr:nvSpPr>
          <xdr:spPr>
            <a:xfrm>
              <a:off x="6358226" y="20242361"/>
              <a:ext cx="798230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27" name="ZoneText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 txBox="1"/>
          </xdr:nvSpPr>
          <xdr:spPr>
            <a:xfrm>
              <a:off x="6143818" y="20012526"/>
              <a:ext cx="1551856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6239655" y="20505072"/>
              <a:ext cx="135366" cy="101060"/>
            </a:xfrm>
            <a:prstGeom prst="rect">
              <a:avLst/>
            </a:prstGeom>
            <a:solidFill>
              <a:srgbClr val="F0F9E8"/>
            </a:solidFill>
            <a:ln w="25400">
              <a:solidFill>
                <a:srgbClr val="F0F9E8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29" name="ZoneText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6358226" y="20466695"/>
              <a:ext cx="329407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8</a:t>
              </a:r>
            </a:p>
          </xdr:txBody>
        </xdr:sp>
        <xdr:sp macro="" textlink="">
          <xdr:nvSpPr>
            <xdr:cNvPr id="30" name="ZoneText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 txBox="1"/>
          </xdr:nvSpPr>
          <xdr:spPr>
            <a:xfrm>
              <a:off x="6358226" y="20669226"/>
              <a:ext cx="462013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8 - 16</a:t>
              </a:r>
              <a:endParaRPr lang="fr-CH" sz="1050"/>
            </a:p>
          </xdr:txBody>
        </xdr:sp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/>
          </xdr:nvSpPr>
          <xdr:spPr>
            <a:xfrm>
              <a:off x="6239655" y="20925174"/>
              <a:ext cx="135366" cy="101060"/>
            </a:xfrm>
            <a:prstGeom prst="rect">
              <a:avLst/>
            </a:prstGeom>
            <a:solidFill>
              <a:srgbClr val="7BCCC4"/>
            </a:solidFill>
            <a:ln>
              <a:solidFill>
                <a:srgbClr val="7BCCC4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32" name="ZoneText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 txBox="1"/>
          </xdr:nvSpPr>
          <xdr:spPr>
            <a:xfrm>
              <a:off x="6358226" y="20886797"/>
              <a:ext cx="526146" cy="1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16 - 24</a:t>
              </a:r>
            </a:p>
          </xdr:txBody>
        </xdr:sp>
        <xdr:sp macro="" textlink="">
          <xdr:nvSpPr>
            <xdr:cNvPr id="33" name="Rectangl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6239655" y="21155286"/>
              <a:ext cx="135366" cy="101060"/>
            </a:xfrm>
            <a:prstGeom prst="rect">
              <a:avLst/>
            </a:prstGeom>
            <a:solidFill>
              <a:srgbClr val="2B8CBE"/>
            </a:solidFill>
            <a:ln>
              <a:solidFill>
                <a:srgbClr val="2B8CBE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34" name="ZoneText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 txBox="1"/>
          </xdr:nvSpPr>
          <xdr:spPr>
            <a:xfrm>
              <a:off x="6358226" y="21082632"/>
              <a:ext cx="383112" cy="2463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noAutofit/>
            </a:bodyPr>
            <a:lstStyle/>
            <a:p>
              <a:pPr algn="l"/>
              <a:r>
                <a:rPr lang="fr-CH" sz="1050" baseline="0"/>
                <a:t>≥ 24</a:t>
              </a:r>
              <a:endParaRPr lang="fr-CH" sz="1050"/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FE1C2A07-FB27-193C-310D-3D3657200BCD}"/>
                </a:ext>
              </a:extLst>
            </xdr:cNvPr>
            <xdr:cNvSpPr/>
          </xdr:nvSpPr>
          <xdr:spPr>
            <a:xfrm>
              <a:off x="6239655" y="20280737"/>
              <a:ext cx="135366" cy="101060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A69DC354-B43D-1BA6-16E8-6DBE6888A4FE}"/>
              </a:ext>
            </a:extLst>
          </xdr:cNvPr>
          <xdr:cNvSpPr/>
        </xdr:nvSpPr>
        <xdr:spPr>
          <a:xfrm>
            <a:off x="6239655" y="20707602"/>
            <a:ext cx="135366" cy="101060"/>
          </a:xfrm>
          <a:prstGeom prst="rect">
            <a:avLst/>
          </a:prstGeom>
          <a:solidFill>
            <a:srgbClr val="BAE4BC"/>
          </a:solidFill>
          <a:ln>
            <a:solidFill>
              <a:srgbClr val="BAE4B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</xdr:grpSp>
    <xdr:clientData/>
  </xdr:twoCellAnchor>
  <xdr:twoCellAnchor>
    <xdr:from>
      <xdr:col>1</xdr:col>
      <xdr:colOff>605882</xdr:colOff>
      <xdr:row>307</xdr:row>
      <xdr:rowOff>369207</xdr:rowOff>
    </xdr:from>
    <xdr:to>
      <xdr:col>4</xdr:col>
      <xdr:colOff>388356</xdr:colOff>
      <xdr:row>307</xdr:row>
      <xdr:rowOff>2418379</xdr:rowOff>
    </xdr:to>
    <xdr:grpSp>
      <xdr:nvGrpSpPr>
        <xdr:cNvPr id="37" name="Group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804665" y="77190403"/>
          <a:ext cx="2275539" cy="2049172"/>
          <a:chOff x="6143818" y="20012518"/>
          <a:chExt cx="1229579" cy="1250354"/>
        </a:xfrm>
      </xdr:grpSpPr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210435" y="20682378"/>
            <a:ext cx="84048" cy="97909"/>
          </a:xfrm>
          <a:prstGeom prst="rect">
            <a:avLst/>
          </a:prstGeom>
          <a:solidFill>
            <a:srgbClr val="CBC9E2"/>
          </a:solidFill>
          <a:ln>
            <a:solidFill>
              <a:srgbClr val="CBC9E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050"/>
          </a:p>
        </xdr:txBody>
      </xdr:sp>
      <xdr:grpSp>
        <xdr:nvGrpSpPr>
          <xdr:cNvPr id="39" name="Group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GrpSpPr/>
        </xdr:nvGrpSpPr>
        <xdr:grpSpPr>
          <a:xfrm>
            <a:off x="6143818" y="20012518"/>
            <a:ext cx="1229579" cy="1250354"/>
            <a:chOff x="6143818" y="20012518"/>
            <a:chExt cx="1229579" cy="1250354"/>
          </a:xfrm>
        </xdr:grpSpPr>
        <xdr:sp macro="" textlink="">
          <xdr:nvSpPr>
            <xdr:cNvPr id="40" name="Rectangle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6210435" y="20252983"/>
              <a:ext cx="84048" cy="97909"/>
            </a:xfrm>
            <a:prstGeom prst="rect">
              <a:avLst/>
            </a:prstGeom>
            <a:solidFill>
              <a:srgbClr val="CCCCCC"/>
            </a:solidFill>
            <a:ln>
              <a:solidFill>
                <a:srgbClr val="CCCCCC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1" name="ZoneText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 txBox="1"/>
          </xdr:nvSpPr>
          <xdr:spPr>
            <a:xfrm>
              <a:off x="6312217" y="20215563"/>
              <a:ext cx="632460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l"/>
              <a:r>
                <a:rPr lang="fr-CH" sz="1050"/>
                <a:t>Hors-réseau</a:t>
              </a:r>
            </a:p>
          </xdr:txBody>
        </xdr:sp>
        <xdr:sp macro="" textlink="">
          <xdr:nvSpPr>
            <xdr:cNvPr id="42" name="ZoneTexte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 txBox="1"/>
          </xdr:nvSpPr>
          <xdr:spPr>
            <a:xfrm>
              <a:off x="6143818" y="20012518"/>
              <a:ext cx="1229579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fr-CH" sz="1050" b="1"/>
                <a:t>Taux de couverture</a:t>
              </a:r>
              <a:r>
                <a:rPr lang="fr-CH" sz="1050" b="1" baseline="0"/>
                <a:t> (en %)</a:t>
              </a:r>
              <a:endParaRPr lang="fr-CH" sz="1050" b="1"/>
            </a:p>
          </xdr:txBody>
        </xdr:sp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6210435" y="20479847"/>
              <a:ext cx="84048" cy="97909"/>
            </a:xfrm>
            <a:prstGeom prst="rect">
              <a:avLst/>
            </a:prstGeom>
            <a:solidFill>
              <a:srgbClr val="F2F0F7"/>
            </a:solidFill>
            <a:ln>
              <a:solidFill>
                <a:srgbClr val="F2F0F7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4" name="ZoneTexte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SpPr txBox="1"/>
          </xdr:nvSpPr>
          <xdr:spPr>
            <a:xfrm>
              <a:off x="6312217" y="20442428"/>
              <a:ext cx="260998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&lt; 2</a:t>
              </a:r>
            </a:p>
          </xdr:txBody>
        </xdr:sp>
        <xdr:sp macro="" textlink="">
          <xdr:nvSpPr>
            <xdr:cNvPr id="45" name="ZoneTexte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 txBox="1"/>
          </xdr:nvSpPr>
          <xdr:spPr>
            <a:xfrm>
              <a:off x="6312217" y="20644958"/>
              <a:ext cx="315251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2 - 4</a:t>
              </a:r>
              <a:endParaRPr lang="fr-CH" sz="1050"/>
            </a:p>
          </xdr:txBody>
        </xdr: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/>
          </xdr:nvSpPr>
          <xdr:spPr>
            <a:xfrm>
              <a:off x="6210435" y="20899950"/>
              <a:ext cx="84048" cy="97909"/>
            </a:xfrm>
            <a:prstGeom prst="rect">
              <a:avLst/>
            </a:prstGeom>
            <a:solidFill>
              <a:srgbClr val="9E9AC8"/>
            </a:solidFill>
            <a:ln>
              <a:solidFill>
                <a:srgbClr val="9E9AC8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7" name="ZoneTexte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/>
          </xdr:nvSpPr>
          <xdr:spPr>
            <a:xfrm>
              <a:off x="6312217" y="20862531"/>
              <a:ext cx="315251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/>
                <a:t>4 - 6</a:t>
              </a:r>
            </a:p>
          </xdr:txBody>
        </xdr:sp>
        <xdr:sp macro="" textlink="">
          <xdr:nvSpPr>
            <xdr:cNvPr id="48" name="Rectangle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SpPr/>
          </xdr:nvSpPr>
          <xdr:spPr>
            <a:xfrm>
              <a:off x="6210435" y="21127544"/>
              <a:ext cx="84048" cy="97909"/>
            </a:xfrm>
            <a:prstGeom prst="rect">
              <a:avLst/>
            </a:prstGeom>
            <a:solidFill>
              <a:srgbClr val="6A51A3"/>
            </a:solidFill>
            <a:ln>
              <a:solidFill>
                <a:srgbClr val="6A51A3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050"/>
            </a:p>
          </xdr:txBody>
        </xdr:sp>
        <xdr:sp macro="" textlink="">
          <xdr:nvSpPr>
            <xdr:cNvPr id="49" name="ZoneTexte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SpPr txBox="1"/>
          </xdr:nvSpPr>
          <xdr:spPr>
            <a:xfrm>
              <a:off x="6312217" y="21090123"/>
              <a:ext cx="260998" cy="1727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algn="l"/>
              <a:r>
                <a:rPr lang="fr-CH" sz="1050" baseline="0"/>
                <a:t>≥ 6</a:t>
              </a:r>
              <a:endParaRPr lang="fr-CH" sz="1050"/>
            </a:p>
          </xdr:txBody>
        </xdr:sp>
      </xdr:grpSp>
    </xdr:grpSp>
    <xdr:clientData/>
  </xdr:twoCellAnchor>
  <xdr:twoCellAnchor>
    <xdr:from>
      <xdr:col>1</xdr:col>
      <xdr:colOff>31215</xdr:colOff>
      <xdr:row>151</xdr:row>
      <xdr:rowOff>90462</xdr:rowOff>
    </xdr:from>
    <xdr:to>
      <xdr:col>9</xdr:col>
      <xdr:colOff>327443</xdr:colOff>
      <xdr:row>169</xdr:row>
      <xdr:rowOff>52448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481386</xdr:colOff>
      <xdr:row>151</xdr:row>
      <xdr:rowOff>90462</xdr:rowOff>
    </xdr:from>
    <xdr:to>
      <xdr:col>20</xdr:col>
      <xdr:colOff>295762</xdr:colOff>
      <xdr:row>169</xdr:row>
      <xdr:rowOff>52448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622117</xdr:colOff>
      <xdr:row>175</xdr:row>
      <xdr:rowOff>193743</xdr:rowOff>
    </xdr:from>
    <xdr:to>
      <xdr:col>10</xdr:col>
      <xdr:colOff>177593</xdr:colOff>
      <xdr:row>191</xdr:row>
      <xdr:rowOff>519459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7C84FAD-D588-4455-BFE9-2E01D87B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6224" y="39531993"/>
          <a:ext cx="4943905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712245</xdr:colOff>
      <xdr:row>234</xdr:row>
      <xdr:rowOff>193228</xdr:rowOff>
    </xdr:from>
    <xdr:to>
      <xdr:col>10</xdr:col>
      <xdr:colOff>273816</xdr:colOff>
      <xdr:row>252</xdr:row>
      <xdr:rowOff>137942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74A4A1E-1DB7-0138-71B6-D8F888C3F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352" y="55574299"/>
          <a:ext cx="4950000" cy="46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105870</xdr:colOff>
      <xdr:row>299</xdr:row>
      <xdr:rowOff>88481</xdr:rowOff>
    </xdr:from>
    <xdr:to>
      <xdr:col>20</xdr:col>
      <xdr:colOff>150099</xdr:colOff>
      <xdr:row>307</xdr:row>
      <xdr:rowOff>2686587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E3ED865-D659-73AE-AFDC-AA4E61F65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98406" y="71743695"/>
          <a:ext cx="49428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90449</xdr:colOff>
      <xdr:row>283</xdr:row>
      <xdr:rowOff>42422</xdr:rowOff>
    </xdr:from>
    <xdr:to>
      <xdr:col>9</xdr:col>
      <xdr:colOff>134677</xdr:colOff>
      <xdr:row>300</xdr:row>
      <xdr:rowOff>55170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40F9C6B8-95BE-F21B-A9C0-5B6241783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556" y="67207279"/>
          <a:ext cx="4942800" cy="468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A5C31993-5961-4735-B4DC-DD6E8D887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3" name="Image 2">
          <a:extLst>
            <a:ext uri="{FF2B5EF4-FFF2-40B4-BE49-F238E27FC236}">
              <a16:creationId xmlns:a16="http://schemas.microsoft.com/office/drawing/2014/main" id="{14E1BF6D-454F-44AB-B8DB-95744EC74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0.00873</cdr:x>
      <cdr:y>0.07407</cdr:y>
    </cdr:from>
    <cdr:to>
      <cdr:x>0.10202</cdr:x>
      <cdr:y>0.1331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0800" y="203200"/>
          <a:ext cx="542925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CH" sz="900"/>
        </a:p>
      </cdr:txBody>
    </cdr:sp>
  </cdr:relSizeAnchor>
  <cdr:relSizeAnchor xmlns:cdr="http://schemas.openxmlformats.org/drawingml/2006/chartDrawing">
    <cdr:from>
      <cdr:x>0</cdr:x>
      <cdr:y>0.01239</cdr:y>
    </cdr:from>
    <cdr:to>
      <cdr:x>0.13144</cdr:x>
      <cdr:y>0.07484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0" y="37595"/>
          <a:ext cx="469664" cy="189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H" sz="1000"/>
            <a:t>En</a:t>
          </a:r>
          <a:r>
            <a:rPr lang="fr-CH" sz="900"/>
            <a:t> %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0.00354</cdr:x>
      <cdr:y>0.00017</cdr:y>
    </cdr:from>
    <cdr:to>
      <cdr:x>0.13736</cdr:x>
      <cdr:y>0.04357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8225" y="767"/>
          <a:ext cx="688808" cy="196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CH" sz="1000" b="1"/>
            <a:t>En 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0.00337</cdr:x>
      <cdr:y>0</cdr:y>
    </cdr:from>
    <cdr:to>
      <cdr:x>0.15584</cdr:x>
      <cdr:y>0.05717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266" y="0"/>
          <a:ext cx="781153" cy="258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H" sz="1000" b="1"/>
            <a:t>En 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570108</xdr:colOff>
      <xdr:row>5</xdr:row>
      <xdr:rowOff>76200</xdr:rowOff>
    </xdr:to>
    <xdr:pic>
      <xdr:nvPicPr>
        <xdr:cNvPr id="2" name="Picture 1" descr="Graphics text slide" title="Graphics text slide">
          <a:extLst>
            <a:ext uri="{FF2B5EF4-FFF2-40B4-BE49-F238E27FC236}">
              <a16:creationId xmlns:a16="http://schemas.microsoft.com/office/drawing/2014/main" id="{5B824ECC-065C-48D0-8BA8-388885EE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28575"/>
          <a:ext cx="3465708" cy="809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47708</xdr:colOff>
      <xdr:row>0</xdr:row>
      <xdr:rowOff>119270</xdr:rowOff>
    </xdr:from>
    <xdr:ext cx="1288112" cy="548640"/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8" y="119270"/>
          <a:ext cx="1288112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quete.faje@vd.ch" TargetMode="External"/><Relationship Id="rId1" Type="http://schemas.openxmlformats.org/officeDocument/2006/relationships/hyperlink" Target="http://www.vd.ch/stat-accueil-sco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9"/>
  <dimension ref="A8:U320"/>
  <sheetViews>
    <sheetView showGridLines="0" showRowColHeaders="0" tabSelected="1" showRuler="0" view="pageLayout" zoomScale="115" zoomScaleNormal="70" zoomScaleSheetLayoutView="55" zoomScalePageLayoutView="115" workbookViewId="0">
      <selection activeCell="H3" sqref="H3"/>
    </sheetView>
  </sheetViews>
  <sheetFormatPr baseColWidth="10" defaultColWidth="1.7109375" defaultRowHeight="15"/>
  <cols>
    <col min="1" max="1" width="2.85546875" style="12" customWidth="1"/>
    <col min="2" max="2" width="20.140625" style="12" customWidth="1"/>
    <col min="3" max="3" width="7.85546875" style="12" customWidth="1"/>
    <col min="4" max="4" width="7.5703125" style="12" customWidth="1"/>
    <col min="5" max="5" width="6.140625" style="12" customWidth="1"/>
    <col min="6" max="21" width="7" style="12" customWidth="1"/>
    <col min="22" max="16384" width="1.7109375" style="12"/>
  </cols>
  <sheetData>
    <row r="8" spans="10:10" ht="12.75" customHeight="1"/>
    <row r="9" spans="10:10" ht="12.75" customHeight="1"/>
    <row r="10" spans="10:10" ht="12.75" customHeight="1"/>
    <row r="11" spans="10:10" ht="12.75" customHeight="1"/>
    <row r="12" spans="10:10" ht="12.75" customHeight="1"/>
    <row r="13" spans="10:10" ht="15.75">
      <c r="J13" s="92"/>
    </row>
    <row r="21" spans="2:18" ht="33.75">
      <c r="B21" s="286" t="str">
        <f>$B$38</f>
        <v>Ensemble des réseaux</v>
      </c>
    </row>
    <row r="22" spans="2:18" ht="46.5" customHeight="1">
      <c r="B22" s="97" t="s">
        <v>90</v>
      </c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2:18" ht="39" customHeight="1">
      <c r="B23" s="292">
        <v>2024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</row>
    <row r="24" spans="2:18" ht="46.5">
      <c r="B24" s="285" t="s">
        <v>91</v>
      </c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5"/>
    </row>
    <row r="25" spans="2:18" ht="12.75" customHeight="1"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5"/>
    </row>
    <row r="26" spans="2:18" ht="12.75" customHeight="1"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5"/>
    </row>
    <row r="27" spans="2:18" ht="12.75" customHeight="1"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5"/>
    </row>
    <row r="28" spans="2:18" ht="12.75" customHeight="1"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5"/>
    </row>
    <row r="29" spans="2:18" ht="12.75" customHeight="1"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5"/>
    </row>
    <row r="30" spans="2:18" ht="12.75" customHeight="1"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5"/>
    </row>
    <row r="31" spans="2:18" ht="12.75" customHeight="1"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5"/>
    </row>
    <row r="32" spans="2:18" ht="12.75" customHeight="1"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5"/>
    </row>
    <row r="33" spans="2:18" ht="12.75" customHeight="1"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5"/>
    </row>
    <row r="34" spans="2:18" ht="12.75" customHeight="1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5"/>
    </row>
    <row r="35" spans="2:18" ht="10.5" customHeight="1"/>
    <row r="36" spans="2:18" ht="21.75" customHeight="1">
      <c r="B36" s="304" t="s">
        <v>148</v>
      </c>
      <c r="C36" s="304"/>
      <c r="D36" s="304"/>
      <c r="E36" s="304"/>
      <c r="F36" s="304"/>
      <c r="G36" s="304"/>
      <c r="H36" s="304"/>
      <c r="I36" s="304"/>
    </row>
    <row r="37" spans="2:18" ht="6" customHeight="1" thickBot="1">
      <c r="B37" s="320"/>
      <c r="C37" s="320"/>
      <c r="D37" s="320"/>
      <c r="E37" s="320"/>
      <c r="F37" s="320"/>
      <c r="G37" s="320"/>
      <c r="H37" s="320"/>
      <c r="I37" s="320"/>
    </row>
    <row r="38" spans="2:18" ht="67.5" customHeight="1" thickBot="1">
      <c r="B38" s="321" t="s">
        <v>83</v>
      </c>
      <c r="C38" s="322"/>
      <c r="D38" s="322"/>
      <c r="E38" s="322"/>
      <c r="F38" s="322"/>
      <c r="G38" s="322"/>
      <c r="H38" s="322"/>
      <c r="I38" s="323"/>
      <c r="J38" s="283" t="s">
        <v>149</v>
      </c>
      <c r="K38" s="305" t="s">
        <v>114</v>
      </c>
      <c r="L38" s="306"/>
      <c r="M38" s="306"/>
      <c r="N38" s="306"/>
      <c r="O38" s="306"/>
      <c r="P38" s="306"/>
      <c r="Q38" s="306"/>
      <c r="R38" s="307"/>
    </row>
    <row r="39" spans="2:18" ht="12.75" customHeight="1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</row>
    <row r="40" spans="2:18" ht="15" customHeight="1"/>
    <row r="41" spans="2:18" ht="23.25"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</row>
    <row r="42" spans="2:18" ht="23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</row>
    <row r="44" spans="2:18" ht="23.25">
      <c r="B44" s="11" t="s">
        <v>12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</row>
    <row r="45" spans="2:18" ht="23.25">
      <c r="B45" s="90" t="s">
        <v>15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</row>
    <row r="46" spans="2:18" ht="23.25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spans="2:18" ht="23.25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</row>
    <row r="48" spans="2:18" ht="23.25"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</row>
    <row r="49" spans="1:19" ht="23.25">
      <c r="D49" s="153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9" ht="23.25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1:19" ht="23.25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19" ht="23.2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19" ht="23.25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9" ht="29.25" customHeight="1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P54" s="150" t="s">
        <v>25</v>
      </c>
      <c r="Q54" s="154"/>
      <c r="R54" s="154"/>
      <c r="S54" s="11"/>
    </row>
    <row r="55" spans="1:19" ht="23.25" customHeight="1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P55" s="154"/>
      <c r="Q55" s="154"/>
      <c r="R55" s="157"/>
      <c r="S55" s="159" t="s">
        <v>23</v>
      </c>
    </row>
    <row r="56" spans="1:19" ht="48" customHeight="1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54"/>
      <c r="O56" s="154"/>
      <c r="P56" s="154"/>
      <c r="Q56" s="154"/>
      <c r="R56" s="158"/>
      <c r="S56" s="160" t="s">
        <v>24</v>
      </c>
    </row>
    <row r="57" spans="1:19" ht="23.25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O57" s="11"/>
      <c r="P57" s="11"/>
      <c r="Q57" s="11"/>
    </row>
    <row r="58" spans="1:19"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</row>
    <row r="59" spans="1:19">
      <c r="C59" s="75"/>
      <c r="D59" s="75"/>
      <c r="E59" s="75"/>
      <c r="F59" s="75"/>
      <c r="G59" s="75"/>
      <c r="H59" s="75"/>
      <c r="I59" s="75"/>
      <c r="J59" s="75"/>
      <c r="K59" s="75"/>
      <c r="L59" s="137"/>
      <c r="M59" s="75"/>
      <c r="N59" s="137"/>
      <c r="O59" s="75"/>
      <c r="P59" s="75"/>
      <c r="Q59" s="71"/>
      <c r="R59" s="71"/>
    </row>
    <row r="60" spans="1:19"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94"/>
      <c r="R60" s="94"/>
    </row>
    <row r="61" spans="1:19">
      <c r="A61" s="75" t="s">
        <v>126</v>
      </c>
      <c r="B61" s="75"/>
    </row>
    <row r="62" spans="1:19">
      <c r="A62" s="75"/>
      <c r="B62" s="75" t="s">
        <v>144</v>
      </c>
    </row>
    <row r="63" spans="1:19">
      <c r="A63" s="75"/>
      <c r="B63" s="75" t="s">
        <v>145</v>
      </c>
    </row>
    <row r="64" spans="1:19" ht="18.75" customHeight="1"/>
    <row r="65" spans="2:20">
      <c r="N65" s="155"/>
    </row>
    <row r="66" spans="2:20" ht="21" customHeight="1">
      <c r="N66" s="118"/>
    </row>
    <row r="67" spans="2:20" ht="29.25">
      <c r="B67" s="151" t="s">
        <v>156</v>
      </c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</row>
    <row r="68" spans="2:20" ht="21" customHeight="1"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O68" s="118"/>
      <c r="P68" s="118"/>
      <c r="Q68" s="118"/>
      <c r="R68" s="118"/>
    </row>
    <row r="69" spans="2:20" ht="22.5" customHeight="1">
      <c r="B69" s="150" t="str">
        <f>CONCATENATE("Population résidante permanente préscolaire et parascolaire, Vaud, depuis ",$F$71)</f>
        <v>Population résidante permanente préscolaire et parascolaire, Vaud, depuis 2022</v>
      </c>
    </row>
    <row r="70" spans="2:20" ht="22.5" customHeight="1"/>
    <row r="71" spans="2:20" ht="22.5" customHeight="1">
      <c r="B71" s="287"/>
      <c r="C71" s="287"/>
      <c r="D71" s="288"/>
      <c r="E71" s="288"/>
      <c r="F71" s="294">
        <v>2022</v>
      </c>
      <c r="G71" s="295"/>
      <c r="H71" s="294">
        <v>2023</v>
      </c>
      <c r="I71" s="295"/>
      <c r="J71" s="294">
        <v>2024</v>
      </c>
      <c r="K71" s="295"/>
    </row>
    <row r="72" spans="2:20" ht="22.5" customHeight="1">
      <c r="B72" s="348" t="s">
        <v>98</v>
      </c>
      <c r="C72" s="348"/>
      <c r="D72" s="348" t="e">
        <f>VLOOKUP("Ensemble des réseaux",#REF!, 2, FALSE)</f>
        <v>#REF!</v>
      </c>
      <c r="E72" s="348" t="e">
        <f>VLOOKUP("Ensemble des réseaux",#REF!, 3, FALSE)</f>
        <v>#REF!</v>
      </c>
      <c r="F72" s="296">
        <v>36130</v>
      </c>
      <c r="G72" s="297"/>
      <c r="H72" s="296">
        <v>35678</v>
      </c>
      <c r="I72" s="297"/>
      <c r="J72" s="296">
        <v>34734</v>
      </c>
      <c r="K72" s="297"/>
    </row>
    <row r="73" spans="2:20" ht="22.5" customHeight="1">
      <c r="B73" s="349" t="s">
        <v>99</v>
      </c>
      <c r="C73" s="349"/>
      <c r="D73" s="349" t="e">
        <f>VLOOKUP("Ensemble des réseaux",#REF!, 2, FALSE)</f>
        <v>#REF!</v>
      </c>
      <c r="E73" s="349" t="e">
        <f>VLOOKUP("Ensemble des réseaux",#REF!, 3, FALSE)</f>
        <v>#REF!</v>
      </c>
      <c r="F73" s="296">
        <v>71948</v>
      </c>
      <c r="G73" s="297"/>
      <c r="H73" s="296">
        <v>73160</v>
      </c>
      <c r="I73" s="297"/>
      <c r="J73" s="296">
        <v>73924</v>
      </c>
      <c r="K73" s="297"/>
    </row>
    <row r="74" spans="2:20" ht="22.5" customHeight="1">
      <c r="B74" s="350" t="s">
        <v>100</v>
      </c>
      <c r="C74" s="351"/>
      <c r="D74" s="351"/>
      <c r="E74" s="352"/>
      <c r="F74" s="296">
        <v>108078</v>
      </c>
      <c r="G74" s="297"/>
      <c r="H74" s="296">
        <v>108838</v>
      </c>
      <c r="I74" s="297"/>
      <c r="J74" s="296">
        <v>108658</v>
      </c>
      <c r="K74" s="297"/>
    </row>
    <row r="75" spans="2:20" ht="22.5" customHeight="1">
      <c r="B75" s="289"/>
      <c r="C75" s="289"/>
      <c r="D75" s="288"/>
      <c r="E75" s="288"/>
      <c r="F75" s="288"/>
      <c r="G75" s="93"/>
      <c r="H75" s="288"/>
      <c r="I75" s="93"/>
      <c r="J75" s="288"/>
      <c r="K75" s="93"/>
    </row>
    <row r="76" spans="2:20" ht="22.5" customHeight="1">
      <c r="B76" s="350" t="s">
        <v>97</v>
      </c>
      <c r="C76" s="351"/>
      <c r="D76" s="351"/>
      <c r="E76" s="352"/>
      <c r="F76" s="296">
        <v>830791</v>
      </c>
      <c r="G76" s="297"/>
      <c r="H76" s="296">
        <v>846303</v>
      </c>
      <c r="I76" s="297"/>
      <c r="J76" s="296">
        <v>855749</v>
      </c>
      <c r="K76" s="297"/>
    </row>
    <row r="77" spans="2:20" ht="22.5" customHeight="1">
      <c r="B77" s="289"/>
      <c r="C77" s="289"/>
      <c r="D77" s="288"/>
      <c r="E77" s="288"/>
      <c r="F77" s="288"/>
      <c r="G77" s="288"/>
      <c r="H77" s="93"/>
      <c r="I77" s="93"/>
      <c r="J77" s="93"/>
      <c r="K77" s="93"/>
    </row>
    <row r="78" spans="2:20" ht="22.5" customHeight="1"/>
    <row r="79" spans="2:20" ht="22.5" customHeight="1">
      <c r="B79" s="288"/>
      <c r="C79" s="288"/>
      <c r="D79" s="288"/>
      <c r="E79" s="288"/>
      <c r="F79" s="288"/>
      <c r="G79" s="288"/>
    </row>
    <row r="80" spans="2:20" ht="37.5" customHeight="1">
      <c r="B80" s="343" t="str">
        <f>CONCATENATE($B$38," | Population résidante permanente des enfants de 12 ans et moins, selon l'âge, Vaud, ",$B$23)</f>
        <v>Ensemble des réseaux | Population résidante permanente des enfants de 12 ans et moins, selon l'âge, Vaud, 2024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</row>
    <row r="81" spans="2:7" ht="22.5" customHeight="1">
      <c r="B81" s="290"/>
      <c r="C81" s="288"/>
      <c r="D81" s="288"/>
      <c r="E81" s="288"/>
      <c r="F81" s="288"/>
      <c r="G81" s="288"/>
    </row>
    <row r="82" spans="2:7" ht="22.5" customHeight="1">
      <c r="B82" s="333"/>
      <c r="C82" s="333"/>
      <c r="D82" s="333"/>
      <c r="E82" s="334"/>
      <c r="F82" s="340">
        <f>B23</f>
        <v>2024</v>
      </c>
      <c r="G82" s="341"/>
    </row>
    <row r="83" spans="2:7" ht="22.5" customHeight="1">
      <c r="B83" s="324" t="s">
        <v>158</v>
      </c>
      <c r="C83" s="325"/>
      <c r="D83" s="325"/>
      <c r="E83" s="326"/>
      <c r="F83" s="300">
        <f>VLOOKUP($B$38,Population!$A:$OO, 6, FALSE)</f>
        <v>34734</v>
      </c>
      <c r="G83" s="301"/>
    </row>
    <row r="84" spans="2:7" ht="22.5" customHeight="1">
      <c r="B84" s="327" t="s">
        <v>159</v>
      </c>
      <c r="C84" s="328"/>
      <c r="D84" s="328"/>
      <c r="E84" s="329"/>
      <c r="F84" s="335">
        <f>VLOOKUP($B$38,Population!$A:$OO, 2, FALSE)</f>
        <v>11929</v>
      </c>
      <c r="G84" s="336"/>
    </row>
    <row r="85" spans="2:7" ht="22.5" customHeight="1" thickBot="1">
      <c r="B85" s="356" t="s">
        <v>160</v>
      </c>
      <c r="C85" s="357"/>
      <c r="D85" s="357"/>
      <c r="E85" s="358"/>
      <c r="F85" s="335">
        <f>VLOOKUP($B$38,Population!$A:$OO, 3, FALSE)</f>
        <v>8403</v>
      </c>
      <c r="G85" s="336"/>
    </row>
    <row r="86" spans="2:7" ht="22.5" customHeight="1" thickTop="1">
      <c r="B86" s="353" t="s">
        <v>161</v>
      </c>
      <c r="C86" s="354"/>
      <c r="D86" s="354"/>
      <c r="E86" s="355"/>
      <c r="F86" s="337">
        <f>VLOOKUP($B$38,Population!$A:$OO, 4, FALSE)</f>
        <v>20332</v>
      </c>
      <c r="G86" s="338"/>
    </row>
    <row r="87" spans="2:7" ht="22.5" customHeight="1">
      <c r="B87" s="330" t="s">
        <v>162</v>
      </c>
      <c r="C87" s="331"/>
      <c r="D87" s="331"/>
      <c r="E87" s="332"/>
      <c r="F87" s="308">
        <f>VLOOKUP($B$38,Population!$A:$OO, 5, FALSE)</f>
        <v>14402</v>
      </c>
      <c r="G87" s="309"/>
    </row>
    <row r="88" spans="2:7" ht="22.5" customHeight="1">
      <c r="B88" s="291"/>
      <c r="C88" s="291"/>
      <c r="D88" s="291"/>
      <c r="E88" s="291"/>
      <c r="F88" s="298"/>
      <c r="G88" s="299"/>
    </row>
    <row r="89" spans="2:7" ht="22.5" customHeight="1">
      <c r="B89" s="324" t="s">
        <v>167</v>
      </c>
      <c r="C89" s="325"/>
      <c r="D89" s="325"/>
      <c r="E89" s="326"/>
      <c r="F89" s="300">
        <f>VLOOKUP($B$38,Population!$A:$OO, 11, FALSE)</f>
        <v>73924</v>
      </c>
      <c r="G89" s="301"/>
    </row>
    <row r="90" spans="2:7" ht="22.5" customHeight="1">
      <c r="B90" s="330" t="s">
        <v>163</v>
      </c>
      <c r="C90" s="331"/>
      <c r="D90" s="331"/>
      <c r="E90" s="332"/>
      <c r="F90" s="302">
        <f>VLOOKUP($B$38,Population!$A:$OO, 7, FALSE)</f>
        <v>18112</v>
      </c>
      <c r="G90" s="303"/>
    </row>
    <row r="91" spans="2:7" ht="22.5" customHeight="1">
      <c r="B91" s="330" t="s">
        <v>164</v>
      </c>
      <c r="C91" s="331"/>
      <c r="D91" s="331"/>
      <c r="E91" s="332"/>
      <c r="F91" s="302">
        <f>VLOOKUP($B$38,Population!$A:$OO, 8, FALSE)</f>
        <v>18530</v>
      </c>
      <c r="G91" s="303"/>
    </row>
    <row r="92" spans="2:7" ht="22.5" customHeight="1">
      <c r="B92" s="330" t="s">
        <v>165</v>
      </c>
      <c r="C92" s="331"/>
      <c r="D92" s="331"/>
      <c r="E92" s="332"/>
      <c r="F92" s="302">
        <f>VLOOKUP($B$38,Population!$A:$OO, 9, FALSE)</f>
        <v>18569</v>
      </c>
      <c r="G92" s="303"/>
    </row>
    <row r="93" spans="2:7" ht="22.5" customHeight="1">
      <c r="B93" s="330" t="s">
        <v>166</v>
      </c>
      <c r="C93" s="331"/>
      <c r="D93" s="331"/>
      <c r="E93" s="332"/>
      <c r="F93" s="308">
        <f>VLOOKUP($B$38,Population!$A:$OO, 10, FALSE)</f>
        <v>18713</v>
      </c>
      <c r="G93" s="309"/>
    </row>
    <row r="94" spans="2:7" ht="22.5" customHeight="1">
      <c r="B94" s="291"/>
      <c r="C94" s="291"/>
      <c r="D94" s="291"/>
      <c r="E94" s="291"/>
      <c r="F94" s="298"/>
      <c r="G94" s="299"/>
    </row>
    <row r="95" spans="2:7" ht="22.5" customHeight="1">
      <c r="B95" s="324" t="str">
        <f>CONCATENATE("Population | ", $B$38)</f>
        <v>Population | Ensemble des réseaux</v>
      </c>
      <c r="C95" s="325"/>
      <c r="D95" s="325"/>
      <c r="E95" s="326"/>
      <c r="F95" s="300">
        <f>VLOOKUP($B$38,Population!$A:$OO, 14, FALSE)</f>
        <v>855749</v>
      </c>
      <c r="G95" s="301"/>
    </row>
    <row r="96" spans="2:7" ht="22.5" customHeight="1">
      <c r="B96" s="330" t="s">
        <v>128</v>
      </c>
      <c r="C96" s="331" t="s">
        <v>111</v>
      </c>
      <c r="D96" s="331"/>
      <c r="E96" s="332"/>
      <c r="F96" s="302">
        <f>VLOOKUP($B$38,Population!$A:$OO, 12, FALSE)</f>
        <v>108658</v>
      </c>
      <c r="G96" s="303"/>
    </row>
    <row r="97" spans="2:21" ht="22.5" customHeight="1">
      <c r="B97" s="330" t="s">
        <v>113</v>
      </c>
      <c r="C97" s="331" t="s">
        <v>112</v>
      </c>
      <c r="D97" s="331"/>
      <c r="E97" s="332"/>
      <c r="F97" s="308">
        <f>VLOOKUP($B$38,Population!$A:$OO, 13, FALSE)</f>
        <v>747091</v>
      </c>
      <c r="G97" s="309"/>
    </row>
    <row r="101" spans="2:21" ht="29.25" customHeight="1">
      <c r="B101" s="293" t="s">
        <v>157</v>
      </c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</row>
    <row r="129" spans="2:20">
      <c r="N129" s="137"/>
    </row>
    <row r="132" spans="2:20" ht="21" customHeight="1"/>
    <row r="133" spans="2:20" ht="26.25">
      <c r="B133" s="151" t="s">
        <v>153</v>
      </c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</row>
    <row r="134" spans="2:20" ht="21" customHeight="1"/>
    <row r="135" spans="2:20" ht="39.75" customHeight="1">
      <c r="B135" s="342" t="str">
        <f>CONCATENATE($B$38," | Nombre de places à plein temps en accueil collectif préscolaire subventionné et à temps d'ouverture élargi, depuis ", $F$137)</f>
        <v>Ensemble des réseaux | Nombre de places à plein temps en accueil collectif préscolaire subventionné et à temps d'ouverture élargi, depuis 2010</v>
      </c>
      <c r="C135" s="342"/>
      <c r="D135" s="342"/>
      <c r="E135" s="342"/>
      <c r="F135" s="342"/>
      <c r="G135" s="342"/>
      <c r="H135" s="342"/>
      <c r="I135" s="342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</row>
    <row r="136" spans="2:20" ht="14.25" customHeight="1">
      <c r="N136" s="8"/>
    </row>
    <row r="137" spans="2:20" ht="25.5" customHeight="1">
      <c r="B137" s="137"/>
      <c r="C137" s="137"/>
      <c r="D137" s="137"/>
      <c r="E137" s="137"/>
      <c r="F137" s="138">
        <v>2010</v>
      </c>
      <c r="G137" s="138">
        <v>2011</v>
      </c>
      <c r="H137" s="138">
        <v>2012</v>
      </c>
      <c r="I137" s="138">
        <v>2013</v>
      </c>
      <c r="J137" s="138">
        <v>2014</v>
      </c>
      <c r="K137" s="138">
        <v>2015</v>
      </c>
      <c r="L137" s="138">
        <v>2016</v>
      </c>
      <c r="M137" s="138">
        <v>2017</v>
      </c>
      <c r="N137" s="138">
        <v>2018</v>
      </c>
      <c r="O137" s="138">
        <v>2019</v>
      </c>
      <c r="P137" s="138">
        <v>2020</v>
      </c>
      <c r="Q137" s="138">
        <v>2021</v>
      </c>
      <c r="R137" s="138">
        <v>2022</v>
      </c>
      <c r="S137" s="138">
        <v>2023</v>
      </c>
      <c r="T137" s="138">
        <v>2024</v>
      </c>
    </row>
    <row r="138" spans="2:20" ht="25.5" customHeight="1">
      <c r="B138" s="339" t="s">
        <v>9</v>
      </c>
      <c r="C138" s="339"/>
      <c r="D138" s="339"/>
      <c r="E138" s="339"/>
      <c r="F138" s="139">
        <f>VLOOKUP($B$38,  PRE_places_off_sub!$A$5:$N$40, 2, FALSE)</f>
        <v>4899</v>
      </c>
      <c r="G138" s="139">
        <f>VLOOKUP($B$38,  PRE_places_off_sub!$A$5:$N$40, 3, FALSE)</f>
        <v>5271</v>
      </c>
      <c r="H138" s="139">
        <f>VLOOKUP($B$38,  PRE_places_off_sub!$A$5:$N$40, 4, FALSE)</f>
        <v>5647</v>
      </c>
      <c r="I138" s="139">
        <f>VLOOKUP($B$38,  PRE_places_off_sub!$A$5:$N$40, 5, FALSE)</f>
        <v>5959</v>
      </c>
      <c r="J138" s="139">
        <f>VLOOKUP($B$38,  PRE_places_off_sub!$A$5:$N$40, 6, FALSE)</f>
        <v>6535</v>
      </c>
      <c r="K138" s="139">
        <f>VLOOKUP($B$38,  PRE_places_off_sub!$A$5:$N$40, 7, FALSE)</f>
        <v>6864</v>
      </c>
      <c r="L138" s="139">
        <f>VLOOKUP($B$38,  PRE_places_off_sub!$A$5:$N$40, 8, FALSE)</f>
        <v>7283</v>
      </c>
      <c r="M138" s="139">
        <f>VLOOKUP($B$38,  PRE_places_off_sub!$A$5:$N$40, 9, FALSE)</f>
        <v>7609</v>
      </c>
      <c r="N138" s="139"/>
      <c r="O138" s="139">
        <f>VLOOKUP($B$38,  PRE_places_off_sub!$A$5:$N$40, 11, FALSE)</f>
        <v>8132</v>
      </c>
      <c r="P138" s="139">
        <f>VLOOKUP($B$38,  PRE_places_off_sub!$A$5:$N$40, 12, FALSE)</f>
        <v>8317</v>
      </c>
      <c r="Q138" s="139">
        <f>VLOOKUP($B$38,  PRE_places_off_sub!$A$5:$N$40, 13, FALSE)</f>
        <v>8628</v>
      </c>
      <c r="R138" s="139">
        <f>VLOOKUP($B$38,  PRE_places_off_sub!$A$5:$N$40, 14, FALSE)</f>
        <v>8918</v>
      </c>
      <c r="S138" s="139">
        <f>VLOOKUP($B$38,  PRE_places_off_sub!$A$5:$OO$1000, 15, FALSE)</f>
        <v>9491</v>
      </c>
      <c r="T138" s="139">
        <f>VLOOKUP($B$38,  PRE_places_off_sub!$A$5:$OO$1000, 16, FALSE)</f>
        <v>9734</v>
      </c>
    </row>
    <row r="139" spans="2:20" ht="25.5" customHeight="1">
      <c r="B139" s="339" t="s">
        <v>87</v>
      </c>
      <c r="C139" s="339"/>
      <c r="D139" s="339"/>
      <c r="E139" s="339"/>
      <c r="F139" s="139">
        <f>VLOOKUP($B$38, PRE_places_pt_sub!$A$5:$N$40, 2, FALSE)</f>
        <v>4775.09</v>
      </c>
      <c r="G139" s="139">
        <f>VLOOKUP($B$38, PRE_places_pt_sub!$A$5:$N$40, 3, FALSE)</f>
        <v>5245.76</v>
      </c>
      <c r="H139" s="139">
        <f>VLOOKUP($B$38, PRE_places_pt_sub!$A$5:$N$40, 4, FALSE)</f>
        <v>5626.58</v>
      </c>
      <c r="I139" s="139">
        <f>VLOOKUP($B$38, PRE_places_pt_sub!$A$5:$N$40, 5, FALSE)</f>
        <v>5930.62</v>
      </c>
      <c r="J139" s="139">
        <f>VLOOKUP($B$38, PRE_places_pt_sub!$A$5:$N$40, 6, FALSE)</f>
        <v>6513.52</v>
      </c>
      <c r="K139" s="139">
        <f>VLOOKUP($B$38, PRE_places_pt_sub!$A$5:$N$40, 7, FALSE)</f>
        <v>6838.08</v>
      </c>
      <c r="L139" s="139">
        <f>VLOOKUP($B$38, PRE_places_pt_sub!$A$5:$N$40, 8, FALSE)</f>
        <v>7261.4</v>
      </c>
      <c r="M139" s="139">
        <f>VLOOKUP($B$38, PRE_places_pt_sub!$A$5:$N$40, 9, FALSE)</f>
        <v>7594.42</v>
      </c>
      <c r="N139" s="139"/>
      <c r="O139" s="139">
        <f>VLOOKUP($B$38, PRE_places_pt_sub!$A$5:$N$40, 11, FALSE)</f>
        <v>8117</v>
      </c>
      <c r="P139" s="139">
        <f>VLOOKUP($B$38, PRE_places_pt_sub!$A$5:$N$40, 12, FALSE)</f>
        <v>8307</v>
      </c>
      <c r="Q139" s="139">
        <f>VLOOKUP($B$38, PRE_places_pt_sub!$A$5:$N$40, 13, FALSE)</f>
        <v>8618.9000000000015</v>
      </c>
      <c r="R139" s="139">
        <f>VLOOKUP($B$38, PRE_places_pt_sub!$A$5:$N$40, 14, FALSE)</f>
        <v>8876.1712252964408</v>
      </c>
      <c r="S139" s="139">
        <f>VLOOKUP($B$38, PRE_places_pt_sub!$A$1:$OO$1000, 15, FALSE)</f>
        <v>9298.0626482213502</v>
      </c>
      <c r="T139" s="139">
        <f>VLOOKUP($B$38, PRE_places_pt_sub!$A$1:$OO$1000, 16, FALSE)</f>
        <v>9722.6056916996095</v>
      </c>
    </row>
    <row r="140" spans="2:20" ht="6" customHeight="1">
      <c r="B140" s="89"/>
      <c r="C140" s="89"/>
      <c r="D140" s="89"/>
      <c r="E140" s="89"/>
      <c r="F140" s="8"/>
      <c r="G140" s="8"/>
      <c r="H140" s="8"/>
      <c r="I140" s="8"/>
      <c r="J140" s="8"/>
      <c r="K140" s="8"/>
      <c r="L140" s="8"/>
      <c r="M140" s="8"/>
      <c r="N140" s="9"/>
      <c r="O140" s="8"/>
      <c r="P140" s="8"/>
      <c r="Q140" s="8"/>
      <c r="R140" s="8"/>
    </row>
    <row r="141" spans="2:20">
      <c r="B141" s="32" t="s">
        <v>115</v>
      </c>
      <c r="C141" s="118"/>
      <c r="D141" s="118"/>
      <c r="E141" s="118"/>
      <c r="F141" s="119"/>
      <c r="G141" s="119"/>
      <c r="H141" s="120"/>
      <c r="I141" s="120"/>
      <c r="J141" s="119"/>
      <c r="K141" s="119"/>
      <c r="L141" s="119"/>
      <c r="M141" s="119"/>
      <c r="O141" s="119"/>
      <c r="P141" s="119"/>
      <c r="Q141" s="119"/>
      <c r="R141" s="119"/>
    </row>
    <row r="142" spans="2:20">
      <c r="B142" s="32"/>
      <c r="C142" s="118"/>
      <c r="D142" s="118"/>
      <c r="E142" s="118"/>
      <c r="F142" s="119"/>
      <c r="G142" s="119"/>
      <c r="H142" s="120"/>
      <c r="I142" s="120"/>
      <c r="J142" s="119"/>
      <c r="K142" s="119"/>
      <c r="L142" s="119"/>
      <c r="M142" s="119"/>
      <c r="N142" s="129"/>
      <c r="O142" s="119"/>
      <c r="P142" s="119"/>
      <c r="Q142" s="119"/>
      <c r="R142" s="119"/>
    </row>
    <row r="143" spans="2:20">
      <c r="B143" s="32"/>
      <c r="C143" s="118"/>
      <c r="D143" s="118"/>
      <c r="E143" s="118"/>
      <c r="F143" s="119"/>
      <c r="G143" s="119"/>
      <c r="H143" s="120"/>
      <c r="I143" s="120"/>
      <c r="J143" s="119"/>
      <c r="K143" s="119"/>
      <c r="L143" s="119"/>
      <c r="M143" s="119"/>
      <c r="N143" s="129"/>
      <c r="O143" s="119"/>
      <c r="P143" s="119"/>
      <c r="Q143" s="119"/>
      <c r="R143" s="119"/>
    </row>
    <row r="144" spans="2:20">
      <c r="B144" s="32"/>
      <c r="C144" s="118"/>
      <c r="D144" s="118"/>
      <c r="E144" s="118"/>
      <c r="F144" s="119"/>
      <c r="G144" s="119"/>
      <c r="H144" s="120"/>
      <c r="I144" s="120"/>
      <c r="J144" s="119"/>
      <c r="K144" s="119"/>
      <c r="L144" s="119"/>
      <c r="M144" s="119"/>
      <c r="N144" s="129"/>
      <c r="O144" s="119"/>
      <c r="P144" s="119"/>
      <c r="Q144" s="119"/>
      <c r="R144" s="119"/>
    </row>
    <row r="145" spans="2:21">
      <c r="B145" s="9"/>
      <c r="C145" s="9"/>
      <c r="D145" s="9"/>
      <c r="E145" s="9"/>
      <c r="F145" s="9"/>
      <c r="G145" s="9"/>
      <c r="H145" s="74"/>
      <c r="I145" s="74"/>
      <c r="J145" s="9"/>
      <c r="K145" s="9"/>
      <c r="L145" s="9"/>
      <c r="M145" s="9"/>
      <c r="N145" s="129"/>
      <c r="O145" s="9"/>
      <c r="P145" s="9"/>
      <c r="Q145" s="9"/>
      <c r="R145" s="9"/>
    </row>
    <row r="146" spans="2:21">
      <c r="B146" s="9"/>
      <c r="C146" s="9"/>
      <c r="D146" s="9"/>
      <c r="E146" s="9"/>
      <c r="F146" s="9"/>
      <c r="G146" s="9"/>
      <c r="H146" s="74"/>
      <c r="I146" s="74"/>
      <c r="J146" s="9"/>
      <c r="K146" s="9"/>
      <c r="L146" s="9"/>
      <c r="M146" s="9"/>
      <c r="N146" s="156"/>
      <c r="O146" s="9"/>
      <c r="P146" s="9"/>
      <c r="Q146" s="9"/>
      <c r="R146" s="9"/>
    </row>
    <row r="147" spans="2:21" ht="21">
      <c r="B147" s="150" t="str">
        <f>CONCATENATE($B$38, " | Taux de couverture (en %):")</f>
        <v>Ensemble des réseaux | Taux de couverture (en %):</v>
      </c>
      <c r="C147" s="9"/>
      <c r="D147" s="9"/>
      <c r="E147" s="9"/>
      <c r="N147" s="128"/>
    </row>
    <row r="148" spans="2:21" ht="15" customHeight="1">
      <c r="B148" s="32" t="s">
        <v>18</v>
      </c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O148" s="129"/>
      <c r="P148" s="129"/>
      <c r="Q148" s="129"/>
      <c r="R148" s="129"/>
    </row>
    <row r="149" spans="2:21" ht="18.75" customHeight="1">
      <c r="B149" s="136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O149" s="129"/>
      <c r="P149" s="129"/>
      <c r="Q149" s="129"/>
      <c r="R149" s="129"/>
    </row>
    <row r="150" spans="2:21" ht="31.5" customHeight="1">
      <c r="B150" s="312" t="str">
        <f>CONCATENATE($B$38, " | Taux de couverture en accueil collectif préscolaire selon l type de structure, depuis ", MIN('Pour graphiques'!$C$6:$AA$6))</f>
        <v>Ensemble des réseaux | Taux de couverture en accueil collectif préscolaire selon l type de structure, depuis 2010</v>
      </c>
      <c r="C150" s="312"/>
      <c r="D150" s="312"/>
      <c r="E150" s="312"/>
      <c r="F150" s="312"/>
      <c r="G150" s="312"/>
      <c r="H150" s="312"/>
      <c r="I150" s="312"/>
      <c r="J150" s="166"/>
      <c r="K150" s="312" t="str">
        <f>CONCATENATE($B$38, " | Taux de couverture en accueil collectif préscolaire subventionné et à temps d'ouverture élargi, selon l'âge, depuis ", MIN('Pour graphiques'!$C$6:$AA$6))</f>
        <v>Ensemble des réseaux | Taux de couverture en accueil collectif préscolaire subventionné et à temps d'ouverture élargi, selon l'âge, depuis 2010</v>
      </c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</row>
    <row r="151" spans="2:21" ht="1.5" customHeight="1">
      <c r="B151" s="112"/>
      <c r="C151" s="112"/>
      <c r="D151" s="112"/>
      <c r="E151" s="112"/>
      <c r="F151" s="112"/>
      <c r="G151" s="112"/>
      <c r="H151" s="112"/>
      <c r="I151" s="112"/>
      <c r="J151" s="80"/>
      <c r="K151" s="128"/>
      <c r="L151" s="128"/>
      <c r="M151" s="128"/>
      <c r="O151" s="128"/>
      <c r="P151" s="128"/>
      <c r="Q151" s="128"/>
      <c r="R151" s="128"/>
    </row>
    <row r="152" spans="2:21" s="118" customFormat="1" ht="17.25" customHeight="1">
      <c r="B152" s="81"/>
      <c r="C152" s="81"/>
      <c r="D152" s="81"/>
      <c r="E152" s="81"/>
      <c r="F152" s="75"/>
      <c r="G152" s="75"/>
      <c r="H152" s="75"/>
      <c r="I152" s="75"/>
      <c r="J152" s="75"/>
      <c r="K152" s="75"/>
      <c r="L152" s="12"/>
      <c r="M152" s="12"/>
      <c r="N152" s="12"/>
      <c r="O152" s="12"/>
      <c r="P152" s="12"/>
      <c r="Q152" s="12"/>
      <c r="R152" s="12"/>
    </row>
    <row r="153" spans="2:21" s="118" customFormat="1">
      <c r="B153" s="82"/>
      <c r="C153" s="82"/>
      <c r="D153" s="82"/>
      <c r="E153" s="82"/>
      <c r="F153" s="75"/>
      <c r="G153" s="75"/>
      <c r="H153" s="75"/>
      <c r="I153" s="75"/>
      <c r="J153" s="75"/>
      <c r="K153" s="75"/>
      <c r="L153" s="12"/>
      <c r="M153" s="12"/>
      <c r="N153" s="12"/>
      <c r="O153" s="12"/>
      <c r="P153" s="12"/>
      <c r="Q153" s="12"/>
      <c r="R153" s="12"/>
    </row>
    <row r="154" spans="2:21">
      <c r="B154" s="82"/>
      <c r="C154" s="82"/>
      <c r="D154" s="82"/>
      <c r="E154" s="82"/>
      <c r="F154" s="75"/>
      <c r="G154" s="75"/>
      <c r="H154" s="75"/>
      <c r="I154" s="75"/>
      <c r="J154" s="75"/>
      <c r="K154" s="75"/>
    </row>
    <row r="155" spans="2:21" ht="21" customHeight="1">
      <c r="B155" s="82"/>
      <c r="C155" s="82"/>
      <c r="D155" s="82"/>
      <c r="E155" s="82"/>
      <c r="F155" s="76"/>
      <c r="G155" s="76"/>
      <c r="H155" s="76"/>
      <c r="I155" s="76"/>
      <c r="J155" s="76"/>
      <c r="K155" s="76"/>
    </row>
    <row r="156" spans="2:21" ht="21" customHeight="1">
      <c r="B156" s="77"/>
      <c r="C156" s="77"/>
      <c r="D156" s="77"/>
      <c r="E156" s="77"/>
      <c r="F156" s="78"/>
      <c r="G156" s="78"/>
      <c r="H156" s="78"/>
      <c r="I156" s="78"/>
      <c r="J156" s="78"/>
      <c r="K156" s="78"/>
    </row>
    <row r="157" spans="2:21" ht="15" customHeight="1">
      <c r="B157" s="77"/>
      <c r="C157" s="77"/>
      <c r="D157" s="77"/>
      <c r="E157" s="77"/>
      <c r="F157" s="78"/>
      <c r="G157" s="78"/>
      <c r="H157" s="78"/>
      <c r="I157" s="78"/>
      <c r="J157" s="78"/>
      <c r="K157" s="78"/>
    </row>
    <row r="158" spans="2:21" ht="21" customHeight="1">
      <c r="B158" s="77"/>
      <c r="C158" s="77"/>
      <c r="D158" s="77"/>
      <c r="E158" s="77"/>
      <c r="F158" s="78"/>
      <c r="G158" s="78"/>
      <c r="H158" s="78"/>
      <c r="I158" s="78"/>
      <c r="J158" s="78"/>
      <c r="K158" s="78"/>
    </row>
    <row r="159" spans="2:21" ht="21" customHeight="1">
      <c r="B159" s="83"/>
      <c r="C159" s="83"/>
      <c r="D159" s="83"/>
      <c r="E159" s="83"/>
      <c r="F159" s="79"/>
      <c r="G159" s="79"/>
      <c r="H159" s="79"/>
      <c r="I159" s="79"/>
      <c r="J159" s="79"/>
      <c r="K159" s="79"/>
    </row>
    <row r="160" spans="2:21" ht="21" customHeight="1"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N160" s="127"/>
    </row>
    <row r="161" spans="2:18" ht="21" customHeight="1">
      <c r="B161" s="75"/>
      <c r="C161" s="75"/>
      <c r="D161" s="75"/>
      <c r="E161" s="75"/>
      <c r="F161" s="75"/>
      <c r="G161" s="75"/>
      <c r="H161" s="75"/>
      <c r="I161" s="75"/>
      <c r="J161" s="75"/>
      <c r="K161" s="75"/>
    </row>
    <row r="162" spans="2:18" ht="21" customHeight="1"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N162" s="82"/>
    </row>
    <row r="163" spans="2:18" ht="21" customHeight="1">
      <c r="B163" s="75"/>
      <c r="C163" s="13"/>
      <c r="D163" s="75"/>
      <c r="E163" s="75"/>
      <c r="F163" s="75"/>
      <c r="G163" s="75"/>
      <c r="H163" s="75"/>
      <c r="I163" s="75"/>
      <c r="J163" s="75"/>
      <c r="K163" s="75"/>
    </row>
    <row r="164" spans="2:18" ht="21" customHeight="1">
      <c r="B164" s="126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O164" s="127"/>
    </row>
    <row r="165" spans="2:18" ht="21" customHeight="1">
      <c r="B165" s="82"/>
      <c r="O165" s="82"/>
      <c r="P165" s="82"/>
      <c r="Q165" s="82"/>
      <c r="R165" s="82"/>
    </row>
    <row r="166" spans="2:18" ht="21" customHeight="1">
      <c r="O166" s="82"/>
      <c r="P166" s="82"/>
      <c r="Q166" s="82"/>
      <c r="R166" s="82"/>
    </row>
    <row r="167" spans="2:18" ht="21" customHeight="1"/>
    <row r="168" spans="2:18" ht="21" customHeight="1">
      <c r="C168" s="91"/>
      <c r="D168" s="91"/>
      <c r="E168" s="91"/>
      <c r="F168" s="91"/>
      <c r="G168" s="91"/>
      <c r="H168" s="91"/>
      <c r="I168" s="91"/>
      <c r="J168" s="91"/>
      <c r="K168" s="91"/>
      <c r="L168" s="91"/>
    </row>
    <row r="169" spans="2:18" ht="21" customHeight="1">
      <c r="C169" s="88"/>
      <c r="D169" s="91"/>
      <c r="E169" s="91"/>
      <c r="F169" s="91"/>
      <c r="G169" s="91"/>
      <c r="H169" s="91"/>
      <c r="I169" s="91"/>
      <c r="J169" s="91"/>
      <c r="K169" s="91"/>
      <c r="L169" s="91"/>
    </row>
    <row r="170" spans="2:18" ht="21" customHeight="1"/>
    <row r="171" spans="2:18" ht="21" customHeight="1">
      <c r="C171" s="85"/>
      <c r="D171" s="85"/>
      <c r="E171" s="85"/>
      <c r="F171" s="85"/>
      <c r="G171" s="85"/>
      <c r="H171" s="85"/>
      <c r="I171" s="85"/>
      <c r="J171" s="85"/>
    </row>
    <row r="172" spans="2:18" ht="21" customHeight="1">
      <c r="C172" s="137"/>
      <c r="D172" s="137"/>
      <c r="E172" s="137"/>
      <c r="F172" s="137"/>
      <c r="G172" s="137"/>
      <c r="H172" s="137"/>
      <c r="I172" s="137"/>
      <c r="J172" s="85"/>
      <c r="K172" s="85"/>
      <c r="L172" s="85"/>
      <c r="M172" s="85"/>
      <c r="N172" s="85"/>
    </row>
    <row r="173" spans="2:18" ht="21" customHeight="1">
      <c r="C173" s="281"/>
      <c r="D173" s="281"/>
      <c r="E173" s="281"/>
      <c r="F173" s="281"/>
      <c r="G173" s="281"/>
      <c r="H173" s="281"/>
      <c r="I173" s="281"/>
    </row>
    <row r="174" spans="2:18" ht="21" customHeight="1">
      <c r="B174" s="137" t="str">
        <f>CONCATENATE("Taux de couverture en accueil collectif préscolaire subventionné, Vaud,  ",$B$23)</f>
        <v>Taux de couverture en accueil collectif préscolaire subventionné, Vaud,  2024</v>
      </c>
    </row>
    <row r="175" spans="2:18" ht="21" customHeight="1"/>
    <row r="176" spans="2:18" ht="21" customHeight="1"/>
    <row r="177" spans="12:15" ht="21" customHeight="1"/>
    <row r="178" spans="12:15" ht="21" customHeight="1"/>
    <row r="179" spans="12:15" ht="21" customHeight="1"/>
    <row r="180" spans="12:15" ht="21" customHeight="1"/>
    <row r="181" spans="12:15" ht="21" customHeight="1"/>
    <row r="182" spans="12:15" ht="21" customHeight="1">
      <c r="L182" s="86"/>
    </row>
    <row r="183" spans="12:15" ht="21" customHeight="1"/>
    <row r="184" spans="12:15" ht="21" customHeight="1"/>
    <row r="185" spans="12:15" ht="21" customHeight="1"/>
    <row r="186" spans="12:15" ht="21" customHeight="1"/>
    <row r="187" spans="12:15" ht="21" customHeight="1">
      <c r="O187" s="284" t="str">
        <f>CONCATENATE("Vaud : ", ROUND(PRE_Tx_couv_sub!$P$39,1)," %")</f>
        <v>Vaud : 28 %</v>
      </c>
    </row>
    <row r="188" spans="12:15" ht="21" customHeight="1">
      <c r="O188" s="92" t="str">
        <f>CONCATENATE("Min-Max : [", ROUND(MIN(PRE_Tx_couv_sub!$P$5:$P$38),1)," %", " - ", ROUND( MAX(PRE_Tx_couv_sub!$P$5:$P$38),1)," %", "]")</f>
        <v>Min-Max : [8.6 % - 50.9 %]</v>
      </c>
    </row>
    <row r="189" spans="12:15" ht="21" customHeight="1"/>
    <row r="190" spans="12:15" ht="21" customHeight="1"/>
    <row r="191" spans="12:15" ht="21" customHeight="1"/>
    <row r="192" spans="12:15" ht="96.75" customHeight="1"/>
    <row r="193" spans="2:20" ht="21" customHeight="1"/>
    <row r="194" spans="2:20" ht="21" customHeight="1">
      <c r="B194" s="151" t="s">
        <v>154</v>
      </c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</row>
    <row r="195" spans="2:20" ht="21" customHeight="1"/>
    <row r="196" spans="2:20" ht="35.25" customHeight="1">
      <c r="B196" s="342" t="str">
        <f>CONCATENATE($B$38," | Nombre de places à plein temps en accueil collectif parascolaire subventionné et à temps d'ouverture élargi, depuis ", $F$137)</f>
        <v>Ensemble des réseaux | Nombre de places à plein temps en accueil collectif parascolaire subventionné et à temps d'ouverture élargi, depuis 2010</v>
      </c>
      <c r="C196" s="342"/>
      <c r="D196" s="342"/>
      <c r="E196" s="342"/>
      <c r="F196" s="342"/>
      <c r="G196" s="342"/>
      <c r="H196" s="342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</row>
    <row r="197" spans="2:20" ht="14.25" customHeight="1">
      <c r="N197" s="8"/>
    </row>
    <row r="198" spans="2:20" ht="21" customHeight="1">
      <c r="B198" s="137"/>
      <c r="C198" s="137"/>
      <c r="D198" s="137"/>
      <c r="E198" s="137"/>
      <c r="F198" s="138">
        <v>2010</v>
      </c>
      <c r="G198" s="138">
        <v>2011</v>
      </c>
      <c r="H198" s="138">
        <v>2012</v>
      </c>
      <c r="I198" s="138">
        <v>2013</v>
      </c>
      <c r="J198" s="138">
        <v>2014</v>
      </c>
      <c r="K198" s="138">
        <v>2015</v>
      </c>
      <c r="L198" s="138">
        <v>2016</v>
      </c>
      <c r="M198" s="138">
        <v>2017</v>
      </c>
      <c r="N198" s="138">
        <v>2018</v>
      </c>
      <c r="O198" s="138">
        <v>2019</v>
      </c>
      <c r="P198" s="138">
        <v>2020</v>
      </c>
      <c r="Q198" s="138">
        <v>2021</v>
      </c>
      <c r="R198" s="138">
        <v>2022</v>
      </c>
      <c r="S198" s="138">
        <v>2023</v>
      </c>
      <c r="T198" s="138">
        <v>2024</v>
      </c>
    </row>
    <row r="199" spans="2:20" ht="21" customHeight="1">
      <c r="B199" s="339" t="s">
        <v>9</v>
      </c>
      <c r="C199" s="339"/>
      <c r="D199" s="339"/>
      <c r="E199" s="339"/>
      <c r="F199" s="139">
        <f>VLOOKUP($B$38,PARA_places_off_max_sub!$A$5:$N$40, 2, FALSE)</f>
        <v>5182</v>
      </c>
      <c r="G199" s="139">
        <f>VLOOKUP($B$38,PARA_places_off_max_sub!$A$5:$N$40, 3, FALSE)</f>
        <v>5878</v>
      </c>
      <c r="H199" s="139">
        <f>VLOOKUP($B$38,PARA_places_off_max_sub!$A$5:$N$40, 4, FALSE)</f>
        <v>6834</v>
      </c>
      <c r="I199" s="139">
        <f>VLOOKUP($B$38,PARA_places_off_max_sub!$A$5:$N$40, 5, FALSE)</f>
        <v>7524</v>
      </c>
      <c r="J199" s="139">
        <f>VLOOKUP($B$38,PARA_places_off_max_sub!$A$5:$N$40, 6, FALSE)</f>
        <v>8177</v>
      </c>
      <c r="K199" s="139">
        <f>VLOOKUP($B$38,PARA_places_off_max_sub!$A$5:$N$40, 7, FALSE)</f>
        <v>9251</v>
      </c>
      <c r="L199" s="139">
        <f>VLOOKUP($B$38,PARA_places_off_max_sub!$A$5:$N$40, 8, FALSE)</f>
        <v>10113</v>
      </c>
      <c r="M199" s="139">
        <f>VLOOKUP($B$38,PARA_places_off_max_sub!$A$5:$N$40, 9, FALSE)</f>
        <v>11023</v>
      </c>
      <c r="N199" s="139"/>
      <c r="O199" s="139">
        <f>VLOOKUP($B$38,PARA_places_off_max_sub!$A$5:$N$40, 11, FALSE)</f>
        <v>12940</v>
      </c>
      <c r="P199" s="139">
        <f>VLOOKUP($B$38,PARA_places_off_max_sub!$A$5:$N$40, 12, FALSE)</f>
        <v>13959</v>
      </c>
      <c r="Q199" s="139">
        <f>VLOOKUP($B$38,PARA_places_off_max_sub!$A$5:$N$40, 13, FALSE)</f>
        <v>15128</v>
      </c>
      <c r="R199" s="139">
        <f>VLOOKUP($B$38,PARA_places_off_max_sub!$A$5:$N$40, 14, FALSE)</f>
        <v>16200</v>
      </c>
      <c r="S199" s="139">
        <f>VLOOKUP($B$38,PARA_places_off_max_sub!$A$5:$OO$1000, 15, FALSE)</f>
        <v>17634</v>
      </c>
      <c r="T199" s="139">
        <f>VLOOKUP($B$38,PARA_places_off_max_sub!$A$5:$OO$1000, 16, FALSE)</f>
        <v>18767</v>
      </c>
    </row>
    <row r="200" spans="2:20" ht="21" customHeight="1">
      <c r="B200" s="339" t="s">
        <v>87</v>
      </c>
      <c r="C200" s="339"/>
      <c r="D200" s="339"/>
      <c r="E200" s="339"/>
      <c r="F200" s="139">
        <f>VLOOKUP($B$38,PARA_places_PT_sub!$A$5:$N$40, 2, FALSE)</f>
        <v>3666.108566420337</v>
      </c>
      <c r="G200" s="139">
        <f>VLOOKUP($B$38,PARA_places_PT_sub!$A$5:$N$40, 3, FALSE)</f>
        <v>4205.1683936550762</v>
      </c>
      <c r="H200" s="139">
        <f>VLOOKUP($B$38,PARA_places_PT_sub!$A$5:$N$40, 4, FALSE)</f>
        <v>4787.499570656295</v>
      </c>
      <c r="I200" s="139">
        <f>VLOOKUP($B$38,PARA_places_PT_sub!$A$5:$N$40, 5, FALSE)</f>
        <v>5278.011218825759</v>
      </c>
      <c r="J200" s="139">
        <f>VLOOKUP($B$38,PARA_places_PT_sub!$A$5:$N$40, 6, FALSE)</f>
        <v>5690.5922569019276</v>
      </c>
      <c r="K200" s="139">
        <f>VLOOKUP($B$38,PARA_places_PT_sub!$A$5:$N$40, 7, FALSE)</f>
        <v>6583.74</v>
      </c>
      <c r="L200" s="139">
        <f>VLOOKUP($B$38,PARA_places_PT_sub!$A$5:$N$40, 8, FALSE)</f>
        <v>7198.7599999999993</v>
      </c>
      <c r="M200" s="139">
        <f>VLOOKUP($B$38,PARA_places_PT_sub!$A$5:$N$40, 9, FALSE)</f>
        <v>7761.1299999999992</v>
      </c>
      <c r="N200" s="139"/>
      <c r="O200" s="139">
        <f>VLOOKUP($B$38,PARA_places_PT_sub!$A$5:$N$40, 11, FALSE)</f>
        <v>9255.9</v>
      </c>
      <c r="P200" s="139">
        <f>VLOOKUP($B$38,PARA_places_PT_sub!$A$5:$N$40, 12, FALSE)</f>
        <v>9819.49</v>
      </c>
      <c r="Q200" s="139">
        <f>VLOOKUP($B$38,PARA_places_PT_sub!$A$5:$N$40, 13, FALSE)</f>
        <v>10699.730000000001</v>
      </c>
      <c r="R200" s="139">
        <f>VLOOKUP($B$38,PARA_places_PT_sub!$A$5:$N$40, 14, FALSE)</f>
        <v>11332.9144010648</v>
      </c>
      <c r="S200" s="139">
        <f>VLOOKUP($B$38,PARA_places_PT_sub!$A$1:$OO$1000, 15, FALSE)</f>
        <v>12384.7573913043</v>
      </c>
      <c r="T200" s="139">
        <f>VLOOKUP($B$38,PARA_places_PT_sub!$A$1:$OO$1000, 16, FALSE)</f>
        <v>13013.261850893899</v>
      </c>
    </row>
    <row r="201" spans="2:20" ht="6" customHeight="1">
      <c r="B201" s="89"/>
      <c r="C201" s="89"/>
      <c r="D201" s="89"/>
      <c r="E201" s="89"/>
      <c r="F201" s="8"/>
      <c r="G201" s="8"/>
      <c r="H201" s="8"/>
      <c r="I201" s="8"/>
      <c r="J201" s="8"/>
      <c r="K201" s="8"/>
      <c r="L201" s="8"/>
      <c r="M201" s="8"/>
      <c r="N201" s="9"/>
      <c r="O201" s="8"/>
      <c r="P201" s="8"/>
      <c r="Q201" s="8"/>
      <c r="R201" s="8"/>
    </row>
    <row r="202" spans="2:20" ht="13.5" customHeight="1">
      <c r="B202" s="359" t="s">
        <v>125</v>
      </c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</row>
    <row r="203" spans="2:20"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59"/>
      <c r="O203" s="359"/>
      <c r="P203" s="359"/>
      <c r="Q203" s="359"/>
      <c r="R203" s="359"/>
      <c r="S203" s="359"/>
      <c r="T203" s="359"/>
    </row>
    <row r="204" spans="2:20">
      <c r="B204" s="282"/>
      <c r="C204" s="282"/>
      <c r="D204" s="282"/>
      <c r="E204" s="282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</row>
    <row r="205" spans="2:20">
      <c r="B205" s="282"/>
      <c r="C205" s="282"/>
      <c r="D205" s="282"/>
      <c r="E205" s="282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</row>
    <row r="206" spans="2:20">
      <c r="B206" s="282"/>
      <c r="C206" s="282"/>
      <c r="D206" s="282"/>
      <c r="E206" s="282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</row>
    <row r="207" spans="2:20" ht="14.25" customHeight="1">
      <c r="B207" s="32"/>
      <c r="F207" s="9"/>
      <c r="G207" s="9"/>
      <c r="H207" s="74"/>
      <c r="I207" s="74"/>
      <c r="J207" s="9"/>
      <c r="K207" s="9"/>
      <c r="L207" s="9"/>
      <c r="M207" s="9"/>
      <c r="N207" s="130"/>
      <c r="O207" s="9"/>
      <c r="P207" s="9"/>
      <c r="Q207" s="9"/>
      <c r="R207" s="9"/>
    </row>
    <row r="208" spans="2:20" ht="21">
      <c r="B208" s="150" t="str">
        <f>CONCATENATE($B$38,"| Taux de couverture (en %):")</f>
        <v>Ensemble des réseaux| Taux de couverture (en %):</v>
      </c>
      <c r="C208" s="9"/>
      <c r="D208" s="9"/>
      <c r="E208" s="9"/>
      <c r="N208" s="130"/>
    </row>
    <row r="209" spans="2:20">
      <c r="B209" s="32" t="s">
        <v>18</v>
      </c>
      <c r="C209" s="9"/>
      <c r="D209" s="9"/>
      <c r="E209" s="77"/>
      <c r="F209" s="78"/>
      <c r="G209" s="78"/>
      <c r="H209" s="78"/>
      <c r="I209" s="78"/>
      <c r="J209" s="78"/>
      <c r="K209" s="78"/>
      <c r="L209" s="9"/>
      <c r="M209" s="9"/>
      <c r="O209" s="9"/>
      <c r="P209" s="9"/>
      <c r="Q209" s="9"/>
      <c r="R209" s="9"/>
    </row>
    <row r="210" spans="2:20"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9"/>
      <c r="N210" s="84"/>
      <c r="O210" s="9"/>
      <c r="P210" s="9"/>
      <c r="Q210" s="9"/>
      <c r="R210" s="9"/>
    </row>
    <row r="211" spans="2:20" ht="11.25" customHeight="1">
      <c r="B211" s="91"/>
      <c r="C211" s="91"/>
      <c r="D211" s="91"/>
      <c r="E211" s="91"/>
      <c r="F211" s="91"/>
      <c r="G211" s="91"/>
      <c r="H211" s="91"/>
      <c r="I211" s="91"/>
      <c r="J211" s="116"/>
      <c r="K211" s="130"/>
      <c r="L211" s="130"/>
      <c r="M211" s="130"/>
      <c r="O211" s="130"/>
      <c r="P211" s="130"/>
      <c r="Q211" s="130"/>
      <c r="R211" s="130"/>
    </row>
    <row r="212" spans="2:20" ht="30" customHeight="1">
      <c r="B212" s="310" t="str">
        <f>CONCATENATE($B$38, " | Taux de couverture en accueil collectif parascolaire subventionné et à temps d'ouverture élargi, depuis ", MIN('Pour graphiques'!$C$6:$AA$6))</f>
        <v>Ensemble des réseaux | Taux de couverture en accueil collectif parascolaire subventionné et à temps d'ouverture élargi, depuis 2010</v>
      </c>
      <c r="C212" s="310"/>
      <c r="D212" s="310"/>
      <c r="E212" s="310"/>
      <c r="F212" s="310"/>
      <c r="G212" s="310"/>
      <c r="H212" s="310"/>
      <c r="I212" s="310"/>
      <c r="K212" s="310" t="str">
        <f>CONCATENATE($B$38, " | Taux de couverture en accueil collectif parascolaire subventionné et à temps d'ouverture élargi, selon l'âge, depuis ", MIN('Pour graphiques'!$C$6:$AA$6))</f>
        <v>Ensemble des réseaux | Taux de couverture en accueil collectif parascolaire subventionné et à temps d'ouverture élargi, selon l'âge, depuis 2010</v>
      </c>
      <c r="L212" s="310"/>
      <c r="M212" s="310"/>
      <c r="N212" s="310"/>
      <c r="O212" s="310"/>
      <c r="P212" s="310"/>
      <c r="Q212" s="310"/>
      <c r="R212" s="310"/>
      <c r="S212" s="310"/>
      <c r="T212" s="310"/>
    </row>
    <row r="213" spans="2:20" ht="28.5" customHeight="1"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O213" s="130"/>
      <c r="P213" s="130"/>
      <c r="Q213" s="130"/>
      <c r="R213" s="130"/>
      <c r="S213" s="130"/>
    </row>
    <row r="214" spans="2:20" ht="15" customHeight="1">
      <c r="B214" s="81"/>
      <c r="C214" s="81"/>
      <c r="D214" s="81"/>
      <c r="E214" s="81"/>
      <c r="F214" s="75"/>
      <c r="G214" s="75"/>
      <c r="H214" s="75"/>
      <c r="I214" s="75"/>
      <c r="J214" s="75"/>
      <c r="K214" s="75"/>
    </row>
    <row r="215" spans="2:20">
      <c r="B215" s="82"/>
      <c r="C215" s="82"/>
      <c r="D215" s="82"/>
      <c r="E215" s="82"/>
      <c r="F215" s="75"/>
      <c r="G215" s="75"/>
      <c r="H215" s="75"/>
      <c r="I215" s="75"/>
      <c r="J215" s="75"/>
      <c r="K215" s="75"/>
    </row>
    <row r="216" spans="2:20">
      <c r="B216" s="82"/>
      <c r="C216" s="82"/>
      <c r="D216" s="82"/>
      <c r="E216" s="82"/>
      <c r="F216" s="75"/>
      <c r="G216" s="75"/>
      <c r="H216" s="75"/>
      <c r="I216" s="75"/>
      <c r="J216" s="75"/>
      <c r="K216" s="75"/>
    </row>
    <row r="217" spans="2:20">
      <c r="B217" s="82"/>
      <c r="C217" s="82"/>
      <c r="D217" s="82"/>
      <c r="E217" s="82"/>
      <c r="F217" s="76"/>
      <c r="G217" s="76"/>
      <c r="H217" s="76"/>
      <c r="I217" s="76"/>
      <c r="J217" s="76"/>
      <c r="K217" s="76"/>
    </row>
    <row r="218" spans="2:20">
      <c r="B218" s="77"/>
      <c r="C218" s="77"/>
      <c r="D218" s="77"/>
      <c r="E218" s="77"/>
      <c r="F218" s="78"/>
      <c r="G218" s="78"/>
      <c r="H218" s="78"/>
      <c r="I218" s="78"/>
      <c r="J218" s="78"/>
      <c r="K218" s="78"/>
    </row>
    <row r="219" spans="2:20">
      <c r="B219" s="77"/>
      <c r="C219" s="77"/>
      <c r="D219" s="77"/>
      <c r="E219" s="77"/>
      <c r="F219" s="78"/>
      <c r="G219" s="78"/>
      <c r="H219" s="78"/>
      <c r="I219" s="78"/>
      <c r="J219" s="78"/>
      <c r="K219" s="78"/>
    </row>
    <row r="220" spans="2:20" ht="21" customHeight="1">
      <c r="B220" s="77"/>
      <c r="C220" s="77"/>
      <c r="D220" s="77"/>
      <c r="E220" s="77"/>
      <c r="F220" s="78"/>
      <c r="G220" s="78"/>
      <c r="H220" s="78"/>
      <c r="I220" s="78"/>
      <c r="J220" s="78"/>
      <c r="K220" s="78"/>
    </row>
    <row r="221" spans="2:20" ht="21" customHeight="1">
      <c r="B221" s="83"/>
      <c r="C221" s="83"/>
      <c r="D221" s="83"/>
      <c r="E221" s="83"/>
      <c r="F221" s="79"/>
      <c r="G221" s="79"/>
      <c r="H221" s="79"/>
      <c r="I221" s="79"/>
      <c r="J221" s="79"/>
      <c r="K221" s="79"/>
    </row>
    <row r="222" spans="2:20" ht="21" customHeight="1">
      <c r="B222" s="75"/>
      <c r="C222" s="75"/>
      <c r="D222" s="75"/>
      <c r="E222" s="75"/>
      <c r="F222" s="75"/>
      <c r="G222" s="75"/>
      <c r="H222" s="75"/>
      <c r="I222" s="75"/>
      <c r="J222" s="75"/>
      <c r="K222" s="75"/>
    </row>
    <row r="223" spans="2:20" ht="21" customHeight="1">
      <c r="B223" s="75"/>
      <c r="C223" s="75"/>
      <c r="D223" s="75"/>
      <c r="E223" s="75"/>
      <c r="F223" s="75"/>
      <c r="G223" s="75"/>
      <c r="H223" s="75"/>
      <c r="I223" s="75"/>
      <c r="J223" s="75"/>
      <c r="K223" s="75"/>
    </row>
    <row r="224" spans="2:20" ht="21" customHeight="1">
      <c r="B224" s="75"/>
      <c r="C224" s="75"/>
      <c r="D224" s="75"/>
      <c r="E224" s="75"/>
      <c r="F224" s="75"/>
      <c r="G224" s="75"/>
      <c r="H224" s="75"/>
      <c r="I224" s="75"/>
      <c r="J224" s="75"/>
      <c r="K224" s="75"/>
    </row>
    <row r="225" spans="2:18" ht="21" customHeight="1">
      <c r="B225" s="75"/>
      <c r="C225" s="75"/>
      <c r="D225" s="75"/>
      <c r="E225" s="75"/>
      <c r="F225" s="75"/>
      <c r="G225" s="75"/>
      <c r="H225" s="75"/>
      <c r="I225" s="75"/>
      <c r="J225" s="75"/>
      <c r="K225" s="75"/>
    </row>
    <row r="226" spans="2:18" ht="21" customHeight="1"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N226" s="118"/>
    </row>
    <row r="227" spans="2:18" ht="21" customHeight="1">
      <c r="B227" s="9"/>
      <c r="C227" s="9"/>
      <c r="D227" s="9"/>
      <c r="E227" s="9"/>
    </row>
    <row r="228" spans="2:18" ht="21" customHeight="1">
      <c r="B228" s="9"/>
      <c r="C228" s="9"/>
      <c r="D228" s="9"/>
      <c r="E228" s="9"/>
    </row>
    <row r="229" spans="2:18" ht="21" customHeight="1">
      <c r="C229" s="9"/>
      <c r="D229" s="9"/>
      <c r="E229" s="9"/>
    </row>
    <row r="230" spans="2:18" ht="21" customHeight="1">
      <c r="C230" s="121"/>
      <c r="D230" s="121"/>
      <c r="E230" s="121"/>
      <c r="F230" s="121"/>
      <c r="G230" s="121"/>
      <c r="H230" s="121"/>
      <c r="I230" s="121"/>
      <c r="J230" s="118"/>
      <c r="K230" s="118"/>
      <c r="L230" s="118"/>
      <c r="M230" s="118"/>
      <c r="O230" s="118"/>
      <c r="P230" s="118"/>
      <c r="Q230" s="122"/>
      <c r="R230" s="122"/>
    </row>
    <row r="231" spans="2:18" ht="21" customHeight="1">
      <c r="C231" s="121"/>
      <c r="D231" s="121"/>
      <c r="E231" s="121"/>
      <c r="F231" s="121"/>
      <c r="G231" s="121"/>
      <c r="H231" s="121"/>
      <c r="I231" s="121"/>
      <c r="J231" s="118"/>
      <c r="K231" s="118"/>
      <c r="L231" s="118"/>
      <c r="M231" s="118"/>
      <c r="O231" s="118"/>
      <c r="P231" s="118"/>
      <c r="Q231" s="122"/>
      <c r="R231" s="122"/>
    </row>
    <row r="232" spans="2:18" ht="32.25" customHeight="1">
      <c r="B232" s="311" t="s">
        <v>88</v>
      </c>
      <c r="C232" s="311"/>
      <c r="D232" s="311"/>
      <c r="E232" s="311"/>
      <c r="F232" s="311"/>
      <c r="G232" s="311"/>
      <c r="H232" s="311"/>
      <c r="I232" s="311"/>
      <c r="J232" s="311"/>
      <c r="K232" s="118"/>
      <c r="L232" s="118"/>
      <c r="M232" s="118"/>
      <c r="O232" s="118"/>
      <c r="P232" s="118"/>
      <c r="Q232" s="122"/>
      <c r="R232" s="122"/>
    </row>
    <row r="233" spans="2:18" ht="21" customHeight="1">
      <c r="B233" s="140"/>
      <c r="C233" s="121"/>
      <c r="D233" s="121"/>
      <c r="E233" s="121"/>
      <c r="F233" s="121"/>
      <c r="G233" s="121"/>
      <c r="H233" s="121"/>
      <c r="I233" s="121"/>
      <c r="J233" s="118"/>
      <c r="K233" s="118"/>
      <c r="L233" s="118"/>
      <c r="M233" s="118"/>
      <c r="O233" s="118"/>
      <c r="P233" s="118"/>
      <c r="Q233" s="122"/>
      <c r="R233" s="122"/>
    </row>
    <row r="234" spans="2:18" ht="21" customHeight="1">
      <c r="B234" s="137" t="str">
        <f>CONCATENATE("Taux de couverture en accueil collectif parascolaire subventionné, Vaud,  ",$B$23)</f>
        <v>Taux de couverture en accueil collectif parascolaire subventionné, Vaud,  2024</v>
      </c>
      <c r="C234" s="115"/>
      <c r="D234" s="115"/>
      <c r="E234" s="115"/>
      <c r="F234" s="115"/>
      <c r="G234" s="115"/>
      <c r="H234" s="115"/>
      <c r="I234" s="91"/>
      <c r="J234" s="91"/>
      <c r="K234" s="91"/>
      <c r="L234" s="91"/>
      <c r="M234" s="91"/>
    </row>
    <row r="235" spans="2:18" ht="21" customHeight="1"/>
    <row r="236" spans="2:18" ht="21" customHeight="1"/>
    <row r="237" spans="2:18" ht="21" customHeight="1"/>
    <row r="238" spans="2:18" ht="21" customHeight="1"/>
    <row r="239" spans="2:18" s="118" customFormat="1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</row>
    <row r="240" spans="2:18" ht="21" customHeight="1"/>
    <row r="241" spans="2:20" ht="21" customHeight="1"/>
    <row r="243" spans="2:20" ht="21" customHeight="1"/>
    <row r="244" spans="2:20" ht="21" customHeight="1"/>
    <row r="245" spans="2:20" ht="21" customHeight="1">
      <c r="N245" s="113"/>
      <c r="O245" s="284" t="str">
        <f>CONCATENATE("Vaud : ", ROUND(PARA_Tx_couv_sub!$O$40,1)," %")</f>
        <v>Vaud : 17.6 %</v>
      </c>
      <c r="P245" s="86"/>
    </row>
    <row r="246" spans="2:20" ht="21" customHeight="1">
      <c r="N246" s="6"/>
      <c r="O246" s="92" t="str">
        <f>CONCATENATE("Min-Max : [", ROUND(MIN(PARA_Tx_couv_sub!$O$6:$O$37),1)," %", " - ", ROUND(MAX(PARA_Tx_couv_sub!$O$6:$O$38),1)," %", "]")</f>
        <v>Min-Max : [6.7 % - 37 %]</v>
      </c>
    </row>
    <row r="247" spans="2:20" ht="21" customHeight="1"/>
    <row r="248" spans="2:20" ht="21" customHeight="1"/>
    <row r="249" spans="2:20" ht="21" customHeight="1"/>
    <row r="250" spans="2:20" ht="21" customHeight="1"/>
    <row r="251" spans="2:20" ht="21" customHeight="1"/>
    <row r="252" spans="2:20" ht="21" customHeight="1"/>
    <row r="253" spans="2:20" ht="21" customHeight="1"/>
    <row r="254" spans="2:20" ht="21" customHeight="1"/>
    <row r="255" spans="2:20" ht="21" customHeight="1"/>
    <row r="256" spans="2:20" ht="21" customHeight="1">
      <c r="B256" s="151" t="s">
        <v>155</v>
      </c>
      <c r="C256" s="72"/>
      <c r="D256" s="72"/>
      <c r="E256" s="72"/>
      <c r="F256" s="176" t="str">
        <f>IF(B38="Réseau des géants","ATTENTION : L'accueil en milieu familial est délégué à RéajyY","")</f>
        <v/>
      </c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3"/>
      <c r="T256" s="72"/>
    </row>
    <row r="257" spans="2:20" ht="21" customHeight="1">
      <c r="N257" s="175"/>
    </row>
    <row r="258" spans="2:20" ht="21" customHeight="1">
      <c r="B258" s="10" t="str">
        <f>CONCATENATE($B$38, " | Accueil familial préscolaire et parascolaire, depuis ", $F$260)</f>
        <v>Ensemble des réseaux | Accueil familial préscolaire et parascolaire, depuis 2010</v>
      </c>
      <c r="C258" s="9"/>
      <c r="D258" s="9"/>
      <c r="E258" s="9"/>
    </row>
    <row r="259" spans="2:20" ht="14.25" customHeight="1">
      <c r="N259" s="73"/>
    </row>
    <row r="260" spans="2:20" ht="21.75" customHeight="1">
      <c r="B260" s="161"/>
      <c r="C260" s="161"/>
      <c r="D260" s="161"/>
      <c r="E260" s="161"/>
      <c r="F260" s="162">
        <v>2010</v>
      </c>
      <c r="G260" s="162">
        <v>2011</v>
      </c>
      <c r="H260" s="162">
        <v>2012</v>
      </c>
      <c r="I260" s="162">
        <v>2013</v>
      </c>
      <c r="J260" s="162">
        <v>2014</v>
      </c>
      <c r="K260" s="162">
        <v>2015</v>
      </c>
      <c r="L260" s="162">
        <v>2016</v>
      </c>
      <c r="M260" s="162">
        <v>2017</v>
      </c>
      <c r="N260" s="162">
        <v>2018</v>
      </c>
      <c r="O260" s="162">
        <v>2019</v>
      </c>
      <c r="P260" s="162">
        <v>2020</v>
      </c>
      <c r="Q260" s="162">
        <v>2021</v>
      </c>
      <c r="R260" s="162">
        <v>2022</v>
      </c>
      <c r="S260" s="162">
        <v>2023</v>
      </c>
      <c r="T260" s="162">
        <v>2024</v>
      </c>
    </row>
    <row r="261" spans="2:20" ht="21" customHeight="1">
      <c r="B261" s="344" t="s">
        <v>27</v>
      </c>
      <c r="C261" s="344"/>
      <c r="D261" s="344"/>
      <c r="E261" s="344"/>
      <c r="F261" s="163">
        <f>VLOOKUP($B$38,AMF_Nbre!$A$5:$Q$49, 2, FALSE)</f>
        <v>1448</v>
      </c>
      <c r="G261" s="163">
        <f>VLOOKUP($B$38,AMF_Nbre!$A$5:$N$40, 3, FALSE)</f>
        <v>1476</v>
      </c>
      <c r="H261" s="163">
        <f>VLOOKUP($B$38,AMF_Nbre!$A$5:$N$40, 4, FALSE)</f>
        <v>1461</v>
      </c>
      <c r="I261" s="163">
        <f>VLOOKUP($B$38,AMF_Nbre!$A$5:$N$40, 5, FALSE)</f>
        <v>1453</v>
      </c>
      <c r="J261" s="163">
        <f>VLOOKUP($B$38,AMF_Nbre!$A$5:$N$40, 6, FALSE)</f>
        <v>1514</v>
      </c>
      <c r="K261" s="163">
        <f>VLOOKUP($B$38,AMF_Nbre!$A$5:$N$40, 7, FALSE)</f>
        <v>1532</v>
      </c>
      <c r="L261" s="163">
        <f>VLOOKUP($B$38,AMF_Nbre!$A$5:$N$40, 8, FALSE)</f>
        <v>1520</v>
      </c>
      <c r="M261" s="163">
        <f>VLOOKUP($B$38,AMF_Nbre!$A$5:$N$40, 9, FALSE)</f>
        <v>1514</v>
      </c>
      <c r="N261" s="163"/>
      <c r="O261" s="163">
        <f>VLOOKUP($B$38,AMF_Nbre!$A$5:$N$40, 11, FALSE)</f>
        <v>1389</v>
      </c>
      <c r="P261" s="163">
        <f>VLOOKUP($B$38,AMF_Nbre!$A$5:$N$40, 12, FALSE)</f>
        <v>1337</v>
      </c>
      <c r="Q261" s="163">
        <f>VLOOKUP($B$38,AMF_Nbre!$A$5:$N$40, 13, FALSE)</f>
        <v>1277</v>
      </c>
      <c r="R261" s="163">
        <f>VLOOKUP($B$38,AMF_Nbre!$A$5:$N$40, 14, FALSE)</f>
        <v>1236</v>
      </c>
      <c r="S261" s="163">
        <f>VLOOKUP($B$38,AMF_Nbre!$A$1:$OO$1000, 15, FALSE)</f>
        <v>1157</v>
      </c>
      <c r="T261" s="163">
        <f>VLOOKUP($B$38,AMF_Nbre!$A$1:$OO$1000, 16, FALSE)</f>
        <v>1093</v>
      </c>
    </row>
    <row r="262" spans="2:20" ht="21" customHeight="1">
      <c r="B262" s="345" t="s">
        <v>118</v>
      </c>
      <c r="C262" s="346"/>
      <c r="D262" s="346"/>
      <c r="E262" s="347"/>
      <c r="F262" s="163">
        <f>VLOOKUP($B$38,AMF_Nbre_places_aut!$A$5:$N$40, 2, FALSE)</f>
        <v>4582</v>
      </c>
      <c r="G262" s="163">
        <f>VLOOKUP($B$38,AMF_Nbre_places_aut!$A$5:$N$40, 3, FALSE)</f>
        <v>4763</v>
      </c>
      <c r="H262" s="163">
        <f>VLOOKUP($B$38,AMF_Nbre_places_aut!$A$5:$N$40, 4, FALSE)</f>
        <v>4760</v>
      </c>
      <c r="I262" s="163">
        <f>VLOOKUP($B$38,AMF_Nbre_places_aut!$A$5:$N$40, 5, FALSE)</f>
        <v>4819</v>
      </c>
      <c r="J262" s="163">
        <f>VLOOKUP($B$38,AMF_Nbre_places_aut!$A$5:$N$40, 6, FALSE)</f>
        <v>5207</v>
      </c>
      <c r="K262" s="163">
        <f>VLOOKUP($B$38,AMF_Nbre_places_aut!$A$5:$N$40, 7, FALSE)</f>
        <v>5220</v>
      </c>
      <c r="L262" s="163">
        <f>VLOOKUP($B$38,AMF_Nbre_places_aut!$A$5:$N$40, 8, FALSE)</f>
        <v>5193</v>
      </c>
      <c r="M262" s="163">
        <f>VLOOKUP($B$38,AMF_Nbre_places_aut!$A$5:$N$40, 9, FALSE)</f>
        <v>5470</v>
      </c>
      <c r="N262" s="163"/>
      <c r="O262" s="163">
        <f>VLOOKUP($B$38,AMF_Nbre_places_aut!$A$5:$N$40, 11, FALSE)</f>
        <v>4989</v>
      </c>
      <c r="P262" s="163">
        <f>VLOOKUP($B$38,AMF_Nbre_places_aut!$A$5:$N$40, 12, FALSE)</f>
        <v>5021</v>
      </c>
      <c r="Q262" s="163">
        <f>VLOOKUP($B$38,AMF_Nbre_places_aut!$A$5:$N$40, 13, FALSE)</f>
        <v>4767</v>
      </c>
      <c r="R262" s="163">
        <f>VLOOKUP($B$38,AMF_Nbre_places_aut!$A$5:$N$40, 14, FALSE)</f>
        <v>4743</v>
      </c>
      <c r="S262" s="163">
        <f>VLOOKUP($B$38,AMF_Nbre_places_aut!$A$1:$OO$1000, 15, FALSE)</f>
        <v>4490</v>
      </c>
      <c r="T262" s="163">
        <f>VLOOKUP($B$38,AMF_Nbre_places_aut!$A$1:$OO$1000, 16, FALSE)</f>
        <v>4252</v>
      </c>
    </row>
    <row r="263" spans="2:20" ht="21" customHeight="1">
      <c r="B263" s="315" t="s">
        <v>122</v>
      </c>
      <c r="C263" s="313" t="s">
        <v>123</v>
      </c>
      <c r="D263" s="313"/>
      <c r="E263" s="314"/>
      <c r="F263" s="164"/>
      <c r="G263" s="164"/>
      <c r="H263" s="164"/>
      <c r="I263" s="164"/>
      <c r="J263" s="164"/>
      <c r="K263" s="164"/>
      <c r="L263" s="163">
        <f>VLOOKUP($B$38,AMF_Nbre_places_PT_pre!$A$5:$N$40, 2, FALSE)</f>
        <v>1860.3473913043479</v>
      </c>
      <c r="M263" s="163">
        <f>VLOOKUP($B$38,AMF_Nbre_places_PT_pre!$A$5:$N$40, 3, FALSE)</f>
        <v>1647.2434782608696</v>
      </c>
      <c r="N263" s="163"/>
      <c r="O263" s="163">
        <f>VLOOKUP($B$38,AMF_Nbre_places_PT_pre!$A$5:$N$40, 5, FALSE)</f>
        <v>1760.3208695652174</v>
      </c>
      <c r="P263" s="163">
        <f>VLOOKUP($B$38,AMF_Nbre_places_PT_pre!$A$5:$N$40, 6, FALSE)</f>
        <v>1740.3182608695652</v>
      </c>
      <c r="Q263" s="163">
        <f>VLOOKUP($B$38,AMF_Nbre_places_PT_pre!$A$5:$N$40, 7, FALSE)</f>
        <v>1696.1256521739131</v>
      </c>
      <c r="R263" s="163">
        <f>VLOOKUP($B$38,AMF_Nbre_places_PT_pre!$A$5:$N$40, 8, FALSE)</f>
        <v>1815.49391304348</v>
      </c>
      <c r="S263" s="163">
        <f>VLOOKUP($B$38,AMF_Nbre_places_PT_pre!$A$1:$OO$1000, 9, FALSE)</f>
        <v>1801</v>
      </c>
      <c r="T263" s="163">
        <f>VLOOKUP($B$38,AMF_Nbre_places_PT_pre!$A$1:$OO$1000, 10, FALSE)</f>
        <v>1722.8</v>
      </c>
    </row>
    <row r="264" spans="2:20" ht="21" customHeight="1">
      <c r="B264" s="316"/>
      <c r="C264" s="313" t="s">
        <v>124</v>
      </c>
      <c r="D264" s="313"/>
      <c r="E264" s="314"/>
      <c r="F264" s="164"/>
      <c r="G264" s="165"/>
      <c r="H264" s="165"/>
      <c r="I264" s="165"/>
      <c r="J264" s="165"/>
      <c r="K264" s="165"/>
      <c r="L264" s="163">
        <f>VLOOKUP($B$38,AMF_Nbre_places_PT_para!$A$5:$N$40, 2, FALSE)</f>
        <v>2112.4273504273506</v>
      </c>
      <c r="M264" s="163">
        <f>VLOOKUP($B$38,AMF_Nbre_places_PT_para!$A$5:$N$40, 3, FALSE)</f>
        <v>1838.5128205128208</v>
      </c>
      <c r="N264" s="163"/>
      <c r="O264" s="163">
        <f>VLOOKUP($B$38,AMF_Nbre_places_PT_para!$A$5:$N$40, 5, FALSE)</f>
        <v>1908.852770885029</v>
      </c>
      <c r="P264" s="163">
        <f>VLOOKUP($B$38,AMF_Nbre_places_PT_para!$A$5:$N$40, 6, FALSE)</f>
        <v>1852.4814968814972</v>
      </c>
      <c r="Q264" s="163">
        <f>VLOOKUP($B$38,AMF_Nbre_places_PT_para!$A$5:$N$40, 7, FALSE)</f>
        <v>1752.2140822140821</v>
      </c>
      <c r="R264" s="163">
        <f>VLOOKUP($B$38,AMF_Nbre_places_PT_para!$A$5:$N$40, 8, FALSE)</f>
        <v>1749.3072853072899</v>
      </c>
      <c r="S264" s="163">
        <f>VLOOKUP($B$38,AMF_Nbre_places_PT_para!$A$1:$OO$1000, 9, FALSE)</f>
        <v>1715.5</v>
      </c>
      <c r="T264" s="163">
        <f>VLOOKUP($B$38,AMF_Nbre_places_PT_para!$A$1:$OO$1000, 10, FALSE)</f>
        <v>1676.8</v>
      </c>
    </row>
    <row r="265" spans="2:20" ht="6" customHeight="1">
      <c r="B265" s="141"/>
      <c r="C265" s="141"/>
      <c r="D265" s="141"/>
      <c r="E265" s="141"/>
      <c r="F265" s="142"/>
      <c r="G265" s="143"/>
      <c r="H265" s="143"/>
      <c r="I265" s="143"/>
      <c r="J265" s="143"/>
      <c r="K265" s="143"/>
      <c r="L265" s="8"/>
      <c r="M265" s="8"/>
      <c r="O265" s="8"/>
      <c r="P265" s="8"/>
      <c r="Q265" s="8"/>
      <c r="R265" s="8"/>
      <c r="S265" s="8"/>
    </row>
    <row r="266" spans="2:20">
      <c r="B266" s="140" t="s">
        <v>116</v>
      </c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O266" s="114" t="str">
        <f>IF(OR(B38 = "Sainte-Croix", B38 = "Rymaje", B38 = "RéAjy", B38 = "RAdEGE"), CONCATENATE("Dès 2017, les résultats de l'accueil familial correspondent uniquement au réseau ", $B$38, "  Jusqu'en 2016, ils incluaient les trois autres réseaux gérés par la structure de coordination Yverdon les Bains et région."), "")</f>
        <v/>
      </c>
      <c r="P266" s="114"/>
      <c r="Q266" s="114"/>
      <c r="R266" s="114"/>
    </row>
    <row r="267" spans="2:20">
      <c r="B267" s="140" t="s">
        <v>117</v>
      </c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70"/>
      <c r="O267" s="114"/>
      <c r="P267" s="114"/>
      <c r="Q267" s="114"/>
      <c r="R267" s="114"/>
    </row>
    <row r="268" spans="2:20">
      <c r="B268" s="117"/>
      <c r="N268" s="9"/>
      <c r="O268" s="114"/>
      <c r="P268" s="114"/>
      <c r="Q268" s="114"/>
      <c r="R268" s="114"/>
    </row>
    <row r="269" spans="2:20">
      <c r="N269" s="9"/>
      <c r="O269" s="114"/>
      <c r="P269" s="114"/>
      <c r="Q269" s="114"/>
      <c r="R269" s="114"/>
    </row>
    <row r="270" spans="2:20" ht="19.5" customHeight="1">
      <c r="B270" s="150" t="str">
        <f>CONCATENATE($B$38," | Taux de couverture (en %):")</f>
        <v>Ensemble des réseaux | Taux de couverture (en %):</v>
      </c>
      <c r="C270" s="9"/>
      <c r="D270" s="9"/>
      <c r="E270" s="9"/>
      <c r="N270" s="112"/>
      <c r="O270" s="114"/>
      <c r="P270" s="114"/>
      <c r="Q270" s="114"/>
      <c r="R270" s="114"/>
    </row>
    <row r="271" spans="2:20" ht="3.75" customHeight="1">
      <c r="B271" s="10"/>
      <c r="C271" s="9"/>
      <c r="D271" s="9"/>
      <c r="E271" s="9"/>
      <c r="N271" s="131"/>
      <c r="O271" s="114"/>
      <c r="P271" s="114"/>
      <c r="Q271" s="114"/>
      <c r="R271" s="114"/>
    </row>
    <row r="272" spans="2:20" ht="12.75" customHeight="1">
      <c r="B272" s="117" t="s">
        <v>18</v>
      </c>
      <c r="C272" s="9"/>
      <c r="D272" s="9"/>
      <c r="E272" s="77"/>
      <c r="F272" s="78"/>
      <c r="G272" s="78"/>
      <c r="H272" s="78"/>
      <c r="I272" s="78"/>
      <c r="J272" s="78"/>
      <c r="K272" s="78"/>
      <c r="L272" s="9"/>
      <c r="M272" s="9"/>
      <c r="O272" s="9"/>
      <c r="P272" s="9"/>
      <c r="Q272" s="9"/>
      <c r="R272" s="9"/>
    </row>
    <row r="273" spans="2:18" ht="12.75" customHeight="1">
      <c r="B273" s="117"/>
      <c r="C273" s="9"/>
      <c r="D273" s="9"/>
      <c r="E273" s="77"/>
      <c r="F273" s="78"/>
      <c r="G273" s="78"/>
      <c r="H273" s="78"/>
      <c r="I273" s="78"/>
      <c r="J273" s="78"/>
      <c r="K273" s="78"/>
      <c r="L273" s="9"/>
      <c r="M273" s="9"/>
      <c r="O273" s="9"/>
      <c r="P273" s="9"/>
      <c r="Q273" s="9"/>
      <c r="R273" s="9"/>
    </row>
    <row r="274" spans="2:18" ht="23.25" customHeight="1">
      <c r="B274" s="149" t="str">
        <f>CONCATENATE($B$38," | Taux de couverture en accueil familial, depuis ", $F$276)</f>
        <v>Ensemble des réseaux | Taux de couverture en accueil familial, depuis 2016</v>
      </c>
      <c r="E274" s="88"/>
      <c r="F274" s="88"/>
      <c r="G274" s="112"/>
      <c r="H274" s="112"/>
      <c r="I274" s="112"/>
      <c r="J274" s="112"/>
      <c r="K274" s="112"/>
      <c r="L274" s="112"/>
      <c r="M274" s="112"/>
      <c r="O274" s="112"/>
      <c r="P274" s="112"/>
      <c r="Q274" s="112"/>
    </row>
    <row r="275" spans="2:18" ht="7.5" customHeight="1">
      <c r="B275" s="10"/>
      <c r="E275" s="88"/>
      <c r="F275" s="88"/>
      <c r="G275" s="131"/>
      <c r="H275" s="131"/>
      <c r="I275" s="131"/>
      <c r="J275" s="131"/>
      <c r="K275" s="131"/>
      <c r="L275" s="131"/>
      <c r="M275" s="131"/>
      <c r="O275" s="131"/>
      <c r="P275" s="131"/>
      <c r="Q275" s="131"/>
    </row>
    <row r="276" spans="2:18" s="67" customFormat="1" ht="21.75" customHeight="1">
      <c r="B276" s="166"/>
      <c r="C276" s="166"/>
      <c r="D276" s="93"/>
      <c r="E276" s="167"/>
      <c r="F276" s="162">
        <v>2016</v>
      </c>
      <c r="G276" s="162">
        <v>2017</v>
      </c>
      <c r="H276" s="162">
        <v>2018</v>
      </c>
      <c r="I276" s="162">
        <v>2019</v>
      </c>
      <c r="J276" s="162">
        <v>2020</v>
      </c>
      <c r="K276" s="162">
        <v>2021</v>
      </c>
      <c r="L276" s="162">
        <v>2022</v>
      </c>
      <c r="M276" s="162">
        <v>2023</v>
      </c>
      <c r="N276" s="162">
        <v>2024</v>
      </c>
      <c r="O276" s="12"/>
      <c r="P276" s="12"/>
      <c r="Q276" s="12"/>
      <c r="R276" s="12"/>
    </row>
    <row r="277" spans="2:18" s="67" customFormat="1" ht="21.75" customHeight="1">
      <c r="B277" s="168" t="s">
        <v>28</v>
      </c>
      <c r="C277" s="169"/>
      <c r="D277" s="317"/>
      <c r="E277" s="318"/>
      <c r="F277" s="170">
        <f>VLOOKUP($B$38,AMF_Tx_couv_pre!$A$1:$OO$1000,2,FALSE)</f>
        <v>4.4931399272945356</v>
      </c>
      <c r="G277" s="170">
        <f>VLOOKUP($B$38,AMF_Tx_couv_pre!$A$1:$OO$1000,3,FALSE)</f>
        <v>4.5888054106495515</v>
      </c>
      <c r="H277" s="170">
        <f>VLOOKUP($B$38,AMF_Tx_couv_pre!$A$1:$OO$1000,4,FALSE)</f>
        <v>0</v>
      </c>
      <c r="I277" s="170">
        <f>VLOOKUP($B$38,AMF_Tx_couv_pre!$A$1:$OO$1000,5,FALSE)</f>
        <v>4.8758299021278493</v>
      </c>
      <c r="J277" s="170">
        <f>VLOOKUP($B$38,AMF_Tx_couv_pre!$A$1:$OO$1000,6,FALSE)</f>
        <v>4.8166899916126455</v>
      </c>
      <c r="K277" s="170">
        <f>VLOOKUP($B$38,AMF_Tx_couv_pre!$A$1:$OO$1000,7,FALSE)</f>
        <v>4.6796127801735778</v>
      </c>
      <c r="L277" s="170">
        <f>VLOOKUP($B$38,AMF_Tx_couv_pre!$A$1:$OO$1000,8,FALSE)</f>
        <v>4.87734441889015</v>
      </c>
      <c r="M277" s="170">
        <f>VLOOKUP($B$38,AMF_Tx_couv_pre!$A$1:$OO$1000,9,FALSE)</f>
        <v>5.0478056139820699</v>
      </c>
      <c r="N277" s="170">
        <f>VLOOKUP($B$38,AMF_Tx_couv_pre!$A$1:$OO$1000,10,FALSE)</f>
        <v>4.9599615462609004</v>
      </c>
      <c r="O277" s="12"/>
      <c r="P277" s="12"/>
      <c r="Q277" s="12"/>
      <c r="R277" s="12"/>
    </row>
    <row r="278" spans="2:18" ht="21.75" customHeight="1">
      <c r="B278" s="168" t="s">
        <v>29</v>
      </c>
      <c r="C278" s="169"/>
      <c r="D278" s="169"/>
      <c r="E278" s="171"/>
      <c r="F278" s="170">
        <f>VLOOKUP($B$38,AMF_Tx_couv_para!$A$1:$OO$1000,2,FALSE)</f>
        <v>2.6135510153034081</v>
      </c>
      <c r="G278" s="170">
        <f>VLOOKUP($B$38,AMF_Tx_couv_para!$A$1:$OO$1000,3,FALSE)</f>
        <v>2.669269597271688</v>
      </c>
      <c r="H278" s="170">
        <f>VLOOKUP($B$38,AMF_Tx_couv_para!$A$1:$OO$1000,4,FALSE)</f>
        <v>0</v>
      </c>
      <c r="I278" s="170">
        <f>VLOOKUP($B$38,AMF_Tx_couv_para!$A$1:$OO$1000,5,FALSE)</f>
        <v>2.7154114270666301</v>
      </c>
      <c r="J278" s="170">
        <f>VLOOKUP($B$38,AMF_Tx_couv_para!$A$1:$OO$1000,6,FALSE)</f>
        <v>2.6138042652088909</v>
      </c>
      <c r="K278" s="170">
        <f>VLOOKUP($B$38,AMF_Tx_couv_para!$A$1:$OO$1000,7,FALSE)</f>
        <v>2.4497582448537343</v>
      </c>
      <c r="L278" s="170">
        <f>VLOOKUP($B$38,AMF_Tx_couv_para!$A$1:$OO$1000,8,FALSE)</f>
        <v>2.4164448876105702</v>
      </c>
      <c r="M278" s="170">
        <f>VLOOKUP($B$38,AMF_Tx_couv_para!$A$1:$OO$1000,9,FALSE)</f>
        <v>2.3448188062731501</v>
      </c>
      <c r="N278" s="170">
        <f>VLOOKUP($B$38,AMF_Tx_couv_para!$A$1:$OO$1000,10,FALSE)</f>
        <v>2.26828340079788</v>
      </c>
    </row>
    <row r="279" spans="2:18" ht="21.75" customHeight="1">
      <c r="B279" s="172" t="s">
        <v>0</v>
      </c>
      <c r="C279" s="173"/>
      <c r="D279" s="173"/>
      <c r="E279" s="173"/>
      <c r="F279" s="174">
        <f>VLOOKUP($B$38,AMF_Tx_couv!$A$1:$OO$1000,2,FALSE)</f>
        <v>3.2580741519253476</v>
      </c>
      <c r="G279" s="174">
        <f>VLOOKUP($B$38,AMF_Tx_couv!$A$1:$OO$1000,3,FALSE)</f>
        <v>3.3269287216043004</v>
      </c>
      <c r="H279" s="174">
        <f>VLOOKUP($B$38,AMF_Tx_couv!$A$1:$OO$1000,4,FALSE)</f>
        <v>0</v>
      </c>
      <c r="I279" s="174">
        <f>VLOOKUP($B$38,AMF_Tx_couv!$A$1:$OO$1000,5,FALSE)</f>
        <v>3.4484714665885772</v>
      </c>
      <c r="J279" s="174">
        <f>VLOOKUP($B$38,AMF_Tx_couv!$A$1:$OO$1000,6,FALSE)</f>
        <v>3.3517424413678838</v>
      </c>
      <c r="K279" s="174">
        <f>VLOOKUP($B$38,AMF_Tx_couv!$A$1:$OO$1000,7,FALSE)</f>
        <v>3.1996916929303758</v>
      </c>
      <c r="L279" s="174">
        <f>VLOOKUP($B$38,AMF_Tx_couv!$A$1:$OO$1000,8,FALSE)</f>
        <v>3.2403526340831301</v>
      </c>
      <c r="M279" s="174">
        <f>VLOOKUP($B$38,AMF_Tx_couv!$A$1:$OO$1000,9,FALSE)</f>
        <v>3.23088032270527</v>
      </c>
      <c r="N279" s="174">
        <f>VLOOKUP($B$38,AMF_Tx_couv!$A$1:$OO$1000,10,FALSE)</f>
        <v>3.1287147422960899</v>
      </c>
    </row>
    <row r="280" spans="2:18" ht="12.75" customHeight="1"/>
    <row r="281" spans="2:18">
      <c r="C281" s="112"/>
      <c r="D281" s="112"/>
      <c r="E281" s="112"/>
      <c r="F281" s="112"/>
      <c r="G281" s="112"/>
      <c r="H281" s="112"/>
      <c r="I281" s="91"/>
      <c r="J281" s="91"/>
      <c r="K281" s="91"/>
    </row>
    <row r="282" spans="2:18" ht="32.25" customHeight="1">
      <c r="B282" s="319" t="str">
        <f>CONCATENATE("Taux de couverture en accueil familial préscolaire, Vaud, ",$B$23)</f>
        <v>Taux de couverture en accueil familial préscolaire, Vaud, 2024</v>
      </c>
      <c r="C282" s="319"/>
      <c r="D282" s="319"/>
      <c r="E282" s="319"/>
      <c r="F282" s="319"/>
      <c r="G282" s="319"/>
      <c r="H282" s="319"/>
      <c r="I282" s="91"/>
      <c r="J282" s="91"/>
      <c r="K282" s="91"/>
    </row>
    <row r="283" spans="2:18" ht="15" customHeight="1">
      <c r="L283" s="125"/>
      <c r="N283" s="125"/>
      <c r="O283" s="125"/>
      <c r="P283" s="125"/>
    </row>
    <row r="284" spans="2:18" ht="13.5" customHeight="1">
      <c r="L284" s="177" t="str">
        <f>CONCATENATE("Préscolaire | Vaud | ",$B$23)</f>
        <v>Préscolaire | Vaud | 2024</v>
      </c>
    </row>
    <row r="285" spans="2:18" ht="13.5" customHeight="1">
      <c r="L285" s="152" t="str">
        <f>CONCATENATE("Vaud : ", ROUND(VLOOKUP("Ensemble des réseaux",AMF_Tx_couv_pre!1:1048576,10,FALSE),1)," %")</f>
        <v>Vaud : 5 %</v>
      </c>
    </row>
    <row r="286" spans="2:18" ht="13.5" customHeight="1">
      <c r="L286" s="6" t="str">
        <f>CONCATENATE("Min-Max : [", ROUND(MIN(AMF_Tx_couv_pre!J6:J39),1)," %", " - ",ROUND(MAX(AMF_Tx_couv_pre!J6:J39),1)," %","]")</f>
        <v>Min-Max : [0.1 % - 12.1 %]</v>
      </c>
    </row>
    <row r="287" spans="2:18" ht="21" customHeight="1"/>
    <row r="288" spans="2:18" ht="21" customHeight="1"/>
    <row r="289" spans="9:20" ht="21" customHeight="1">
      <c r="N289" s="156"/>
    </row>
    <row r="290" spans="9:20" ht="36" customHeight="1">
      <c r="N290" s="112"/>
    </row>
    <row r="291" spans="9:20" ht="21" customHeight="1"/>
    <row r="292" spans="9:20" ht="21" customHeight="1"/>
    <row r="293" spans="9:20" s="67" customFormat="1" ht="32.25" customHeight="1"/>
    <row r="294" spans="9:20" ht="21" customHeight="1">
      <c r="K294" s="112"/>
      <c r="L294" s="112"/>
      <c r="M294" s="112"/>
      <c r="O294" s="112"/>
      <c r="P294" s="112"/>
      <c r="Q294" s="112"/>
      <c r="R294" s="112"/>
    </row>
    <row r="295" spans="9:20" ht="21" customHeight="1"/>
    <row r="296" spans="9:20" ht="21" customHeight="1"/>
    <row r="297" spans="9:20" ht="21" customHeight="1">
      <c r="L297" s="166"/>
      <c r="M297" s="166"/>
      <c r="N297" s="166"/>
      <c r="O297" s="166"/>
      <c r="P297" s="166"/>
      <c r="Q297" s="166"/>
      <c r="R297" s="166"/>
      <c r="S297" s="166"/>
      <c r="T297" s="166"/>
    </row>
    <row r="298" spans="9:20" ht="21" customHeight="1">
      <c r="K298" s="312" t="s">
        <v>152</v>
      </c>
      <c r="L298" s="312"/>
      <c r="M298" s="312"/>
      <c r="N298" s="312"/>
      <c r="O298" s="312"/>
      <c r="P298" s="312"/>
      <c r="Q298" s="312"/>
      <c r="R298" s="312"/>
      <c r="S298" s="312"/>
      <c r="T298" s="166"/>
    </row>
    <row r="299" spans="9:20" ht="21" customHeight="1"/>
    <row r="300" spans="9:20" ht="21" customHeight="1"/>
    <row r="301" spans="9:20" ht="36.75" customHeight="1">
      <c r="K301" s="130"/>
      <c r="L301" s="130"/>
      <c r="M301" s="130"/>
      <c r="O301" s="130"/>
      <c r="P301" s="130"/>
      <c r="Q301" s="130"/>
      <c r="R301" s="130"/>
    </row>
    <row r="302" spans="9:20" ht="21" customHeight="1">
      <c r="K302" s="130"/>
      <c r="L302" s="130"/>
      <c r="M302" s="130"/>
      <c r="O302" s="130"/>
      <c r="P302" s="130"/>
      <c r="Q302" s="130"/>
      <c r="R302" s="130"/>
    </row>
    <row r="303" spans="9:20" ht="21" customHeight="1">
      <c r="I303" s="84"/>
      <c r="J303" s="84"/>
      <c r="K303" s="84"/>
      <c r="L303" s="84"/>
      <c r="M303" s="84"/>
      <c r="O303" s="84"/>
      <c r="P303" s="84"/>
    </row>
    <row r="304" spans="9:20" ht="21" customHeight="1"/>
    <row r="305" spans="6:19" ht="13.5" customHeight="1">
      <c r="F305" s="177" t="str">
        <f>CONCATENATE("Parascolaire | Vaud | ",$B$23)</f>
        <v>Parascolaire | Vaud | 2024</v>
      </c>
      <c r="G305" s="115"/>
      <c r="H305" s="115"/>
      <c r="I305" s="115"/>
      <c r="J305" s="115"/>
      <c r="K305" s="115"/>
      <c r="L305" s="115"/>
    </row>
    <row r="306" spans="6:19" ht="13.5" customHeight="1">
      <c r="F306" s="152" t="str">
        <f>CONCATENATE("Vaud : ",ROUND(VLOOKUP("Ensemble des réseaux",AMF_Tx_couv_para!1:1048576,10,FALSE),1)," %")</f>
        <v>Vaud : 2.3 %</v>
      </c>
    </row>
    <row r="307" spans="6:19" ht="13.5" customHeight="1">
      <c r="F307" s="6" t="str">
        <f>CONCATENATE("Min-Max : [", ROUND(MIN(AMF_Tx_couv_para!J6:J39),1)," %", " - ",ROUND(MAX(AMF_Tx_couv_para!J6:J39),1)," %","]")</f>
        <v>Min-Max : [0.2 % - 4.9 %]</v>
      </c>
    </row>
    <row r="308" spans="6:19" ht="234" customHeight="1"/>
    <row r="309" spans="6:19" ht="21" customHeight="1"/>
    <row r="310" spans="6:19" ht="51.75" customHeight="1">
      <c r="S310" s="91"/>
    </row>
    <row r="311" spans="6:19" ht="21" customHeight="1">
      <c r="S311" s="91"/>
    </row>
    <row r="312" spans="6:19" ht="21" customHeight="1"/>
    <row r="313" spans="6:19" ht="21" customHeight="1"/>
    <row r="314" spans="6:19" ht="21" customHeight="1"/>
    <row r="315" spans="6:19" ht="21" customHeight="1"/>
    <row r="316" spans="6:19" ht="21" customHeight="1"/>
    <row r="317" spans="6:19" ht="21" customHeight="1"/>
    <row r="318" spans="6:19" ht="21" customHeight="1"/>
    <row r="319" spans="6:19" ht="21" customHeight="1"/>
    <row r="320" spans="6:19" ht="21" customHeight="1"/>
  </sheetData>
  <sheetProtection algorithmName="SHA-512" hashValue="4Odl+6QNCGj7x3d7rICOK6niyBI8VDWXCXLkzEtZKGh08Quw+8eGR+Db4tfz4TVW6CIvNDGanvXFovMLnjTPVg==" saltValue="u5kRz4Miu/Ec9ht9g24tDw==" spinCount="100000" sheet="1" formatCells="0" formatColumns="0" formatRows="0" insertColumns="0" insertRows="0" insertHyperlinks="0" deleteColumns="0" deleteRows="0" sort="0" autoFilter="0" pivotTables="0"/>
  <mergeCells count="75">
    <mergeCell ref="J71:K71"/>
    <mergeCell ref="J72:K72"/>
    <mergeCell ref="J73:K73"/>
    <mergeCell ref="J74:K74"/>
    <mergeCell ref="J76:K76"/>
    <mergeCell ref="B72:E72"/>
    <mergeCell ref="B73:E73"/>
    <mergeCell ref="B74:E74"/>
    <mergeCell ref="B76:E76"/>
    <mergeCell ref="B86:E86"/>
    <mergeCell ref="B85:E85"/>
    <mergeCell ref="F91:G91"/>
    <mergeCell ref="F76:G76"/>
    <mergeCell ref="F92:G92"/>
    <mergeCell ref="B200:E200"/>
    <mergeCell ref="B261:E261"/>
    <mergeCell ref="B87:E87"/>
    <mergeCell ref="B95:E95"/>
    <mergeCell ref="B202:T203"/>
    <mergeCell ref="B93:E93"/>
    <mergeCell ref="B96:E96"/>
    <mergeCell ref="B97:E97"/>
    <mergeCell ref="B91:E91"/>
    <mergeCell ref="B138:E138"/>
    <mergeCell ref="B139:E139"/>
    <mergeCell ref="B199:E199"/>
    <mergeCell ref="B92:E92"/>
    <mergeCell ref="F96:G96"/>
    <mergeCell ref="F97:G97"/>
    <mergeCell ref="B135:T135"/>
    <mergeCell ref="B196:T196"/>
    <mergeCell ref="B212:I212"/>
    <mergeCell ref="K212:T212"/>
    <mergeCell ref="B232:J232"/>
    <mergeCell ref="K298:S298"/>
    <mergeCell ref="K150:U150"/>
    <mergeCell ref="B150:I150"/>
    <mergeCell ref="C263:E263"/>
    <mergeCell ref="C264:E264"/>
    <mergeCell ref="B263:B264"/>
    <mergeCell ref="D277:E277"/>
    <mergeCell ref="B282:H282"/>
    <mergeCell ref="B262:E262"/>
    <mergeCell ref="B36:I36"/>
    <mergeCell ref="K38:R38"/>
    <mergeCell ref="F95:G95"/>
    <mergeCell ref="F93:G93"/>
    <mergeCell ref="F94:G94"/>
    <mergeCell ref="B37:I37"/>
    <mergeCell ref="B38:I38"/>
    <mergeCell ref="B89:E89"/>
    <mergeCell ref="B84:E84"/>
    <mergeCell ref="B90:E90"/>
    <mergeCell ref="B82:E82"/>
    <mergeCell ref="F83:G83"/>
    <mergeCell ref="F84:G84"/>
    <mergeCell ref="F85:G85"/>
    <mergeCell ref="F86:G86"/>
    <mergeCell ref="B83:E83"/>
    <mergeCell ref="B101:U101"/>
    <mergeCell ref="H71:I71"/>
    <mergeCell ref="H72:I72"/>
    <mergeCell ref="H73:I73"/>
    <mergeCell ref="H74:I74"/>
    <mergeCell ref="H76:I76"/>
    <mergeCell ref="F88:G88"/>
    <mergeCell ref="F89:G89"/>
    <mergeCell ref="F90:G90"/>
    <mergeCell ref="F71:G71"/>
    <mergeCell ref="F72:G72"/>
    <mergeCell ref="F73:G73"/>
    <mergeCell ref="F74:G74"/>
    <mergeCell ref="F82:G82"/>
    <mergeCell ref="F87:G87"/>
    <mergeCell ref="B80:T80"/>
  </mergeCells>
  <phoneticPr fontId="8" type="noConversion"/>
  <hyperlinks>
    <hyperlink ref="B45" r:id="rId1" xr:uid="{00000000-0004-0000-0000-000000000000}"/>
    <hyperlink ref="S55" r:id="rId2" xr:uid="{F694C4B0-00F8-4EC8-87A5-7662C816DB81}"/>
  </hyperlinks>
  <pageMargins left="0.7" right="0.7" top="1" bottom="0.75" header="0.3" footer="0.3"/>
  <pageSetup paperSize="9" scale="56" firstPageNumber="3" fitToWidth="0" fitToHeight="0" orientation="portrait" r:id="rId3"/>
  <headerFooter scaleWithDoc="0">
    <oddHeader>&amp;L&amp;G</oddHeader>
    <oddFooter xml:space="preserve">&amp;R&amp;"-,Normal"&amp;9Enquête "Accueil de jour des enfants" | Fiche réseau | 2024
</oddFooter>
    <firstHeader>&amp;L&amp;G</firstHeader>
    <firstFooter xml:space="preserve">&amp;L&amp;P&amp;REnquête "Accueil de jour des enfants" |  Fiche réseau 2023
</firstFooter>
  </headerFooter>
  <rowBreaks count="3" manualBreakCount="3">
    <brk id="65" max="16383" man="1"/>
    <brk id="131" max="20" man="1"/>
    <brk id="254" max="16383" man="1"/>
  </rowBreaks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9F92D57-3D84-40D3-80AE-46976A6162DD}">
          <x14:formula1>
            <xm:f>Liste_reseau_depuis_2010!$A$2:$A$38</xm:f>
          </x14:formula1>
          <xm:sqref>B38:I38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9319-92F3-480F-ADF5-CD17CF9F7DCB}">
  <sheetPr codeName="Feuil7"/>
  <dimension ref="A1:P40"/>
  <sheetViews>
    <sheetView topLeftCell="A3" workbookViewId="0">
      <selection activeCell="A40" sqref="A40"/>
    </sheetView>
  </sheetViews>
  <sheetFormatPr baseColWidth="10" defaultRowHeight="15"/>
  <cols>
    <col min="1" max="1" width="23" style="43" bestFit="1" customWidth="1"/>
    <col min="2" max="13" width="8.7109375" style="43" customWidth="1"/>
    <col min="14" max="16384" width="11.42578125" style="43"/>
  </cols>
  <sheetData>
    <row r="1" spans="1:16" s="42" customFormat="1" ht="57" customHeight="1"/>
    <row r="2" spans="1:16" s="42" customFormat="1" ht="16.5"/>
    <row r="3" spans="1:16" ht="16.5">
      <c r="A3" s="372" t="s">
        <v>94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>
      <c r="A5" s="221" t="s">
        <v>54</v>
      </c>
      <c r="B5" s="222">
        <v>2010</v>
      </c>
      <c r="C5" s="223">
        <v>2011</v>
      </c>
      <c r="D5" s="223">
        <v>2012</v>
      </c>
      <c r="E5" s="223">
        <v>2013</v>
      </c>
      <c r="F5" s="223">
        <v>2014</v>
      </c>
      <c r="G5" s="223">
        <v>2015</v>
      </c>
      <c r="H5" s="223">
        <v>2016</v>
      </c>
      <c r="I5" s="223">
        <v>2017</v>
      </c>
      <c r="J5" s="223">
        <v>2018</v>
      </c>
      <c r="K5" s="223">
        <v>2019</v>
      </c>
      <c r="L5" s="223">
        <v>2020</v>
      </c>
      <c r="M5" s="223">
        <v>2021</v>
      </c>
      <c r="N5" s="223">
        <v>2022</v>
      </c>
      <c r="O5" s="223">
        <v>2023</v>
      </c>
      <c r="P5" s="223">
        <v>2024</v>
      </c>
    </row>
    <row r="6" spans="1:16">
      <c r="A6" s="224" t="s">
        <v>16</v>
      </c>
      <c r="B6" s="225">
        <v>3.2850999999999999</v>
      </c>
      <c r="C6" s="226">
        <v>3.6190000000000002</v>
      </c>
      <c r="D6" s="226">
        <v>3.3176000000000001</v>
      </c>
      <c r="E6" s="226">
        <v>8.218</v>
      </c>
      <c r="F6" s="226">
        <v>10.942600000000001</v>
      </c>
      <c r="G6" s="226">
        <v>13.1379</v>
      </c>
      <c r="H6" s="226">
        <v>13.4482</v>
      </c>
      <c r="I6" s="226">
        <v>14.770099999999999</v>
      </c>
      <c r="J6" s="226"/>
      <c r="K6" s="226">
        <v>15.6271</v>
      </c>
      <c r="L6" s="226">
        <v>17.249600000000001</v>
      </c>
      <c r="M6" s="226">
        <v>15.225278551532035</v>
      </c>
      <c r="N6" s="226">
        <v>11.798643550125741</v>
      </c>
      <c r="O6" s="226">
        <v>12.7</v>
      </c>
      <c r="P6" s="226">
        <v>11.3</v>
      </c>
    </row>
    <row r="7" spans="1:16">
      <c r="A7" s="224" t="s">
        <v>30</v>
      </c>
      <c r="B7" s="227">
        <v>2.8742000000000001</v>
      </c>
      <c r="C7" s="228">
        <v>3.3239000000000001</v>
      </c>
      <c r="D7" s="228">
        <v>2.7446000000000002</v>
      </c>
      <c r="E7" s="228">
        <v>3.0297000000000001</v>
      </c>
      <c r="F7" s="228">
        <v>3.1802000000000001</v>
      </c>
      <c r="G7" s="228">
        <v>3.23</v>
      </c>
      <c r="H7" s="228">
        <v>0</v>
      </c>
      <c r="I7" s="228">
        <v>1.0788</v>
      </c>
      <c r="J7" s="228"/>
      <c r="K7" s="228">
        <v>0</v>
      </c>
      <c r="L7" s="228">
        <v>0</v>
      </c>
      <c r="M7" s="228">
        <v>0</v>
      </c>
      <c r="N7" s="228">
        <v>3.1974423109204508E-14</v>
      </c>
      <c r="O7" s="228">
        <v>0.3</v>
      </c>
      <c r="P7" s="228">
        <v>0.3</v>
      </c>
    </row>
    <row r="8" spans="1:16">
      <c r="A8" s="224" t="s">
        <v>31</v>
      </c>
      <c r="B8" s="227">
        <v>0.17</v>
      </c>
      <c r="C8" s="228">
        <v>0</v>
      </c>
      <c r="D8" s="228">
        <v>0.60809999999999997</v>
      </c>
      <c r="E8" s="228">
        <v>0.83220000000000005</v>
      </c>
      <c r="F8" s="228">
        <v>1.0204</v>
      </c>
      <c r="G8" s="228">
        <v>0.99780000000000002</v>
      </c>
      <c r="H8" s="228">
        <v>1.6620999999999999</v>
      </c>
      <c r="I8" s="228">
        <v>2.9910000000000001</v>
      </c>
      <c r="J8" s="228"/>
      <c r="K8" s="228">
        <v>3.7161</v>
      </c>
      <c r="L8" s="228">
        <v>2.0356000000000001</v>
      </c>
      <c r="M8" s="228">
        <v>2.1071115013169432</v>
      </c>
      <c r="N8" s="228">
        <v>2.0707506471095911</v>
      </c>
      <c r="O8" s="228">
        <v>2.8</v>
      </c>
      <c r="P8" s="228">
        <v>2.7</v>
      </c>
    </row>
    <row r="9" spans="1:16">
      <c r="A9" s="224" t="s">
        <v>32</v>
      </c>
      <c r="B9" s="227">
        <v>12.2178</v>
      </c>
      <c r="C9" s="228">
        <v>15.6533</v>
      </c>
      <c r="D9" s="228">
        <v>12.998699999999999</v>
      </c>
      <c r="E9" s="228">
        <v>12.777100000000001</v>
      </c>
      <c r="F9" s="228">
        <v>12.482699999999999</v>
      </c>
      <c r="G9" s="228">
        <v>10.8992</v>
      </c>
      <c r="H9" s="228">
        <v>15.2174</v>
      </c>
      <c r="I9" s="228">
        <v>13.8528</v>
      </c>
      <c r="J9" s="228"/>
      <c r="K9" s="228">
        <v>6.9306999999999999</v>
      </c>
      <c r="L9" s="228">
        <v>10.267899999999999</v>
      </c>
      <c r="M9" s="228">
        <v>9.5041322314049594</v>
      </c>
      <c r="N9" s="228">
        <v>10.089020771513368</v>
      </c>
      <c r="O9" s="228">
        <v>11.2</v>
      </c>
      <c r="P9" s="228">
        <v>11.7</v>
      </c>
    </row>
    <row r="10" spans="1:16">
      <c r="A10" s="224" t="s">
        <v>33</v>
      </c>
      <c r="B10" s="227">
        <v>0</v>
      </c>
      <c r="C10" s="228">
        <v>1.9910000000000001</v>
      </c>
      <c r="D10" s="228">
        <v>11.8179</v>
      </c>
      <c r="E10" s="228">
        <v>10.5214</v>
      </c>
      <c r="F10" s="228">
        <v>9.9383999999999997</v>
      </c>
      <c r="G10" s="228">
        <v>15.192</v>
      </c>
      <c r="H10" s="228">
        <v>14.8955</v>
      </c>
      <c r="I10" s="228">
        <v>15.2745</v>
      </c>
      <c r="J10" s="228"/>
      <c r="K10" s="228">
        <v>15.9693</v>
      </c>
      <c r="L10" s="228">
        <v>14.369300000000001</v>
      </c>
      <c r="M10" s="228">
        <v>18.012744265080713</v>
      </c>
      <c r="N10" s="228">
        <v>19.387299264451066</v>
      </c>
      <c r="O10" s="228">
        <v>19.8</v>
      </c>
      <c r="P10" s="228">
        <v>22.3</v>
      </c>
    </row>
    <row r="11" spans="1:16">
      <c r="A11" s="224" t="s">
        <v>89</v>
      </c>
      <c r="B11" s="227">
        <v>4.1559999999999997</v>
      </c>
      <c r="C11" s="228">
        <v>1.6453</v>
      </c>
      <c r="D11" s="228">
        <v>9.7393000000000001</v>
      </c>
      <c r="E11" s="228">
        <v>18.4741</v>
      </c>
      <c r="F11" s="228">
        <v>16.856000000000002</v>
      </c>
      <c r="G11" s="228">
        <v>17.806999999999999</v>
      </c>
      <c r="H11" s="228">
        <v>16.493500000000001</v>
      </c>
      <c r="I11" s="228">
        <v>16.246099999999998</v>
      </c>
      <c r="J11" s="228"/>
      <c r="K11" s="228">
        <v>15.7742</v>
      </c>
      <c r="L11" s="228">
        <v>15.2096</v>
      </c>
      <c r="M11" s="228">
        <v>18.577648766328011</v>
      </c>
      <c r="N11" s="228">
        <v>15.991455139482309</v>
      </c>
      <c r="O11" s="228">
        <v>15.7</v>
      </c>
      <c r="P11" s="228">
        <v>12.9</v>
      </c>
    </row>
    <row r="12" spans="1:16">
      <c r="A12" s="224" t="s">
        <v>34</v>
      </c>
      <c r="B12" s="227">
        <v>0.50309999999999999</v>
      </c>
      <c r="C12" s="228">
        <v>0.46360000000000001</v>
      </c>
      <c r="D12" s="228"/>
      <c r="E12" s="228"/>
      <c r="F12" s="228"/>
      <c r="G12" s="228"/>
      <c r="H12" s="228"/>
      <c r="I12" s="228"/>
      <c r="J12" s="228"/>
      <c r="K12" s="228">
        <v>0.14660000000000001</v>
      </c>
      <c r="L12" s="228">
        <v>0.16131064902331443</v>
      </c>
      <c r="M12" s="228">
        <v>0.97697368421052744</v>
      </c>
      <c r="N12" s="228">
        <v>1.6138042832415884</v>
      </c>
      <c r="O12" s="228">
        <v>1.9</v>
      </c>
      <c r="P12" s="228">
        <v>2.2999999999999998</v>
      </c>
    </row>
    <row r="13" spans="1:16">
      <c r="A13" s="224" t="s">
        <v>35</v>
      </c>
      <c r="B13" s="227">
        <v>0.84670000000000001</v>
      </c>
      <c r="C13" s="228">
        <v>0.68110000000000004</v>
      </c>
      <c r="D13" s="228"/>
      <c r="E13" s="228"/>
      <c r="F13" s="228">
        <v>1.4342999999999999</v>
      </c>
      <c r="G13" s="228"/>
      <c r="H13" s="228">
        <v>0.70509999999999995</v>
      </c>
      <c r="I13" s="228">
        <v>1.4792000000000001</v>
      </c>
      <c r="J13" s="228"/>
      <c r="K13" s="228">
        <v>1.4023000000000001</v>
      </c>
      <c r="L13" s="228">
        <v>1.4041999999999999</v>
      </c>
      <c r="M13" s="228">
        <v>1.3360080240722159</v>
      </c>
      <c r="N13" s="228">
        <v>1.42566191446031</v>
      </c>
      <c r="O13" s="228">
        <v>1.9</v>
      </c>
      <c r="P13" s="228">
        <v>2</v>
      </c>
    </row>
    <row r="14" spans="1:16">
      <c r="A14" s="224" t="s">
        <v>55</v>
      </c>
      <c r="B14" s="227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>
        <v>0.4</v>
      </c>
      <c r="P14" s="228">
        <v>0.2</v>
      </c>
    </row>
    <row r="15" spans="1:16">
      <c r="A15" s="224" t="s">
        <v>36</v>
      </c>
      <c r="B15" s="227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>
        <v>0.4</v>
      </c>
      <c r="P15" s="228"/>
    </row>
    <row r="16" spans="1:16">
      <c r="A16" s="224" t="s">
        <v>56</v>
      </c>
      <c r="B16" s="227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</row>
    <row r="17" spans="1:16">
      <c r="A17" s="224" t="s">
        <v>57</v>
      </c>
      <c r="B17" s="229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28"/>
      <c r="N17" s="228"/>
      <c r="O17" s="228">
        <v>0.5</v>
      </c>
      <c r="P17" s="228"/>
    </row>
    <row r="18" spans="1:16">
      <c r="A18" s="224" t="s">
        <v>58</v>
      </c>
      <c r="B18" s="229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28"/>
      <c r="O18" s="228"/>
      <c r="P18" s="228"/>
    </row>
    <row r="19" spans="1:16">
      <c r="A19" s="224" t="s">
        <v>37</v>
      </c>
      <c r="B19" s="227">
        <v>0.29199999999999998</v>
      </c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</row>
    <row r="20" spans="1:16">
      <c r="A20" s="224" t="s">
        <v>92</v>
      </c>
      <c r="B20" s="229" t="s">
        <v>138</v>
      </c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28"/>
      <c r="N20" s="228"/>
      <c r="O20" s="228"/>
      <c r="P20" s="228"/>
    </row>
    <row r="21" spans="1:16">
      <c r="A21" s="224" t="s">
        <v>38</v>
      </c>
      <c r="B21" s="227">
        <v>5.5420999999999996</v>
      </c>
      <c r="C21" s="228">
        <v>5.6265999999999998</v>
      </c>
      <c r="D21" s="228"/>
      <c r="E21" s="228"/>
      <c r="F21" s="228"/>
      <c r="G21" s="228"/>
      <c r="H21" s="228">
        <v>6.5088999999999997</v>
      </c>
      <c r="I21" s="228"/>
      <c r="J21" s="228"/>
      <c r="K21" s="228"/>
      <c r="L21" s="228"/>
      <c r="M21" s="228"/>
      <c r="N21" s="228"/>
      <c r="O21" s="228"/>
      <c r="P21" s="228"/>
    </row>
    <row r="22" spans="1:16">
      <c r="A22" s="224" t="s">
        <v>39</v>
      </c>
      <c r="B22" s="227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>
        <v>0.4</v>
      </c>
      <c r="P22" s="228"/>
    </row>
    <row r="23" spans="1:16">
      <c r="A23" s="224" t="s">
        <v>40</v>
      </c>
      <c r="B23" s="227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</row>
    <row r="24" spans="1:16">
      <c r="A24" s="224" t="s">
        <v>41</v>
      </c>
      <c r="B24" s="227">
        <v>2.7936999999999999</v>
      </c>
      <c r="C24" s="228">
        <v>3.0409999999999999</v>
      </c>
      <c r="D24" s="228">
        <v>2.0956000000000001</v>
      </c>
      <c r="E24" s="228">
        <v>5.9934000000000003</v>
      </c>
      <c r="F24" s="228">
        <v>7.0987999999999998</v>
      </c>
      <c r="G24" s="228">
        <v>8.9078999999999997</v>
      </c>
      <c r="H24" s="228">
        <v>10.0762</v>
      </c>
      <c r="I24" s="228">
        <v>11.164099999999999</v>
      </c>
      <c r="J24" s="228"/>
      <c r="K24" s="228">
        <v>10.4666</v>
      </c>
      <c r="L24" s="228">
        <v>8.9995999999999992</v>
      </c>
      <c r="M24" s="228">
        <v>8.7738671359436857</v>
      </c>
      <c r="N24" s="228">
        <v>9.6553440744062478</v>
      </c>
      <c r="O24" s="228">
        <v>5.6</v>
      </c>
      <c r="P24" s="228">
        <v>9.8000000000000007</v>
      </c>
    </row>
    <row r="25" spans="1:16">
      <c r="A25" s="224" t="s">
        <v>42</v>
      </c>
      <c r="B25" s="227">
        <v>0.44919999999999999</v>
      </c>
      <c r="C25" s="228">
        <v>0.41070000000000001</v>
      </c>
      <c r="D25" s="228">
        <v>0.53420000000000001</v>
      </c>
      <c r="E25" s="228">
        <v>0.48820000000000002</v>
      </c>
      <c r="F25" s="228">
        <v>0.70740000000000003</v>
      </c>
      <c r="G25" s="228">
        <v>0.8004</v>
      </c>
      <c r="H25" s="228">
        <v>0.2283</v>
      </c>
      <c r="I25" s="228">
        <v>0.17480000000000001</v>
      </c>
      <c r="J25" s="228"/>
      <c r="K25" s="228">
        <v>0.1016</v>
      </c>
      <c r="L25" s="228">
        <v>0.58679999999999999</v>
      </c>
      <c r="M25" s="228">
        <v>1.3962715105162502</v>
      </c>
      <c r="N25" s="228">
        <v>1.4886908281722029</v>
      </c>
      <c r="O25" s="228">
        <v>1.6</v>
      </c>
      <c r="P25" s="228">
        <v>2.4</v>
      </c>
    </row>
    <row r="26" spans="1:16">
      <c r="A26" s="224" t="s">
        <v>43</v>
      </c>
      <c r="B26" s="227"/>
      <c r="C26" s="228"/>
      <c r="D26" s="228"/>
      <c r="E26" s="228"/>
      <c r="F26" s="228"/>
      <c r="G26" s="228"/>
      <c r="H26" s="228"/>
      <c r="I26" s="228"/>
      <c r="J26" s="228"/>
      <c r="K26" s="228"/>
      <c r="L26" s="228">
        <v>8.4158000000000008</v>
      </c>
      <c r="M26" s="228">
        <v>11.181122448979593</v>
      </c>
      <c r="N26" s="228">
        <v>10.470275066548403</v>
      </c>
      <c r="O26" s="228">
        <v>11.6</v>
      </c>
      <c r="P26" s="228">
        <v>11.8</v>
      </c>
    </row>
    <row r="27" spans="1:16">
      <c r="A27" s="224" t="s">
        <v>59</v>
      </c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28">
        <v>0.37630523272961014</v>
      </c>
      <c r="O27" s="228">
        <v>0.5</v>
      </c>
      <c r="P27" s="228">
        <v>0</v>
      </c>
    </row>
    <row r="28" spans="1:16">
      <c r="A28" s="224" t="s">
        <v>44</v>
      </c>
      <c r="B28" s="227">
        <v>19.5229</v>
      </c>
      <c r="C28" s="228">
        <v>15.7567</v>
      </c>
      <c r="D28" s="228">
        <v>15.778499999999999</v>
      </c>
      <c r="E28" s="228">
        <v>12.576700000000001</v>
      </c>
      <c r="F28" s="228">
        <v>12.4023</v>
      </c>
      <c r="G28" s="228">
        <v>12.5595</v>
      </c>
      <c r="H28" s="228">
        <v>12.6195</v>
      </c>
      <c r="I28" s="228">
        <v>9.0558999999999994</v>
      </c>
      <c r="J28" s="228"/>
      <c r="K28" s="228">
        <v>8.3629999999999995</v>
      </c>
      <c r="L28" s="228">
        <v>8.6530000000000005</v>
      </c>
      <c r="M28" s="228">
        <v>11.050228310502284</v>
      </c>
      <c r="N28" s="228">
        <v>10.674157303370762</v>
      </c>
      <c r="O28" s="228">
        <v>13.1</v>
      </c>
      <c r="P28" s="228">
        <v>7.7</v>
      </c>
    </row>
    <row r="29" spans="1:16">
      <c r="A29" s="224" t="s">
        <v>45</v>
      </c>
      <c r="B29" s="227">
        <v>9.5950000000000006</v>
      </c>
      <c r="C29" s="228">
        <v>9.7997999999999994</v>
      </c>
      <c r="D29" s="228">
        <v>11.4316</v>
      </c>
      <c r="E29" s="228">
        <v>12.206799999999999</v>
      </c>
      <c r="F29" s="228">
        <v>10.0464</v>
      </c>
      <c r="G29" s="228">
        <v>9.9115000000000002</v>
      </c>
      <c r="H29" s="228">
        <v>9.8292000000000002</v>
      </c>
      <c r="I29" s="228">
        <v>11.426500000000001</v>
      </c>
      <c r="J29" s="228"/>
      <c r="K29" s="228">
        <v>19.806799999999999</v>
      </c>
      <c r="L29" s="228">
        <v>18.839099999999998</v>
      </c>
      <c r="M29" s="228">
        <v>19.250985545335084</v>
      </c>
      <c r="N29" s="228">
        <v>18.891170431211521</v>
      </c>
      <c r="O29" s="228">
        <v>20.2</v>
      </c>
      <c r="P29" s="228">
        <v>17.5</v>
      </c>
    </row>
    <row r="30" spans="1:16">
      <c r="A30" s="224" t="s">
        <v>46</v>
      </c>
      <c r="B30" s="227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>
        <v>0.9</v>
      </c>
      <c r="P30" s="228">
        <v>1</v>
      </c>
    </row>
    <row r="31" spans="1:16">
      <c r="A31" s="224" t="s">
        <v>47</v>
      </c>
      <c r="B31" s="227">
        <v>1.9681999999999999</v>
      </c>
      <c r="C31" s="228">
        <v>2.0188999999999999</v>
      </c>
      <c r="D31" s="228">
        <v>2.7201</v>
      </c>
      <c r="E31" s="228">
        <v>2.7917000000000001</v>
      </c>
      <c r="F31" s="228">
        <v>1.7867</v>
      </c>
      <c r="G31" s="228">
        <v>1.7837000000000001</v>
      </c>
      <c r="H31" s="228">
        <v>1.4975000000000001</v>
      </c>
      <c r="I31" s="228">
        <v>2.2517999999999998</v>
      </c>
      <c r="J31" s="228"/>
      <c r="K31" s="228">
        <v>1.8782000000000001</v>
      </c>
      <c r="L31" s="228">
        <v>1.7018</v>
      </c>
      <c r="M31" s="228">
        <v>0.90447957839262116</v>
      </c>
      <c r="N31" s="228">
        <v>0.90030889381043622</v>
      </c>
      <c r="O31" s="228">
        <v>1.4</v>
      </c>
      <c r="P31" s="228">
        <v>0.7</v>
      </c>
    </row>
    <row r="32" spans="1:16">
      <c r="A32" s="224" t="s">
        <v>48</v>
      </c>
      <c r="B32" s="227">
        <v>4.4984999999999999</v>
      </c>
      <c r="C32" s="228">
        <v>2.9476</v>
      </c>
      <c r="D32" s="228">
        <v>3.0070000000000001</v>
      </c>
      <c r="E32" s="228">
        <v>3.0577999999999999</v>
      </c>
      <c r="F32" s="228">
        <v>2.8923000000000001</v>
      </c>
      <c r="G32" s="228">
        <v>4.1096000000000004</v>
      </c>
      <c r="H32" s="228">
        <v>4.3992000000000004</v>
      </c>
      <c r="I32" s="228">
        <v>5.43</v>
      </c>
      <c r="J32" s="228"/>
      <c r="K32" s="228">
        <v>5.2279</v>
      </c>
      <c r="L32" s="228">
        <v>4.9455999999999998</v>
      </c>
      <c r="M32" s="228">
        <v>7.5452716297786715</v>
      </c>
      <c r="N32" s="228">
        <v>6.2050268572007603</v>
      </c>
      <c r="O32" s="228">
        <v>7.3</v>
      </c>
      <c r="P32" s="228">
        <v>9.8000000000000007</v>
      </c>
    </row>
    <row r="33" spans="1:16">
      <c r="A33" s="224" t="s">
        <v>49</v>
      </c>
      <c r="B33" s="227">
        <v>1.5848</v>
      </c>
      <c r="C33" s="228">
        <v>0</v>
      </c>
      <c r="D33" s="228">
        <v>1.5326</v>
      </c>
      <c r="E33" s="228">
        <v>2.6562999999999999</v>
      </c>
      <c r="F33" s="228">
        <v>2.6772</v>
      </c>
      <c r="G33" s="228">
        <v>2.8052999999999999</v>
      </c>
      <c r="H33" s="228">
        <v>4.0362</v>
      </c>
      <c r="I33" s="228">
        <v>2.9897999999999998</v>
      </c>
      <c r="J33" s="228"/>
      <c r="K33" s="228">
        <v>3.5804</v>
      </c>
      <c r="L33" s="228">
        <v>0</v>
      </c>
      <c r="M33" s="228">
        <v>3.5512510088781255</v>
      </c>
      <c r="N33" s="228">
        <v>3.2887402452620016</v>
      </c>
      <c r="O33" s="228">
        <v>4</v>
      </c>
      <c r="P33" s="228">
        <v>4.2</v>
      </c>
    </row>
    <row r="34" spans="1:16">
      <c r="A34" s="224" t="s">
        <v>60</v>
      </c>
      <c r="B34" s="229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28"/>
      <c r="O34" s="228">
        <v>0.3</v>
      </c>
      <c r="P34" s="228">
        <v>0.4</v>
      </c>
    </row>
    <row r="35" spans="1:16">
      <c r="A35" s="224" t="s">
        <v>50</v>
      </c>
      <c r="B35" s="227">
        <v>6.8156999999999996</v>
      </c>
      <c r="C35" s="228">
        <v>7.2088000000000001</v>
      </c>
      <c r="D35" s="228">
        <v>6.7866</v>
      </c>
      <c r="E35" s="228">
        <v>7.8704999999999998</v>
      </c>
      <c r="F35" s="228">
        <v>4.8089000000000004</v>
      </c>
      <c r="G35" s="228">
        <v>3.9601000000000002</v>
      </c>
      <c r="H35" s="228">
        <v>3.6846000000000001</v>
      </c>
      <c r="I35" s="228">
        <v>3.7235</v>
      </c>
      <c r="J35" s="228"/>
      <c r="K35" s="228">
        <v>4.5987</v>
      </c>
      <c r="L35" s="228">
        <v>4.5808999999999997</v>
      </c>
      <c r="M35" s="228">
        <v>5.5485852869846397</v>
      </c>
      <c r="N35" s="228">
        <v>5.7040343349924427</v>
      </c>
      <c r="O35" s="228">
        <v>6.6</v>
      </c>
      <c r="P35" s="228">
        <v>6.5</v>
      </c>
    </row>
    <row r="36" spans="1:16">
      <c r="A36" s="224" t="s">
        <v>51</v>
      </c>
      <c r="B36" s="227">
        <v>2.5268000000000002</v>
      </c>
      <c r="C36" s="228">
        <v>2.6164000000000001</v>
      </c>
      <c r="D36" s="228">
        <v>3.3048000000000002</v>
      </c>
      <c r="E36" s="228">
        <v>3.3003</v>
      </c>
      <c r="F36" s="228">
        <v>3.3140000000000001</v>
      </c>
      <c r="G36" s="228">
        <v>3.5758999999999999</v>
      </c>
      <c r="H36" s="228">
        <v>2.3997999999999999</v>
      </c>
      <c r="I36" s="228">
        <v>2.1021000000000001</v>
      </c>
      <c r="J36" s="228"/>
      <c r="K36" s="228">
        <v>1.0920000000000001</v>
      </c>
      <c r="L36" s="228">
        <v>1.1209</v>
      </c>
      <c r="M36" s="228">
        <v>0</v>
      </c>
      <c r="N36" s="230"/>
      <c r="O36" s="230"/>
      <c r="P36" s="230"/>
    </row>
    <row r="37" spans="1:16">
      <c r="A37" s="224" t="s">
        <v>52</v>
      </c>
      <c r="B37" s="227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</row>
    <row r="38" spans="1:16">
      <c r="A38" s="224" t="s">
        <v>53</v>
      </c>
      <c r="B38" s="227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</row>
    <row r="39" spans="1:16" ht="15.75" thickBot="1">
      <c r="A39" s="224" t="s">
        <v>84</v>
      </c>
      <c r="B39" s="227">
        <v>2.5950000000000002</v>
      </c>
      <c r="C39" s="228">
        <v>2.2435</v>
      </c>
      <c r="D39" s="228">
        <v>7.4443999999999999</v>
      </c>
      <c r="E39" s="228">
        <v>8.266</v>
      </c>
      <c r="F39" s="228">
        <v>7.2634999999999996</v>
      </c>
      <c r="G39" s="228">
        <v>5.0895000000000001</v>
      </c>
      <c r="H39" s="228">
        <v>4.62</v>
      </c>
      <c r="I39" s="228">
        <v>4.7049000000000003</v>
      </c>
      <c r="J39" s="228"/>
      <c r="K39" s="228">
        <v>4.7411000000000003</v>
      </c>
      <c r="L39" s="228">
        <v>4.7706999999999997</v>
      </c>
      <c r="M39" s="228">
        <v>4.7693836978131223</v>
      </c>
      <c r="N39" s="228">
        <v>4.1772151898733902</v>
      </c>
      <c r="O39" s="228">
        <v>5.0999999999999996</v>
      </c>
      <c r="P39" s="228">
        <v>4.8</v>
      </c>
    </row>
    <row r="40" spans="1:16" ht="15.75" thickTop="1">
      <c r="A40" s="219" t="s">
        <v>83</v>
      </c>
      <c r="B40" s="231">
        <v>3.8106</v>
      </c>
      <c r="C40" s="232">
        <v>3.7928999999999999</v>
      </c>
      <c r="D40" s="232">
        <v>4.3766999999999996</v>
      </c>
      <c r="E40" s="232">
        <v>5.2877000000000001</v>
      </c>
      <c r="F40" s="232">
        <v>4.7275</v>
      </c>
      <c r="G40" s="232">
        <v>4.9401000000000002</v>
      </c>
      <c r="H40" s="232">
        <v>4.9640000000000004</v>
      </c>
      <c r="I40" s="232">
        <v>5.0959000000000003</v>
      </c>
      <c r="J40" s="232"/>
      <c r="K40" s="232">
        <v>5.4257999999999997</v>
      </c>
      <c r="L40" s="232">
        <v>5.3390000000000004</v>
      </c>
      <c r="M40" s="232">
        <v>5.8271394857085745</v>
      </c>
      <c r="N40" s="232">
        <v>5.57905993233841</v>
      </c>
      <c r="O40" s="232">
        <v>6</v>
      </c>
      <c r="P40" s="232">
        <v>6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4157-A64E-4ADD-B822-C78D13BA5A41}">
  <sheetPr codeName="Feuil8"/>
  <dimension ref="A1:P40"/>
  <sheetViews>
    <sheetView topLeftCell="A6" workbookViewId="0">
      <selection activeCell="A40" sqref="A40"/>
    </sheetView>
  </sheetViews>
  <sheetFormatPr baseColWidth="10" defaultRowHeight="15"/>
  <cols>
    <col min="1" max="1" width="23" style="43" bestFit="1" customWidth="1"/>
    <col min="2" max="7" width="8.7109375" style="43" customWidth="1"/>
    <col min="8" max="8" width="9" style="43" customWidth="1"/>
    <col min="9" max="13" width="8.7109375" style="43" customWidth="1"/>
    <col min="14" max="16384" width="11.42578125" style="43"/>
  </cols>
  <sheetData>
    <row r="1" spans="1:16" s="42" customFormat="1" ht="57" customHeight="1"/>
    <row r="2" spans="1:16" s="42" customFormat="1" ht="16.5"/>
    <row r="3" spans="1:16" ht="16.5">
      <c r="A3" s="372" t="s">
        <v>80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>
      <c r="A5" s="221" t="s">
        <v>54</v>
      </c>
      <c r="B5" s="222">
        <v>2010</v>
      </c>
      <c r="C5" s="223">
        <v>2011</v>
      </c>
      <c r="D5" s="223">
        <v>2012</v>
      </c>
      <c r="E5" s="223">
        <v>2013</v>
      </c>
      <c r="F5" s="223">
        <v>2014</v>
      </c>
      <c r="G5" s="223">
        <v>2015</v>
      </c>
      <c r="H5" s="223">
        <v>2016</v>
      </c>
      <c r="I5" s="223">
        <v>2017</v>
      </c>
      <c r="J5" s="223">
        <v>2018</v>
      </c>
      <c r="K5" s="223">
        <v>2019</v>
      </c>
      <c r="L5" s="223">
        <v>2020</v>
      </c>
      <c r="M5" s="223">
        <v>2021</v>
      </c>
      <c r="N5" s="223">
        <v>2022</v>
      </c>
      <c r="O5" s="223">
        <v>2023</v>
      </c>
      <c r="P5" s="223">
        <v>2024</v>
      </c>
    </row>
    <row r="6" spans="1:16">
      <c r="A6" s="224" t="s">
        <v>16</v>
      </c>
      <c r="B6" s="225">
        <v>1.92466</v>
      </c>
      <c r="C6" s="226">
        <v>2.0196800000000001</v>
      </c>
      <c r="D6" s="226">
        <v>2.17259</v>
      </c>
      <c r="E6" s="226">
        <v>2.2110300000000001</v>
      </c>
      <c r="F6" s="226">
        <v>2.26708</v>
      </c>
      <c r="G6" s="226">
        <v>1.875531915</v>
      </c>
      <c r="H6" s="226">
        <v>1.6032999999999999</v>
      </c>
      <c r="I6" s="226">
        <v>1.7139</v>
      </c>
      <c r="J6" s="226"/>
      <c r="K6" s="226">
        <v>1.3244499999999999</v>
      </c>
      <c r="L6" s="226">
        <v>1.5101422155688624</v>
      </c>
      <c r="M6" s="226">
        <v>1.5557103064066853</v>
      </c>
      <c r="N6" s="226">
        <v>1.27913566612416</v>
      </c>
      <c r="O6" s="226">
        <v>1.1000000000000014</v>
      </c>
      <c r="P6" s="226">
        <v>1.1000000000000001</v>
      </c>
    </row>
    <row r="7" spans="1:16">
      <c r="A7" s="224" t="s">
        <v>30</v>
      </c>
      <c r="B7" s="227">
        <v>1.0717099999999999</v>
      </c>
      <c r="C7" s="228">
        <v>1.9997199999999999</v>
      </c>
      <c r="D7" s="228">
        <v>2.0840900000000002</v>
      </c>
      <c r="E7" s="228">
        <v>2.3807</v>
      </c>
      <c r="F7" s="228">
        <v>1.6852199999999999</v>
      </c>
      <c r="G7" s="228">
        <v>1.4946124759999999</v>
      </c>
      <c r="H7" s="228">
        <v>1.6820999999999999</v>
      </c>
      <c r="I7" s="228">
        <v>0.85229999999999995</v>
      </c>
      <c r="J7" s="228"/>
      <c r="K7" s="228">
        <v>0.96874000000000005</v>
      </c>
      <c r="L7" s="228">
        <v>1.0683111954459203</v>
      </c>
      <c r="M7" s="228">
        <v>1.0128676470588234</v>
      </c>
      <c r="N7" s="228">
        <v>0.99781578062336995</v>
      </c>
      <c r="O7" s="228">
        <v>0.69999999999999929</v>
      </c>
      <c r="P7" s="228">
        <v>0.6</v>
      </c>
    </row>
    <row r="8" spans="1:16">
      <c r="A8" s="224" t="s">
        <v>31</v>
      </c>
      <c r="B8" s="227">
        <v>1.2156100000000001</v>
      </c>
      <c r="C8" s="228">
        <v>1.27427</v>
      </c>
      <c r="D8" s="228">
        <v>1.3581099999999999</v>
      </c>
      <c r="E8" s="228">
        <v>1.4513199999999999</v>
      </c>
      <c r="F8" s="228">
        <v>1.83189</v>
      </c>
      <c r="G8" s="228">
        <v>1.7653878940000001</v>
      </c>
      <c r="H8" s="228">
        <v>1.8596999999999999</v>
      </c>
      <c r="I8" s="228">
        <v>1.9775</v>
      </c>
      <c r="J8" s="228"/>
      <c r="K8" s="228">
        <v>1.9690000000000001</v>
      </c>
      <c r="L8" s="228">
        <v>1.3849872773536898</v>
      </c>
      <c r="M8" s="228">
        <v>1.2589991220368744</v>
      </c>
      <c r="N8" s="228">
        <v>1.0772711926255101</v>
      </c>
      <c r="O8" s="228">
        <v>0.6</v>
      </c>
      <c r="P8" s="228">
        <v>0.7</v>
      </c>
    </row>
    <row r="9" spans="1:16">
      <c r="A9" s="224" t="s">
        <v>32</v>
      </c>
      <c r="B9" s="227">
        <v>1.58202</v>
      </c>
      <c r="C9" s="228">
        <v>1.4815199999999999</v>
      </c>
      <c r="D9" s="228">
        <v>1.44432</v>
      </c>
      <c r="E9" s="228">
        <v>1.50875</v>
      </c>
      <c r="F9" s="228">
        <v>1.58097</v>
      </c>
      <c r="G9" s="228">
        <v>1.377111717</v>
      </c>
      <c r="H9" s="228">
        <v>1.0459000000000001</v>
      </c>
      <c r="I9" s="228">
        <v>1.0904</v>
      </c>
      <c r="J9" s="228"/>
      <c r="K9" s="228">
        <v>0.76646999999999998</v>
      </c>
      <c r="L9" s="228">
        <v>1.0772321428571427</v>
      </c>
      <c r="M9" s="228">
        <v>0.90220385674931125</v>
      </c>
      <c r="N9" s="228">
        <v>0.97641360059113003</v>
      </c>
      <c r="O9" s="228">
        <v>0.60000000000000142</v>
      </c>
      <c r="P9" s="228">
        <v>0.5</v>
      </c>
    </row>
    <row r="10" spans="1:16">
      <c r="A10" s="224" t="s">
        <v>33</v>
      </c>
      <c r="B10" s="227">
        <v>1.57456</v>
      </c>
      <c r="C10" s="228">
        <v>1.89716</v>
      </c>
      <c r="D10" s="228">
        <v>2.4977100000000001</v>
      </c>
      <c r="E10" s="228">
        <v>1.6153</v>
      </c>
      <c r="F10" s="228">
        <v>2.2654000000000001</v>
      </c>
      <c r="G10" s="228">
        <v>2.7653675820000001</v>
      </c>
      <c r="H10" s="228">
        <v>2.3494999999999999</v>
      </c>
      <c r="I10" s="228">
        <v>2.8003</v>
      </c>
      <c r="J10" s="228"/>
      <c r="K10" s="228">
        <v>2.6318299999999999</v>
      </c>
      <c r="L10" s="228">
        <v>2.0788638262322476</v>
      </c>
      <c r="M10" s="228">
        <v>2.2718776550552251</v>
      </c>
      <c r="N10" s="228">
        <v>1.8105760108109299</v>
      </c>
      <c r="O10" s="228">
        <v>1.5999999999999979</v>
      </c>
      <c r="P10" s="228">
        <v>1.6</v>
      </c>
    </row>
    <row r="11" spans="1:16">
      <c r="A11" s="224" t="s">
        <v>89</v>
      </c>
      <c r="B11" s="227">
        <v>3.0805500000000001</v>
      </c>
      <c r="C11" s="228">
        <v>3.1819299999999999</v>
      </c>
      <c r="D11" s="228">
        <v>3.3287900000000001</v>
      </c>
      <c r="E11" s="228">
        <v>2.80586</v>
      </c>
      <c r="F11" s="228">
        <v>2.68818</v>
      </c>
      <c r="G11" s="228">
        <v>2.8845539279999999</v>
      </c>
      <c r="H11" s="228">
        <v>2.3374999999999999</v>
      </c>
      <c r="I11" s="228">
        <v>2.3338999999999999</v>
      </c>
      <c r="J11" s="228"/>
      <c r="K11" s="228">
        <v>2.43058</v>
      </c>
      <c r="L11" s="228">
        <v>2.6203883495145632</v>
      </c>
      <c r="M11" s="228">
        <v>2.5413642960812775</v>
      </c>
      <c r="N11" s="228">
        <v>2.9855605565582901</v>
      </c>
      <c r="O11" s="228">
        <v>0.10000000000000142</v>
      </c>
      <c r="P11" s="228">
        <v>0</v>
      </c>
    </row>
    <row r="12" spans="1:16">
      <c r="A12" s="224" t="s">
        <v>34</v>
      </c>
      <c r="B12" s="227">
        <v>0.55349000000000004</v>
      </c>
      <c r="C12" s="228">
        <v>0.65990000000000004</v>
      </c>
      <c r="D12" s="228">
        <v>0.95864000000000005</v>
      </c>
      <c r="E12" s="228">
        <v>0.74748000000000003</v>
      </c>
      <c r="F12" s="228">
        <v>0.80417000000000005</v>
      </c>
      <c r="G12" s="228">
        <v>1.0639413</v>
      </c>
      <c r="H12" s="228">
        <v>0.95740000000000003</v>
      </c>
      <c r="I12" s="228">
        <v>1.0567</v>
      </c>
      <c r="J12" s="228"/>
      <c r="K12" s="228">
        <v>0.94182999999999995</v>
      </c>
      <c r="L12" s="228">
        <v>0.87677631578947368</v>
      </c>
      <c r="M12" s="228">
        <v>0.68026315789473679</v>
      </c>
      <c r="N12" s="228">
        <v>0.45628923506161001</v>
      </c>
      <c r="O12" s="228">
        <v>1</v>
      </c>
      <c r="P12" s="228">
        <v>1.1000000000000001</v>
      </c>
    </row>
    <row r="13" spans="1:16">
      <c r="A13" s="224" t="s">
        <v>35</v>
      </c>
      <c r="B13" s="227">
        <v>0.36427999999999999</v>
      </c>
      <c r="C13" s="228">
        <v>1.6675800000000001</v>
      </c>
      <c r="D13" s="228">
        <v>1.00224</v>
      </c>
      <c r="E13" s="228">
        <v>1.29036</v>
      </c>
      <c r="F13" s="228">
        <v>1.49031</v>
      </c>
      <c r="G13" s="228">
        <v>1.556486797</v>
      </c>
      <c r="H13" s="228">
        <v>1.1583000000000001</v>
      </c>
      <c r="I13" s="228">
        <v>1.1794</v>
      </c>
      <c r="J13" s="228"/>
      <c r="K13" s="228">
        <v>0.85616999999999999</v>
      </c>
      <c r="L13" s="228">
        <v>0.86619859578736191</v>
      </c>
      <c r="M13" s="228">
        <v>0.89067201604814461</v>
      </c>
      <c r="N13" s="228">
        <v>0.64593513278539005</v>
      </c>
      <c r="O13" s="228">
        <v>0.3</v>
      </c>
      <c r="P13" s="228">
        <v>0.4</v>
      </c>
    </row>
    <row r="14" spans="1:16">
      <c r="A14" s="224" t="s">
        <v>55</v>
      </c>
      <c r="B14" s="227">
        <v>0.94764000000000004</v>
      </c>
      <c r="C14" s="228">
        <v>0.91239000000000003</v>
      </c>
      <c r="D14" s="228">
        <v>0.65834000000000004</v>
      </c>
      <c r="E14" s="228">
        <v>0.75353000000000003</v>
      </c>
      <c r="F14" s="228">
        <v>0.76787000000000005</v>
      </c>
      <c r="G14" s="228">
        <v>0.77374537799999998</v>
      </c>
      <c r="H14" s="228">
        <v>0.66869999999999996</v>
      </c>
      <c r="I14" s="228">
        <v>0.5978</v>
      </c>
      <c r="J14" s="228"/>
      <c r="K14" s="228">
        <v>0.79351000000000005</v>
      </c>
      <c r="L14" s="228">
        <v>0.75409687641466738</v>
      </c>
      <c r="M14" s="228">
        <v>0.85292414591777654</v>
      </c>
      <c r="N14" s="228">
        <v>0.86756125375050996</v>
      </c>
      <c r="O14" s="228">
        <v>1</v>
      </c>
      <c r="P14" s="228">
        <v>1</v>
      </c>
    </row>
    <row r="15" spans="1:16">
      <c r="A15" s="224" t="s">
        <v>36</v>
      </c>
      <c r="B15" s="227">
        <v>2.09443</v>
      </c>
      <c r="C15" s="228">
        <v>2.3582800000000002</v>
      </c>
      <c r="D15" s="228">
        <v>1.74699</v>
      </c>
      <c r="E15" s="228">
        <v>1.8556900000000001</v>
      </c>
      <c r="F15" s="228">
        <v>2.1474299999999999</v>
      </c>
      <c r="G15" s="228">
        <v>2.218438178</v>
      </c>
      <c r="H15" s="228">
        <v>2.1253000000000002</v>
      </c>
      <c r="I15" s="228">
        <v>1.9564999999999999</v>
      </c>
      <c r="J15" s="228"/>
      <c r="K15" s="228">
        <v>2.1646399999999999</v>
      </c>
      <c r="L15" s="228">
        <v>2.1255033557046978</v>
      </c>
      <c r="M15" s="228">
        <v>2.0384615384615383</v>
      </c>
      <c r="N15" s="228">
        <v>2.1508861982007801</v>
      </c>
      <c r="O15" s="228">
        <v>1.7000000000000028</v>
      </c>
      <c r="P15" s="228">
        <v>2.1</v>
      </c>
    </row>
    <row r="16" spans="1:16">
      <c r="A16" s="224" t="s">
        <v>56</v>
      </c>
      <c r="B16" s="227">
        <v>1.37233</v>
      </c>
      <c r="C16" s="228">
        <v>1.2969299999999999</v>
      </c>
      <c r="D16" s="228">
        <v>1.17794</v>
      </c>
      <c r="E16" s="228">
        <v>1.5694600000000001</v>
      </c>
      <c r="F16" s="228">
        <v>1.15387</v>
      </c>
      <c r="G16" s="228">
        <v>1.2062222220000001</v>
      </c>
      <c r="H16" s="228">
        <v>0.95269999999999999</v>
      </c>
      <c r="I16" s="228">
        <v>1.0248999999999999</v>
      </c>
      <c r="J16" s="228"/>
      <c r="K16" s="228">
        <v>1.57257</v>
      </c>
      <c r="L16" s="228">
        <v>1.5661202185792349</v>
      </c>
      <c r="M16" s="228">
        <v>1.3422459893048129</v>
      </c>
      <c r="N16" s="228">
        <v>1.5924462011418501</v>
      </c>
      <c r="O16" s="228">
        <v>1.5</v>
      </c>
      <c r="P16" s="228">
        <v>1.2</v>
      </c>
    </row>
    <row r="17" spans="1:16">
      <c r="A17" s="224" t="s">
        <v>57</v>
      </c>
      <c r="B17" s="229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28">
        <v>0.65503875968992253</v>
      </c>
      <c r="N17" s="228">
        <v>0.50332907594525</v>
      </c>
      <c r="O17" s="228"/>
      <c r="P17" s="228">
        <v>0.5</v>
      </c>
    </row>
    <row r="18" spans="1:16">
      <c r="A18" s="224" t="s">
        <v>58</v>
      </c>
      <c r="B18" s="229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28">
        <v>0.54164836773531999</v>
      </c>
      <c r="O18" s="228">
        <v>0.59999999999999787</v>
      </c>
      <c r="P18" s="228">
        <v>0.5</v>
      </c>
    </row>
    <row r="19" spans="1:16">
      <c r="A19" s="224" t="s">
        <v>37</v>
      </c>
      <c r="B19" s="227">
        <v>2.9974099999999999</v>
      </c>
      <c r="C19" s="228">
        <v>3.69211</v>
      </c>
      <c r="D19" s="228">
        <v>2.75962</v>
      </c>
      <c r="E19" s="228">
        <v>1.97557</v>
      </c>
      <c r="F19" s="228">
        <v>1.60639</v>
      </c>
      <c r="G19" s="228">
        <v>2.1840579710000001</v>
      </c>
      <c r="H19" s="228">
        <v>1.5821000000000001</v>
      </c>
      <c r="I19" s="228">
        <v>1.5355000000000001</v>
      </c>
      <c r="J19" s="228"/>
      <c r="K19" s="228">
        <v>1.6243399999999999</v>
      </c>
      <c r="L19" s="228">
        <v>1.6347708894878707</v>
      </c>
      <c r="M19" s="228">
        <v>1.5196629213483146</v>
      </c>
      <c r="N19" s="228">
        <v>0.93596837944664002</v>
      </c>
      <c r="O19" s="228">
        <v>0.80000000000000071</v>
      </c>
      <c r="P19" s="228">
        <v>0.8</v>
      </c>
    </row>
    <row r="20" spans="1:16">
      <c r="A20" s="224" t="s">
        <v>92</v>
      </c>
      <c r="B20" s="229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28"/>
      <c r="N20" s="228"/>
      <c r="O20" s="228"/>
      <c r="P20" s="228">
        <v>0</v>
      </c>
    </row>
    <row r="21" spans="1:16">
      <c r="A21" s="224" t="s">
        <v>38</v>
      </c>
      <c r="B21" s="227">
        <v>4.0793699999999999</v>
      </c>
      <c r="C21" s="228">
        <v>1.9346300000000001</v>
      </c>
      <c r="D21" s="228">
        <v>3.6689500000000002</v>
      </c>
      <c r="E21" s="228">
        <v>3.7288899999999998</v>
      </c>
      <c r="F21" s="228">
        <v>3.6709499999999999</v>
      </c>
      <c r="G21" s="228">
        <v>5.6322033899999999</v>
      </c>
      <c r="H21" s="228">
        <v>4.9424999999999999</v>
      </c>
      <c r="I21" s="228">
        <v>4.6741000000000001</v>
      </c>
      <c r="J21" s="228"/>
      <c r="K21" s="228">
        <v>4.0629799999999996</v>
      </c>
      <c r="L21" s="228">
        <v>3.5768617021276592</v>
      </c>
      <c r="M21" s="228">
        <v>2.4770408163265309</v>
      </c>
      <c r="N21" s="228">
        <v>2.0810829838377098</v>
      </c>
      <c r="O21" s="228">
        <v>2.2000000000000028</v>
      </c>
      <c r="P21" s="228">
        <v>2.2999999999999998</v>
      </c>
    </row>
    <row r="22" spans="1:16">
      <c r="A22" s="224" t="s">
        <v>39</v>
      </c>
      <c r="B22" s="227">
        <v>1.27854</v>
      </c>
      <c r="C22" s="228">
        <v>1.6199699999999999</v>
      </c>
      <c r="D22" s="228">
        <v>1.1739999999999999</v>
      </c>
      <c r="E22" s="228">
        <v>1.10747</v>
      </c>
      <c r="F22" s="228">
        <v>1.2044299999999999</v>
      </c>
      <c r="G22" s="228">
        <v>0.90541871900000004</v>
      </c>
      <c r="H22" s="228">
        <v>0.9718</v>
      </c>
      <c r="I22" s="228">
        <v>0.874</v>
      </c>
      <c r="J22" s="228"/>
      <c r="K22" s="228">
        <v>0.86670000000000003</v>
      </c>
      <c r="L22" s="228">
        <v>0.91201413427561828</v>
      </c>
      <c r="M22" s="228">
        <v>0.89333333333333331</v>
      </c>
      <c r="N22" s="228">
        <v>0.92664722360797003</v>
      </c>
      <c r="O22" s="228">
        <v>0.6</v>
      </c>
      <c r="P22" s="228">
        <v>0.7</v>
      </c>
    </row>
    <row r="23" spans="1:16">
      <c r="A23" s="224" t="s">
        <v>40</v>
      </c>
      <c r="B23" s="227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>
        <v>0</v>
      </c>
    </row>
    <row r="24" spans="1:16">
      <c r="A24" s="224" t="s">
        <v>41</v>
      </c>
      <c r="B24" s="227">
        <v>2.3640099999999999</v>
      </c>
      <c r="C24" s="228">
        <v>2.8353199999999998</v>
      </c>
      <c r="D24" s="228">
        <v>2.08602</v>
      </c>
      <c r="E24" s="228">
        <v>2.17422</v>
      </c>
      <c r="F24" s="228">
        <v>1.92171</v>
      </c>
      <c r="G24" s="228">
        <v>1.9697299859999999</v>
      </c>
      <c r="H24" s="228">
        <v>1.8966000000000001</v>
      </c>
      <c r="I24" s="228">
        <v>1.8611</v>
      </c>
      <c r="J24" s="228"/>
      <c r="K24" s="228">
        <v>1.5695600000000001</v>
      </c>
      <c r="L24" s="228">
        <v>1.4117955439056358</v>
      </c>
      <c r="M24" s="228">
        <v>1.4689837219533657</v>
      </c>
      <c r="N24" s="228">
        <v>1.46083379296855</v>
      </c>
      <c r="O24" s="228">
        <v>1.4</v>
      </c>
      <c r="P24" s="228">
        <v>1.3</v>
      </c>
    </row>
    <row r="25" spans="1:16">
      <c r="A25" s="224" t="s">
        <v>42</v>
      </c>
      <c r="B25" s="227">
        <v>1.51139</v>
      </c>
      <c r="C25" s="228">
        <v>1.51285</v>
      </c>
      <c r="D25" s="228">
        <v>1.4683600000000001</v>
      </c>
      <c r="E25" s="228">
        <v>1.4553799999999999</v>
      </c>
      <c r="F25" s="228">
        <v>1.41235</v>
      </c>
      <c r="G25" s="228">
        <v>1.25552</v>
      </c>
      <c r="H25" s="228">
        <v>1.3161</v>
      </c>
      <c r="I25" s="228">
        <v>1.2847</v>
      </c>
      <c r="J25" s="228"/>
      <c r="K25" s="228">
        <v>1.17839</v>
      </c>
      <c r="L25" s="228">
        <v>1.1124073158675236</v>
      </c>
      <c r="M25" s="228">
        <v>1.341300191204589</v>
      </c>
      <c r="N25" s="228">
        <v>1.3550971024867</v>
      </c>
      <c r="O25" s="228">
        <v>1.3999999999999986</v>
      </c>
      <c r="P25" s="228">
        <v>1.1000000000000001</v>
      </c>
    </row>
    <row r="26" spans="1:16">
      <c r="A26" s="224" t="s">
        <v>43</v>
      </c>
      <c r="B26" s="227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>
        <v>9.9999999999994316E-2</v>
      </c>
      <c r="P26" s="228">
        <v>0</v>
      </c>
    </row>
    <row r="27" spans="1:16">
      <c r="A27" s="224" t="s">
        <v>59</v>
      </c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28">
        <v>0.90960710282579005</v>
      </c>
      <c r="O27" s="228">
        <v>1.6999999999999993</v>
      </c>
      <c r="P27" s="228">
        <v>1.4</v>
      </c>
    </row>
    <row r="28" spans="1:16">
      <c r="A28" s="224" t="s">
        <v>44</v>
      </c>
      <c r="B28" s="227">
        <v>0.42756</v>
      </c>
      <c r="C28" s="228">
        <v>0.61467000000000005</v>
      </c>
      <c r="D28" s="228">
        <v>0.42980000000000002</v>
      </c>
      <c r="E28" s="228">
        <v>0.41549999999999998</v>
      </c>
      <c r="F28" s="228">
        <v>0.49792999999999998</v>
      </c>
      <c r="G28" s="228">
        <v>0.51351094200000003</v>
      </c>
      <c r="H28" s="228">
        <v>0.5474</v>
      </c>
      <c r="I28" s="228">
        <v>0.68979999999999997</v>
      </c>
      <c r="J28" s="228"/>
      <c r="K28" s="228">
        <v>0.71863999999999995</v>
      </c>
      <c r="L28" s="228">
        <v>0.58724353256021411</v>
      </c>
      <c r="M28" s="228">
        <v>0.64840182648401823</v>
      </c>
      <c r="N28" s="228">
        <v>0.62822904176104</v>
      </c>
      <c r="O28" s="228">
        <v>0.39999999999999858</v>
      </c>
      <c r="P28" s="228">
        <v>0.4</v>
      </c>
    </row>
    <row r="29" spans="1:16">
      <c r="A29" s="224" t="s">
        <v>45</v>
      </c>
      <c r="B29" s="227">
        <v>1.42896</v>
      </c>
      <c r="C29" s="228">
        <v>1.6173900000000001</v>
      </c>
      <c r="D29" s="228">
        <v>1.31965</v>
      </c>
      <c r="E29" s="228">
        <v>1.34914</v>
      </c>
      <c r="F29" s="228">
        <v>1.57921</v>
      </c>
      <c r="G29" s="228">
        <v>1.6654458599999999</v>
      </c>
      <c r="H29" s="228">
        <v>1.6106</v>
      </c>
      <c r="I29" s="228">
        <v>1.3925000000000001</v>
      </c>
      <c r="J29" s="228"/>
      <c r="K29" s="228">
        <v>0.50285000000000002</v>
      </c>
      <c r="L29" s="228">
        <v>0.85469845722300142</v>
      </c>
      <c r="M29" s="228">
        <v>0.8318002628120893</v>
      </c>
      <c r="N29" s="228">
        <v>0.78269526800907996</v>
      </c>
      <c r="O29" s="228"/>
      <c r="P29" s="228">
        <v>0</v>
      </c>
    </row>
    <row r="30" spans="1:16">
      <c r="A30" s="224" t="s">
        <v>46</v>
      </c>
      <c r="B30" s="227">
        <v>0.65380000000000005</v>
      </c>
      <c r="C30" s="228">
        <v>0.48131000000000002</v>
      </c>
      <c r="D30" s="228">
        <v>0.65217000000000003</v>
      </c>
      <c r="E30" s="228">
        <v>0.77470000000000006</v>
      </c>
      <c r="F30" s="228">
        <v>1.09399</v>
      </c>
      <c r="G30" s="228">
        <v>1.0154320990000001</v>
      </c>
      <c r="H30" s="228">
        <v>0.93100000000000005</v>
      </c>
      <c r="I30" s="228">
        <v>0.94679999999999997</v>
      </c>
      <c r="J30" s="228"/>
      <c r="K30" s="228">
        <v>1.08548</v>
      </c>
      <c r="L30" s="228">
        <v>0.9922727272727272</v>
      </c>
      <c r="M30" s="228">
        <v>1</v>
      </c>
      <c r="N30" s="228">
        <v>1.0715467256359801</v>
      </c>
      <c r="O30" s="228"/>
      <c r="P30" s="228">
        <v>0</v>
      </c>
    </row>
    <row r="31" spans="1:16">
      <c r="A31" s="224" t="s">
        <v>47</v>
      </c>
      <c r="B31" s="227">
        <v>1.9535400000000001</v>
      </c>
      <c r="C31" s="228">
        <v>1.9909600000000001</v>
      </c>
      <c r="D31" s="228">
        <v>1.90387</v>
      </c>
      <c r="E31" s="228">
        <v>1.64544</v>
      </c>
      <c r="F31" s="228">
        <v>1.3383</v>
      </c>
      <c r="G31" s="228">
        <v>1.6182831660000001</v>
      </c>
      <c r="H31" s="228">
        <v>1.629</v>
      </c>
      <c r="I31" s="228">
        <v>1.8804000000000001</v>
      </c>
      <c r="J31" s="228"/>
      <c r="K31" s="228">
        <v>0.54459000000000002</v>
      </c>
      <c r="L31" s="228">
        <v>0.56075044669446095</v>
      </c>
      <c r="M31" s="228">
        <v>0.92424242424242409</v>
      </c>
      <c r="N31" s="228">
        <v>0.97396920598925996</v>
      </c>
      <c r="O31" s="228">
        <v>0.60000000000000142</v>
      </c>
      <c r="P31" s="228">
        <v>0.9</v>
      </c>
    </row>
    <row r="32" spans="1:16">
      <c r="A32" s="224" t="s">
        <v>48</v>
      </c>
      <c r="B32" s="227">
        <v>1.6170800000000001</v>
      </c>
      <c r="C32" s="228">
        <v>1.6453199999999999</v>
      </c>
      <c r="D32" s="228">
        <v>2.2368800000000002</v>
      </c>
      <c r="E32" s="228">
        <v>2.27136</v>
      </c>
      <c r="F32" s="228">
        <v>2.2762699999999998</v>
      </c>
      <c r="G32" s="228">
        <v>2.171654373</v>
      </c>
      <c r="H32" s="228">
        <v>2.1966000000000001</v>
      </c>
      <c r="I32" s="228">
        <v>2.0926999999999998</v>
      </c>
      <c r="J32" s="228"/>
      <c r="K32" s="228">
        <v>2.1241599999999998</v>
      </c>
      <c r="L32" s="228">
        <v>2.0919402985074624</v>
      </c>
      <c r="M32" s="228">
        <v>1.9406438631790743</v>
      </c>
      <c r="N32" s="228">
        <v>2.14818626189864</v>
      </c>
      <c r="O32" s="228">
        <v>1.8000000000000007</v>
      </c>
      <c r="P32" s="228">
        <v>1.9</v>
      </c>
    </row>
    <row r="33" spans="1:16">
      <c r="A33" s="224" t="s">
        <v>49</v>
      </c>
      <c r="B33" s="227">
        <v>1.11107</v>
      </c>
      <c r="C33" s="228">
        <v>0.87039999999999995</v>
      </c>
      <c r="D33" s="228">
        <v>0.93855</v>
      </c>
      <c r="E33" s="228">
        <v>0.87724999999999997</v>
      </c>
      <c r="F33" s="228">
        <v>0.96282000000000001</v>
      </c>
      <c r="G33" s="228">
        <v>1.1402640260000001</v>
      </c>
      <c r="H33" s="228">
        <v>1.1642999999999999</v>
      </c>
      <c r="I33" s="228">
        <v>1.4903999999999999</v>
      </c>
      <c r="J33" s="228"/>
      <c r="K33" s="228">
        <v>1.66083</v>
      </c>
      <c r="L33" s="228">
        <v>1.5638933764135703</v>
      </c>
      <c r="M33" s="228">
        <v>1.6004842615012105</v>
      </c>
      <c r="N33" s="228">
        <v>1.5513358923684999</v>
      </c>
      <c r="O33" s="228">
        <v>1.6000000000000014</v>
      </c>
      <c r="P33" s="228">
        <v>1.5</v>
      </c>
    </row>
    <row r="34" spans="1:16">
      <c r="A34" s="224" t="s">
        <v>60</v>
      </c>
      <c r="B34" s="229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28">
        <v>0.45175596194943002</v>
      </c>
      <c r="O34" s="228"/>
      <c r="P34" s="228">
        <v>0</v>
      </c>
    </row>
    <row r="35" spans="1:16">
      <c r="A35" s="224" t="s">
        <v>50</v>
      </c>
      <c r="B35" s="227">
        <v>1.19438</v>
      </c>
      <c r="C35" s="228">
        <v>1.2866899999999999</v>
      </c>
      <c r="D35" s="228">
        <v>1.1757</v>
      </c>
      <c r="E35" s="228">
        <v>1.1210899999999999</v>
      </c>
      <c r="F35" s="228">
        <v>1.17615</v>
      </c>
      <c r="G35" s="228">
        <v>1.0926329480000001</v>
      </c>
      <c r="H35" s="228">
        <v>0.98260000000000003</v>
      </c>
      <c r="I35" s="228">
        <v>1.0330999999999999</v>
      </c>
      <c r="J35" s="228"/>
      <c r="K35" s="228">
        <v>1.42882</v>
      </c>
      <c r="L35" s="228">
        <v>1.074408330703692</v>
      </c>
      <c r="M35" s="228">
        <v>1.3157639450282941</v>
      </c>
      <c r="N35" s="228">
        <v>1.5968668853741601</v>
      </c>
      <c r="O35" s="228">
        <v>1.3999999999999986</v>
      </c>
      <c r="P35" s="228">
        <v>1</v>
      </c>
    </row>
    <row r="36" spans="1:16">
      <c r="A36" s="224" t="s">
        <v>51</v>
      </c>
      <c r="B36" s="227">
        <v>1.3959299999999999</v>
      </c>
      <c r="C36" s="228">
        <v>1.63209</v>
      </c>
      <c r="D36" s="228">
        <v>1.5673600000000001</v>
      </c>
      <c r="E36" s="228">
        <v>1.50403</v>
      </c>
      <c r="F36" s="228">
        <v>1.2099899999999999</v>
      </c>
      <c r="G36" s="228">
        <v>1.6919191920000001</v>
      </c>
      <c r="H36" s="228">
        <v>1.2181999999999999</v>
      </c>
      <c r="I36" s="228">
        <v>1.0088999999999999</v>
      </c>
      <c r="J36" s="228"/>
      <c r="K36" s="228">
        <v>0.88915</v>
      </c>
      <c r="L36" s="228">
        <v>0.5689174107142857</v>
      </c>
      <c r="M36" s="228">
        <v>0.72480620155038755</v>
      </c>
      <c r="N36" s="230"/>
      <c r="O36" s="230"/>
      <c r="P36" s="230"/>
    </row>
    <row r="37" spans="1:16">
      <c r="A37" s="224" t="s">
        <v>52</v>
      </c>
      <c r="B37" s="227">
        <v>2.64073</v>
      </c>
      <c r="C37" s="228">
        <v>1.7197100000000001</v>
      </c>
      <c r="D37" s="228">
        <v>1.84561</v>
      </c>
      <c r="E37" s="228">
        <v>1.96187</v>
      </c>
      <c r="F37" s="228">
        <v>1.4030100000000001</v>
      </c>
      <c r="G37" s="228">
        <v>0.95130111500000003</v>
      </c>
      <c r="H37" s="228">
        <v>1.4525999999999999</v>
      </c>
      <c r="I37" s="228">
        <v>1.0103</v>
      </c>
      <c r="J37" s="228"/>
      <c r="K37" s="228">
        <v>1.1222300000000001</v>
      </c>
      <c r="L37" s="228">
        <v>1.5843333333333334</v>
      </c>
      <c r="M37" s="228">
        <v>0.94025157232704404</v>
      </c>
      <c r="N37" s="228">
        <v>0.81643232035249003</v>
      </c>
      <c r="O37" s="228">
        <v>0.90000000000000213</v>
      </c>
      <c r="P37" s="228">
        <v>0.9</v>
      </c>
    </row>
    <row r="38" spans="1:16">
      <c r="A38" s="224" t="s">
        <v>53</v>
      </c>
      <c r="B38" s="227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>
        <v>0</v>
      </c>
    </row>
    <row r="39" spans="1:16" ht="15.75" thickBot="1">
      <c r="A39" s="224" t="s">
        <v>84</v>
      </c>
      <c r="B39" s="227">
        <v>1.79186</v>
      </c>
      <c r="C39" s="228">
        <v>1.99735</v>
      </c>
      <c r="D39" s="228">
        <v>1.73672</v>
      </c>
      <c r="E39" s="228">
        <v>1.89537</v>
      </c>
      <c r="F39" s="228">
        <v>1.3513999999999999</v>
      </c>
      <c r="G39" s="228">
        <v>1.1597591890000001</v>
      </c>
      <c r="H39" s="228">
        <v>1.0508999999999999</v>
      </c>
      <c r="I39" s="228">
        <v>1.0039</v>
      </c>
      <c r="J39" s="228"/>
      <c r="K39" s="228">
        <v>1.28101</v>
      </c>
      <c r="L39" s="228">
        <v>1.1571791613722997</v>
      </c>
      <c r="M39" s="228">
        <v>1.5202120609675283</v>
      </c>
      <c r="N39" s="228">
        <v>1.4188535047781099</v>
      </c>
      <c r="O39" s="228">
        <v>0.69999999999999574</v>
      </c>
      <c r="P39" s="228">
        <v>1.5</v>
      </c>
    </row>
    <row r="40" spans="1:16" ht="15.75" thickTop="1">
      <c r="A40" s="219" t="s">
        <v>83</v>
      </c>
      <c r="B40" s="231">
        <v>1.4740200000000001</v>
      </c>
      <c r="C40" s="232">
        <v>1.59484</v>
      </c>
      <c r="D40" s="232">
        <v>1.5363199999999999</v>
      </c>
      <c r="E40" s="232">
        <v>1.48506</v>
      </c>
      <c r="F40" s="232">
        <v>1.45997</v>
      </c>
      <c r="G40" s="232">
        <v>1.49292066</v>
      </c>
      <c r="H40" s="232">
        <v>1.365</v>
      </c>
      <c r="I40" s="232">
        <v>1.3663000000000001</v>
      </c>
      <c r="J40" s="232"/>
      <c r="K40" s="232">
        <v>1.28576</v>
      </c>
      <c r="L40" s="232">
        <v>1.1778</v>
      </c>
      <c r="M40" s="232">
        <v>1.2441415393088255</v>
      </c>
      <c r="N40" s="232">
        <v>1.23575217896569</v>
      </c>
      <c r="O40" s="232">
        <v>1</v>
      </c>
      <c r="P40" s="232">
        <v>1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4735-02EB-41BD-8920-7858EBE95ED7}">
  <sheetPr codeName="Feuil6"/>
  <dimension ref="A1:P40"/>
  <sheetViews>
    <sheetView topLeftCell="A9" workbookViewId="0">
      <selection activeCell="A40" sqref="A40"/>
    </sheetView>
  </sheetViews>
  <sheetFormatPr baseColWidth="10" defaultRowHeight="15"/>
  <cols>
    <col min="1" max="1" width="23" style="43" bestFit="1" customWidth="1"/>
    <col min="2" max="13" width="8.7109375" style="43" customWidth="1"/>
    <col min="14" max="16384" width="11.42578125" style="43"/>
  </cols>
  <sheetData>
    <row r="1" spans="1:16" s="42" customFormat="1" ht="57" customHeight="1"/>
    <row r="2" spans="1:16" s="42" customFormat="1" ht="16.5"/>
    <row r="3" spans="1:16" ht="16.5">
      <c r="A3" s="372" t="s">
        <v>80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>
      <c r="A5" s="221" t="s">
        <v>54</v>
      </c>
      <c r="B5" s="222">
        <v>2010</v>
      </c>
      <c r="C5" s="223">
        <v>2011</v>
      </c>
      <c r="D5" s="223">
        <v>2012</v>
      </c>
      <c r="E5" s="223">
        <v>2013</v>
      </c>
      <c r="F5" s="223">
        <v>2014</v>
      </c>
      <c r="G5" s="223">
        <v>2015</v>
      </c>
      <c r="H5" s="223">
        <v>2016</v>
      </c>
      <c r="I5" s="223">
        <v>2017</v>
      </c>
      <c r="J5" s="223">
        <v>2018</v>
      </c>
      <c r="K5" s="223">
        <v>2019</v>
      </c>
      <c r="L5" s="223">
        <v>2020</v>
      </c>
      <c r="M5" s="223">
        <v>2021</v>
      </c>
      <c r="N5" s="223">
        <v>2022</v>
      </c>
      <c r="O5" s="223">
        <v>2023</v>
      </c>
      <c r="P5" s="223">
        <v>2024</v>
      </c>
    </row>
    <row r="6" spans="1:16">
      <c r="A6" s="224" t="s">
        <v>16</v>
      </c>
      <c r="B6" s="225">
        <v>11.7867</v>
      </c>
      <c r="C6" s="226">
        <v>13.5246</v>
      </c>
      <c r="D6" s="226">
        <v>15.7392</v>
      </c>
      <c r="E6" s="226">
        <v>20.898700000000002</v>
      </c>
      <c r="F6" s="226">
        <v>25.342099999999999</v>
      </c>
      <c r="G6" s="226">
        <v>30.819500000000001</v>
      </c>
      <c r="H6" s="226">
        <v>30.819500000000001</v>
      </c>
      <c r="I6" s="226">
        <v>32.199100000000001</v>
      </c>
      <c r="J6" s="226"/>
      <c r="K6" s="226">
        <v>32.451500000000003</v>
      </c>
      <c r="L6" s="226">
        <v>34.655314371257482</v>
      </c>
      <c r="M6" s="226">
        <v>32.025766016713092</v>
      </c>
      <c r="N6" s="226">
        <v>27.692694352264802</v>
      </c>
      <c r="O6" s="226">
        <v>31.3</v>
      </c>
      <c r="P6" s="226">
        <v>32.9</v>
      </c>
    </row>
    <row r="7" spans="1:16">
      <c r="A7" s="224" t="s">
        <v>30</v>
      </c>
      <c r="B7" s="227">
        <v>12.5725</v>
      </c>
      <c r="C7" s="228">
        <v>13.106400000000001</v>
      </c>
      <c r="D7" s="228">
        <v>12.7936</v>
      </c>
      <c r="E7" s="228">
        <v>13.423400000000001</v>
      </c>
      <c r="F7" s="228">
        <v>15.063700000000001</v>
      </c>
      <c r="G7" s="228">
        <v>15.144600000000001</v>
      </c>
      <c r="H7" s="228">
        <v>15.144600000000001</v>
      </c>
      <c r="I7" s="228">
        <v>17.104099999999999</v>
      </c>
      <c r="J7" s="228"/>
      <c r="K7" s="228">
        <v>20.5045</v>
      </c>
      <c r="L7" s="228">
        <v>20.13851992409867</v>
      </c>
      <c r="M7" s="228">
        <v>19.599264705882355</v>
      </c>
      <c r="N7" s="228">
        <v>19.5470818612153</v>
      </c>
      <c r="O7" s="228">
        <v>19.2</v>
      </c>
      <c r="P7" s="228">
        <v>20.399999999999999</v>
      </c>
    </row>
    <row r="8" spans="1:16">
      <c r="A8" s="224" t="s">
        <v>31</v>
      </c>
      <c r="B8" s="227">
        <v>9.4812999999999992</v>
      </c>
      <c r="C8" s="228">
        <v>9.2453000000000003</v>
      </c>
      <c r="D8" s="228">
        <v>12.021100000000001</v>
      </c>
      <c r="E8" s="228">
        <v>13.5946</v>
      </c>
      <c r="F8" s="228">
        <v>14.927099999999999</v>
      </c>
      <c r="G8" s="228">
        <v>15.752599999999999</v>
      </c>
      <c r="H8" s="228">
        <v>15.752599999999999</v>
      </c>
      <c r="I8" s="228">
        <v>19.4817</v>
      </c>
      <c r="J8" s="228"/>
      <c r="K8" s="228">
        <v>19.750299999999999</v>
      </c>
      <c r="L8" s="228">
        <v>21.062765055131468</v>
      </c>
      <c r="M8" s="228">
        <v>23.559262510974538</v>
      </c>
      <c r="N8" s="228">
        <v>22.9927155412019</v>
      </c>
      <c r="O8" s="228">
        <v>25.3</v>
      </c>
      <c r="P8" s="228">
        <v>30.4</v>
      </c>
    </row>
    <row r="9" spans="1:16">
      <c r="A9" s="224" t="s">
        <v>32</v>
      </c>
      <c r="B9" s="227">
        <v>24.689599999999999</v>
      </c>
      <c r="C9" s="228">
        <v>34.211100000000002</v>
      </c>
      <c r="D9" s="228">
        <v>32.9758</v>
      </c>
      <c r="E9" s="228">
        <v>34.363999999999997</v>
      </c>
      <c r="F9" s="228">
        <v>34.035899999999998</v>
      </c>
      <c r="G9" s="228">
        <v>37.187199999999997</v>
      </c>
      <c r="H9" s="228">
        <v>37.187199999999997</v>
      </c>
      <c r="I9" s="228">
        <v>37.165399999999998</v>
      </c>
      <c r="J9" s="228"/>
      <c r="K9" s="228">
        <v>29.479299999999999</v>
      </c>
      <c r="L9" s="228">
        <v>34.261904761904766</v>
      </c>
      <c r="M9" s="228">
        <v>31.61845730027548</v>
      </c>
      <c r="N9" s="228">
        <v>33.914099060531797</v>
      </c>
      <c r="O9" s="228">
        <v>35</v>
      </c>
      <c r="P9" s="228">
        <v>38.5</v>
      </c>
    </row>
    <row r="10" spans="1:16">
      <c r="A10" s="224" t="s">
        <v>33</v>
      </c>
      <c r="B10" s="227">
        <v>13.8139</v>
      </c>
      <c r="C10" s="228">
        <v>16.467300000000002</v>
      </c>
      <c r="D10" s="228">
        <v>31.321100000000001</v>
      </c>
      <c r="E10" s="228">
        <v>29.169699999999999</v>
      </c>
      <c r="F10" s="228">
        <v>29.909300000000002</v>
      </c>
      <c r="G10" s="228">
        <v>34.474899999999998</v>
      </c>
      <c r="H10" s="228">
        <v>34.474899999999998</v>
      </c>
      <c r="I10" s="228">
        <v>36.095799999999997</v>
      </c>
      <c r="J10" s="228"/>
      <c r="K10" s="228">
        <v>36.240400000000001</v>
      </c>
      <c r="L10" s="228">
        <v>32.905597326649961</v>
      </c>
      <c r="M10" s="228">
        <v>41.129141886151231</v>
      </c>
      <c r="N10" s="228">
        <v>43.001395127381997</v>
      </c>
      <c r="O10" s="228">
        <v>43.5</v>
      </c>
      <c r="P10" s="228">
        <v>48.3</v>
      </c>
    </row>
    <row r="11" spans="1:16">
      <c r="A11" s="224" t="s">
        <v>89</v>
      </c>
      <c r="B11" s="227">
        <v>16.390499999999999</v>
      </c>
      <c r="C11" s="228">
        <v>16.583600000000001</v>
      </c>
      <c r="D11" s="228">
        <v>23.083200000000001</v>
      </c>
      <c r="E11" s="228">
        <v>30.873000000000001</v>
      </c>
      <c r="F11" s="228">
        <v>28.685400000000001</v>
      </c>
      <c r="G11" s="228">
        <v>27.436</v>
      </c>
      <c r="H11" s="228">
        <v>27.436</v>
      </c>
      <c r="I11" s="228">
        <v>30.220300000000002</v>
      </c>
      <c r="J11" s="228"/>
      <c r="K11" s="228">
        <v>36.4621</v>
      </c>
      <c r="L11" s="228">
        <v>36.1373092926491</v>
      </c>
      <c r="M11" s="228">
        <v>39.406386066763424</v>
      </c>
      <c r="N11" s="228">
        <v>39.786264250953899</v>
      </c>
      <c r="O11" s="228">
        <v>44.1</v>
      </c>
      <c r="P11" s="228">
        <v>43</v>
      </c>
    </row>
    <row r="12" spans="1:16">
      <c r="A12" s="224" t="s">
        <v>34</v>
      </c>
      <c r="B12" s="227">
        <v>9.7097999999999995</v>
      </c>
      <c r="C12" s="228">
        <v>14.931800000000001</v>
      </c>
      <c r="D12" s="228">
        <v>14.5809</v>
      </c>
      <c r="E12" s="228">
        <v>15.033200000000001</v>
      </c>
      <c r="F12" s="228">
        <v>14.901400000000001</v>
      </c>
      <c r="G12" s="228">
        <v>16.649000000000001</v>
      </c>
      <c r="H12" s="228">
        <v>16.649000000000001</v>
      </c>
      <c r="I12" s="228">
        <v>18.328800000000001</v>
      </c>
      <c r="J12" s="228"/>
      <c r="K12" s="228">
        <v>17.936</v>
      </c>
      <c r="L12" s="228">
        <v>17.492763157894736</v>
      </c>
      <c r="M12" s="228">
        <v>19.025657894736842</v>
      </c>
      <c r="N12" s="228">
        <v>25.844603322224799</v>
      </c>
      <c r="O12" s="228">
        <v>21.4</v>
      </c>
      <c r="P12" s="228">
        <v>23.6</v>
      </c>
    </row>
    <row r="13" spans="1:16">
      <c r="A13" s="224" t="s">
        <v>35</v>
      </c>
      <c r="B13" s="227">
        <v>8.7550000000000008</v>
      </c>
      <c r="C13" s="228">
        <v>11.7605</v>
      </c>
      <c r="D13" s="228">
        <v>10.414</v>
      </c>
      <c r="E13" s="228">
        <v>10.939500000000001</v>
      </c>
      <c r="F13" s="228">
        <v>10.9734</v>
      </c>
      <c r="G13" s="228">
        <v>17.374500000000001</v>
      </c>
      <c r="H13" s="228">
        <v>17.374500000000001</v>
      </c>
      <c r="I13" s="228">
        <v>16.8522</v>
      </c>
      <c r="J13" s="228"/>
      <c r="K13" s="228">
        <v>15.7141</v>
      </c>
      <c r="L13" s="228">
        <v>15.510531594784352</v>
      </c>
      <c r="M13" s="228">
        <v>15.466399197592779</v>
      </c>
      <c r="N13" s="228">
        <v>16.5318821796286</v>
      </c>
      <c r="O13" s="228">
        <v>17.2</v>
      </c>
      <c r="P13" s="228">
        <v>17.8</v>
      </c>
    </row>
    <row r="14" spans="1:16">
      <c r="A14" s="224" t="s">
        <v>55</v>
      </c>
      <c r="B14" s="227">
        <v>6.577</v>
      </c>
      <c r="C14" s="228">
        <v>7.4367999999999999</v>
      </c>
      <c r="D14" s="228">
        <v>7.0075000000000003</v>
      </c>
      <c r="E14" s="228">
        <v>7.2164999999999999</v>
      </c>
      <c r="F14" s="228">
        <v>7.8875999999999999</v>
      </c>
      <c r="G14" s="228">
        <v>8.4922000000000004</v>
      </c>
      <c r="H14" s="228">
        <v>8.4922000000000004</v>
      </c>
      <c r="I14" s="228">
        <v>8.2636000000000003</v>
      </c>
      <c r="J14" s="228"/>
      <c r="K14" s="228">
        <v>10.192</v>
      </c>
      <c r="L14" s="228">
        <v>10.205070167496604</v>
      </c>
      <c r="M14" s="228">
        <v>11.159814707585408</v>
      </c>
      <c r="N14" s="228">
        <v>10.8395500492687</v>
      </c>
      <c r="O14" s="228">
        <v>11.4</v>
      </c>
      <c r="P14" s="228">
        <v>11.4</v>
      </c>
    </row>
    <row r="15" spans="1:16">
      <c r="A15" s="224" t="s">
        <v>36</v>
      </c>
      <c r="B15" s="227">
        <v>21.7546</v>
      </c>
      <c r="C15" s="228">
        <v>23.529399999999999</v>
      </c>
      <c r="D15" s="228">
        <v>23.110600000000002</v>
      </c>
      <c r="E15" s="228">
        <v>23.665400000000002</v>
      </c>
      <c r="F15" s="228">
        <v>22.6267</v>
      </c>
      <c r="G15" s="228">
        <v>26.092300000000002</v>
      </c>
      <c r="H15" s="228">
        <v>26.092300000000002</v>
      </c>
      <c r="I15" s="228">
        <v>29.664899999999999</v>
      </c>
      <c r="J15" s="228"/>
      <c r="K15" s="228">
        <v>32.599400000000003</v>
      </c>
      <c r="L15" s="228">
        <v>31.6</v>
      </c>
      <c r="M15" s="228">
        <v>31.902714932126695</v>
      </c>
      <c r="N15" s="228">
        <v>32.015139591865903</v>
      </c>
      <c r="O15" s="228">
        <v>35.9</v>
      </c>
      <c r="P15" s="228">
        <v>36.9</v>
      </c>
    </row>
    <row r="16" spans="1:16">
      <c r="A16" s="224" t="s">
        <v>56</v>
      </c>
      <c r="B16" s="227">
        <v>5.4398999999999997</v>
      </c>
      <c r="C16" s="228">
        <v>6.1849999999999996</v>
      </c>
      <c r="D16" s="228">
        <v>6.4160000000000004</v>
      </c>
      <c r="E16" s="228">
        <v>5.7923999999999998</v>
      </c>
      <c r="F16" s="228">
        <v>5.4119999999999999</v>
      </c>
      <c r="G16" s="228">
        <v>7.9093</v>
      </c>
      <c r="H16" s="228">
        <v>7.9093</v>
      </c>
      <c r="I16" s="228">
        <v>10.327199999999999</v>
      </c>
      <c r="J16" s="228"/>
      <c r="K16" s="228">
        <v>9.4544999999999995</v>
      </c>
      <c r="L16" s="228">
        <v>9.6229508196721305</v>
      </c>
      <c r="M16" s="228">
        <v>9.3636363636363651</v>
      </c>
      <c r="N16" s="228">
        <v>9.9257795344751898</v>
      </c>
      <c r="O16" s="228">
        <v>10.5</v>
      </c>
      <c r="P16" s="228">
        <v>9.8000000000000007</v>
      </c>
    </row>
    <row r="17" spans="1:16">
      <c r="A17" s="224" t="s">
        <v>57</v>
      </c>
      <c r="B17" s="229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28">
        <v>8.3740310077519382</v>
      </c>
      <c r="N17" s="228">
        <v>8.11825966036624</v>
      </c>
      <c r="O17" s="228">
        <v>13.8</v>
      </c>
      <c r="P17" s="228">
        <v>15.5</v>
      </c>
    </row>
    <row r="18" spans="1:16">
      <c r="A18" s="224" t="s">
        <v>58</v>
      </c>
      <c r="B18" s="229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28">
        <v>0.54164836773531999</v>
      </c>
      <c r="O18" s="228">
        <v>16.899999999999999</v>
      </c>
      <c r="P18" s="228">
        <v>17.7</v>
      </c>
    </row>
    <row r="19" spans="1:16">
      <c r="A19" s="224" t="s">
        <v>37</v>
      </c>
      <c r="B19" s="227">
        <v>14.847200000000001</v>
      </c>
      <c r="C19" s="228">
        <v>15.3969</v>
      </c>
      <c r="D19" s="228">
        <v>14.395099999999999</v>
      </c>
      <c r="E19" s="228">
        <v>14.619400000000001</v>
      </c>
      <c r="F19" s="228">
        <v>13.1219</v>
      </c>
      <c r="G19" s="228">
        <v>17.6919</v>
      </c>
      <c r="H19" s="228">
        <v>17.6919</v>
      </c>
      <c r="I19" s="228">
        <v>18.244399999999999</v>
      </c>
      <c r="J19" s="228"/>
      <c r="K19" s="228">
        <v>19.706499999999998</v>
      </c>
      <c r="L19" s="228">
        <v>19.96495956873315</v>
      </c>
      <c r="M19" s="228">
        <v>20.620786516853933</v>
      </c>
      <c r="N19" s="228">
        <v>17.397417654809001</v>
      </c>
      <c r="O19" s="228">
        <v>18.600000000000001</v>
      </c>
      <c r="P19" s="228">
        <v>18.600000000000001</v>
      </c>
    </row>
    <row r="20" spans="1:16">
      <c r="A20" s="224" t="s">
        <v>92</v>
      </c>
      <c r="B20" s="229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28">
        <v>25.287356321839084</v>
      </c>
      <c r="N20" s="228">
        <v>25.882352941176499</v>
      </c>
      <c r="O20" s="228">
        <v>25.9</v>
      </c>
      <c r="P20" s="228">
        <v>25.6</v>
      </c>
    </row>
    <row r="21" spans="1:16">
      <c r="A21" s="224" t="s">
        <v>38</v>
      </c>
      <c r="B21" s="227">
        <v>14.5571</v>
      </c>
      <c r="C21" s="228">
        <v>12.9534</v>
      </c>
      <c r="D21" s="228">
        <v>12.449400000000001</v>
      </c>
      <c r="E21" s="228">
        <v>13.6526</v>
      </c>
      <c r="F21" s="228">
        <v>15.107900000000001</v>
      </c>
      <c r="G21" s="228">
        <v>34.528300000000002</v>
      </c>
      <c r="H21" s="228">
        <v>34.528300000000002</v>
      </c>
      <c r="I21" s="228">
        <v>27.1524</v>
      </c>
      <c r="J21" s="228"/>
      <c r="K21" s="228">
        <v>36.744500000000002</v>
      </c>
      <c r="L21" s="228">
        <v>36.555851063829785</v>
      </c>
      <c r="M21" s="228">
        <v>34.875</v>
      </c>
      <c r="N21" s="228">
        <v>34.905510464753803</v>
      </c>
      <c r="O21" s="228">
        <v>33.6</v>
      </c>
      <c r="P21" s="228">
        <v>35.4</v>
      </c>
    </row>
    <row r="22" spans="1:16">
      <c r="A22" s="224" t="s">
        <v>39</v>
      </c>
      <c r="B22" s="227">
        <v>12.0365</v>
      </c>
      <c r="C22" s="228">
        <v>12.4574</v>
      </c>
      <c r="D22" s="228">
        <v>12.0921</v>
      </c>
      <c r="E22" s="228">
        <v>11.4848</v>
      </c>
      <c r="F22" s="228">
        <v>11.8582</v>
      </c>
      <c r="G22" s="228">
        <v>19.996099999999998</v>
      </c>
      <c r="H22" s="228">
        <v>19.996099999999998</v>
      </c>
      <c r="I22" s="228">
        <v>20.6493</v>
      </c>
      <c r="J22" s="228"/>
      <c r="K22" s="228">
        <v>21.4146</v>
      </c>
      <c r="L22" s="228">
        <v>21.229681978798588</v>
      </c>
      <c r="M22" s="228">
        <v>27.393333333333338</v>
      </c>
      <c r="N22" s="228">
        <v>32.430798060810702</v>
      </c>
      <c r="O22" s="228">
        <v>38.6</v>
      </c>
      <c r="P22" s="228">
        <v>37.200000000000003</v>
      </c>
    </row>
    <row r="23" spans="1:16">
      <c r="A23" s="224" t="s">
        <v>40</v>
      </c>
      <c r="B23" s="227">
        <v>20.930199999999999</v>
      </c>
      <c r="C23" s="228">
        <v>34.108499999999999</v>
      </c>
      <c r="D23" s="228">
        <v>31.2057</v>
      </c>
      <c r="E23" s="228">
        <v>29.139099999999999</v>
      </c>
      <c r="F23" s="228">
        <v>34.3949</v>
      </c>
      <c r="G23" s="228">
        <v>36.363599999999998</v>
      </c>
      <c r="H23" s="228">
        <v>36.363599999999998</v>
      </c>
      <c r="I23" s="228">
        <v>32.941200000000002</v>
      </c>
      <c r="J23" s="228"/>
      <c r="K23" s="228">
        <v>39.521000000000001</v>
      </c>
      <c r="L23" s="228">
        <v>40.490797546012267</v>
      </c>
      <c r="M23" s="228">
        <v>35.862068965517238</v>
      </c>
      <c r="N23" s="228">
        <v>38.235294117647101</v>
      </c>
      <c r="O23" s="228">
        <v>37.700000000000003</v>
      </c>
      <c r="P23" s="228">
        <v>41.4</v>
      </c>
    </row>
    <row r="24" spans="1:16">
      <c r="A24" s="224" t="s">
        <v>41</v>
      </c>
      <c r="B24" s="227">
        <v>13.657299999999999</v>
      </c>
      <c r="C24" s="228">
        <v>13.878500000000001</v>
      </c>
      <c r="D24" s="228">
        <v>13.2988</v>
      </c>
      <c r="E24" s="228">
        <v>17.8371</v>
      </c>
      <c r="F24" s="228">
        <v>18.443300000000001</v>
      </c>
      <c r="G24" s="228">
        <v>21.205200000000001</v>
      </c>
      <c r="H24" s="228">
        <v>21.205200000000001</v>
      </c>
      <c r="I24" s="228">
        <v>23.8246</v>
      </c>
      <c r="J24" s="228"/>
      <c r="K24" s="228">
        <v>25.06</v>
      </c>
      <c r="L24" s="228">
        <v>24.727828746177369</v>
      </c>
      <c r="M24" s="228">
        <v>26.300923889133305</v>
      </c>
      <c r="N24" s="228">
        <v>28.253904549771899</v>
      </c>
      <c r="O24" s="228">
        <v>24.3</v>
      </c>
      <c r="P24" s="228">
        <v>29.3</v>
      </c>
    </row>
    <row r="25" spans="1:16">
      <c r="A25" s="224" t="s">
        <v>42</v>
      </c>
      <c r="B25" s="227">
        <v>10.7257</v>
      </c>
      <c r="C25" s="228">
        <v>10.022600000000001</v>
      </c>
      <c r="D25" s="228">
        <v>10.439</v>
      </c>
      <c r="E25" s="228">
        <v>10.347099999999999</v>
      </c>
      <c r="F25" s="228">
        <v>11.894399999999999</v>
      </c>
      <c r="G25" s="228">
        <v>12.7745</v>
      </c>
      <c r="H25" s="228">
        <v>12.7745</v>
      </c>
      <c r="I25" s="228">
        <v>12.999599999999999</v>
      </c>
      <c r="J25" s="228"/>
      <c r="K25" s="228">
        <v>15.6503</v>
      </c>
      <c r="L25" s="228">
        <v>17.171527434503211</v>
      </c>
      <c r="M25" s="228">
        <v>18.416347992351813</v>
      </c>
      <c r="N25" s="228">
        <v>19.3300084030998</v>
      </c>
      <c r="O25" s="228">
        <v>21.5</v>
      </c>
      <c r="P25" s="228">
        <v>23.6</v>
      </c>
    </row>
    <row r="26" spans="1:16">
      <c r="A26" s="224" t="s">
        <v>43</v>
      </c>
      <c r="B26" s="227">
        <v>16</v>
      </c>
      <c r="C26" s="228">
        <v>16.129000000000001</v>
      </c>
      <c r="D26" s="228">
        <v>34.615400000000001</v>
      </c>
      <c r="E26" s="228">
        <v>31.297699999999999</v>
      </c>
      <c r="F26" s="228">
        <v>32.799999999999997</v>
      </c>
      <c r="G26" s="228">
        <v>34.068600000000004</v>
      </c>
      <c r="H26" s="228">
        <v>34.068600000000004</v>
      </c>
      <c r="I26" s="228">
        <v>34.313699999999997</v>
      </c>
      <c r="J26" s="228"/>
      <c r="K26" s="228">
        <v>35</v>
      </c>
      <c r="L26" s="228">
        <v>43.069306930693067</v>
      </c>
      <c r="M26" s="228">
        <v>46.895408163265309</v>
      </c>
      <c r="N26" s="228">
        <v>45.4192546583851</v>
      </c>
      <c r="O26" s="228">
        <v>47.8</v>
      </c>
      <c r="P26" s="228">
        <v>48.5</v>
      </c>
    </row>
    <row r="27" spans="1:16">
      <c r="A27" s="224" t="s">
        <v>59</v>
      </c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28">
        <v>22.181434723615101</v>
      </c>
      <c r="O27" s="228">
        <v>26.5</v>
      </c>
      <c r="P27" s="228">
        <v>31.4</v>
      </c>
    </row>
    <row r="28" spans="1:16">
      <c r="A28" s="224" t="s">
        <v>44</v>
      </c>
      <c r="B28" s="227">
        <v>44.066899999999997</v>
      </c>
      <c r="C28" s="228">
        <v>44.057099999999998</v>
      </c>
      <c r="D28" s="228">
        <v>42.326599999999999</v>
      </c>
      <c r="E28" s="228">
        <v>43.457700000000003</v>
      </c>
      <c r="F28" s="228">
        <v>50.200299999999999</v>
      </c>
      <c r="G28" s="228">
        <v>50.834200000000003</v>
      </c>
      <c r="H28" s="228">
        <v>50.834200000000003</v>
      </c>
      <c r="I28" s="228">
        <v>49.148400000000002</v>
      </c>
      <c r="J28" s="228"/>
      <c r="K28" s="228">
        <v>51.400199999999998</v>
      </c>
      <c r="L28" s="228">
        <v>50.453166815343444</v>
      </c>
      <c r="M28" s="228">
        <v>55.386301369863013</v>
      </c>
      <c r="N28" s="228">
        <v>59.336094210300402</v>
      </c>
      <c r="O28" s="228">
        <v>61.9</v>
      </c>
      <c r="P28" s="228">
        <v>56.7</v>
      </c>
    </row>
    <row r="29" spans="1:16">
      <c r="A29" s="224" t="s">
        <v>45</v>
      </c>
      <c r="B29" s="227">
        <v>22.767900000000001</v>
      </c>
      <c r="C29" s="228">
        <v>25.7592</v>
      </c>
      <c r="D29" s="228">
        <v>27.831900000000001</v>
      </c>
      <c r="E29" s="228">
        <v>28.7592</v>
      </c>
      <c r="F29" s="228">
        <v>26.621600000000001</v>
      </c>
      <c r="G29" s="228">
        <v>29.1768</v>
      </c>
      <c r="H29" s="228">
        <v>29.1768</v>
      </c>
      <c r="I29" s="228">
        <v>30.347100000000001</v>
      </c>
      <c r="J29" s="228"/>
      <c r="K29" s="228">
        <v>36.9407</v>
      </c>
      <c r="L29" s="228">
        <v>35.962833099579242</v>
      </c>
      <c r="M29" s="228">
        <v>38.808147174770035</v>
      </c>
      <c r="N29" s="228">
        <v>39.218846802098298</v>
      </c>
      <c r="O29" s="228">
        <v>41.2</v>
      </c>
      <c r="P29" s="228">
        <v>42.7</v>
      </c>
    </row>
    <row r="30" spans="1:16">
      <c r="A30" s="224" t="s">
        <v>46</v>
      </c>
      <c r="B30" s="227">
        <v>10.790800000000001</v>
      </c>
      <c r="C30" s="228">
        <v>10.81</v>
      </c>
      <c r="D30" s="228">
        <v>11.005100000000001</v>
      </c>
      <c r="E30" s="228">
        <v>14.524699999999999</v>
      </c>
      <c r="F30" s="228">
        <v>18.573699999999999</v>
      </c>
      <c r="G30" s="228">
        <v>17.4954</v>
      </c>
      <c r="H30" s="228">
        <v>17.4954</v>
      </c>
      <c r="I30" s="228">
        <v>19.7502</v>
      </c>
      <c r="J30" s="228"/>
      <c r="K30" s="228">
        <v>19.848800000000001</v>
      </c>
      <c r="L30" s="228">
        <v>20.993181818181821</v>
      </c>
      <c r="M30" s="228">
        <v>19.723404255319149</v>
      </c>
      <c r="N30" s="228">
        <v>20.2345423203496</v>
      </c>
      <c r="O30" s="228">
        <v>19.399999999999999</v>
      </c>
      <c r="P30" s="228">
        <v>19.399999999999999</v>
      </c>
    </row>
    <row r="31" spans="1:16">
      <c r="A31" s="224" t="s">
        <v>47</v>
      </c>
      <c r="B31" s="227">
        <v>15.878299999999999</v>
      </c>
      <c r="C31" s="228">
        <v>16.060400000000001</v>
      </c>
      <c r="D31" s="228">
        <v>17.5503</v>
      </c>
      <c r="E31" s="228">
        <v>16.996400000000001</v>
      </c>
      <c r="F31" s="228">
        <v>14.962</v>
      </c>
      <c r="G31" s="228">
        <v>14.788600000000001</v>
      </c>
      <c r="H31" s="228">
        <v>14.788600000000001</v>
      </c>
      <c r="I31" s="228">
        <v>15.9679</v>
      </c>
      <c r="J31" s="228"/>
      <c r="K31" s="228">
        <v>15.8565</v>
      </c>
      <c r="L31" s="228">
        <v>15.780821917808218</v>
      </c>
      <c r="M31" s="228">
        <v>17.75164690382082</v>
      </c>
      <c r="N31" s="228">
        <v>17.749671502294198</v>
      </c>
      <c r="O31" s="228">
        <v>18</v>
      </c>
      <c r="P31" s="228">
        <v>18.899999999999999</v>
      </c>
    </row>
    <row r="32" spans="1:16">
      <c r="A32" s="224" t="s">
        <v>48</v>
      </c>
      <c r="B32" s="227">
        <v>20.171399999999998</v>
      </c>
      <c r="C32" s="228">
        <v>18.894200000000001</v>
      </c>
      <c r="D32" s="228">
        <v>19.577500000000001</v>
      </c>
      <c r="E32" s="228">
        <v>19.145700000000001</v>
      </c>
      <c r="F32" s="228">
        <v>20.071400000000001</v>
      </c>
      <c r="G32" s="228">
        <v>21.1249</v>
      </c>
      <c r="H32" s="228">
        <v>21.1249</v>
      </c>
      <c r="I32" s="228">
        <v>22.838899999999999</v>
      </c>
      <c r="J32" s="228"/>
      <c r="K32" s="228">
        <v>26.509499999999999</v>
      </c>
      <c r="L32" s="228">
        <v>27.236815920398012</v>
      </c>
      <c r="M32" s="228">
        <v>29.908450704225352</v>
      </c>
      <c r="N32" s="228">
        <v>28.570175643754201</v>
      </c>
      <c r="O32" s="228">
        <v>33.5</v>
      </c>
      <c r="P32" s="228">
        <v>35.1</v>
      </c>
    </row>
    <row r="33" spans="1:16">
      <c r="A33" s="224" t="s">
        <v>49</v>
      </c>
      <c r="B33" s="227">
        <v>14.3301</v>
      </c>
      <c r="C33" s="228">
        <v>13.452</v>
      </c>
      <c r="D33" s="228">
        <v>15.1081</v>
      </c>
      <c r="E33" s="228">
        <v>16.494800000000001</v>
      </c>
      <c r="F33" s="228">
        <v>19.0731</v>
      </c>
      <c r="G33" s="228">
        <v>22.581099999999999</v>
      </c>
      <c r="H33" s="228">
        <v>22.581099999999999</v>
      </c>
      <c r="I33" s="228">
        <v>20.845199999999998</v>
      </c>
      <c r="J33" s="228"/>
      <c r="K33" s="228">
        <v>22.5566</v>
      </c>
      <c r="L33" s="228">
        <v>20.546042003231019</v>
      </c>
      <c r="M33" s="228">
        <v>23.957223567393058</v>
      </c>
      <c r="N33" s="228">
        <v>26.394563317117701</v>
      </c>
      <c r="O33" s="228">
        <v>28.5</v>
      </c>
      <c r="P33" s="228">
        <v>29</v>
      </c>
    </row>
    <row r="34" spans="1:16">
      <c r="A34" s="224" t="s">
        <v>60</v>
      </c>
      <c r="B34" s="229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28">
        <v>32.868023904533203</v>
      </c>
      <c r="O34" s="228">
        <v>30.7</v>
      </c>
      <c r="P34" s="228">
        <v>31.8</v>
      </c>
    </row>
    <row r="35" spans="1:16">
      <c r="A35" s="224" t="s">
        <v>50</v>
      </c>
      <c r="B35" s="227">
        <v>41.997399999999999</v>
      </c>
      <c r="C35" s="228">
        <v>43.049799999999998</v>
      </c>
      <c r="D35" s="228">
        <v>43.915799999999997</v>
      </c>
      <c r="E35" s="228">
        <v>46.5565</v>
      </c>
      <c r="F35" s="228">
        <v>44.741700000000002</v>
      </c>
      <c r="G35" s="228">
        <v>44.657899999999998</v>
      </c>
      <c r="H35" s="228">
        <v>44.657899999999998</v>
      </c>
      <c r="I35" s="228">
        <v>44.852200000000003</v>
      </c>
      <c r="J35" s="228"/>
      <c r="K35" s="228">
        <v>48.8735</v>
      </c>
      <c r="L35" s="228">
        <v>49.421426317450297</v>
      </c>
      <c r="M35" s="228">
        <v>51.772837510105099</v>
      </c>
      <c r="N35" s="228">
        <v>55.170339364754803</v>
      </c>
      <c r="O35" s="228">
        <v>55</v>
      </c>
      <c r="P35" s="228">
        <v>58.5</v>
      </c>
    </row>
    <row r="36" spans="1:16">
      <c r="A36" s="224" t="s">
        <v>51</v>
      </c>
      <c r="B36" s="227">
        <v>25.608000000000001</v>
      </c>
      <c r="C36" s="228">
        <v>29.161000000000001</v>
      </c>
      <c r="D36" s="228">
        <v>30.488099999999999</v>
      </c>
      <c r="E36" s="228">
        <v>31.7454</v>
      </c>
      <c r="F36" s="228">
        <v>30.062799999999999</v>
      </c>
      <c r="G36" s="228">
        <v>30.0154</v>
      </c>
      <c r="H36" s="228">
        <v>30.0154</v>
      </c>
      <c r="I36" s="228">
        <v>29.868500000000001</v>
      </c>
      <c r="J36" s="228"/>
      <c r="K36" s="228">
        <v>27.5626</v>
      </c>
      <c r="L36" s="228">
        <v>27.470982142857142</v>
      </c>
      <c r="M36" s="228">
        <v>26.195459579180508</v>
      </c>
      <c r="N36" s="230"/>
      <c r="O36" s="230"/>
      <c r="P36" s="230"/>
    </row>
    <row r="37" spans="1:16">
      <c r="A37" s="224" t="s">
        <v>52</v>
      </c>
      <c r="B37" s="227">
        <v>10.6867</v>
      </c>
      <c r="C37" s="228">
        <v>14.5852</v>
      </c>
      <c r="D37" s="228">
        <v>13.8675</v>
      </c>
      <c r="E37" s="228">
        <v>9.7544000000000004</v>
      </c>
      <c r="F37" s="228">
        <v>15.5251</v>
      </c>
      <c r="G37" s="228">
        <v>16.7303</v>
      </c>
      <c r="H37" s="228">
        <v>16.7303</v>
      </c>
      <c r="I37" s="228">
        <v>15.579800000000001</v>
      </c>
      <c r="J37" s="228"/>
      <c r="K37" s="228">
        <v>14.8294</v>
      </c>
      <c r="L37" s="228">
        <v>16.25</v>
      </c>
      <c r="M37" s="228">
        <v>14.776729559748428</v>
      </c>
      <c r="N37" s="228">
        <v>15.242661828549201</v>
      </c>
      <c r="O37" s="228">
        <v>24.1</v>
      </c>
      <c r="P37" s="228">
        <v>25</v>
      </c>
    </row>
    <row r="38" spans="1:16">
      <c r="A38" s="224" t="s">
        <v>53</v>
      </c>
      <c r="B38" s="227">
        <v>6.7264999999999997</v>
      </c>
      <c r="C38" s="228">
        <v>4.7618999999999998</v>
      </c>
      <c r="D38" s="228">
        <v>6.5217000000000001</v>
      </c>
      <c r="E38" s="228">
        <v>6.25</v>
      </c>
      <c r="F38" s="228">
        <v>6.6666999999999996</v>
      </c>
      <c r="G38" s="228">
        <v>6.8807</v>
      </c>
      <c r="H38" s="228">
        <v>6.8807</v>
      </c>
      <c r="I38" s="228">
        <v>15.311</v>
      </c>
      <c r="J38" s="228"/>
      <c r="K38" s="228">
        <v>16.494800000000001</v>
      </c>
      <c r="L38" s="228">
        <v>18.285714285714285</v>
      </c>
      <c r="M38" s="228">
        <v>18.604651162790699</v>
      </c>
      <c r="N38" s="228">
        <v>18.604651162790699</v>
      </c>
      <c r="O38" s="228">
        <v>18.3</v>
      </c>
      <c r="P38" s="228">
        <v>18</v>
      </c>
    </row>
    <row r="39" spans="1:16" ht="15.75" thickBot="1">
      <c r="A39" s="224" t="s">
        <v>84</v>
      </c>
      <c r="B39" s="227">
        <v>12.1694</v>
      </c>
      <c r="C39" s="228">
        <v>14.879099999999999</v>
      </c>
      <c r="D39" s="228">
        <v>22.495899999999999</v>
      </c>
      <c r="E39" s="228">
        <v>24.527200000000001</v>
      </c>
      <c r="F39" s="228">
        <v>27.039400000000001</v>
      </c>
      <c r="G39" s="228">
        <v>25.216899999999999</v>
      </c>
      <c r="H39" s="228">
        <v>25.216899999999999</v>
      </c>
      <c r="I39" s="228">
        <v>25.320399999999999</v>
      </c>
      <c r="J39" s="228"/>
      <c r="K39" s="228">
        <v>26.171800000000001</v>
      </c>
      <c r="L39" s="228">
        <v>27.465057179161374</v>
      </c>
      <c r="M39" s="228">
        <v>30.080185553346588</v>
      </c>
      <c r="N39" s="228">
        <v>28.6973345174363</v>
      </c>
      <c r="O39" s="228">
        <v>37.4</v>
      </c>
      <c r="P39" s="228">
        <v>38.299999999999997</v>
      </c>
    </row>
    <row r="40" spans="1:16" ht="15.75" thickTop="1">
      <c r="A40" s="212" t="s">
        <v>83</v>
      </c>
      <c r="B40" s="231">
        <v>19.974699999999999</v>
      </c>
      <c r="C40" s="232">
        <v>21.366099999999999</v>
      </c>
      <c r="D40" s="232">
        <v>23.074999999999999</v>
      </c>
      <c r="E40" s="232">
        <v>24.6309</v>
      </c>
      <c r="F40" s="232">
        <v>25.127300000000002</v>
      </c>
      <c r="G40" s="232">
        <v>26.774899999999999</v>
      </c>
      <c r="H40" s="232">
        <v>26.774899999999999</v>
      </c>
      <c r="I40" s="232">
        <v>27.548400000000001</v>
      </c>
      <c r="J40" s="232"/>
      <c r="K40" s="232">
        <v>29.1646</v>
      </c>
      <c r="L40" s="232">
        <v>29.452000000000002</v>
      </c>
      <c r="M40" s="232">
        <v>30.850915599614488</v>
      </c>
      <c r="N40" s="232">
        <v>31.4277706153011</v>
      </c>
      <c r="O40" s="232">
        <v>33</v>
      </c>
      <c r="P40" s="232">
        <v>34.9</v>
      </c>
    </row>
  </sheetData>
  <mergeCells count="2">
    <mergeCell ref="A3:N3"/>
    <mergeCell ref="A4:D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9A4A9-1189-416C-84B9-AAD701A164AC}">
  <sheetPr codeName="Feuil1"/>
  <dimension ref="A1:P40"/>
  <sheetViews>
    <sheetView topLeftCell="A11" workbookViewId="0">
      <selection activeCell="A40" sqref="A40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6" s="42" customFormat="1" ht="57" customHeight="1"/>
    <row r="2" spans="1:16" s="42" customFormat="1" ht="16.5"/>
    <row r="3" spans="1:16" s="42" customFormat="1" ht="33.950000000000003" customHeight="1">
      <c r="A3" s="371" t="s">
        <v>68</v>
      </c>
      <c r="B3" s="371"/>
      <c r="C3" s="371"/>
      <c r="D3" s="371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233" t="s">
        <v>54</v>
      </c>
      <c r="B5" s="234">
        <v>2010</v>
      </c>
      <c r="C5" s="235">
        <v>2011</v>
      </c>
      <c r="D5" s="235">
        <v>2012</v>
      </c>
      <c r="E5" s="235">
        <v>2013</v>
      </c>
      <c r="F5" s="235">
        <v>2014</v>
      </c>
      <c r="G5" s="235">
        <v>2015</v>
      </c>
      <c r="H5" s="235">
        <v>2016</v>
      </c>
      <c r="I5" s="235">
        <v>2017</v>
      </c>
      <c r="J5" s="235">
        <v>2018</v>
      </c>
      <c r="K5" s="235">
        <v>2019</v>
      </c>
      <c r="L5" s="235">
        <v>2020</v>
      </c>
      <c r="M5" s="235">
        <v>2021</v>
      </c>
      <c r="N5" s="235">
        <v>2022</v>
      </c>
      <c r="O5" s="235">
        <v>2023</v>
      </c>
      <c r="P5" s="235">
        <v>2024</v>
      </c>
    </row>
    <row r="6" spans="1:16">
      <c r="A6" s="236" t="s">
        <v>16</v>
      </c>
      <c r="B6" s="237">
        <v>354</v>
      </c>
      <c r="C6" s="238">
        <v>438</v>
      </c>
      <c r="D6" s="238">
        <v>474</v>
      </c>
      <c r="E6" s="238">
        <v>546</v>
      </c>
      <c r="F6" s="238">
        <v>558</v>
      </c>
      <c r="G6" s="238">
        <v>684</v>
      </c>
      <c r="H6" s="238">
        <v>734</v>
      </c>
      <c r="I6" s="238">
        <v>762</v>
      </c>
      <c r="J6" s="238"/>
      <c r="K6" s="238">
        <v>862</v>
      </c>
      <c r="L6" s="238">
        <v>927</v>
      </c>
      <c r="M6" s="238">
        <v>1060</v>
      </c>
      <c r="N6" s="238">
        <v>1139</v>
      </c>
      <c r="O6" s="236">
        <v>1231</v>
      </c>
      <c r="P6" s="236">
        <v>1293</v>
      </c>
    </row>
    <row r="7" spans="1:16">
      <c r="A7" s="236" t="s">
        <v>30</v>
      </c>
      <c r="B7" s="239"/>
      <c r="C7" s="238">
        <v>36</v>
      </c>
      <c r="D7" s="238">
        <v>60</v>
      </c>
      <c r="E7" s="238">
        <v>60</v>
      </c>
      <c r="F7" s="238">
        <v>72</v>
      </c>
      <c r="G7" s="238">
        <v>142</v>
      </c>
      <c r="H7" s="238">
        <v>168</v>
      </c>
      <c r="I7" s="238">
        <v>210</v>
      </c>
      <c r="J7" s="238"/>
      <c r="K7" s="238">
        <v>364</v>
      </c>
      <c r="L7" s="238">
        <v>412</v>
      </c>
      <c r="M7" s="238">
        <v>454</v>
      </c>
      <c r="N7" s="238">
        <v>493</v>
      </c>
      <c r="O7" s="236">
        <v>583</v>
      </c>
      <c r="P7" s="236">
        <v>608</v>
      </c>
    </row>
    <row r="8" spans="1:16">
      <c r="A8" s="236" t="s">
        <v>31</v>
      </c>
      <c r="B8" s="239"/>
      <c r="C8" s="236"/>
      <c r="D8" s="236"/>
      <c r="E8" s="236"/>
      <c r="F8" s="236"/>
      <c r="G8" s="238">
        <v>12</v>
      </c>
      <c r="H8" s="238">
        <v>24</v>
      </c>
      <c r="I8" s="238">
        <v>80</v>
      </c>
      <c r="J8" s="238"/>
      <c r="K8" s="238">
        <v>116</v>
      </c>
      <c r="L8" s="238">
        <v>152</v>
      </c>
      <c r="M8" s="238">
        <v>192</v>
      </c>
      <c r="N8" s="238">
        <v>207</v>
      </c>
      <c r="O8" s="236">
        <v>228</v>
      </c>
      <c r="P8" s="236">
        <v>300</v>
      </c>
    </row>
    <row r="9" spans="1:16">
      <c r="A9" s="236" t="s">
        <v>32</v>
      </c>
      <c r="B9" s="237"/>
      <c r="C9" s="238">
        <v>36</v>
      </c>
      <c r="D9" s="238">
        <v>96</v>
      </c>
      <c r="E9" s="238">
        <v>120</v>
      </c>
      <c r="F9" s="238">
        <v>132</v>
      </c>
      <c r="G9" s="238">
        <v>180</v>
      </c>
      <c r="H9" s="238">
        <v>228</v>
      </c>
      <c r="I9" s="238">
        <v>228</v>
      </c>
      <c r="J9" s="238"/>
      <c r="K9" s="238">
        <v>279</v>
      </c>
      <c r="L9" s="238">
        <v>297</v>
      </c>
      <c r="M9" s="238">
        <v>300</v>
      </c>
      <c r="N9" s="238">
        <v>342</v>
      </c>
      <c r="O9" s="236">
        <v>357</v>
      </c>
      <c r="P9" s="236">
        <v>351</v>
      </c>
    </row>
    <row r="10" spans="1:16">
      <c r="A10" s="236" t="s">
        <v>33</v>
      </c>
      <c r="B10" s="237">
        <v>77</v>
      </c>
      <c r="C10" s="238">
        <v>78</v>
      </c>
      <c r="D10" s="238">
        <v>144</v>
      </c>
      <c r="E10" s="238">
        <v>240</v>
      </c>
      <c r="F10" s="238">
        <v>228</v>
      </c>
      <c r="G10" s="238">
        <v>216</v>
      </c>
      <c r="H10" s="238">
        <v>216</v>
      </c>
      <c r="I10" s="238">
        <v>276</v>
      </c>
      <c r="J10" s="238"/>
      <c r="K10" s="238">
        <v>305</v>
      </c>
      <c r="L10" s="238">
        <v>357</v>
      </c>
      <c r="M10" s="238">
        <v>366</v>
      </c>
      <c r="N10" s="238">
        <v>389</v>
      </c>
      <c r="O10" s="236">
        <v>389</v>
      </c>
      <c r="P10" s="236">
        <v>478</v>
      </c>
    </row>
    <row r="11" spans="1:16">
      <c r="A11" s="236" t="s">
        <v>89</v>
      </c>
      <c r="B11" s="237">
        <v>324</v>
      </c>
      <c r="C11" s="238">
        <v>330</v>
      </c>
      <c r="D11" s="238">
        <v>368</v>
      </c>
      <c r="E11" s="238">
        <v>378</v>
      </c>
      <c r="F11" s="238">
        <v>378</v>
      </c>
      <c r="G11" s="238">
        <v>388</v>
      </c>
      <c r="H11" s="238">
        <v>408</v>
      </c>
      <c r="I11" s="238">
        <v>480</v>
      </c>
      <c r="J11" s="238"/>
      <c r="K11" s="238">
        <v>480</v>
      </c>
      <c r="L11" s="238">
        <v>513</v>
      </c>
      <c r="M11" s="238">
        <v>555</v>
      </c>
      <c r="N11" s="238">
        <v>579</v>
      </c>
      <c r="O11" s="236">
        <v>615</v>
      </c>
      <c r="P11" s="236">
        <v>639</v>
      </c>
    </row>
    <row r="12" spans="1:16">
      <c r="A12" s="236" t="s">
        <v>34</v>
      </c>
      <c r="B12" s="237">
        <v>0</v>
      </c>
      <c r="C12" s="238">
        <v>24</v>
      </c>
      <c r="D12" s="238">
        <v>24</v>
      </c>
      <c r="E12" s="238">
        <v>60</v>
      </c>
      <c r="F12" s="238">
        <v>84</v>
      </c>
      <c r="G12" s="238">
        <v>84</v>
      </c>
      <c r="H12" s="238">
        <v>132</v>
      </c>
      <c r="I12" s="238">
        <v>144</v>
      </c>
      <c r="J12" s="238"/>
      <c r="K12" s="238">
        <v>228</v>
      </c>
      <c r="L12" s="238">
        <v>186</v>
      </c>
      <c r="M12" s="238">
        <v>216</v>
      </c>
      <c r="N12" s="238">
        <v>206</v>
      </c>
      <c r="O12" s="236">
        <v>219</v>
      </c>
      <c r="P12" s="236">
        <v>315</v>
      </c>
    </row>
    <row r="13" spans="1:16">
      <c r="A13" s="236" t="s">
        <v>35</v>
      </c>
      <c r="B13" s="237">
        <v>60</v>
      </c>
      <c r="C13" s="238">
        <v>110</v>
      </c>
      <c r="D13" s="238">
        <v>128</v>
      </c>
      <c r="E13" s="238">
        <v>140</v>
      </c>
      <c r="F13" s="238">
        <v>188</v>
      </c>
      <c r="G13" s="238">
        <v>236</v>
      </c>
      <c r="H13" s="238">
        <v>249</v>
      </c>
      <c r="I13" s="238">
        <v>311</v>
      </c>
      <c r="J13" s="238"/>
      <c r="K13" s="238">
        <v>360</v>
      </c>
      <c r="L13" s="238">
        <v>372</v>
      </c>
      <c r="M13" s="238">
        <v>408</v>
      </c>
      <c r="N13" s="238">
        <v>459</v>
      </c>
      <c r="O13" s="236">
        <v>474</v>
      </c>
      <c r="P13" s="236">
        <v>516</v>
      </c>
    </row>
    <row r="14" spans="1:16">
      <c r="A14" s="236" t="s">
        <v>55</v>
      </c>
      <c r="B14" s="237">
        <v>1</v>
      </c>
      <c r="C14" s="238">
        <v>7</v>
      </c>
      <c r="D14" s="238">
        <v>8</v>
      </c>
      <c r="E14" s="238">
        <v>2</v>
      </c>
      <c r="F14" s="238">
        <v>38</v>
      </c>
      <c r="G14" s="238">
        <v>144</v>
      </c>
      <c r="H14" s="238">
        <v>205</v>
      </c>
      <c r="I14" s="238">
        <v>240</v>
      </c>
      <c r="J14" s="238"/>
      <c r="K14" s="238">
        <v>360</v>
      </c>
      <c r="L14" s="238">
        <v>400</v>
      </c>
      <c r="M14" s="238">
        <v>384</v>
      </c>
      <c r="N14" s="238">
        <v>384</v>
      </c>
      <c r="O14" s="236">
        <v>396</v>
      </c>
      <c r="P14" s="236">
        <v>396</v>
      </c>
    </row>
    <row r="15" spans="1:16">
      <c r="A15" s="236" t="s">
        <v>36</v>
      </c>
      <c r="B15" s="237">
        <v>108</v>
      </c>
      <c r="C15" s="238">
        <v>120</v>
      </c>
      <c r="D15" s="238">
        <v>156</v>
      </c>
      <c r="E15" s="238">
        <v>156</v>
      </c>
      <c r="F15" s="238">
        <v>174</v>
      </c>
      <c r="G15" s="238">
        <v>180</v>
      </c>
      <c r="H15" s="238">
        <v>180</v>
      </c>
      <c r="I15" s="238">
        <v>192</v>
      </c>
      <c r="J15" s="238"/>
      <c r="K15" s="238">
        <v>240</v>
      </c>
      <c r="L15" s="238">
        <v>264</v>
      </c>
      <c r="M15" s="238">
        <v>300</v>
      </c>
      <c r="N15" s="238">
        <v>324</v>
      </c>
      <c r="O15" s="236">
        <v>345</v>
      </c>
      <c r="P15" s="236">
        <v>345</v>
      </c>
    </row>
    <row r="16" spans="1:16">
      <c r="A16" s="236" t="s">
        <v>56</v>
      </c>
      <c r="B16" s="237">
        <v>3</v>
      </c>
      <c r="C16" s="238">
        <v>3</v>
      </c>
      <c r="D16" s="238">
        <v>1</v>
      </c>
      <c r="E16" s="238">
        <v>3</v>
      </c>
      <c r="F16" s="238">
        <v>4</v>
      </c>
      <c r="G16" s="236"/>
      <c r="H16" s="236"/>
      <c r="I16" s="236"/>
      <c r="J16" s="238"/>
      <c r="K16" s="238">
        <v>24</v>
      </c>
      <c r="L16" s="238">
        <v>24</v>
      </c>
      <c r="M16" s="238">
        <v>36</v>
      </c>
      <c r="N16" s="238">
        <v>36</v>
      </c>
      <c r="O16" s="236">
        <v>47</v>
      </c>
      <c r="P16" s="236">
        <v>47</v>
      </c>
    </row>
    <row r="17" spans="1:16">
      <c r="A17" s="236" t="s">
        <v>57</v>
      </c>
      <c r="B17" s="239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8">
        <v>124</v>
      </c>
      <c r="N17" s="238">
        <v>126</v>
      </c>
      <c r="O17" s="236">
        <v>192</v>
      </c>
      <c r="P17" s="236">
        <v>228</v>
      </c>
    </row>
    <row r="18" spans="1:16">
      <c r="A18" s="236" t="s">
        <v>58</v>
      </c>
      <c r="B18" s="239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8">
        <v>137</v>
      </c>
      <c r="N18" s="238">
        <v>152</v>
      </c>
      <c r="O18" s="236">
        <v>188</v>
      </c>
      <c r="P18" s="236">
        <v>200</v>
      </c>
    </row>
    <row r="19" spans="1:16">
      <c r="A19" s="236" t="s">
        <v>37</v>
      </c>
      <c r="B19" s="237">
        <v>132</v>
      </c>
      <c r="C19" s="238">
        <v>132</v>
      </c>
      <c r="D19" s="238">
        <v>156</v>
      </c>
      <c r="E19" s="238">
        <v>156</v>
      </c>
      <c r="F19" s="238">
        <v>180</v>
      </c>
      <c r="G19" s="238">
        <v>206</v>
      </c>
      <c r="H19" s="238">
        <v>204</v>
      </c>
      <c r="I19" s="238">
        <v>204</v>
      </c>
      <c r="J19" s="238"/>
      <c r="K19" s="238">
        <v>255</v>
      </c>
      <c r="L19" s="238">
        <v>270</v>
      </c>
      <c r="M19" s="238">
        <v>294</v>
      </c>
      <c r="N19" s="238">
        <v>306</v>
      </c>
      <c r="O19" s="236">
        <v>307</v>
      </c>
      <c r="P19" s="236">
        <v>336</v>
      </c>
    </row>
    <row r="20" spans="1:16">
      <c r="A20" s="236" t="s">
        <v>92</v>
      </c>
      <c r="B20" s="239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8">
        <v>24</v>
      </c>
      <c r="N20" s="238">
        <v>24</v>
      </c>
      <c r="O20" s="236">
        <v>36</v>
      </c>
      <c r="P20" s="236">
        <v>36</v>
      </c>
    </row>
    <row r="21" spans="1:16">
      <c r="A21" s="236" t="s">
        <v>38</v>
      </c>
      <c r="B21" s="237"/>
      <c r="C21" s="238"/>
      <c r="D21" s="238">
        <v>273</v>
      </c>
      <c r="E21" s="238">
        <v>261</v>
      </c>
      <c r="F21" s="238">
        <v>273</v>
      </c>
      <c r="G21" s="238">
        <v>417</v>
      </c>
      <c r="H21" s="238">
        <v>417</v>
      </c>
      <c r="I21" s="238">
        <v>417</v>
      </c>
      <c r="J21" s="238"/>
      <c r="K21" s="238">
        <v>417</v>
      </c>
      <c r="L21" s="238">
        <v>417</v>
      </c>
      <c r="M21" s="238">
        <v>416</v>
      </c>
      <c r="N21" s="238">
        <v>418</v>
      </c>
      <c r="O21" s="236">
        <v>417</v>
      </c>
      <c r="P21" s="236">
        <v>432</v>
      </c>
    </row>
    <row r="22" spans="1:16">
      <c r="A22" s="236" t="s">
        <v>39</v>
      </c>
      <c r="B22" s="237">
        <v>76</v>
      </c>
      <c r="C22" s="238">
        <v>76</v>
      </c>
      <c r="D22" s="238">
        <v>76</v>
      </c>
      <c r="E22" s="238">
        <v>76</v>
      </c>
      <c r="F22" s="238">
        <v>100</v>
      </c>
      <c r="G22" s="238">
        <v>100</v>
      </c>
      <c r="H22" s="238">
        <v>112</v>
      </c>
      <c r="I22" s="238">
        <v>144</v>
      </c>
      <c r="J22" s="238"/>
      <c r="K22" s="238">
        <v>196</v>
      </c>
      <c r="L22" s="238">
        <v>196</v>
      </c>
      <c r="M22" s="238">
        <v>196</v>
      </c>
      <c r="N22" s="238">
        <v>244</v>
      </c>
      <c r="O22" s="236">
        <v>328</v>
      </c>
      <c r="P22" s="236">
        <v>328</v>
      </c>
    </row>
    <row r="23" spans="1:16">
      <c r="A23" s="236" t="s">
        <v>40</v>
      </c>
      <c r="B23" s="237"/>
      <c r="C23" s="238"/>
      <c r="D23" s="238"/>
      <c r="E23" s="238"/>
      <c r="F23" s="238"/>
      <c r="G23" s="238">
        <v>96</v>
      </c>
      <c r="H23" s="238">
        <v>108</v>
      </c>
      <c r="I23" s="238">
        <v>111</v>
      </c>
      <c r="J23" s="238"/>
      <c r="K23" s="238">
        <v>123</v>
      </c>
      <c r="L23" s="238">
        <v>127</v>
      </c>
      <c r="M23" s="238">
        <v>127</v>
      </c>
      <c r="N23" s="238">
        <v>127</v>
      </c>
      <c r="O23" s="236">
        <v>127</v>
      </c>
      <c r="P23" s="236">
        <v>127</v>
      </c>
    </row>
    <row r="24" spans="1:16">
      <c r="A24" s="236" t="s">
        <v>41</v>
      </c>
      <c r="B24" s="237">
        <v>36</v>
      </c>
      <c r="C24" s="238">
        <v>84</v>
      </c>
      <c r="D24" s="238">
        <v>99</v>
      </c>
      <c r="E24" s="238">
        <v>201</v>
      </c>
      <c r="F24" s="238">
        <v>387</v>
      </c>
      <c r="G24" s="238">
        <v>375</v>
      </c>
      <c r="H24" s="238">
        <v>465</v>
      </c>
      <c r="I24" s="238">
        <v>606</v>
      </c>
      <c r="J24" s="238"/>
      <c r="K24" s="238">
        <v>891</v>
      </c>
      <c r="L24" s="238">
        <v>1059</v>
      </c>
      <c r="M24" s="238">
        <v>1071</v>
      </c>
      <c r="N24" s="238">
        <v>1155</v>
      </c>
      <c r="O24" s="236">
        <v>1203</v>
      </c>
      <c r="P24" s="236">
        <v>1275</v>
      </c>
    </row>
    <row r="25" spans="1:16">
      <c r="A25" s="236" t="s">
        <v>42</v>
      </c>
      <c r="B25" s="237">
        <v>72</v>
      </c>
      <c r="C25" s="238">
        <v>96</v>
      </c>
      <c r="D25" s="238">
        <v>108</v>
      </c>
      <c r="E25" s="238">
        <v>108</v>
      </c>
      <c r="F25" s="238">
        <v>264</v>
      </c>
      <c r="G25" s="238">
        <v>300</v>
      </c>
      <c r="H25" s="238">
        <v>330</v>
      </c>
      <c r="I25" s="238">
        <v>339</v>
      </c>
      <c r="J25" s="238"/>
      <c r="K25" s="238">
        <v>416</v>
      </c>
      <c r="L25" s="238">
        <v>436</v>
      </c>
      <c r="M25" s="238">
        <v>468</v>
      </c>
      <c r="N25" s="238">
        <v>496</v>
      </c>
      <c r="O25" s="236">
        <v>544</v>
      </c>
      <c r="P25" s="236">
        <v>552</v>
      </c>
    </row>
    <row r="26" spans="1:16">
      <c r="A26" s="236" t="s">
        <v>43</v>
      </c>
      <c r="B26" s="237">
        <v>125</v>
      </c>
      <c r="C26" s="238">
        <v>132</v>
      </c>
      <c r="D26" s="238">
        <v>216</v>
      </c>
      <c r="E26" s="238">
        <v>216</v>
      </c>
      <c r="F26" s="238">
        <v>216</v>
      </c>
      <c r="G26" s="238">
        <v>276</v>
      </c>
      <c r="H26" s="238">
        <v>276</v>
      </c>
      <c r="I26" s="238">
        <v>291</v>
      </c>
      <c r="J26" s="238"/>
      <c r="K26" s="238">
        <v>315</v>
      </c>
      <c r="L26" s="238">
        <v>315</v>
      </c>
      <c r="M26" s="238">
        <v>326</v>
      </c>
      <c r="N26" s="238">
        <v>352</v>
      </c>
      <c r="O26" s="236">
        <v>354</v>
      </c>
      <c r="P26" s="236">
        <v>371</v>
      </c>
    </row>
    <row r="27" spans="1:16">
      <c r="A27" s="236" t="s">
        <v>59</v>
      </c>
      <c r="B27" s="239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8">
        <v>223</v>
      </c>
      <c r="O27" s="236">
        <v>277</v>
      </c>
      <c r="P27" s="236">
        <v>277</v>
      </c>
    </row>
    <row r="28" spans="1:16">
      <c r="A28" s="236" t="s">
        <v>44</v>
      </c>
      <c r="B28" s="237">
        <v>229</v>
      </c>
      <c r="C28" s="238">
        <v>241</v>
      </c>
      <c r="D28" s="238">
        <v>250</v>
      </c>
      <c r="E28" s="238">
        <v>286</v>
      </c>
      <c r="F28" s="238">
        <v>300</v>
      </c>
      <c r="G28" s="238">
        <v>320</v>
      </c>
      <c r="H28" s="238">
        <v>368</v>
      </c>
      <c r="I28" s="238">
        <v>428</v>
      </c>
      <c r="J28" s="238"/>
      <c r="K28" s="238">
        <v>757</v>
      </c>
      <c r="L28" s="238">
        <v>757</v>
      </c>
      <c r="M28" s="238">
        <v>781</v>
      </c>
      <c r="N28" s="238">
        <v>845</v>
      </c>
      <c r="O28" s="236">
        <v>987</v>
      </c>
      <c r="P28" s="236">
        <v>1011</v>
      </c>
    </row>
    <row r="29" spans="1:16">
      <c r="A29" s="236" t="s">
        <v>45</v>
      </c>
      <c r="B29" s="237">
        <v>174</v>
      </c>
      <c r="C29" s="238">
        <v>276</v>
      </c>
      <c r="D29" s="238">
        <v>304</v>
      </c>
      <c r="E29" s="238">
        <v>411</v>
      </c>
      <c r="F29" s="238">
        <v>435</v>
      </c>
      <c r="G29" s="238">
        <v>458</v>
      </c>
      <c r="H29" s="238">
        <v>574</v>
      </c>
      <c r="I29" s="238">
        <v>727</v>
      </c>
      <c r="J29" s="238"/>
      <c r="K29" s="238">
        <v>763</v>
      </c>
      <c r="L29" s="238">
        <v>787</v>
      </c>
      <c r="M29" s="238">
        <v>900</v>
      </c>
      <c r="N29" s="238">
        <v>936</v>
      </c>
      <c r="O29" s="236">
        <v>985</v>
      </c>
      <c r="P29" s="236">
        <v>1143</v>
      </c>
    </row>
    <row r="30" spans="1:16">
      <c r="A30" s="236" t="s">
        <v>46</v>
      </c>
      <c r="B30" s="237">
        <v>48</v>
      </c>
      <c r="C30" s="238">
        <v>48</v>
      </c>
      <c r="D30" s="238">
        <v>60</v>
      </c>
      <c r="E30" s="238">
        <v>84</v>
      </c>
      <c r="F30" s="238">
        <v>96</v>
      </c>
      <c r="G30" s="238">
        <v>96</v>
      </c>
      <c r="H30" s="238">
        <v>108</v>
      </c>
      <c r="I30" s="238">
        <v>108</v>
      </c>
      <c r="J30" s="238"/>
      <c r="K30" s="238">
        <v>192</v>
      </c>
      <c r="L30" s="238">
        <v>216</v>
      </c>
      <c r="M30" s="238">
        <v>216</v>
      </c>
      <c r="N30" s="238">
        <v>241</v>
      </c>
      <c r="O30" s="236">
        <v>253</v>
      </c>
      <c r="P30" s="236">
        <v>265</v>
      </c>
    </row>
    <row r="31" spans="1:16">
      <c r="A31" s="236" t="s">
        <v>47</v>
      </c>
      <c r="B31" s="237">
        <v>98</v>
      </c>
      <c r="C31" s="238">
        <v>108</v>
      </c>
      <c r="D31" s="238">
        <v>108</v>
      </c>
      <c r="E31" s="238">
        <v>120</v>
      </c>
      <c r="F31" s="238">
        <v>121</v>
      </c>
      <c r="G31" s="238">
        <v>144</v>
      </c>
      <c r="H31" s="238">
        <v>240</v>
      </c>
      <c r="I31" s="238">
        <v>240</v>
      </c>
      <c r="J31" s="238"/>
      <c r="K31" s="238">
        <v>263</v>
      </c>
      <c r="L31" s="238">
        <v>276</v>
      </c>
      <c r="M31" s="238">
        <v>318</v>
      </c>
      <c r="N31" s="238">
        <v>327</v>
      </c>
      <c r="O31" s="236">
        <v>372</v>
      </c>
      <c r="P31" s="236">
        <v>420</v>
      </c>
    </row>
    <row r="32" spans="1:16">
      <c r="A32" s="236" t="s">
        <v>48</v>
      </c>
      <c r="B32" s="237">
        <v>66</v>
      </c>
      <c r="C32" s="238">
        <v>66</v>
      </c>
      <c r="D32" s="238">
        <v>66</v>
      </c>
      <c r="E32" s="238">
        <v>78</v>
      </c>
      <c r="F32" s="238">
        <v>78</v>
      </c>
      <c r="G32" s="238">
        <v>72</v>
      </c>
      <c r="H32" s="238">
        <v>72</v>
      </c>
      <c r="I32" s="238">
        <v>72</v>
      </c>
      <c r="J32" s="238"/>
      <c r="K32" s="238">
        <v>72</v>
      </c>
      <c r="L32" s="238">
        <v>108</v>
      </c>
      <c r="M32" s="238">
        <v>132</v>
      </c>
      <c r="N32" s="238">
        <v>132</v>
      </c>
      <c r="O32" s="236">
        <v>132</v>
      </c>
      <c r="P32" s="236">
        <v>216</v>
      </c>
    </row>
    <row r="33" spans="1:16">
      <c r="A33" s="236" t="s">
        <v>49</v>
      </c>
      <c r="B33" s="237">
        <v>130</v>
      </c>
      <c r="C33" s="238">
        <v>195</v>
      </c>
      <c r="D33" s="238">
        <v>212</v>
      </c>
      <c r="E33" s="238">
        <v>213</v>
      </c>
      <c r="F33" s="238">
        <v>217</v>
      </c>
      <c r="G33" s="238">
        <v>230</v>
      </c>
      <c r="H33" s="238">
        <v>250</v>
      </c>
      <c r="I33" s="238">
        <v>258</v>
      </c>
      <c r="J33" s="238"/>
      <c r="K33" s="238">
        <v>269</v>
      </c>
      <c r="L33" s="238">
        <v>323</v>
      </c>
      <c r="M33" s="238">
        <v>364</v>
      </c>
      <c r="N33" s="238">
        <v>370</v>
      </c>
      <c r="O33" s="236">
        <v>371</v>
      </c>
      <c r="P33" s="236">
        <v>394</v>
      </c>
    </row>
    <row r="34" spans="1:16">
      <c r="A34" s="236" t="s">
        <v>60</v>
      </c>
      <c r="B34" s="239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8">
        <v>380</v>
      </c>
      <c r="O34" s="236">
        <v>384</v>
      </c>
      <c r="P34" s="236">
        <v>384</v>
      </c>
    </row>
    <row r="35" spans="1:16">
      <c r="A35" s="236" t="s">
        <v>50</v>
      </c>
      <c r="B35" s="237">
        <v>2686</v>
      </c>
      <c r="C35" s="238">
        <v>2833</v>
      </c>
      <c r="D35" s="238">
        <v>2972</v>
      </c>
      <c r="E35" s="238">
        <v>3148</v>
      </c>
      <c r="F35" s="238">
        <v>3154</v>
      </c>
      <c r="G35" s="238">
        <v>3404</v>
      </c>
      <c r="H35" s="238">
        <v>3312</v>
      </c>
      <c r="I35" s="238">
        <v>3459</v>
      </c>
      <c r="J35" s="238"/>
      <c r="K35" s="238">
        <v>3527</v>
      </c>
      <c r="L35" s="238">
        <v>3644</v>
      </c>
      <c r="M35" s="238">
        <v>4048</v>
      </c>
      <c r="N35" s="238">
        <v>4233</v>
      </c>
      <c r="O35" s="236">
        <v>4677</v>
      </c>
      <c r="P35" s="236">
        <v>4844</v>
      </c>
    </row>
    <row r="36" spans="1:16">
      <c r="A36" s="236" t="s">
        <v>51</v>
      </c>
      <c r="B36" s="237">
        <v>233</v>
      </c>
      <c r="C36" s="238">
        <v>275</v>
      </c>
      <c r="D36" s="238">
        <v>275</v>
      </c>
      <c r="E36" s="238">
        <v>323</v>
      </c>
      <c r="F36" s="238">
        <v>323</v>
      </c>
      <c r="G36" s="238">
        <v>347</v>
      </c>
      <c r="H36" s="238">
        <v>347</v>
      </c>
      <c r="I36" s="238">
        <v>359</v>
      </c>
      <c r="J36" s="238"/>
      <c r="K36" s="238">
        <v>513</v>
      </c>
      <c r="L36" s="238">
        <v>553</v>
      </c>
      <c r="M36" s="238">
        <v>583</v>
      </c>
      <c r="N36" s="238"/>
      <c r="O36" s="236"/>
      <c r="P36" s="236"/>
    </row>
    <row r="37" spans="1:16">
      <c r="A37" s="236" t="s">
        <v>52</v>
      </c>
      <c r="B37" s="237">
        <v>24</v>
      </c>
      <c r="C37" s="238">
        <v>24</v>
      </c>
      <c r="D37" s="238">
        <v>24</v>
      </c>
      <c r="E37" s="238">
        <v>36</v>
      </c>
      <c r="F37" s="238">
        <v>48</v>
      </c>
      <c r="G37" s="238">
        <v>60</v>
      </c>
      <c r="H37" s="238">
        <v>72</v>
      </c>
      <c r="I37" s="238">
        <v>72</v>
      </c>
      <c r="J37" s="238"/>
      <c r="K37" s="238">
        <v>72</v>
      </c>
      <c r="L37" s="238">
        <v>90</v>
      </c>
      <c r="M37" s="238">
        <v>90</v>
      </c>
      <c r="N37" s="238">
        <v>90</v>
      </c>
      <c r="O37" s="236">
        <v>99</v>
      </c>
      <c r="P37" s="236">
        <v>99</v>
      </c>
    </row>
    <row r="38" spans="1:16">
      <c r="A38" s="236" t="s">
        <v>53</v>
      </c>
      <c r="B38" s="237">
        <v>29</v>
      </c>
      <c r="C38" s="238">
        <v>33</v>
      </c>
      <c r="D38" s="238">
        <v>35</v>
      </c>
      <c r="E38" s="238">
        <v>29</v>
      </c>
      <c r="F38" s="238">
        <v>41</v>
      </c>
      <c r="G38" s="238">
        <v>41</v>
      </c>
      <c r="H38" s="238">
        <v>41</v>
      </c>
      <c r="I38" s="238">
        <v>48</v>
      </c>
      <c r="J38" s="238"/>
      <c r="K38" s="238">
        <v>48</v>
      </c>
      <c r="L38" s="238">
        <v>48</v>
      </c>
      <c r="M38" s="238">
        <v>48</v>
      </c>
      <c r="N38" s="238">
        <v>48</v>
      </c>
      <c r="O38" s="236">
        <v>48</v>
      </c>
      <c r="P38" s="236">
        <v>48</v>
      </c>
    </row>
    <row r="39" spans="1:16" ht="15.75" thickBot="1">
      <c r="A39" s="236" t="s">
        <v>84</v>
      </c>
      <c r="B39" s="237">
        <v>270</v>
      </c>
      <c r="C39" s="238">
        <v>222</v>
      </c>
      <c r="D39" s="238">
        <v>270</v>
      </c>
      <c r="E39" s="238">
        <v>312</v>
      </c>
      <c r="F39" s="238">
        <v>377</v>
      </c>
      <c r="G39" s="238">
        <v>420</v>
      </c>
      <c r="H39" s="238">
        <v>444</v>
      </c>
      <c r="I39" s="238">
        <v>468</v>
      </c>
      <c r="J39" s="238"/>
      <c r="K39" s="238">
        <v>624</v>
      </c>
      <c r="L39" s="238">
        <v>768</v>
      </c>
      <c r="M39" s="238">
        <v>768</v>
      </c>
      <c r="N39" s="238">
        <v>780</v>
      </c>
      <c r="O39" s="236">
        <v>809</v>
      </c>
      <c r="P39" s="236">
        <v>937</v>
      </c>
    </row>
    <row r="40" spans="1:16" s="44" customFormat="1" ht="15.75" thickTop="1">
      <c r="A40" s="244" t="s">
        <v>83</v>
      </c>
      <c r="B40" s="240">
        <v>5355</v>
      </c>
      <c r="C40" s="110">
        <v>6023</v>
      </c>
      <c r="D40" s="110">
        <v>6963</v>
      </c>
      <c r="E40" s="110">
        <v>7763</v>
      </c>
      <c r="F40" s="110">
        <v>8466</v>
      </c>
      <c r="G40" s="110">
        <v>9628</v>
      </c>
      <c r="H40" s="110">
        <v>10284</v>
      </c>
      <c r="I40" s="110">
        <v>11274</v>
      </c>
      <c r="J40" s="110"/>
      <c r="K40" s="110">
        <v>13331</v>
      </c>
      <c r="L40" s="110">
        <v>14384</v>
      </c>
      <c r="M40" s="110">
        <v>15702</v>
      </c>
      <c r="N40" s="110">
        <v>16563</v>
      </c>
      <c r="O40" s="110">
        <v>17974</v>
      </c>
      <c r="P40" s="110">
        <v>19211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2504C-4C58-4D07-8526-757A5915C73D}">
  <sheetPr codeName="Feuil3"/>
  <dimension ref="A1:P40"/>
  <sheetViews>
    <sheetView topLeftCell="A8" workbookViewId="0">
      <selection activeCell="A40" sqref="A40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6" s="42" customFormat="1" ht="57" customHeight="1"/>
    <row r="2" spans="1:16" s="42" customFormat="1" ht="16.5"/>
    <row r="3" spans="1:16" s="42" customFormat="1" ht="33.950000000000003" customHeight="1">
      <c r="A3" s="371" t="s">
        <v>69</v>
      </c>
      <c r="B3" s="371"/>
      <c r="C3" s="371"/>
      <c r="D3" s="371"/>
      <c r="E3" s="371"/>
      <c r="F3" s="371"/>
      <c r="G3" s="371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241" t="s">
        <v>54</v>
      </c>
      <c r="B5" s="242">
        <v>2010</v>
      </c>
      <c r="C5" s="241">
        <v>2011</v>
      </c>
      <c r="D5" s="241">
        <v>2012</v>
      </c>
      <c r="E5" s="241">
        <v>2013</v>
      </c>
      <c r="F5" s="241">
        <v>2014</v>
      </c>
      <c r="G5" s="241">
        <v>2015</v>
      </c>
      <c r="H5" s="241">
        <v>2016</v>
      </c>
      <c r="I5" s="241">
        <v>2017</v>
      </c>
      <c r="J5" s="241">
        <v>2018</v>
      </c>
      <c r="K5" s="241">
        <v>2019</v>
      </c>
      <c r="L5" s="241">
        <v>2020</v>
      </c>
      <c r="M5" s="241">
        <v>2021</v>
      </c>
      <c r="N5" s="241">
        <v>2022</v>
      </c>
      <c r="O5" s="241">
        <v>2023</v>
      </c>
      <c r="P5" s="235">
        <v>2024</v>
      </c>
    </row>
    <row r="6" spans="1:16">
      <c r="A6" s="243" t="s">
        <v>16</v>
      </c>
      <c r="B6" s="237">
        <v>356</v>
      </c>
      <c r="C6" s="238">
        <v>426</v>
      </c>
      <c r="D6" s="238">
        <v>474</v>
      </c>
      <c r="E6" s="238">
        <v>546</v>
      </c>
      <c r="F6" s="238">
        <v>558</v>
      </c>
      <c r="G6" s="238">
        <v>665</v>
      </c>
      <c r="H6" s="238">
        <v>732</v>
      </c>
      <c r="I6" s="238">
        <v>762</v>
      </c>
      <c r="J6" s="238"/>
      <c r="K6" s="238">
        <v>832</v>
      </c>
      <c r="L6" s="238">
        <v>899</v>
      </c>
      <c r="M6" s="238">
        <v>1060</v>
      </c>
      <c r="N6" s="238">
        <v>1136</v>
      </c>
      <c r="O6" s="236">
        <v>1231</v>
      </c>
      <c r="P6" s="236">
        <v>1279</v>
      </c>
    </row>
    <row r="7" spans="1:16">
      <c r="A7" s="243" t="s">
        <v>30</v>
      </c>
      <c r="B7" s="239"/>
      <c r="C7" s="238">
        <v>36</v>
      </c>
      <c r="D7" s="238">
        <v>60</v>
      </c>
      <c r="E7" s="238">
        <v>60</v>
      </c>
      <c r="F7" s="238">
        <v>72</v>
      </c>
      <c r="G7" s="238">
        <v>142</v>
      </c>
      <c r="H7" s="238">
        <v>168</v>
      </c>
      <c r="I7" s="238">
        <v>209</v>
      </c>
      <c r="J7" s="238"/>
      <c r="K7" s="238">
        <v>364</v>
      </c>
      <c r="L7" s="238">
        <v>412</v>
      </c>
      <c r="M7" s="238">
        <v>433</v>
      </c>
      <c r="N7" s="238">
        <v>487</v>
      </c>
      <c r="O7" s="236">
        <v>577</v>
      </c>
      <c r="P7" s="236">
        <v>608</v>
      </c>
    </row>
    <row r="8" spans="1:16">
      <c r="A8" s="243" t="s">
        <v>31</v>
      </c>
      <c r="B8" s="239"/>
      <c r="C8" s="236"/>
      <c r="D8" s="236"/>
      <c r="E8" s="236"/>
      <c r="F8" s="236"/>
      <c r="G8" s="238">
        <v>12</v>
      </c>
      <c r="H8" s="238">
        <v>24</v>
      </c>
      <c r="I8" s="238">
        <v>80</v>
      </c>
      <c r="J8" s="238"/>
      <c r="K8" s="238">
        <v>116</v>
      </c>
      <c r="L8" s="238">
        <v>152</v>
      </c>
      <c r="M8" s="238">
        <v>192</v>
      </c>
      <c r="N8" s="238">
        <v>207</v>
      </c>
      <c r="O8" s="236">
        <v>228</v>
      </c>
      <c r="P8" s="236">
        <v>300</v>
      </c>
    </row>
    <row r="9" spans="1:16">
      <c r="A9" s="243" t="s">
        <v>32</v>
      </c>
      <c r="B9" s="237"/>
      <c r="C9" s="238">
        <v>36</v>
      </c>
      <c r="D9" s="238">
        <v>96</v>
      </c>
      <c r="E9" s="238">
        <v>120</v>
      </c>
      <c r="F9" s="238">
        <v>132</v>
      </c>
      <c r="G9" s="238">
        <v>179</v>
      </c>
      <c r="H9" s="238">
        <v>228</v>
      </c>
      <c r="I9" s="238">
        <v>228</v>
      </c>
      <c r="J9" s="238"/>
      <c r="K9" s="238">
        <v>279</v>
      </c>
      <c r="L9" s="238">
        <v>297</v>
      </c>
      <c r="M9" s="238">
        <v>300</v>
      </c>
      <c r="N9" s="238">
        <v>333</v>
      </c>
      <c r="O9" s="236">
        <v>357</v>
      </c>
      <c r="P9" s="236">
        <v>351</v>
      </c>
    </row>
    <row r="10" spans="1:16">
      <c r="A10" s="243" t="s">
        <v>33</v>
      </c>
      <c r="B10" s="237">
        <v>71</v>
      </c>
      <c r="C10" s="238">
        <v>78</v>
      </c>
      <c r="D10" s="238">
        <v>144</v>
      </c>
      <c r="E10" s="238">
        <v>240</v>
      </c>
      <c r="F10" s="238">
        <v>228</v>
      </c>
      <c r="G10" s="238">
        <v>216</v>
      </c>
      <c r="H10" s="238">
        <v>209</v>
      </c>
      <c r="I10" s="238">
        <v>276</v>
      </c>
      <c r="J10" s="238"/>
      <c r="K10" s="238">
        <v>305</v>
      </c>
      <c r="L10" s="238">
        <v>356</v>
      </c>
      <c r="M10" s="238">
        <v>366</v>
      </c>
      <c r="N10" s="238">
        <v>379</v>
      </c>
      <c r="O10" s="236">
        <v>389</v>
      </c>
      <c r="P10" s="236">
        <v>445</v>
      </c>
    </row>
    <row r="11" spans="1:16">
      <c r="A11" s="243" t="s">
        <v>89</v>
      </c>
      <c r="B11" s="237">
        <v>324</v>
      </c>
      <c r="C11" s="238">
        <v>339</v>
      </c>
      <c r="D11" s="238">
        <v>368</v>
      </c>
      <c r="E11" s="238">
        <v>378</v>
      </c>
      <c r="F11" s="238">
        <v>378</v>
      </c>
      <c r="G11" s="238">
        <v>379</v>
      </c>
      <c r="H11" s="238">
        <v>413</v>
      </c>
      <c r="I11" s="238">
        <v>480</v>
      </c>
      <c r="J11" s="238"/>
      <c r="K11" s="238">
        <v>465</v>
      </c>
      <c r="L11" s="238">
        <v>513</v>
      </c>
      <c r="M11" s="238">
        <v>555</v>
      </c>
      <c r="N11" s="238">
        <v>579</v>
      </c>
      <c r="O11" s="236">
        <v>615</v>
      </c>
      <c r="P11" s="236">
        <v>639</v>
      </c>
    </row>
    <row r="12" spans="1:16">
      <c r="A12" s="243" t="s">
        <v>34</v>
      </c>
      <c r="B12" s="237"/>
      <c r="C12" s="238">
        <v>24</v>
      </c>
      <c r="D12" s="238">
        <v>24</v>
      </c>
      <c r="E12" s="238">
        <v>60</v>
      </c>
      <c r="F12" s="238">
        <v>84</v>
      </c>
      <c r="G12" s="238">
        <v>84</v>
      </c>
      <c r="H12" s="238">
        <v>132</v>
      </c>
      <c r="I12" s="238">
        <v>144</v>
      </c>
      <c r="J12" s="238"/>
      <c r="K12" s="238">
        <v>228</v>
      </c>
      <c r="L12" s="238">
        <v>186</v>
      </c>
      <c r="M12" s="238">
        <v>216</v>
      </c>
      <c r="N12" s="238">
        <v>206</v>
      </c>
      <c r="O12" s="236">
        <v>219</v>
      </c>
      <c r="P12" s="236">
        <v>315</v>
      </c>
    </row>
    <row r="13" spans="1:16">
      <c r="A13" s="243" t="s">
        <v>35</v>
      </c>
      <c r="B13" s="237">
        <v>60</v>
      </c>
      <c r="C13" s="238">
        <v>110</v>
      </c>
      <c r="D13" s="238">
        <v>128</v>
      </c>
      <c r="E13" s="238">
        <v>140</v>
      </c>
      <c r="F13" s="238">
        <v>188</v>
      </c>
      <c r="G13" s="238">
        <v>231</v>
      </c>
      <c r="H13" s="238">
        <v>251</v>
      </c>
      <c r="I13" s="238">
        <v>287</v>
      </c>
      <c r="J13" s="238"/>
      <c r="K13" s="238">
        <v>345</v>
      </c>
      <c r="L13" s="238">
        <v>372</v>
      </c>
      <c r="M13" s="238">
        <v>408</v>
      </c>
      <c r="N13" s="238">
        <v>447</v>
      </c>
      <c r="O13" s="236">
        <v>474</v>
      </c>
      <c r="P13" s="236">
        <v>486</v>
      </c>
    </row>
    <row r="14" spans="1:16">
      <c r="A14" s="243" t="s">
        <v>55</v>
      </c>
      <c r="B14" s="237">
        <v>1</v>
      </c>
      <c r="C14" s="238">
        <v>7</v>
      </c>
      <c r="D14" s="238">
        <v>8</v>
      </c>
      <c r="E14" s="238">
        <v>2</v>
      </c>
      <c r="F14" s="238">
        <v>26</v>
      </c>
      <c r="G14" s="238">
        <v>144</v>
      </c>
      <c r="H14" s="238">
        <v>205</v>
      </c>
      <c r="I14" s="238">
        <v>240</v>
      </c>
      <c r="J14" s="238"/>
      <c r="K14" s="238">
        <v>359</v>
      </c>
      <c r="L14" s="238">
        <v>382</v>
      </c>
      <c r="M14" s="238">
        <v>336</v>
      </c>
      <c r="N14" s="238">
        <v>348</v>
      </c>
      <c r="O14" s="236">
        <v>374</v>
      </c>
      <c r="P14" s="236">
        <v>384</v>
      </c>
    </row>
    <row r="15" spans="1:16">
      <c r="A15" s="243" t="s">
        <v>36</v>
      </c>
      <c r="B15" s="237">
        <v>108</v>
      </c>
      <c r="C15" s="238">
        <v>120</v>
      </c>
      <c r="D15" s="238">
        <v>156</v>
      </c>
      <c r="E15" s="238">
        <v>156</v>
      </c>
      <c r="F15" s="238">
        <v>170</v>
      </c>
      <c r="G15" s="238">
        <v>180</v>
      </c>
      <c r="H15" s="238">
        <v>180</v>
      </c>
      <c r="I15" s="238">
        <v>196</v>
      </c>
      <c r="J15" s="238"/>
      <c r="K15" s="238">
        <v>240</v>
      </c>
      <c r="L15" s="238">
        <v>264</v>
      </c>
      <c r="M15" s="238">
        <v>300</v>
      </c>
      <c r="N15" s="238">
        <v>318</v>
      </c>
      <c r="O15" s="236">
        <v>345</v>
      </c>
      <c r="P15" s="236">
        <v>346</v>
      </c>
    </row>
    <row r="16" spans="1:16">
      <c r="A16" s="243" t="s">
        <v>56</v>
      </c>
      <c r="B16" s="237">
        <v>3</v>
      </c>
      <c r="C16" s="238">
        <v>3</v>
      </c>
      <c r="D16" s="238">
        <v>1</v>
      </c>
      <c r="E16" s="238">
        <v>3</v>
      </c>
      <c r="F16" s="238">
        <v>3</v>
      </c>
      <c r="G16" s="236"/>
      <c r="H16" s="236"/>
      <c r="I16" s="236"/>
      <c r="J16" s="238"/>
      <c r="K16" s="238">
        <v>24</v>
      </c>
      <c r="L16" s="238">
        <v>24</v>
      </c>
      <c r="M16" s="238">
        <v>36</v>
      </c>
      <c r="N16" s="238">
        <v>36</v>
      </c>
      <c r="O16" s="236">
        <v>47</v>
      </c>
      <c r="P16" s="236">
        <v>47</v>
      </c>
    </row>
    <row r="17" spans="1:16">
      <c r="A17" s="243" t="s">
        <v>57</v>
      </c>
      <c r="B17" s="239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8">
        <v>124</v>
      </c>
      <c r="N17" s="238">
        <v>126</v>
      </c>
      <c r="O17" s="236">
        <v>156</v>
      </c>
      <c r="P17" s="236">
        <v>200</v>
      </c>
    </row>
    <row r="18" spans="1:16">
      <c r="A18" s="243" t="s">
        <v>58</v>
      </c>
      <c r="B18" s="239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8">
        <v>137</v>
      </c>
      <c r="N18" s="238">
        <v>152</v>
      </c>
      <c r="O18" s="236">
        <v>171</v>
      </c>
      <c r="P18" s="236">
        <v>200</v>
      </c>
    </row>
    <row r="19" spans="1:16">
      <c r="A19" s="243" t="s">
        <v>37</v>
      </c>
      <c r="B19" s="237">
        <v>132</v>
      </c>
      <c r="C19" s="238">
        <v>132</v>
      </c>
      <c r="D19" s="238">
        <v>156</v>
      </c>
      <c r="E19" s="238">
        <v>156</v>
      </c>
      <c r="F19" s="238">
        <v>180</v>
      </c>
      <c r="G19" s="238">
        <v>206</v>
      </c>
      <c r="H19" s="238">
        <v>204</v>
      </c>
      <c r="I19" s="238">
        <v>204</v>
      </c>
      <c r="J19" s="238"/>
      <c r="K19" s="238">
        <v>255</v>
      </c>
      <c r="L19" s="238">
        <v>270</v>
      </c>
      <c r="M19" s="238">
        <v>294</v>
      </c>
      <c r="N19" s="238">
        <v>306</v>
      </c>
      <c r="O19" s="236">
        <v>307</v>
      </c>
      <c r="P19" s="236">
        <v>336</v>
      </c>
    </row>
    <row r="20" spans="1:16">
      <c r="A20" s="243" t="s">
        <v>92</v>
      </c>
      <c r="B20" s="239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8">
        <v>24</v>
      </c>
      <c r="N20" s="238">
        <v>24</v>
      </c>
      <c r="O20" s="236">
        <v>36</v>
      </c>
      <c r="P20" s="236">
        <v>36</v>
      </c>
    </row>
    <row r="21" spans="1:16">
      <c r="A21" s="243" t="s">
        <v>38</v>
      </c>
      <c r="B21" s="237"/>
      <c r="C21" s="238"/>
      <c r="D21" s="238">
        <v>273</v>
      </c>
      <c r="E21" s="238">
        <v>304</v>
      </c>
      <c r="F21" s="238">
        <v>322</v>
      </c>
      <c r="G21" s="238">
        <v>300</v>
      </c>
      <c r="H21" s="238">
        <v>393</v>
      </c>
      <c r="I21" s="238">
        <v>405</v>
      </c>
      <c r="J21" s="238"/>
      <c r="K21" s="238">
        <v>367</v>
      </c>
      <c r="L21" s="238">
        <v>367</v>
      </c>
      <c r="M21" s="238">
        <v>373</v>
      </c>
      <c r="N21" s="238">
        <v>373</v>
      </c>
      <c r="O21" s="236">
        <v>405</v>
      </c>
      <c r="P21" s="236">
        <v>420</v>
      </c>
    </row>
    <row r="22" spans="1:16">
      <c r="A22" s="243" t="s">
        <v>39</v>
      </c>
      <c r="B22" s="237">
        <v>76</v>
      </c>
      <c r="C22" s="238">
        <v>76</v>
      </c>
      <c r="D22" s="238">
        <v>76</v>
      </c>
      <c r="E22" s="238">
        <v>76</v>
      </c>
      <c r="F22" s="238">
        <v>100</v>
      </c>
      <c r="G22" s="238">
        <v>100</v>
      </c>
      <c r="H22" s="238">
        <v>112</v>
      </c>
      <c r="I22" s="238">
        <v>144</v>
      </c>
      <c r="J22" s="238"/>
      <c r="K22" s="238">
        <v>184</v>
      </c>
      <c r="L22" s="238">
        <v>196</v>
      </c>
      <c r="M22" s="238">
        <v>196</v>
      </c>
      <c r="N22" s="238">
        <v>244</v>
      </c>
      <c r="O22" s="236">
        <v>316</v>
      </c>
      <c r="P22" s="236">
        <v>316</v>
      </c>
    </row>
    <row r="23" spans="1:16">
      <c r="A23" s="243" t="s">
        <v>40</v>
      </c>
      <c r="B23" s="237"/>
      <c r="C23" s="238"/>
      <c r="D23" s="238"/>
      <c r="E23" s="238"/>
      <c r="F23" s="238"/>
      <c r="G23" s="238">
        <v>96</v>
      </c>
      <c r="H23" s="238">
        <v>108</v>
      </c>
      <c r="I23" s="238">
        <v>111</v>
      </c>
      <c r="J23" s="238"/>
      <c r="K23" s="238">
        <v>123</v>
      </c>
      <c r="L23" s="238">
        <v>127</v>
      </c>
      <c r="M23" s="238">
        <v>127</v>
      </c>
      <c r="N23" s="238">
        <v>127</v>
      </c>
      <c r="O23" s="236">
        <v>127</v>
      </c>
      <c r="P23" s="236">
        <v>127</v>
      </c>
    </row>
    <row r="24" spans="1:16">
      <c r="A24" s="243" t="s">
        <v>41</v>
      </c>
      <c r="B24" s="237">
        <v>36</v>
      </c>
      <c r="C24" s="238">
        <v>84</v>
      </c>
      <c r="D24" s="238">
        <v>99</v>
      </c>
      <c r="E24" s="238">
        <v>201</v>
      </c>
      <c r="F24" s="238">
        <v>327</v>
      </c>
      <c r="G24" s="238">
        <v>363</v>
      </c>
      <c r="H24" s="238">
        <v>465</v>
      </c>
      <c r="I24" s="238">
        <v>582</v>
      </c>
      <c r="J24" s="238"/>
      <c r="K24" s="238">
        <v>846</v>
      </c>
      <c r="L24" s="238">
        <v>966</v>
      </c>
      <c r="M24" s="238">
        <v>978</v>
      </c>
      <c r="N24" s="238">
        <v>1058</v>
      </c>
      <c r="O24" s="236">
        <v>1140</v>
      </c>
      <c r="P24" s="236">
        <v>1200</v>
      </c>
    </row>
    <row r="25" spans="1:16">
      <c r="A25" s="243" t="s">
        <v>42</v>
      </c>
      <c r="B25" s="237">
        <v>72</v>
      </c>
      <c r="C25" s="238">
        <v>96</v>
      </c>
      <c r="D25" s="238">
        <v>108</v>
      </c>
      <c r="E25" s="238">
        <v>108</v>
      </c>
      <c r="F25" s="238">
        <v>216</v>
      </c>
      <c r="G25" s="238">
        <v>257</v>
      </c>
      <c r="H25" s="238">
        <v>294</v>
      </c>
      <c r="I25" s="238">
        <v>332</v>
      </c>
      <c r="J25" s="238"/>
      <c r="K25" s="238">
        <v>404</v>
      </c>
      <c r="L25" s="238">
        <v>400</v>
      </c>
      <c r="M25" s="238">
        <v>468</v>
      </c>
      <c r="N25" s="238">
        <v>484</v>
      </c>
      <c r="O25" s="236">
        <v>532</v>
      </c>
      <c r="P25" s="236">
        <v>540</v>
      </c>
    </row>
    <row r="26" spans="1:16">
      <c r="A26" s="243" t="s">
        <v>43</v>
      </c>
      <c r="B26" s="237">
        <v>117</v>
      </c>
      <c r="C26" s="238">
        <v>132</v>
      </c>
      <c r="D26" s="238">
        <v>216</v>
      </c>
      <c r="E26" s="238">
        <v>216</v>
      </c>
      <c r="F26" s="238">
        <v>216</v>
      </c>
      <c r="G26" s="238">
        <v>276</v>
      </c>
      <c r="H26" s="238">
        <v>276</v>
      </c>
      <c r="I26" s="238">
        <v>291</v>
      </c>
      <c r="J26" s="238"/>
      <c r="K26" s="238">
        <v>315</v>
      </c>
      <c r="L26" s="238">
        <v>315</v>
      </c>
      <c r="M26" s="238">
        <v>315</v>
      </c>
      <c r="N26" s="238">
        <v>352</v>
      </c>
      <c r="O26" s="236">
        <v>354</v>
      </c>
      <c r="P26" s="236">
        <v>371</v>
      </c>
    </row>
    <row r="27" spans="1:16">
      <c r="A27" s="243" t="s">
        <v>59</v>
      </c>
      <c r="B27" s="239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8">
        <v>220</v>
      </c>
      <c r="O27" s="236">
        <v>262</v>
      </c>
      <c r="P27" s="236">
        <v>277</v>
      </c>
    </row>
    <row r="28" spans="1:16">
      <c r="A28" s="243" t="s">
        <v>44</v>
      </c>
      <c r="B28" s="237">
        <v>229</v>
      </c>
      <c r="C28" s="238">
        <v>241</v>
      </c>
      <c r="D28" s="238">
        <v>250</v>
      </c>
      <c r="E28" s="238">
        <v>286</v>
      </c>
      <c r="F28" s="238">
        <v>300</v>
      </c>
      <c r="G28" s="238">
        <v>314</v>
      </c>
      <c r="H28" s="238">
        <v>353</v>
      </c>
      <c r="I28" s="238">
        <v>422</v>
      </c>
      <c r="J28" s="238"/>
      <c r="K28" s="238">
        <v>733</v>
      </c>
      <c r="L28" s="238">
        <v>757</v>
      </c>
      <c r="M28" s="238">
        <v>781</v>
      </c>
      <c r="N28" s="238">
        <v>845</v>
      </c>
      <c r="O28" s="236">
        <v>987</v>
      </c>
      <c r="P28" s="236">
        <v>1004</v>
      </c>
    </row>
    <row r="29" spans="1:16">
      <c r="A29" s="243" t="s">
        <v>45</v>
      </c>
      <c r="B29" s="237">
        <v>174</v>
      </c>
      <c r="C29" s="238">
        <v>282</v>
      </c>
      <c r="D29" s="238">
        <v>304</v>
      </c>
      <c r="E29" s="238">
        <v>411</v>
      </c>
      <c r="F29" s="238">
        <v>435</v>
      </c>
      <c r="G29" s="238">
        <v>454</v>
      </c>
      <c r="H29" s="238">
        <v>551</v>
      </c>
      <c r="I29" s="238">
        <v>658</v>
      </c>
      <c r="J29" s="238"/>
      <c r="K29" s="238">
        <v>762</v>
      </c>
      <c r="L29" s="238">
        <v>755</v>
      </c>
      <c r="M29" s="238">
        <v>896</v>
      </c>
      <c r="N29" s="238">
        <v>937</v>
      </c>
      <c r="O29" s="236">
        <v>985</v>
      </c>
      <c r="P29" s="236">
        <v>1128</v>
      </c>
    </row>
    <row r="30" spans="1:16">
      <c r="A30" s="243" t="s">
        <v>46</v>
      </c>
      <c r="B30" s="237">
        <v>48</v>
      </c>
      <c r="C30" s="238">
        <v>50</v>
      </c>
      <c r="D30" s="238">
        <v>60</v>
      </c>
      <c r="E30" s="238">
        <v>84</v>
      </c>
      <c r="F30" s="238">
        <v>96</v>
      </c>
      <c r="G30" s="238">
        <v>96</v>
      </c>
      <c r="H30" s="238">
        <v>106</v>
      </c>
      <c r="I30" s="238">
        <v>108</v>
      </c>
      <c r="J30" s="238"/>
      <c r="K30" s="238">
        <v>194</v>
      </c>
      <c r="L30" s="238">
        <v>216</v>
      </c>
      <c r="M30" s="238">
        <v>216</v>
      </c>
      <c r="N30" s="238">
        <v>233</v>
      </c>
      <c r="O30" s="236">
        <v>256</v>
      </c>
      <c r="P30" s="236">
        <v>269</v>
      </c>
    </row>
    <row r="31" spans="1:16">
      <c r="A31" s="243" t="s">
        <v>47</v>
      </c>
      <c r="B31" s="237">
        <v>98</v>
      </c>
      <c r="C31" s="238">
        <v>108</v>
      </c>
      <c r="D31" s="238">
        <v>108</v>
      </c>
      <c r="E31" s="238">
        <v>120</v>
      </c>
      <c r="F31" s="238">
        <v>121</v>
      </c>
      <c r="G31" s="238">
        <v>144</v>
      </c>
      <c r="H31" s="238">
        <v>240</v>
      </c>
      <c r="I31" s="238">
        <v>240</v>
      </c>
      <c r="J31" s="238"/>
      <c r="K31" s="238">
        <v>254</v>
      </c>
      <c r="L31" s="238">
        <v>267</v>
      </c>
      <c r="M31" s="238">
        <v>318</v>
      </c>
      <c r="N31" s="238">
        <v>327</v>
      </c>
      <c r="O31" s="236">
        <v>372</v>
      </c>
      <c r="P31" s="236">
        <v>405</v>
      </c>
    </row>
    <row r="32" spans="1:16">
      <c r="A32" s="243" t="s">
        <v>48</v>
      </c>
      <c r="B32" s="237">
        <v>66</v>
      </c>
      <c r="C32" s="238">
        <v>62</v>
      </c>
      <c r="D32" s="238">
        <v>66</v>
      </c>
      <c r="E32" s="238">
        <v>78</v>
      </c>
      <c r="F32" s="238">
        <v>78</v>
      </c>
      <c r="G32" s="238">
        <v>72</v>
      </c>
      <c r="H32" s="238">
        <v>72</v>
      </c>
      <c r="I32" s="238">
        <v>72</v>
      </c>
      <c r="J32" s="238"/>
      <c r="K32" s="238">
        <v>72</v>
      </c>
      <c r="L32" s="238">
        <v>108</v>
      </c>
      <c r="M32" s="238">
        <v>132</v>
      </c>
      <c r="N32" s="238">
        <v>132</v>
      </c>
      <c r="O32" s="236">
        <v>132</v>
      </c>
      <c r="P32" s="236">
        <v>216</v>
      </c>
    </row>
    <row r="33" spans="1:16">
      <c r="A33" s="243" t="s">
        <v>49</v>
      </c>
      <c r="B33" s="237">
        <v>126</v>
      </c>
      <c r="C33" s="238">
        <v>208</v>
      </c>
      <c r="D33" s="238">
        <v>212</v>
      </c>
      <c r="E33" s="238">
        <v>213</v>
      </c>
      <c r="F33" s="238">
        <v>213</v>
      </c>
      <c r="G33" s="238">
        <v>226</v>
      </c>
      <c r="H33" s="238">
        <v>246</v>
      </c>
      <c r="I33" s="238">
        <v>258</v>
      </c>
      <c r="J33" s="238"/>
      <c r="K33" s="238">
        <v>275</v>
      </c>
      <c r="L33" s="238">
        <v>323</v>
      </c>
      <c r="M33" s="238">
        <v>358</v>
      </c>
      <c r="N33" s="238">
        <v>358</v>
      </c>
      <c r="O33" s="236">
        <v>371</v>
      </c>
      <c r="P33" s="236">
        <v>394</v>
      </c>
    </row>
    <row r="34" spans="1:16">
      <c r="A34" s="243" t="s">
        <v>60</v>
      </c>
      <c r="B34" s="239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8">
        <v>372</v>
      </c>
      <c r="O34" s="236">
        <v>380</v>
      </c>
      <c r="P34" s="236">
        <v>380</v>
      </c>
    </row>
    <row r="35" spans="1:16">
      <c r="A35" s="243" t="s">
        <v>50</v>
      </c>
      <c r="B35" s="237">
        <v>2542</v>
      </c>
      <c r="C35" s="238">
        <v>2670</v>
      </c>
      <c r="D35" s="238">
        <v>2829</v>
      </c>
      <c r="E35" s="238">
        <v>2886</v>
      </c>
      <c r="F35" s="238">
        <v>2993</v>
      </c>
      <c r="G35" s="238">
        <v>3260</v>
      </c>
      <c r="H35" s="238">
        <v>3245</v>
      </c>
      <c r="I35" s="238">
        <v>3398</v>
      </c>
      <c r="J35" s="238"/>
      <c r="K35" s="238">
        <v>3374</v>
      </c>
      <c r="L35" s="238">
        <v>3559</v>
      </c>
      <c r="M35" s="238">
        <v>3750</v>
      </c>
      <c r="N35" s="238">
        <v>4140</v>
      </c>
      <c r="O35" s="236">
        <v>4546</v>
      </c>
      <c r="P35" s="236">
        <v>4672</v>
      </c>
    </row>
    <row r="36" spans="1:16">
      <c r="A36" s="243" t="s">
        <v>51</v>
      </c>
      <c r="B36" s="237">
        <v>233</v>
      </c>
      <c r="C36" s="238">
        <v>275</v>
      </c>
      <c r="D36" s="238">
        <v>275</v>
      </c>
      <c r="E36" s="238">
        <v>299</v>
      </c>
      <c r="F36" s="238">
        <v>299</v>
      </c>
      <c r="G36" s="238">
        <v>347</v>
      </c>
      <c r="H36" s="238">
        <v>332</v>
      </c>
      <c r="I36" s="238">
        <v>338</v>
      </c>
      <c r="J36" s="238"/>
      <c r="K36" s="238">
        <v>493</v>
      </c>
      <c r="L36" s="238">
        <v>543</v>
      </c>
      <c r="M36" s="238">
        <v>561</v>
      </c>
      <c r="N36" s="238"/>
      <c r="O36" s="236"/>
      <c r="P36" s="236"/>
    </row>
    <row r="37" spans="1:16">
      <c r="A37" s="243" t="s">
        <v>52</v>
      </c>
      <c r="B37" s="237">
        <v>22</v>
      </c>
      <c r="C37" s="238">
        <v>24</v>
      </c>
      <c r="D37" s="238">
        <v>24</v>
      </c>
      <c r="E37" s="238">
        <v>36</v>
      </c>
      <c r="F37" s="238">
        <v>48</v>
      </c>
      <c r="G37" s="238">
        <v>56</v>
      </c>
      <c r="H37" s="238">
        <v>69</v>
      </c>
      <c r="I37" s="238">
        <v>72</v>
      </c>
      <c r="J37" s="238"/>
      <c r="K37" s="238">
        <v>72</v>
      </c>
      <c r="L37" s="238">
        <v>90</v>
      </c>
      <c r="M37" s="238">
        <v>90</v>
      </c>
      <c r="N37" s="238">
        <v>90</v>
      </c>
      <c r="O37" s="236">
        <v>90</v>
      </c>
      <c r="P37" s="236">
        <v>99</v>
      </c>
    </row>
    <row r="38" spans="1:16">
      <c r="A38" s="243" t="s">
        <v>53</v>
      </c>
      <c r="B38" s="237">
        <v>29</v>
      </c>
      <c r="C38" s="238">
        <v>36</v>
      </c>
      <c r="D38" s="238">
        <v>49</v>
      </c>
      <c r="E38" s="238">
        <v>33</v>
      </c>
      <c r="F38" s="238">
        <v>41</v>
      </c>
      <c r="G38" s="238">
        <v>46</v>
      </c>
      <c r="H38" s="238">
        <v>49</v>
      </c>
      <c r="I38" s="238">
        <v>48</v>
      </c>
      <c r="J38" s="238"/>
      <c r="K38" s="238">
        <v>48</v>
      </c>
      <c r="L38" s="238">
        <v>48</v>
      </c>
      <c r="M38" s="238">
        <v>48</v>
      </c>
      <c r="N38" s="238">
        <v>48</v>
      </c>
      <c r="O38" s="236">
        <v>48</v>
      </c>
      <c r="P38" s="236">
        <v>48</v>
      </c>
    </row>
    <row r="39" spans="1:16" ht="15.75" thickBot="1">
      <c r="A39" s="243" t="s">
        <v>84</v>
      </c>
      <c r="B39" s="237">
        <v>259</v>
      </c>
      <c r="C39" s="238">
        <v>223</v>
      </c>
      <c r="D39" s="238">
        <v>270</v>
      </c>
      <c r="E39" s="238">
        <v>312</v>
      </c>
      <c r="F39" s="238">
        <v>353</v>
      </c>
      <c r="G39" s="238">
        <v>406</v>
      </c>
      <c r="H39" s="238">
        <v>456</v>
      </c>
      <c r="I39" s="238">
        <v>438</v>
      </c>
      <c r="J39" s="238"/>
      <c r="K39" s="238">
        <v>612</v>
      </c>
      <c r="L39" s="238">
        <v>710</v>
      </c>
      <c r="M39" s="238">
        <v>740</v>
      </c>
      <c r="N39" s="238">
        <v>776</v>
      </c>
      <c r="O39" s="236">
        <v>805</v>
      </c>
      <c r="P39" s="236">
        <v>929</v>
      </c>
    </row>
    <row r="40" spans="1:16" s="44" customFormat="1" ht="15.75" thickTop="1">
      <c r="A40" s="244" t="s">
        <v>83</v>
      </c>
      <c r="B40" s="240">
        <v>5182</v>
      </c>
      <c r="C40" s="110">
        <v>5878</v>
      </c>
      <c r="D40" s="110">
        <v>6834</v>
      </c>
      <c r="E40" s="110">
        <v>7524</v>
      </c>
      <c r="F40" s="110">
        <v>8177</v>
      </c>
      <c r="G40" s="110">
        <v>9251</v>
      </c>
      <c r="H40" s="110">
        <v>10113</v>
      </c>
      <c r="I40" s="110">
        <v>11023</v>
      </c>
      <c r="J40" s="110"/>
      <c r="K40" s="110">
        <v>12940</v>
      </c>
      <c r="L40" s="110">
        <v>13959</v>
      </c>
      <c r="M40" s="110">
        <v>15128</v>
      </c>
      <c r="N40" s="110">
        <v>16200</v>
      </c>
      <c r="O40" s="110">
        <v>17634</v>
      </c>
      <c r="P40" s="110">
        <v>18767</v>
      </c>
    </row>
  </sheetData>
  <mergeCells count="2">
    <mergeCell ref="A4:D4"/>
    <mergeCell ref="A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EE2E-4C57-4EA8-A86B-AE2BA072CBC7}">
  <sheetPr codeName="Feuil2"/>
  <dimension ref="A1:P40"/>
  <sheetViews>
    <sheetView topLeftCell="A3" workbookViewId="0">
      <selection activeCell="A40" sqref="A40"/>
    </sheetView>
  </sheetViews>
  <sheetFormatPr baseColWidth="10" defaultRowHeight="15"/>
  <cols>
    <col min="1" max="1" width="23" style="43" bestFit="1" customWidth="1"/>
    <col min="2" max="14" width="11.42578125" style="43"/>
    <col min="15" max="15" width="11.42578125" style="100"/>
    <col min="16" max="16384" width="11.42578125" style="43"/>
  </cols>
  <sheetData>
    <row r="1" spans="1:16" s="42" customFormat="1" ht="57" customHeight="1">
      <c r="O1" s="99"/>
    </row>
    <row r="2" spans="1:16" s="42" customFormat="1" ht="16.5">
      <c r="O2" s="99"/>
    </row>
    <row r="3" spans="1:16" s="42" customFormat="1" ht="33.950000000000003" customHeight="1">
      <c r="A3" s="371" t="s">
        <v>68</v>
      </c>
      <c r="B3" s="371"/>
      <c r="C3" s="371"/>
      <c r="D3" s="371"/>
      <c r="O3" s="99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241" t="s">
        <v>54</v>
      </c>
      <c r="B5" s="242">
        <v>2010</v>
      </c>
      <c r="C5" s="241">
        <v>2011</v>
      </c>
      <c r="D5" s="241">
        <v>2012</v>
      </c>
      <c r="E5" s="241">
        <v>2013</v>
      </c>
      <c r="F5" s="241">
        <v>2014</v>
      </c>
      <c r="G5" s="241">
        <v>2015</v>
      </c>
      <c r="H5" s="241">
        <v>2016</v>
      </c>
      <c r="I5" s="241">
        <v>2017</v>
      </c>
      <c r="J5" s="241">
        <v>2018</v>
      </c>
      <c r="K5" s="241">
        <v>2019</v>
      </c>
      <c r="L5" s="241">
        <v>2020</v>
      </c>
      <c r="M5" s="241">
        <v>2021</v>
      </c>
      <c r="N5" s="241">
        <v>2022</v>
      </c>
      <c r="O5" s="241">
        <v>2023</v>
      </c>
      <c r="P5" s="235">
        <v>2024</v>
      </c>
    </row>
    <row r="6" spans="1:16">
      <c r="A6" s="243" t="s">
        <v>16</v>
      </c>
      <c r="B6" s="237">
        <v>222.344033379694</v>
      </c>
      <c r="C6" s="238">
        <v>267.71860139860138</v>
      </c>
      <c r="D6" s="238">
        <v>297.41967365967366</v>
      </c>
      <c r="E6" s="238">
        <v>341.94388997669</v>
      </c>
      <c r="F6" s="238">
        <v>348.97790023310023</v>
      </c>
      <c r="G6" s="238">
        <v>449.05999999999995</v>
      </c>
      <c r="H6" s="238">
        <v>496.48</v>
      </c>
      <c r="I6" s="238">
        <v>521.91000000000008</v>
      </c>
      <c r="J6" s="238"/>
      <c r="K6" s="238">
        <v>558.28</v>
      </c>
      <c r="L6" s="238">
        <v>589.73</v>
      </c>
      <c r="M6" s="238">
        <v>735.66</v>
      </c>
      <c r="N6" s="238">
        <v>781.84956521739105</v>
      </c>
      <c r="O6" s="236">
        <v>842.46260869565299</v>
      </c>
      <c r="P6" s="236">
        <v>854.64521739130498</v>
      </c>
    </row>
    <row r="7" spans="1:16">
      <c r="A7" s="243" t="s">
        <v>30</v>
      </c>
      <c r="B7" s="239"/>
      <c r="C7" s="238">
        <v>31.554000000000002</v>
      </c>
      <c r="D7" s="238">
        <v>52.59</v>
      </c>
      <c r="E7" s="238">
        <v>52.59</v>
      </c>
      <c r="F7" s="238">
        <v>61.189024390243901</v>
      </c>
      <c r="G7" s="238">
        <v>111.35</v>
      </c>
      <c r="H7" s="238">
        <v>129.69</v>
      </c>
      <c r="I7" s="238">
        <v>154.17000000000002</v>
      </c>
      <c r="J7" s="238"/>
      <c r="K7" s="238">
        <v>260.58</v>
      </c>
      <c r="L7" s="238">
        <v>285.36</v>
      </c>
      <c r="M7" s="238">
        <v>302.76</v>
      </c>
      <c r="N7" s="238">
        <v>348.39739130434799</v>
      </c>
      <c r="O7" s="236">
        <v>420.53304347826099</v>
      </c>
      <c r="P7" s="236">
        <v>438.62347826087</v>
      </c>
    </row>
    <row r="8" spans="1:16">
      <c r="A8" s="243" t="s">
        <v>31</v>
      </c>
      <c r="B8" s="239"/>
      <c r="C8" s="236"/>
      <c r="D8" s="236"/>
      <c r="E8" s="236"/>
      <c r="F8" s="236"/>
      <c r="G8" s="238">
        <v>12</v>
      </c>
      <c r="H8" s="238">
        <v>24</v>
      </c>
      <c r="I8" s="238">
        <v>79.850000000000009</v>
      </c>
      <c r="J8" s="238"/>
      <c r="K8" s="238">
        <v>116</v>
      </c>
      <c r="L8" s="238">
        <v>151.96</v>
      </c>
      <c r="M8" s="238">
        <v>192</v>
      </c>
      <c r="N8" s="238">
        <v>207.39130434782601</v>
      </c>
      <c r="O8" s="236">
        <v>228</v>
      </c>
      <c r="P8" s="236">
        <v>296.89751552795002</v>
      </c>
    </row>
    <row r="9" spans="1:16">
      <c r="A9" s="243" t="s">
        <v>32</v>
      </c>
      <c r="B9" s="237"/>
      <c r="C9" s="238">
        <v>27.329589442815248</v>
      </c>
      <c r="D9" s="238">
        <v>72.51558651026393</v>
      </c>
      <c r="E9" s="238">
        <v>90.371994134897363</v>
      </c>
      <c r="F9" s="238">
        <v>98.210241935483879</v>
      </c>
      <c r="G9" s="238">
        <v>134.44</v>
      </c>
      <c r="H9" s="238">
        <v>171.9</v>
      </c>
      <c r="I9" s="238">
        <v>177.81</v>
      </c>
      <c r="J9" s="238"/>
      <c r="K9" s="238">
        <v>206.76</v>
      </c>
      <c r="L9" s="238">
        <v>212.9</v>
      </c>
      <c r="M9" s="238">
        <v>235.97999999999996</v>
      </c>
      <c r="N9" s="238">
        <v>244.655669920142</v>
      </c>
      <c r="O9" s="236">
        <v>264.20608695652197</v>
      </c>
      <c r="P9" s="236">
        <v>247.12434782608699</v>
      </c>
    </row>
    <row r="10" spans="1:16">
      <c r="A10" s="243" t="s">
        <v>33</v>
      </c>
      <c r="B10" s="237">
        <v>47.807709251101322</v>
      </c>
      <c r="C10" s="238">
        <v>51.383369411764704</v>
      </c>
      <c r="D10" s="238">
        <v>98.874396862745101</v>
      </c>
      <c r="E10" s="238">
        <v>164.34371764705884</v>
      </c>
      <c r="F10" s="238">
        <v>153.42207999999999</v>
      </c>
      <c r="G10" s="238">
        <v>152.85000000000002</v>
      </c>
      <c r="H10" s="238">
        <v>153.41</v>
      </c>
      <c r="I10" s="238">
        <v>214.84</v>
      </c>
      <c r="J10" s="238"/>
      <c r="K10" s="238">
        <v>227.64</v>
      </c>
      <c r="L10" s="238">
        <v>277.09000000000003</v>
      </c>
      <c r="M10" s="238">
        <v>275.49000000000007</v>
      </c>
      <c r="N10" s="238">
        <v>276.242608695652</v>
      </c>
      <c r="O10" s="236">
        <v>292.61956521739103</v>
      </c>
      <c r="P10" s="236">
        <v>321.76534690101801</v>
      </c>
    </row>
    <row r="11" spans="1:16">
      <c r="A11" s="243" t="s">
        <v>89</v>
      </c>
      <c r="B11" s="237">
        <v>165.98080402010046</v>
      </c>
      <c r="C11" s="238">
        <v>174.84413516576114</v>
      </c>
      <c r="D11" s="238">
        <v>189.73799401458584</v>
      </c>
      <c r="E11" s="238">
        <v>194.08257982973532</v>
      </c>
      <c r="F11" s="238">
        <v>193.76000813551445</v>
      </c>
      <c r="G11" s="238">
        <v>203.89000000000001</v>
      </c>
      <c r="H11" s="238">
        <v>243.04000000000002</v>
      </c>
      <c r="I11" s="238">
        <v>285.12</v>
      </c>
      <c r="J11" s="238"/>
      <c r="K11" s="238">
        <v>264.28999999999996</v>
      </c>
      <c r="L11" s="238">
        <v>305</v>
      </c>
      <c r="M11" s="238">
        <v>328.9</v>
      </c>
      <c r="N11" s="238">
        <v>353.748260869565</v>
      </c>
      <c r="O11" s="236">
        <v>389.65434782608702</v>
      </c>
      <c r="P11" s="236">
        <v>419.07652173913101</v>
      </c>
    </row>
    <row r="12" spans="1:16">
      <c r="A12" s="243" t="s">
        <v>34</v>
      </c>
      <c r="B12" s="237"/>
      <c r="C12" s="238">
        <v>21.461229946524064</v>
      </c>
      <c r="D12" s="238">
        <v>21.313475935828876</v>
      </c>
      <c r="E12" s="238">
        <v>53.14459893048128</v>
      </c>
      <c r="F12" s="238">
        <v>74.289385026737961</v>
      </c>
      <c r="G12" s="238">
        <v>74.819999999999993</v>
      </c>
      <c r="H12" s="238">
        <v>122.42</v>
      </c>
      <c r="I12" s="238">
        <v>127.61999999999999</v>
      </c>
      <c r="J12" s="238"/>
      <c r="K12" s="238">
        <v>190.35</v>
      </c>
      <c r="L12" s="238">
        <v>166.38</v>
      </c>
      <c r="M12" s="238">
        <v>200.07999999999998</v>
      </c>
      <c r="N12" s="238">
        <v>202.08695652173901</v>
      </c>
      <c r="O12" s="236">
        <v>214.89130434782601</v>
      </c>
      <c r="P12" s="236">
        <v>311.08695652173901</v>
      </c>
    </row>
    <row r="13" spans="1:16">
      <c r="A13" s="243" t="s">
        <v>35</v>
      </c>
      <c r="B13" s="237">
        <v>29.187250996015933</v>
      </c>
      <c r="C13" s="238">
        <v>53.220896551724138</v>
      </c>
      <c r="D13" s="238">
        <v>62.31043557168784</v>
      </c>
      <c r="E13" s="238">
        <v>68.212748336358132</v>
      </c>
      <c r="F13" s="238">
        <v>91.631951603145794</v>
      </c>
      <c r="G13" s="238">
        <v>122.10000000000001</v>
      </c>
      <c r="H13" s="238">
        <v>148.47999999999999</v>
      </c>
      <c r="I13" s="238">
        <v>176.70999999999998</v>
      </c>
      <c r="J13" s="238"/>
      <c r="K13" s="238">
        <v>201.08</v>
      </c>
      <c r="L13" s="238">
        <v>237.96999999999997</v>
      </c>
      <c r="M13" s="238">
        <v>252.56</v>
      </c>
      <c r="N13" s="238">
        <v>273.65391304347798</v>
      </c>
      <c r="O13" s="236">
        <v>285.86130434782598</v>
      </c>
      <c r="P13" s="236">
        <v>295.53478260869599</v>
      </c>
    </row>
    <row r="14" spans="1:16">
      <c r="A14" s="243" t="s">
        <v>55</v>
      </c>
      <c r="B14" s="237">
        <v>0.55987261146496814</v>
      </c>
      <c r="C14" s="238">
        <v>3.9789473684210526</v>
      </c>
      <c r="D14" s="238">
        <v>4.5473684210526315</v>
      </c>
      <c r="E14" s="238">
        <v>1.1368421052631579</v>
      </c>
      <c r="F14" s="238">
        <v>14.778947368421052</v>
      </c>
      <c r="G14" s="238">
        <v>87.9</v>
      </c>
      <c r="H14" s="238">
        <v>120.07000000000001</v>
      </c>
      <c r="I14" s="238">
        <v>129.94</v>
      </c>
      <c r="J14" s="238"/>
      <c r="K14" s="238">
        <v>214.12</v>
      </c>
      <c r="L14" s="238">
        <v>251.37</v>
      </c>
      <c r="M14" s="238">
        <v>215.36</v>
      </c>
      <c r="N14" s="238">
        <v>207.903043478261</v>
      </c>
      <c r="O14" s="236">
        <v>221.12391304347801</v>
      </c>
      <c r="P14" s="236">
        <v>229.27695652173901</v>
      </c>
    </row>
    <row r="15" spans="1:16">
      <c r="A15" s="243" t="s">
        <v>36</v>
      </c>
      <c r="B15" s="237">
        <v>71.065161290322578</v>
      </c>
      <c r="C15" s="238">
        <v>78.492160364145661</v>
      </c>
      <c r="D15" s="238">
        <v>104.64838235294118</v>
      </c>
      <c r="E15" s="238">
        <v>104.96674632352941</v>
      </c>
      <c r="F15" s="238">
        <v>113.20026260504201</v>
      </c>
      <c r="G15" s="238">
        <v>122.39</v>
      </c>
      <c r="H15" s="238">
        <v>120.85</v>
      </c>
      <c r="I15" s="238">
        <v>120.48</v>
      </c>
      <c r="J15" s="238"/>
      <c r="K15" s="238">
        <v>154.19</v>
      </c>
      <c r="L15" s="238">
        <v>153.38</v>
      </c>
      <c r="M15" s="238">
        <v>179.7</v>
      </c>
      <c r="N15" s="238">
        <v>185.48478260869601</v>
      </c>
      <c r="O15" s="236">
        <v>196.70130434782601</v>
      </c>
      <c r="P15" s="236">
        <v>189.903043478261</v>
      </c>
    </row>
    <row r="16" spans="1:16">
      <c r="A16" s="243" t="s">
        <v>56</v>
      </c>
      <c r="B16" s="237">
        <v>3</v>
      </c>
      <c r="C16" s="238">
        <v>3</v>
      </c>
      <c r="D16" s="238">
        <v>1</v>
      </c>
      <c r="E16" s="238">
        <v>3</v>
      </c>
      <c r="F16" s="238">
        <v>3</v>
      </c>
      <c r="G16" s="236"/>
      <c r="H16" s="236"/>
      <c r="I16" s="236"/>
      <c r="J16" s="238"/>
      <c r="K16" s="238">
        <v>17.34</v>
      </c>
      <c r="L16" s="238">
        <v>18.47</v>
      </c>
      <c r="M16" s="238">
        <v>25.16</v>
      </c>
      <c r="N16" s="238">
        <v>26.973913043478301</v>
      </c>
      <c r="O16" s="236">
        <v>31.4086956521739</v>
      </c>
      <c r="P16" s="236">
        <v>28.7130434782609</v>
      </c>
    </row>
    <row r="17" spans="1:16">
      <c r="A17" s="243" t="s">
        <v>57</v>
      </c>
      <c r="B17" s="239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8">
        <v>79.62</v>
      </c>
      <c r="N17" s="238">
        <v>79.4673913043478</v>
      </c>
      <c r="O17" s="236">
        <v>88.338260869565204</v>
      </c>
      <c r="P17" s="236">
        <v>107.709565217391</v>
      </c>
    </row>
    <row r="18" spans="1:16">
      <c r="A18" s="243" t="s">
        <v>58</v>
      </c>
      <c r="B18" s="239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8">
        <v>99.739999999999981</v>
      </c>
      <c r="N18" s="238">
        <v>98.931304347826099</v>
      </c>
      <c r="O18" s="236">
        <v>116.124347826087</v>
      </c>
      <c r="P18" s="236">
        <v>131.19478260869599</v>
      </c>
    </row>
    <row r="19" spans="1:16">
      <c r="A19" s="243" t="s">
        <v>37</v>
      </c>
      <c r="B19" s="237">
        <v>64.050555555555562</v>
      </c>
      <c r="C19" s="238">
        <v>63.432481918538258</v>
      </c>
      <c r="D19" s="238">
        <v>75.144141606395124</v>
      </c>
      <c r="E19" s="238">
        <v>75.263129044537493</v>
      </c>
      <c r="F19" s="238">
        <v>87.034282451465543</v>
      </c>
      <c r="G19" s="238">
        <v>104.81</v>
      </c>
      <c r="H19" s="238">
        <v>107.09</v>
      </c>
      <c r="I19" s="238">
        <v>110.2</v>
      </c>
      <c r="J19" s="238"/>
      <c r="K19" s="238">
        <v>147.28</v>
      </c>
      <c r="L19" s="238">
        <v>145.48000000000002</v>
      </c>
      <c r="M19" s="238">
        <v>168.66</v>
      </c>
      <c r="N19" s="238">
        <v>170.446956521739</v>
      </c>
      <c r="O19" s="236">
        <v>175.49608695652199</v>
      </c>
      <c r="P19" s="236">
        <v>186.160434782609</v>
      </c>
    </row>
    <row r="20" spans="1:16">
      <c r="A20" s="243" t="s">
        <v>92</v>
      </c>
      <c r="B20" s="239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8">
        <v>21.83</v>
      </c>
      <c r="N20" s="238">
        <v>19.907391304347801</v>
      </c>
      <c r="O20" s="236">
        <v>20.879565217391299</v>
      </c>
      <c r="P20" s="236">
        <v>21.0378260869565</v>
      </c>
    </row>
    <row r="21" spans="1:16">
      <c r="A21" s="243" t="s">
        <v>38</v>
      </c>
      <c r="B21" s="237"/>
      <c r="C21" s="238"/>
      <c r="D21" s="238">
        <v>117.13810351658084</v>
      </c>
      <c r="E21" s="238">
        <v>128.07932709561652</v>
      </c>
      <c r="F21" s="238">
        <v>136.54868040828691</v>
      </c>
      <c r="G21" s="238">
        <v>146.88</v>
      </c>
      <c r="H21" s="238">
        <v>200.15</v>
      </c>
      <c r="I21" s="238">
        <v>210.33</v>
      </c>
      <c r="J21" s="238"/>
      <c r="K21" s="238">
        <v>198.87</v>
      </c>
      <c r="L21" s="238">
        <v>211.23000000000002</v>
      </c>
      <c r="M21" s="238">
        <v>218.88</v>
      </c>
      <c r="N21" s="238">
        <v>217.10695652173899</v>
      </c>
      <c r="O21" s="236">
        <v>228.97304347826099</v>
      </c>
      <c r="P21" s="236">
        <v>233.60478260869601</v>
      </c>
    </row>
    <row r="22" spans="1:16">
      <c r="A22" s="243" t="s">
        <v>39</v>
      </c>
      <c r="B22" s="237">
        <v>45.516399999999997</v>
      </c>
      <c r="C22" s="238">
        <v>48.508850574712646</v>
      </c>
      <c r="D22" s="238">
        <v>48.508850574712646</v>
      </c>
      <c r="E22" s="238">
        <v>48.45873563218391</v>
      </c>
      <c r="F22" s="238">
        <v>60.190689655172413</v>
      </c>
      <c r="G22" s="238">
        <v>59.89</v>
      </c>
      <c r="H22" s="238">
        <v>72.88</v>
      </c>
      <c r="I22" s="238">
        <v>92.950000000000017</v>
      </c>
      <c r="J22" s="238"/>
      <c r="K22" s="238">
        <v>109.17999999999999</v>
      </c>
      <c r="L22" s="238">
        <v>124.26</v>
      </c>
      <c r="M22" s="238">
        <v>135.92999999999998</v>
      </c>
      <c r="N22" s="238">
        <v>170.48181898846499</v>
      </c>
      <c r="O22" s="236">
        <v>203.10347826086999</v>
      </c>
      <c r="P22" s="236">
        <v>219.04005323868699</v>
      </c>
    </row>
    <row r="23" spans="1:16">
      <c r="A23" s="243" t="s">
        <v>40</v>
      </c>
      <c r="B23" s="237"/>
      <c r="C23" s="238"/>
      <c r="D23" s="238"/>
      <c r="E23" s="238"/>
      <c r="F23" s="238"/>
      <c r="G23" s="238">
        <v>49.46</v>
      </c>
      <c r="H23" s="238">
        <v>43.749999999999993</v>
      </c>
      <c r="I23" s="238">
        <v>56.22</v>
      </c>
      <c r="J23" s="238"/>
      <c r="K23" s="238">
        <v>67.349999999999994</v>
      </c>
      <c r="L23" s="238">
        <v>68.28</v>
      </c>
      <c r="M23" s="238">
        <v>72.44</v>
      </c>
      <c r="N23" s="238">
        <v>71.984347826087003</v>
      </c>
      <c r="O23" s="236">
        <v>73.288695652173899</v>
      </c>
      <c r="P23" s="236">
        <v>69.870434782608697</v>
      </c>
    </row>
    <row r="24" spans="1:16">
      <c r="A24" s="243" t="s">
        <v>41</v>
      </c>
      <c r="B24" s="237">
        <v>26.852054794520548</v>
      </c>
      <c r="C24" s="238">
        <v>62.528252585737619</v>
      </c>
      <c r="D24" s="238">
        <v>74.081083287969506</v>
      </c>
      <c r="E24" s="238">
        <v>149.3196425331156</v>
      </c>
      <c r="F24" s="238">
        <v>242.86369987298133</v>
      </c>
      <c r="G24" s="238">
        <v>272.25</v>
      </c>
      <c r="H24" s="238">
        <v>344.31</v>
      </c>
      <c r="I24" s="238">
        <v>401.78000000000003</v>
      </c>
      <c r="J24" s="238"/>
      <c r="K24" s="238">
        <v>576.57999999999993</v>
      </c>
      <c r="L24" s="238">
        <v>646.77</v>
      </c>
      <c r="M24" s="238">
        <v>638.88</v>
      </c>
      <c r="N24" s="238">
        <v>665.17521739130405</v>
      </c>
      <c r="O24" s="236">
        <v>715.00826086956499</v>
      </c>
      <c r="P24" s="236">
        <v>732.699130434783</v>
      </c>
    </row>
    <row r="25" spans="1:16">
      <c r="A25" s="243" t="s">
        <v>42</v>
      </c>
      <c r="B25" s="237">
        <v>49.434482758620696</v>
      </c>
      <c r="C25" s="238">
        <v>65.91720779220779</v>
      </c>
      <c r="D25" s="238">
        <v>74.186975881261603</v>
      </c>
      <c r="E25" s="238">
        <v>74.13625231910946</v>
      </c>
      <c r="F25" s="238">
        <v>148.19589232196375</v>
      </c>
      <c r="G25" s="238">
        <v>179.20000000000002</v>
      </c>
      <c r="H25" s="238">
        <v>205.84</v>
      </c>
      <c r="I25" s="238">
        <v>216.01000000000002</v>
      </c>
      <c r="J25" s="238"/>
      <c r="K25" s="238">
        <v>316.42</v>
      </c>
      <c r="L25" s="238">
        <v>266.14</v>
      </c>
      <c r="M25" s="238">
        <v>301.01</v>
      </c>
      <c r="N25" s="238">
        <v>316.71608695652202</v>
      </c>
      <c r="O25" s="236">
        <v>355.61</v>
      </c>
      <c r="P25" s="236">
        <v>375.34434782608702</v>
      </c>
    </row>
    <row r="26" spans="1:16">
      <c r="A26" s="243" t="s">
        <v>43</v>
      </c>
      <c r="B26" s="237">
        <v>102.76076086956522</v>
      </c>
      <c r="C26" s="238">
        <v>116.02777777777777</v>
      </c>
      <c r="D26" s="238">
        <v>189.72539682539684</v>
      </c>
      <c r="E26" s="238">
        <v>189.72539682539684</v>
      </c>
      <c r="F26" s="238">
        <v>189.82677248677248</v>
      </c>
      <c r="G26" s="238">
        <v>242.41</v>
      </c>
      <c r="H26" s="238">
        <v>249.54</v>
      </c>
      <c r="I26" s="238">
        <v>221.08000000000004</v>
      </c>
      <c r="J26" s="238"/>
      <c r="K26" s="238">
        <v>210.60000000000002</v>
      </c>
      <c r="L26" s="238">
        <v>208.76999999999998</v>
      </c>
      <c r="M26" s="238">
        <v>209.74</v>
      </c>
      <c r="N26" s="238">
        <v>232.24043478260899</v>
      </c>
      <c r="O26" s="236">
        <v>217.92347826087001</v>
      </c>
      <c r="P26" s="236">
        <v>251.35478260869601</v>
      </c>
    </row>
    <row r="27" spans="1:16">
      <c r="A27" s="243" t="s">
        <v>59</v>
      </c>
      <c r="B27" s="239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8">
        <v>168.940434782609</v>
      </c>
      <c r="O27" s="236">
        <v>199.878260869565</v>
      </c>
      <c r="P27" s="236">
        <v>233.38173913043499</v>
      </c>
    </row>
    <row r="28" spans="1:16">
      <c r="A28" s="243" t="s">
        <v>44</v>
      </c>
      <c r="B28" s="237">
        <v>207.31792993630572</v>
      </c>
      <c r="C28" s="238">
        <v>219.42247104247105</v>
      </c>
      <c r="D28" s="238">
        <v>227.89395553188655</v>
      </c>
      <c r="E28" s="238">
        <v>260.40204766342697</v>
      </c>
      <c r="F28" s="238">
        <v>272.73789553099897</v>
      </c>
      <c r="G28" s="238">
        <v>284.27</v>
      </c>
      <c r="H28" s="238">
        <v>321.15999999999997</v>
      </c>
      <c r="I28" s="238">
        <v>390.01</v>
      </c>
      <c r="J28" s="238"/>
      <c r="K28" s="238">
        <v>652.74</v>
      </c>
      <c r="L28" s="238">
        <v>683.46</v>
      </c>
      <c r="M28" s="238">
        <v>705.47</v>
      </c>
      <c r="N28" s="238">
        <v>792.63391304347795</v>
      </c>
      <c r="O28" s="236">
        <v>924.94</v>
      </c>
      <c r="P28" s="236">
        <v>745.23565217391297</v>
      </c>
    </row>
    <row r="29" spans="1:16">
      <c r="A29" s="243" t="s">
        <v>45</v>
      </c>
      <c r="B29" s="237">
        <v>114.55252173913046</v>
      </c>
      <c r="C29" s="238">
        <v>189.95788096795292</v>
      </c>
      <c r="D29" s="238">
        <v>204.73505746052507</v>
      </c>
      <c r="E29" s="238">
        <v>271.84670279360927</v>
      </c>
      <c r="F29" s="238">
        <v>286.03607026067459</v>
      </c>
      <c r="G29" s="238">
        <v>302.84000000000003</v>
      </c>
      <c r="H29" s="238">
        <v>369.57</v>
      </c>
      <c r="I29" s="238">
        <v>404.4</v>
      </c>
      <c r="J29" s="238"/>
      <c r="K29" s="238">
        <v>579.49</v>
      </c>
      <c r="L29" s="238">
        <v>576.06000000000006</v>
      </c>
      <c r="M29" s="238">
        <v>623.22</v>
      </c>
      <c r="N29" s="238">
        <v>666.38</v>
      </c>
      <c r="O29" s="236">
        <v>684.89391304347805</v>
      </c>
      <c r="P29" s="236">
        <v>793.03304347826099</v>
      </c>
    </row>
    <row r="30" spans="1:16">
      <c r="A30" s="243" t="s">
        <v>46</v>
      </c>
      <c r="B30" s="237">
        <v>33.478918918918922</v>
      </c>
      <c r="C30" s="238">
        <v>35.246746031746028</v>
      </c>
      <c r="D30" s="238">
        <v>42.484226190476193</v>
      </c>
      <c r="E30" s="238">
        <v>59.548204365079371</v>
      </c>
      <c r="F30" s="238">
        <v>68.288313492063494</v>
      </c>
      <c r="G30" s="238">
        <v>77.42</v>
      </c>
      <c r="H30" s="238">
        <v>86.34</v>
      </c>
      <c r="I30" s="238">
        <v>97.08</v>
      </c>
      <c r="J30" s="238"/>
      <c r="K30" s="238">
        <v>147.19</v>
      </c>
      <c r="L30" s="238">
        <v>141.13</v>
      </c>
      <c r="M30" s="238">
        <v>142.81</v>
      </c>
      <c r="N30" s="238">
        <v>148.43608695652199</v>
      </c>
      <c r="O30" s="236">
        <v>164.24565217391299</v>
      </c>
      <c r="P30" s="236">
        <v>174.36043478260899</v>
      </c>
    </row>
    <row r="31" spans="1:16">
      <c r="A31" s="243" t="s">
        <v>47</v>
      </c>
      <c r="B31" s="237">
        <v>81.166666666666657</v>
      </c>
      <c r="C31" s="238">
        <v>89.946366344005952</v>
      </c>
      <c r="D31" s="238">
        <v>89.946366344005952</v>
      </c>
      <c r="E31" s="238">
        <v>100.20460163812359</v>
      </c>
      <c r="F31" s="238">
        <v>100.76223566641846</v>
      </c>
      <c r="G31" s="238">
        <v>121.75</v>
      </c>
      <c r="H31" s="238">
        <v>196.53</v>
      </c>
      <c r="I31" s="238">
        <v>192.5</v>
      </c>
      <c r="J31" s="238"/>
      <c r="K31" s="238">
        <v>192</v>
      </c>
      <c r="L31" s="238">
        <v>224.95</v>
      </c>
      <c r="M31" s="238">
        <v>248.11999999999998</v>
      </c>
      <c r="N31" s="238">
        <v>252.93521739130401</v>
      </c>
      <c r="O31" s="236">
        <v>285.16956521739098</v>
      </c>
      <c r="P31" s="236">
        <v>290.139130434783</v>
      </c>
    </row>
    <row r="32" spans="1:16">
      <c r="A32" s="243" t="s">
        <v>48</v>
      </c>
      <c r="B32" s="237">
        <v>53.883076923076928</v>
      </c>
      <c r="C32" s="238">
        <v>50.810256410256414</v>
      </c>
      <c r="D32" s="238">
        <v>54.268717948717949</v>
      </c>
      <c r="E32" s="238">
        <v>63.776410256410259</v>
      </c>
      <c r="F32" s="238">
        <v>63.824615384615385</v>
      </c>
      <c r="G32" s="238">
        <v>63.680000000000007</v>
      </c>
      <c r="H32" s="238">
        <v>64.17</v>
      </c>
      <c r="I32" s="238">
        <v>62.67</v>
      </c>
      <c r="J32" s="238"/>
      <c r="K32" s="238">
        <v>68.5</v>
      </c>
      <c r="L32" s="238">
        <v>94.79</v>
      </c>
      <c r="M32" s="238">
        <v>122.03999999999999</v>
      </c>
      <c r="N32" s="238">
        <v>114.00564330079899</v>
      </c>
      <c r="O32" s="236">
        <v>132</v>
      </c>
      <c r="P32" s="236">
        <v>200.34782608695701</v>
      </c>
    </row>
    <row r="33" spans="1:16">
      <c r="A33" s="243" t="s">
        <v>49</v>
      </c>
      <c r="B33" s="237">
        <v>98.548870292887045</v>
      </c>
      <c r="C33" s="238">
        <v>158.09666428995843</v>
      </c>
      <c r="D33" s="238">
        <v>166.30318657159836</v>
      </c>
      <c r="E33" s="238">
        <v>166.53611348781939</v>
      </c>
      <c r="F33" s="238">
        <v>164.67905644682114</v>
      </c>
      <c r="G33" s="238">
        <v>186.93</v>
      </c>
      <c r="H33" s="238">
        <v>202.64</v>
      </c>
      <c r="I33" s="238">
        <v>211.45</v>
      </c>
      <c r="J33" s="238"/>
      <c r="K33" s="238">
        <v>226.06999999999996</v>
      </c>
      <c r="L33" s="238">
        <v>258.49000000000007</v>
      </c>
      <c r="M33" s="238">
        <v>299.44</v>
      </c>
      <c r="N33" s="238">
        <v>293.39</v>
      </c>
      <c r="O33" s="236">
        <v>302.17478260869598</v>
      </c>
      <c r="P33" s="236">
        <v>322.45999999999998</v>
      </c>
    </row>
    <row r="34" spans="1:16">
      <c r="A34" s="243" t="s">
        <v>60</v>
      </c>
      <c r="B34" s="239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8">
        <v>279.04173913043502</v>
      </c>
      <c r="O34" s="236">
        <v>280.829130434783</v>
      </c>
      <c r="P34" s="236">
        <v>294.57347826086999</v>
      </c>
    </row>
    <row r="35" spans="1:16">
      <c r="A35" s="243" t="s">
        <v>50</v>
      </c>
      <c r="B35" s="237">
        <v>1843.6898590686274</v>
      </c>
      <c r="C35" s="238">
        <v>1966.7177441522399</v>
      </c>
      <c r="D35" s="238">
        <v>2060.8818663020602</v>
      </c>
      <c r="E35" s="238">
        <v>2110.8002872797879</v>
      </c>
      <c r="F35" s="238">
        <v>2172.5275541063929</v>
      </c>
      <c r="G35" s="238">
        <v>2367.35</v>
      </c>
      <c r="H35" s="238">
        <v>2386.73</v>
      </c>
      <c r="I35" s="238">
        <v>2483.37</v>
      </c>
      <c r="J35" s="238"/>
      <c r="K35" s="238">
        <v>2527.0499999999997</v>
      </c>
      <c r="L35" s="238">
        <v>2524.4700000000003</v>
      </c>
      <c r="M35" s="238">
        <v>2691.01</v>
      </c>
      <c r="N35" s="238">
        <v>2901.7669565217402</v>
      </c>
      <c r="O35" s="236">
        <v>3159.3508695652199</v>
      </c>
      <c r="P35" s="236">
        <v>3284.20652173913</v>
      </c>
    </row>
    <row r="36" spans="1:16">
      <c r="A36" s="243" t="s">
        <v>51</v>
      </c>
      <c r="B36" s="237">
        <v>202.6092795389049</v>
      </c>
      <c r="C36" s="238">
        <v>243.94793178180848</v>
      </c>
      <c r="D36" s="238">
        <v>237.1719521872499</v>
      </c>
      <c r="E36" s="238">
        <v>257.66141804481197</v>
      </c>
      <c r="F36" s="238">
        <v>257.80558782341956</v>
      </c>
      <c r="G36" s="238">
        <v>301.74</v>
      </c>
      <c r="H36" s="238">
        <v>267.18</v>
      </c>
      <c r="I36" s="238">
        <v>266.61</v>
      </c>
      <c r="J36" s="238"/>
      <c r="K36" s="238">
        <v>370.28999999999996</v>
      </c>
      <c r="L36" s="238">
        <v>433.88</v>
      </c>
      <c r="M36" s="238">
        <v>443.63</v>
      </c>
      <c r="N36" s="238"/>
      <c r="O36" s="236"/>
      <c r="P36" s="236"/>
    </row>
    <row r="37" spans="1:16">
      <c r="A37" s="243" t="s">
        <v>52</v>
      </c>
      <c r="B37" s="237">
        <v>11.429846153846153</v>
      </c>
      <c r="C37" s="238">
        <v>12.292465437788017</v>
      </c>
      <c r="D37" s="238">
        <v>12.292465437788017</v>
      </c>
      <c r="E37" s="238">
        <v>18.243087557603683</v>
      </c>
      <c r="F37" s="238">
        <v>24.779723502304144</v>
      </c>
      <c r="G37" s="238">
        <v>33.769999999999996</v>
      </c>
      <c r="H37" s="238">
        <v>42.48</v>
      </c>
      <c r="I37" s="238">
        <v>44.550000000000004</v>
      </c>
      <c r="J37" s="238"/>
      <c r="K37" s="238">
        <v>49.43</v>
      </c>
      <c r="L37" s="238">
        <v>62.559999999999995</v>
      </c>
      <c r="M37" s="238">
        <v>63.499999999999993</v>
      </c>
      <c r="N37" s="238">
        <v>62.513913043478297</v>
      </c>
      <c r="O37" s="236">
        <v>63.024782608695702</v>
      </c>
      <c r="P37" s="236">
        <v>80.191304347826105</v>
      </c>
    </row>
    <row r="38" spans="1:16">
      <c r="A38" s="243" t="s">
        <v>53</v>
      </c>
      <c r="B38" s="237">
        <v>15.60980769230769</v>
      </c>
      <c r="C38" s="238">
        <v>19.731324863883849</v>
      </c>
      <c r="D38" s="238">
        <v>26.425852994555353</v>
      </c>
      <c r="E38" s="238">
        <v>17.981406533575317</v>
      </c>
      <c r="F38" s="238">
        <v>21.922976406533575</v>
      </c>
      <c r="G38" s="238">
        <v>27.99</v>
      </c>
      <c r="H38" s="238">
        <v>25.58</v>
      </c>
      <c r="I38" s="238">
        <v>29.650000000000002</v>
      </c>
      <c r="J38" s="238"/>
      <c r="K38" s="238">
        <v>26.11</v>
      </c>
      <c r="L38" s="238">
        <v>27.96</v>
      </c>
      <c r="M38" s="238">
        <v>29.78</v>
      </c>
      <c r="N38" s="238">
        <v>33.316956521739101</v>
      </c>
      <c r="O38" s="236">
        <v>33.558260869565203</v>
      </c>
      <c r="P38" s="236">
        <v>32.82</v>
      </c>
    </row>
    <row r="39" spans="1:16" ht="15.75" thickBot="1">
      <c r="A39" s="243" t="s">
        <v>84</v>
      </c>
      <c r="B39" s="237">
        <v>175.26270396270399</v>
      </c>
      <c r="C39" s="238">
        <v>149.60104203423407</v>
      </c>
      <c r="D39" s="238">
        <v>181.35405866633653</v>
      </c>
      <c r="E39" s="238">
        <v>212.23533847153868</v>
      </c>
      <c r="F39" s="238">
        <v>240.10840978735257</v>
      </c>
      <c r="G39" s="238">
        <v>290.3</v>
      </c>
      <c r="H39" s="238">
        <v>282.44</v>
      </c>
      <c r="I39" s="238">
        <v>281.82000000000005</v>
      </c>
      <c r="J39" s="238"/>
      <c r="K39" s="238">
        <v>380.12</v>
      </c>
      <c r="L39" s="238">
        <v>418.81</v>
      </c>
      <c r="M39" s="238">
        <v>440.35</v>
      </c>
      <c r="N39" s="238">
        <v>468.708225377107</v>
      </c>
      <c r="O39" s="236">
        <v>572.48478260869604</v>
      </c>
      <c r="P39" s="236">
        <v>601.84937000887305</v>
      </c>
    </row>
    <row r="40" spans="1:16" s="44" customFormat="1" ht="15.75" thickTop="1">
      <c r="A40" s="244" t="s">
        <v>83</v>
      </c>
      <c r="B40" s="240">
        <v>3666.108566420337</v>
      </c>
      <c r="C40" s="110">
        <v>4205.1683936550762</v>
      </c>
      <c r="D40" s="110">
        <v>4787.499570656295</v>
      </c>
      <c r="E40" s="110">
        <v>5278.011218825759</v>
      </c>
      <c r="F40" s="110">
        <v>5690.5922569019276</v>
      </c>
      <c r="G40" s="110">
        <v>6583.74</v>
      </c>
      <c r="H40" s="110">
        <v>7198.7599999999993</v>
      </c>
      <c r="I40" s="110">
        <v>7761.1299999999992</v>
      </c>
      <c r="J40" s="110"/>
      <c r="K40" s="110">
        <v>9255.9</v>
      </c>
      <c r="L40" s="110">
        <v>9819.49</v>
      </c>
      <c r="M40" s="110">
        <v>10699.730000000001</v>
      </c>
      <c r="N40" s="110">
        <v>11332.9144010648</v>
      </c>
      <c r="O40" s="110">
        <v>12384.7573913043</v>
      </c>
      <c r="P40" s="110">
        <v>13013.261850893899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66E5C-C642-4A2C-A6AE-E0490CE01DB3}">
  <sheetPr codeName="Feuil4"/>
  <dimension ref="A1:O40"/>
  <sheetViews>
    <sheetView topLeftCell="A6" workbookViewId="0">
      <selection activeCell="I25" sqref="I25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5" s="42" customFormat="1" ht="57" customHeight="1"/>
    <row r="2" spans="1:15" s="42" customFormat="1" ht="16.5"/>
    <row r="3" spans="1:15" ht="16.5">
      <c r="A3" s="372" t="s">
        <v>70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</row>
    <row r="4" spans="1:15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5">
      <c r="A5" s="251" t="s">
        <v>54</v>
      </c>
      <c r="B5" s="252" t="s">
        <v>19</v>
      </c>
      <c r="C5" s="253" t="s">
        <v>20</v>
      </c>
      <c r="D5" s="253" t="s">
        <v>21</v>
      </c>
      <c r="E5" s="253" t="s">
        <v>22</v>
      </c>
      <c r="F5" s="253" t="s">
        <v>134</v>
      </c>
      <c r="G5" s="253" t="s">
        <v>120</v>
      </c>
      <c r="H5" s="253">
        <v>2017</v>
      </c>
      <c r="I5" s="251">
        <v>2018</v>
      </c>
      <c r="J5" s="251">
        <v>2019</v>
      </c>
      <c r="K5" s="251">
        <v>2020</v>
      </c>
      <c r="L5" s="251">
        <v>2021</v>
      </c>
      <c r="M5" s="251">
        <v>2022</v>
      </c>
      <c r="N5" s="251">
        <v>2023</v>
      </c>
      <c r="O5" s="251">
        <v>2024</v>
      </c>
    </row>
    <row r="6" spans="1:15">
      <c r="A6" s="254" t="s">
        <v>16</v>
      </c>
      <c r="B6" s="255">
        <v>4.968793641399432</v>
      </c>
      <c r="C6" s="254">
        <v>5.6727002414585854</v>
      </c>
      <c r="D6" s="254">
        <v>6.4676355206485718</v>
      </c>
      <c r="E6" s="254">
        <v>6.4901971402845495</v>
      </c>
      <c r="F6" s="254">
        <v>8.1990140587913078</v>
      </c>
      <c r="G6" s="254">
        <v>9.0913752060062265</v>
      </c>
      <c r="H6" s="254">
        <v>9.6027598896044175</v>
      </c>
      <c r="I6" s="254"/>
      <c r="J6" s="254">
        <v>10.217423133235725</v>
      </c>
      <c r="K6" s="254">
        <v>10.822719765094513</v>
      </c>
      <c r="L6" s="254">
        <v>12.992935358530556</v>
      </c>
      <c r="M6" s="254">
        <v>13.7118478642124</v>
      </c>
      <c r="N6" s="254">
        <v>14.86</v>
      </c>
      <c r="O6" s="254">
        <v>15.12</v>
      </c>
    </row>
    <row r="7" spans="1:15">
      <c r="A7" s="254" t="s">
        <v>30</v>
      </c>
      <c r="B7" s="255">
        <v>1.7223799126637556</v>
      </c>
      <c r="C7" s="254">
        <v>2.9135734072022164</v>
      </c>
      <c r="D7" s="254">
        <v>2.8550488599348536</v>
      </c>
      <c r="E7" s="254">
        <v>3.2323837501449502</v>
      </c>
      <c r="F7" s="254">
        <v>5.7784120394395426</v>
      </c>
      <c r="G7" s="254">
        <v>6.5799086757990874</v>
      </c>
      <c r="H7" s="254">
        <v>7.8338414634146352</v>
      </c>
      <c r="I7" s="254"/>
      <c r="J7" s="254">
        <v>12.912784935579783</v>
      </c>
      <c r="K7" s="254">
        <v>14.211155378486056</v>
      </c>
      <c r="L7" s="254">
        <v>15.221719457013574</v>
      </c>
      <c r="M7" s="254">
        <v>17.341831324258202</v>
      </c>
      <c r="N7" s="254">
        <v>20.239999999999998</v>
      </c>
      <c r="O7" s="254">
        <v>20.46</v>
      </c>
    </row>
    <row r="8" spans="1:15">
      <c r="A8" s="254" t="s">
        <v>31</v>
      </c>
      <c r="B8" s="255">
        <v>0</v>
      </c>
      <c r="C8" s="254">
        <v>0</v>
      </c>
      <c r="D8" s="254">
        <v>0</v>
      </c>
      <c r="E8" s="254">
        <v>0</v>
      </c>
      <c r="F8" s="254">
        <v>0.52886734244160416</v>
      </c>
      <c r="G8" s="254">
        <v>1.0182435299109036</v>
      </c>
      <c r="H8" s="254">
        <v>3.3215474209650582</v>
      </c>
      <c r="I8" s="254"/>
      <c r="J8" s="254">
        <v>4.7658175842235</v>
      </c>
      <c r="K8" s="254">
        <v>6.1622060016220601</v>
      </c>
      <c r="L8" s="254">
        <v>8.3696599825632081</v>
      </c>
      <c r="M8" s="254">
        <v>9.0643052599574396</v>
      </c>
      <c r="N8" s="254">
        <v>9.8000000000000007</v>
      </c>
      <c r="O8" s="254">
        <v>12.61</v>
      </c>
    </row>
    <row r="9" spans="1:15">
      <c r="A9" s="254" t="s">
        <v>32</v>
      </c>
      <c r="B9" s="255">
        <v>1.8680512264398665</v>
      </c>
      <c r="C9" s="254">
        <v>4.9668209938536938</v>
      </c>
      <c r="D9" s="254">
        <v>6.2714777331642866</v>
      </c>
      <c r="E9" s="254">
        <v>6.5429874707184466</v>
      </c>
      <c r="F9" s="254">
        <v>8.4447236180904515</v>
      </c>
      <c r="G9" s="254">
        <v>10.730337078651687</v>
      </c>
      <c r="H9" s="254">
        <v>10.842073170731707</v>
      </c>
      <c r="I9" s="254"/>
      <c r="J9" s="254">
        <v>12.963009404388714</v>
      </c>
      <c r="K9" s="254">
        <v>13.440656565656568</v>
      </c>
      <c r="L9" s="254">
        <v>15.283678756476682</v>
      </c>
      <c r="M9" s="254">
        <v>16.213099398286399</v>
      </c>
      <c r="N9" s="254">
        <v>17.61</v>
      </c>
      <c r="O9" s="254">
        <v>17.16</v>
      </c>
    </row>
    <row r="10" spans="1:15">
      <c r="A10" s="254" t="s">
        <v>33</v>
      </c>
      <c r="B10" s="255">
        <v>2.8170706914344685</v>
      </c>
      <c r="C10" s="254">
        <v>5.4118443821973239</v>
      </c>
      <c r="D10" s="254">
        <v>8.8834441971383153</v>
      </c>
      <c r="E10" s="254">
        <v>7.982418314255983</v>
      </c>
      <c r="F10" s="254">
        <v>7.751014198782963</v>
      </c>
      <c r="G10" s="254">
        <v>7.5608674223755541</v>
      </c>
      <c r="H10" s="254">
        <v>10.143531633616618</v>
      </c>
      <c r="I10" s="254"/>
      <c r="J10" s="254">
        <v>10.553546592489568</v>
      </c>
      <c r="K10" s="254">
        <v>12.97237827715356</v>
      </c>
      <c r="L10" s="254">
        <v>13.056398104265407</v>
      </c>
      <c r="M10" s="254">
        <v>13.148148914595501</v>
      </c>
      <c r="N10" s="254">
        <v>13.82</v>
      </c>
      <c r="O10" s="254">
        <v>14.5</v>
      </c>
    </row>
    <row r="11" spans="1:15">
      <c r="A11" s="254" t="s">
        <v>89</v>
      </c>
      <c r="B11" s="255">
        <v>9.6385962053892573</v>
      </c>
      <c r="C11" s="254">
        <v>10.27833120339035</v>
      </c>
      <c r="D11" s="254">
        <v>10.468316064171269</v>
      </c>
      <c r="E11" s="254">
        <v>9.4058256376463323</v>
      </c>
      <c r="F11" s="254">
        <v>9.7742090124640466</v>
      </c>
      <c r="G11" s="254">
        <v>11.485822306238186</v>
      </c>
      <c r="H11" s="254">
        <v>12.791386271870794</v>
      </c>
      <c r="I11" s="254"/>
      <c r="J11" s="254">
        <v>11.878202247191009</v>
      </c>
      <c r="K11" s="254">
        <v>13.46578366445916</v>
      </c>
      <c r="L11" s="254">
        <v>14.775381850853547</v>
      </c>
      <c r="M11" s="254">
        <v>16.294254300763001</v>
      </c>
      <c r="N11" s="254">
        <v>17.97</v>
      </c>
      <c r="O11" s="254">
        <v>19.690000000000001</v>
      </c>
    </row>
    <row r="12" spans="1:15">
      <c r="A12" s="254" t="s">
        <v>34</v>
      </c>
      <c r="B12" s="255">
        <v>0.88866376590161755</v>
      </c>
      <c r="C12" s="254">
        <v>0.8742196856369514</v>
      </c>
      <c r="D12" s="254">
        <v>2.1542196566875265</v>
      </c>
      <c r="E12" s="254">
        <v>2.8387231573075264</v>
      </c>
      <c r="F12" s="254">
        <v>2.7639453269301808</v>
      </c>
      <c r="G12" s="254">
        <v>4.3956912028725315</v>
      </c>
      <c r="H12" s="254">
        <v>4.5319602272727275</v>
      </c>
      <c r="I12" s="254"/>
      <c r="J12" s="254">
        <v>6.6462988826815641</v>
      </c>
      <c r="K12" s="254">
        <v>7.2623308598865126</v>
      </c>
      <c r="L12" s="254">
        <v>8.5504273504273502</v>
      </c>
      <c r="M12" s="254">
        <v>8.4202898550724701</v>
      </c>
      <c r="N12" s="254">
        <v>8.76</v>
      </c>
      <c r="O12" s="254">
        <v>12.41</v>
      </c>
    </row>
    <row r="13" spans="1:15">
      <c r="A13" s="254" t="s">
        <v>35</v>
      </c>
      <c r="B13" s="255">
        <v>3.9335474169788718</v>
      </c>
      <c r="C13" s="254">
        <v>4.4066786118591121</v>
      </c>
      <c r="D13" s="254">
        <v>4.7337091142510852</v>
      </c>
      <c r="E13" s="254">
        <v>5.2331211652282006</v>
      </c>
      <c r="F13" s="254">
        <v>6.9256948383437322</v>
      </c>
      <c r="G13" s="254">
        <v>8.3839638622247321</v>
      </c>
      <c r="H13" s="254">
        <v>9.7683803206191264</v>
      </c>
      <c r="I13" s="254"/>
      <c r="J13" s="254">
        <v>10.707135250266242</v>
      </c>
      <c r="K13" s="254">
        <v>12.38137356919875</v>
      </c>
      <c r="L13" s="254">
        <v>12.794326241134751</v>
      </c>
      <c r="M13" s="254">
        <v>13.6553848824091</v>
      </c>
      <c r="N13" s="254">
        <v>14.17</v>
      </c>
      <c r="O13" s="254">
        <v>14.33</v>
      </c>
    </row>
    <row r="14" spans="1:15">
      <c r="A14" s="254" t="s">
        <v>55</v>
      </c>
      <c r="B14" s="255">
        <v>0.12948087759261478</v>
      </c>
      <c r="C14" s="254">
        <v>0.14408645187112268</v>
      </c>
      <c r="D14" s="254">
        <v>3.4481107226665392E-2</v>
      </c>
      <c r="E14" s="254">
        <v>0.42189401565575368</v>
      </c>
      <c r="F14" s="254">
        <v>2.4587412587412589</v>
      </c>
      <c r="G14" s="254">
        <v>3.1984549813532235</v>
      </c>
      <c r="H14" s="254">
        <v>3.3724370620295874</v>
      </c>
      <c r="I14" s="254"/>
      <c r="J14" s="254">
        <v>5.2895256916996054</v>
      </c>
      <c r="K14" s="254">
        <v>6.102694828841952</v>
      </c>
      <c r="L14" s="254">
        <v>6.8087258931394254</v>
      </c>
      <c r="M14" s="254">
        <v>6.6507691451778896</v>
      </c>
      <c r="N14" s="254">
        <v>6.67</v>
      </c>
      <c r="O14" s="254">
        <v>6.65</v>
      </c>
    </row>
    <row r="15" spans="1:15">
      <c r="A15" s="254" t="s">
        <v>36</v>
      </c>
      <c r="B15" s="255">
        <v>8.5132494971958419</v>
      </c>
      <c r="C15" s="254">
        <v>11.48719894104733</v>
      </c>
      <c r="D15" s="254">
        <v>11.585733589793533</v>
      </c>
      <c r="E15" s="254">
        <v>12.805459570706109</v>
      </c>
      <c r="F15" s="254">
        <v>13.553709856035438</v>
      </c>
      <c r="G15" s="254">
        <v>13.398004434589799</v>
      </c>
      <c r="H15" s="254">
        <v>13.138495092693567</v>
      </c>
      <c r="I15" s="254"/>
      <c r="J15" s="254">
        <v>16.490909090909089</v>
      </c>
      <c r="K15" s="254">
        <v>16.265111346765639</v>
      </c>
      <c r="L15" s="254">
        <v>19.219251336898395</v>
      </c>
      <c r="M15" s="254">
        <v>20.5182281646787</v>
      </c>
      <c r="N15" s="254">
        <v>21.98</v>
      </c>
      <c r="O15" s="254">
        <v>21.83</v>
      </c>
    </row>
    <row r="16" spans="1:15">
      <c r="A16" s="254" t="s">
        <v>56</v>
      </c>
      <c r="B16" s="255">
        <v>0.8595988538681949</v>
      </c>
      <c r="C16" s="254">
        <v>0.29154518950437319</v>
      </c>
      <c r="D16" s="254">
        <v>0.84745762711864403</v>
      </c>
      <c r="E16" s="254">
        <v>0.79365079365079361</v>
      </c>
      <c r="F16" s="254">
        <v>0</v>
      </c>
      <c r="G16" s="254">
        <v>0</v>
      </c>
      <c r="H16" s="254">
        <v>0</v>
      </c>
      <c r="I16" s="254"/>
      <c r="J16" s="254">
        <v>4.0232018561484919</v>
      </c>
      <c r="K16" s="254">
        <v>4.2557603686635943</v>
      </c>
      <c r="L16" s="254">
        <v>5.8375870069605567</v>
      </c>
      <c r="M16" s="254">
        <v>6.3023161316538001</v>
      </c>
      <c r="N16" s="254">
        <v>7.34</v>
      </c>
      <c r="O16" s="254">
        <v>6.85</v>
      </c>
    </row>
    <row r="17" spans="1:15">
      <c r="A17" s="254" t="s">
        <v>57</v>
      </c>
      <c r="B17" s="255"/>
      <c r="C17" s="254"/>
      <c r="D17" s="254"/>
      <c r="E17" s="254"/>
      <c r="F17" s="254"/>
      <c r="G17" s="254"/>
      <c r="H17" s="254"/>
      <c r="I17" s="254"/>
      <c r="J17" s="254"/>
      <c r="K17" s="254"/>
      <c r="L17" s="254">
        <v>7.9145129224652093</v>
      </c>
      <c r="M17" s="254">
        <v>7.5683229813664603</v>
      </c>
      <c r="N17" s="254">
        <v>8.18</v>
      </c>
      <c r="O17" s="254">
        <v>9.9700000000000006</v>
      </c>
    </row>
    <row r="18" spans="1:15">
      <c r="A18" s="254" t="s">
        <v>58</v>
      </c>
      <c r="B18" s="255"/>
      <c r="C18" s="254"/>
      <c r="D18" s="254"/>
      <c r="E18" s="254"/>
      <c r="F18" s="254"/>
      <c r="G18" s="254"/>
      <c r="H18" s="254"/>
      <c r="I18" s="254"/>
      <c r="J18" s="254"/>
      <c r="K18" s="254"/>
      <c r="L18" s="254">
        <v>12.705732484076432</v>
      </c>
      <c r="M18" s="254">
        <v>12.8149357963505</v>
      </c>
      <c r="N18" s="254">
        <v>14.77</v>
      </c>
      <c r="O18" s="254">
        <v>16.59</v>
      </c>
    </row>
    <row r="19" spans="1:15">
      <c r="A19" s="254" t="s">
        <v>37</v>
      </c>
      <c r="B19" s="255">
        <v>7.4802455092615876</v>
      </c>
      <c r="C19" s="254">
        <v>8.8093952645246336</v>
      </c>
      <c r="D19" s="254">
        <v>8.5429204363833708</v>
      </c>
      <c r="E19" s="254">
        <v>9.6704758279406153</v>
      </c>
      <c r="F19" s="254">
        <v>11.697544642857142</v>
      </c>
      <c r="G19" s="254">
        <v>11.404685835995741</v>
      </c>
      <c r="H19" s="254">
        <v>11.63674762407603</v>
      </c>
      <c r="I19" s="254"/>
      <c r="J19" s="254">
        <v>15.684771033013845</v>
      </c>
      <c r="K19" s="254">
        <v>15.830250272034824</v>
      </c>
      <c r="L19" s="254">
        <v>18.452954048140043</v>
      </c>
      <c r="M19" s="254">
        <v>19.346987119380199</v>
      </c>
      <c r="N19" s="254">
        <v>19.43</v>
      </c>
      <c r="O19" s="254">
        <v>21.32</v>
      </c>
    </row>
    <row r="20" spans="1:15">
      <c r="A20" s="256" t="s">
        <v>92</v>
      </c>
      <c r="B20" s="255"/>
      <c r="C20" s="254"/>
      <c r="D20" s="254"/>
      <c r="E20" s="254"/>
      <c r="F20" s="254"/>
      <c r="G20" s="254"/>
      <c r="H20" s="254"/>
      <c r="I20" s="254"/>
      <c r="J20" s="254"/>
      <c r="K20" s="254"/>
      <c r="L20" s="254">
        <v>15.705035971223019</v>
      </c>
      <c r="M20" s="254">
        <v>14.1187172371261</v>
      </c>
      <c r="N20" s="254">
        <v>14.4</v>
      </c>
      <c r="O20" s="254">
        <v>13.66</v>
      </c>
    </row>
    <row r="21" spans="1:15">
      <c r="A21" s="256" t="s">
        <v>38</v>
      </c>
      <c r="B21" s="255">
        <v>0</v>
      </c>
      <c r="C21" s="254">
        <v>9.6093604197359177</v>
      </c>
      <c r="D21" s="254">
        <v>10.80838203338536</v>
      </c>
      <c r="E21" s="254">
        <v>11.730986289371728</v>
      </c>
      <c r="F21" s="254">
        <v>12.906854130052722</v>
      </c>
      <c r="G21" s="254">
        <v>17.743794326241137</v>
      </c>
      <c r="H21" s="254">
        <v>18.531277533039649</v>
      </c>
      <c r="I21" s="254"/>
      <c r="J21" s="254">
        <v>19.012428298279161</v>
      </c>
      <c r="K21" s="254">
        <v>20.174785100286535</v>
      </c>
      <c r="L21" s="254">
        <v>20.727272727272727</v>
      </c>
      <c r="M21" s="254">
        <v>20.462484120804799</v>
      </c>
      <c r="N21" s="254">
        <v>21.22</v>
      </c>
      <c r="O21" s="254">
        <v>20.93</v>
      </c>
    </row>
    <row r="22" spans="1:15">
      <c r="A22" s="254" t="s">
        <v>39</v>
      </c>
      <c r="B22" s="255">
        <v>6.5287820423570189</v>
      </c>
      <c r="C22" s="254">
        <v>6.7186773649186486</v>
      </c>
      <c r="D22" s="254">
        <v>6.5930252560794429</v>
      </c>
      <c r="E22" s="254">
        <v>7.9302621416564438</v>
      </c>
      <c r="F22" s="254">
        <v>7.6390306122448983</v>
      </c>
      <c r="G22" s="254">
        <v>9.2487309644670042</v>
      </c>
      <c r="H22" s="254">
        <v>11.026097271648876</v>
      </c>
      <c r="I22" s="254"/>
      <c r="J22" s="254">
        <v>12.449258836944127</v>
      </c>
      <c r="K22" s="254">
        <v>13.40453074433657</v>
      </c>
      <c r="L22" s="254">
        <v>13.365781710914451</v>
      </c>
      <c r="M22" s="254">
        <v>16.392482595044701</v>
      </c>
      <c r="N22" s="254">
        <v>18.95</v>
      </c>
      <c r="O22" s="254">
        <v>18.850000000000001</v>
      </c>
    </row>
    <row r="23" spans="1:15">
      <c r="A23" s="254" t="s">
        <v>40</v>
      </c>
      <c r="B23" s="255"/>
      <c r="C23" s="254"/>
      <c r="D23" s="254"/>
      <c r="E23" s="254"/>
      <c r="F23" s="254">
        <v>15.701587301587303</v>
      </c>
      <c r="G23" s="254">
        <v>13.217522658610271</v>
      </c>
      <c r="H23" s="254">
        <v>16.732142857142858</v>
      </c>
      <c r="I23" s="254"/>
      <c r="J23" s="254">
        <v>18.708333333333332</v>
      </c>
      <c r="K23" s="254">
        <v>18.35483870967742</v>
      </c>
      <c r="L23" s="254">
        <v>18.718346253229974</v>
      </c>
      <c r="M23" s="254">
        <v>20.051350369383599</v>
      </c>
      <c r="N23" s="254">
        <v>20.41</v>
      </c>
      <c r="O23" s="254">
        <v>20.61</v>
      </c>
    </row>
    <row r="24" spans="1:15">
      <c r="A24" s="254" t="s">
        <v>41</v>
      </c>
      <c r="B24" s="255">
        <v>1.7335251617892327</v>
      </c>
      <c r="C24" s="254">
        <v>2.0103414732149121</v>
      </c>
      <c r="D24" s="254">
        <v>3.9408720647430879</v>
      </c>
      <c r="E24" s="254">
        <v>6.0458974327354076</v>
      </c>
      <c r="F24" s="254">
        <v>6.6289262235208186</v>
      </c>
      <c r="G24" s="254">
        <v>8.0976011288805267</v>
      </c>
      <c r="H24" s="254">
        <v>9.2024736601007788</v>
      </c>
      <c r="I24" s="254"/>
      <c r="J24" s="254">
        <v>12.674873598593095</v>
      </c>
      <c r="K24" s="254">
        <v>13.811018577834721</v>
      </c>
      <c r="L24" s="254">
        <v>13.46427818756586</v>
      </c>
      <c r="M24" s="254">
        <v>13.840516383506101</v>
      </c>
      <c r="N24" s="254">
        <v>14.87</v>
      </c>
      <c r="O24" s="254">
        <v>15.01</v>
      </c>
    </row>
    <row r="25" spans="1:15">
      <c r="A25" s="254" t="s">
        <v>42</v>
      </c>
      <c r="B25" s="255">
        <v>1.9398825130137667</v>
      </c>
      <c r="C25" s="254">
        <v>2.1559714002110315</v>
      </c>
      <c r="D25" s="254">
        <v>2.1389570778739024</v>
      </c>
      <c r="E25" s="254">
        <v>4.1383940888568489</v>
      </c>
      <c r="F25" s="254">
        <v>4.8004286096972955</v>
      </c>
      <c r="G25" s="254">
        <v>5.4832179009057009</v>
      </c>
      <c r="H25" s="254">
        <v>5.6019190871369302</v>
      </c>
      <c r="I25" s="254"/>
      <c r="J25" s="254">
        <v>7.801282051282052</v>
      </c>
      <c r="K25" s="254">
        <v>6.5246383917626867</v>
      </c>
      <c r="L25" s="254">
        <v>7.2392977392977382</v>
      </c>
      <c r="M25" s="254">
        <v>7.4398892872098203</v>
      </c>
      <c r="N25" s="254">
        <v>7.98</v>
      </c>
      <c r="O25" s="254">
        <v>8.23</v>
      </c>
    </row>
    <row r="26" spans="1:15">
      <c r="A26" s="254" t="s">
        <v>43</v>
      </c>
      <c r="B26" s="255">
        <v>14.485365515328061</v>
      </c>
      <c r="C26" s="254">
        <v>23.024926799198646</v>
      </c>
      <c r="D26" s="254">
        <v>23.686067019400355</v>
      </c>
      <c r="E26" s="254">
        <v>23.093281324424879</v>
      </c>
      <c r="F26" s="254">
        <v>27.895281933256616</v>
      </c>
      <c r="G26" s="254">
        <v>29.016279069767442</v>
      </c>
      <c r="H26" s="254">
        <v>25.558381502890175</v>
      </c>
      <c r="I26" s="254"/>
      <c r="J26" s="254">
        <v>24.488372093023258</v>
      </c>
      <c r="K26" s="254">
        <v>24.303841676367867</v>
      </c>
      <c r="L26" s="254">
        <v>24.080367393800231</v>
      </c>
      <c r="M26" s="254">
        <v>26.3012949923679</v>
      </c>
      <c r="N26" s="254">
        <v>25.11</v>
      </c>
      <c r="O26" s="254">
        <v>28.05</v>
      </c>
    </row>
    <row r="27" spans="1:15">
      <c r="A27" s="254" t="s">
        <v>59</v>
      </c>
      <c r="B27" s="255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>
        <v>9.2065632034119194</v>
      </c>
      <c r="N27" s="254">
        <v>10.53</v>
      </c>
      <c r="O27" s="254">
        <v>12.28</v>
      </c>
    </row>
    <row r="28" spans="1:15">
      <c r="A28" s="254" t="s">
        <v>44</v>
      </c>
      <c r="B28" s="255">
        <v>14.276022839458102</v>
      </c>
      <c r="C28" s="254">
        <v>14.953671622827203</v>
      </c>
      <c r="D28" s="254">
        <v>17.019741677348168</v>
      </c>
      <c r="E28" s="254">
        <v>16.599993641570236</v>
      </c>
      <c r="F28" s="254">
        <v>16.941001191895111</v>
      </c>
      <c r="G28" s="254">
        <v>18.759345794392519</v>
      </c>
      <c r="H28" s="254">
        <v>22.084371460928651</v>
      </c>
      <c r="I28" s="254"/>
      <c r="J28" s="254">
        <v>35.610474631751224</v>
      </c>
      <c r="K28" s="254">
        <v>36.028465998945705</v>
      </c>
      <c r="L28" s="254">
        <v>36.781543274244008</v>
      </c>
      <c r="M28" s="254">
        <v>40.174045263227498</v>
      </c>
      <c r="N28" s="254">
        <v>46.27</v>
      </c>
      <c r="O28" s="254">
        <v>37</v>
      </c>
    </row>
    <row r="29" spans="1:15">
      <c r="A29" s="254" t="s">
        <v>45</v>
      </c>
      <c r="B29" s="255">
        <v>7.601355781030529</v>
      </c>
      <c r="C29" s="254">
        <v>8.325947843046972</v>
      </c>
      <c r="D29" s="254">
        <v>11.095783787494256</v>
      </c>
      <c r="E29" s="254">
        <v>11.903290481093407</v>
      </c>
      <c r="F29" s="254">
        <v>12.255766895993526</v>
      </c>
      <c r="G29" s="254">
        <v>14.630641330166272</v>
      </c>
      <c r="H29" s="254">
        <v>15.547866205305652</v>
      </c>
      <c r="I29" s="254"/>
      <c r="J29" s="254">
        <v>21.558407738095241</v>
      </c>
      <c r="K29" s="254">
        <v>20.985792349726779</v>
      </c>
      <c r="L29" s="254">
        <v>22.02190812720848</v>
      </c>
      <c r="M29" s="254">
        <v>23.672468916518699</v>
      </c>
      <c r="N29" s="254">
        <v>23.47</v>
      </c>
      <c r="O29" s="254">
        <v>26.49</v>
      </c>
    </row>
    <row r="30" spans="1:15">
      <c r="A30" s="254" t="s">
        <v>46</v>
      </c>
      <c r="B30" s="255">
        <v>4.4729373136733539</v>
      </c>
      <c r="C30" s="254">
        <v>5.1309451920864966</v>
      </c>
      <c r="D30" s="254">
        <v>6.2616408375477786</v>
      </c>
      <c r="E30" s="254">
        <v>6.6949326953003432</v>
      </c>
      <c r="F30" s="254">
        <v>7.3245033112582778</v>
      </c>
      <c r="G30" s="254">
        <v>8.0842696629213489</v>
      </c>
      <c r="H30" s="254">
        <v>9.2281368821292773</v>
      </c>
      <c r="I30" s="254"/>
      <c r="J30" s="254">
        <v>13.442009132420091</v>
      </c>
      <c r="K30" s="254">
        <v>12.668761220825854</v>
      </c>
      <c r="L30" s="254">
        <v>13.309412861136998</v>
      </c>
      <c r="M30" s="254">
        <v>14.3555209822555</v>
      </c>
      <c r="N30" s="254">
        <v>15.79</v>
      </c>
      <c r="O30" s="254">
        <v>17.18</v>
      </c>
    </row>
    <row r="31" spans="1:15">
      <c r="A31" s="254" t="s">
        <v>47</v>
      </c>
      <c r="B31" s="255">
        <v>3.2169658921318298</v>
      </c>
      <c r="C31" s="254">
        <v>3.1134083192802335</v>
      </c>
      <c r="D31" s="254">
        <v>3.3910186679568048</v>
      </c>
      <c r="E31" s="254">
        <v>3.2630257663995619</v>
      </c>
      <c r="F31" s="254">
        <v>3.8910194950463404</v>
      </c>
      <c r="G31" s="254">
        <v>6.0958436724565761</v>
      </c>
      <c r="H31" s="254">
        <v>5.8368708308065491</v>
      </c>
      <c r="I31" s="254"/>
      <c r="J31" s="254">
        <v>5.7210965435041716</v>
      </c>
      <c r="K31" s="254">
        <v>7.0406885758998436</v>
      </c>
      <c r="L31" s="254">
        <v>8.0558441558441558</v>
      </c>
      <c r="M31" s="254">
        <v>8.2631563995852506</v>
      </c>
      <c r="N31" s="254">
        <v>9.2799999999999994</v>
      </c>
      <c r="O31" s="254">
        <v>9.61</v>
      </c>
    </row>
    <row r="32" spans="1:15">
      <c r="A32" s="254" t="s">
        <v>48</v>
      </c>
      <c r="B32" s="255">
        <v>2.9958877600387037</v>
      </c>
      <c r="C32" s="254">
        <v>3.2092677675173236</v>
      </c>
      <c r="D32" s="254">
        <v>3.8166612960149768</v>
      </c>
      <c r="E32" s="254">
        <v>3.6079488628951597</v>
      </c>
      <c r="F32" s="254">
        <v>3.5795390668915128</v>
      </c>
      <c r="G32" s="254">
        <v>3.5316455696202529</v>
      </c>
      <c r="H32" s="254">
        <v>3.3621244635193137</v>
      </c>
      <c r="I32" s="254"/>
      <c r="J32" s="254">
        <v>3.6670235546038543</v>
      </c>
      <c r="K32" s="254">
        <v>4.9863229879011053</v>
      </c>
      <c r="L32" s="254">
        <v>6.3200414293112379</v>
      </c>
      <c r="M32" s="254">
        <v>5.8344750921596003</v>
      </c>
      <c r="N32" s="254">
        <v>6.51</v>
      </c>
      <c r="O32" s="254">
        <v>9.92</v>
      </c>
    </row>
    <row r="33" spans="1:15">
      <c r="A33" s="254" t="s">
        <v>49</v>
      </c>
      <c r="B33" s="255">
        <v>6.5600275638986902</v>
      </c>
      <c r="C33" s="254">
        <v>7.0081410270374356</v>
      </c>
      <c r="D33" s="254">
        <v>7.0896600037385866</v>
      </c>
      <c r="E33" s="254">
        <v>6.9309367191423039</v>
      </c>
      <c r="F33" s="254">
        <v>7.8542016806722694</v>
      </c>
      <c r="G33" s="254">
        <v>8.6783725910064238</v>
      </c>
      <c r="H33" s="254">
        <v>9.1457612456747395</v>
      </c>
      <c r="I33" s="254"/>
      <c r="J33" s="254">
        <v>9.632296548785682</v>
      </c>
      <c r="K33" s="254">
        <v>10.838155136268346</v>
      </c>
      <c r="L33" s="254">
        <v>12.445552784704903</v>
      </c>
      <c r="M33" s="254">
        <v>12.1688096225633</v>
      </c>
      <c r="N33" s="254">
        <v>12.66</v>
      </c>
      <c r="O33" s="254">
        <v>12.92</v>
      </c>
    </row>
    <row r="34" spans="1:15">
      <c r="A34" s="254" t="s">
        <v>60</v>
      </c>
      <c r="B34" s="255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>
        <v>18.131367065005499</v>
      </c>
      <c r="N34" s="254">
        <v>18.010000000000002</v>
      </c>
      <c r="O34" s="254">
        <v>18.98</v>
      </c>
    </row>
    <row r="35" spans="1:15">
      <c r="A35" s="254" t="s">
        <v>50</v>
      </c>
      <c r="B35" s="255">
        <v>20.639287901692096</v>
      </c>
      <c r="C35" s="254">
        <v>21.471992772474056</v>
      </c>
      <c r="D35" s="254">
        <v>21.912179874180296</v>
      </c>
      <c r="E35" s="254">
        <v>21.729621465357003</v>
      </c>
      <c r="F35" s="254">
        <v>23.448395404120443</v>
      </c>
      <c r="G35" s="254">
        <v>23.374106355890707</v>
      </c>
      <c r="H35" s="254">
        <v>24.213826053042119</v>
      </c>
      <c r="I35" s="254"/>
      <c r="J35" s="254">
        <v>24.149942660550455</v>
      </c>
      <c r="K35" s="254">
        <v>24.106856378915204</v>
      </c>
      <c r="L35" s="254">
        <v>25.331921302833475</v>
      </c>
      <c r="M35" s="254">
        <v>27.083880497682799</v>
      </c>
      <c r="N35" s="254">
        <v>28.99</v>
      </c>
      <c r="O35" s="254">
        <v>30</v>
      </c>
    </row>
    <row r="36" spans="1:15">
      <c r="A36" s="254" t="s">
        <v>51</v>
      </c>
      <c r="B36" s="255">
        <v>7.6472705887714252</v>
      </c>
      <c r="C36" s="254">
        <v>7.4069941345174861</v>
      </c>
      <c r="D36" s="254">
        <v>8.0771604402762378</v>
      </c>
      <c r="E36" s="254">
        <v>8.0943669646285574</v>
      </c>
      <c r="F36" s="254">
        <v>9.3129629629629633</v>
      </c>
      <c r="G36" s="254">
        <v>8.0767835550181388</v>
      </c>
      <c r="H36" s="254">
        <v>8.0015006002400959</v>
      </c>
      <c r="I36" s="254"/>
      <c r="J36" s="254">
        <v>10.997623997623997</v>
      </c>
      <c r="K36" s="254">
        <v>12.86332641565372</v>
      </c>
      <c r="L36" s="254">
        <v>13.40271903323263</v>
      </c>
      <c r="M36" s="257"/>
      <c r="N36" s="257"/>
      <c r="O36" s="254"/>
    </row>
    <row r="37" spans="1:15">
      <c r="A37" s="254" t="s">
        <v>52</v>
      </c>
      <c r="B37" s="255">
        <v>3.2955671414981276</v>
      </c>
      <c r="C37" s="254">
        <v>3.2606009118801107</v>
      </c>
      <c r="D37" s="254">
        <v>4.2924911900243963</v>
      </c>
      <c r="E37" s="254">
        <v>5.3868964135443793</v>
      </c>
      <c r="F37" s="254">
        <v>6.8638211382113816</v>
      </c>
      <c r="G37" s="254">
        <v>8.1849710982658959</v>
      </c>
      <c r="H37" s="254">
        <v>8.3583489681050676</v>
      </c>
      <c r="I37" s="254"/>
      <c r="J37" s="254">
        <v>8.493127147766323</v>
      </c>
      <c r="K37" s="254">
        <v>10.057877813504824</v>
      </c>
      <c r="L37" s="254">
        <v>9.8145285935085003</v>
      </c>
      <c r="M37" s="254">
        <v>9.4718050065876191</v>
      </c>
      <c r="N37" s="254">
        <v>9.65</v>
      </c>
      <c r="O37" s="254">
        <v>12</v>
      </c>
    </row>
    <row r="38" spans="1:15">
      <c r="A38" s="254" t="s">
        <v>53</v>
      </c>
      <c r="B38" s="255">
        <v>5.3910723671813789</v>
      </c>
      <c r="C38" s="254">
        <v>6.9541718406724611</v>
      </c>
      <c r="D38" s="254">
        <v>4.484141280193346</v>
      </c>
      <c r="E38" s="254">
        <v>5.2954049291143903</v>
      </c>
      <c r="F38" s="254">
        <v>6.3613636363636354</v>
      </c>
      <c r="G38" s="254">
        <v>5.3402922755741118</v>
      </c>
      <c r="H38" s="254">
        <v>6.0633946830265852</v>
      </c>
      <c r="I38" s="254"/>
      <c r="J38" s="254">
        <v>5.4395833333333332</v>
      </c>
      <c r="K38" s="254">
        <v>6.2133333333333329</v>
      </c>
      <c r="L38" s="254">
        <v>6.4598698481561829</v>
      </c>
      <c r="M38" s="254">
        <v>7.9515409359759301</v>
      </c>
      <c r="N38" s="254">
        <v>7.88</v>
      </c>
      <c r="O38" s="254">
        <v>7.95</v>
      </c>
    </row>
    <row r="39" spans="1:15" ht="15.75" thickBot="1">
      <c r="A39" s="254" t="s">
        <v>84</v>
      </c>
      <c r="B39" s="255">
        <v>4.7750093212331333</v>
      </c>
      <c r="C39" s="254">
        <v>5.6059987222978833</v>
      </c>
      <c r="D39" s="254">
        <v>6.5303181068165754</v>
      </c>
      <c r="E39" s="254">
        <v>7.3293165380754752</v>
      </c>
      <c r="F39" s="254">
        <v>8.7518842327404283</v>
      </c>
      <c r="G39" s="254">
        <v>8.3291064582718946</v>
      </c>
      <c r="H39" s="254">
        <v>8.2235191129267591</v>
      </c>
      <c r="I39" s="254"/>
      <c r="J39" s="254">
        <v>10.919850617638611</v>
      </c>
      <c r="K39" s="254">
        <v>12.125361899247251</v>
      </c>
      <c r="L39" s="254">
        <v>12.577834904313054</v>
      </c>
      <c r="M39" s="254">
        <v>13.3345156579547</v>
      </c>
      <c r="N39" s="254">
        <v>16.170000000000002</v>
      </c>
      <c r="O39" s="254">
        <v>16.440000000000001</v>
      </c>
    </row>
    <row r="40" spans="1:15" ht="15.75" thickTop="1">
      <c r="A40" s="258" t="s">
        <v>83</v>
      </c>
      <c r="B40" s="259">
        <v>6.8123060371220596</v>
      </c>
      <c r="C40" s="104">
        <v>7.70586461926393</v>
      </c>
      <c r="D40" s="104">
        <v>8.4048779700077372</v>
      </c>
      <c r="E40" s="104">
        <v>8.7216151806242852</v>
      </c>
      <c r="F40" s="104">
        <v>9.8880194644278561</v>
      </c>
      <c r="G40" s="104">
        <v>10.61873644771584</v>
      </c>
      <c r="H40" s="104">
        <v>11.268101107771827</v>
      </c>
      <c r="I40" s="104"/>
      <c r="J40" s="104">
        <v>13.143865379153652</v>
      </c>
      <c r="K40" s="104">
        <v>13.855050583437981</v>
      </c>
      <c r="L40" s="104">
        <v>14.95921762715656</v>
      </c>
      <c r="M40" s="104">
        <v>15.7515349989781</v>
      </c>
      <c r="N40" s="104">
        <v>16.93</v>
      </c>
      <c r="O40" s="104">
        <v>17.600000000000001</v>
      </c>
    </row>
  </sheetData>
  <mergeCells count="2">
    <mergeCell ref="A3:N3"/>
    <mergeCell ref="A4:D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9B643-CA94-4184-B6B6-1A33703571B5}">
  <sheetPr codeName="Feuil5">
    <pageSetUpPr fitToPage="1"/>
  </sheetPr>
  <dimension ref="A1:M44"/>
  <sheetViews>
    <sheetView topLeftCell="A3" zoomScaleNormal="100" workbookViewId="0">
      <selection activeCell="H38" sqref="H38"/>
    </sheetView>
  </sheetViews>
  <sheetFormatPr baseColWidth="10" defaultColWidth="11.42578125" defaultRowHeight="16.5"/>
  <cols>
    <col min="1" max="1" width="30.140625" style="42" customWidth="1"/>
    <col min="2" max="5" width="12.85546875" style="42" customWidth="1"/>
    <col min="6" max="6" width="16.28515625" style="42" customWidth="1"/>
    <col min="7" max="7" width="4.28515625" style="42" customWidth="1"/>
    <col min="8" max="8" width="11.7109375" style="42" customWidth="1"/>
    <col min="9" max="16384" width="11.42578125" style="42"/>
  </cols>
  <sheetData>
    <row r="1" spans="1:13" ht="57" customHeight="1"/>
    <row r="3" spans="1:13" ht="33.950000000000003" customHeight="1">
      <c r="A3" s="373" t="s">
        <v>130</v>
      </c>
      <c r="B3" s="373"/>
      <c r="C3" s="373"/>
      <c r="D3" s="373"/>
      <c r="E3" s="373"/>
      <c r="F3" s="373"/>
    </row>
    <row r="4" spans="1:13">
      <c r="A4" s="42" t="s">
        <v>64</v>
      </c>
    </row>
    <row r="5" spans="1:13" s="52" customFormat="1" ht="16.5" customHeight="1">
      <c r="A5" s="245"/>
      <c r="B5" s="246" t="s">
        <v>4</v>
      </c>
      <c r="C5" s="246" t="s">
        <v>6</v>
      </c>
      <c r="D5" s="246" t="s">
        <v>7</v>
      </c>
      <c r="E5" s="246" t="s">
        <v>5</v>
      </c>
      <c r="F5" s="246" t="s">
        <v>71</v>
      </c>
    </row>
    <row r="6" spans="1:13">
      <c r="A6" s="12" t="s">
        <v>16</v>
      </c>
      <c r="B6" s="247">
        <v>23.2456628828443</v>
      </c>
      <c r="C6" s="247">
        <v>22.970310559006201</v>
      </c>
      <c r="D6" s="247">
        <v>13.0181028240406</v>
      </c>
      <c r="E6" s="247">
        <v>1.58126721763085</v>
      </c>
      <c r="F6" s="247">
        <v>15.115762599775501</v>
      </c>
      <c r="G6" s="52"/>
      <c r="H6" s="53"/>
      <c r="I6" s="53"/>
      <c r="J6" s="53"/>
      <c r="K6" s="53"/>
      <c r="L6" s="53"/>
      <c r="M6" s="53"/>
    </row>
    <row r="7" spans="1:13">
      <c r="A7" s="12" t="s">
        <v>30</v>
      </c>
      <c r="B7" s="247">
        <v>24.822292490118599</v>
      </c>
      <c r="C7" s="247">
        <v>25.249208728968899</v>
      </c>
      <c r="D7" s="247">
        <v>24.2025782688766</v>
      </c>
      <c r="E7" s="247">
        <v>7.3497164461247602</v>
      </c>
      <c r="F7" s="247">
        <v>20.4581846203764</v>
      </c>
      <c r="G7" s="52"/>
      <c r="H7" s="53"/>
      <c r="I7" s="53"/>
      <c r="J7" s="53"/>
      <c r="K7" s="53"/>
      <c r="L7" s="53"/>
      <c r="M7" s="53"/>
    </row>
    <row r="8" spans="1:13">
      <c r="A8" s="12" t="s">
        <v>31</v>
      </c>
      <c r="B8" s="247">
        <v>21.050029356324</v>
      </c>
      <c r="C8" s="247">
        <v>17.9335414759</v>
      </c>
      <c r="D8" s="247">
        <v>11.785095320623901</v>
      </c>
      <c r="E8" s="247">
        <v>0.16339869281045999</v>
      </c>
      <c r="F8" s="247">
        <v>12.6071131859002</v>
      </c>
      <c r="G8" s="52"/>
      <c r="H8" s="53"/>
      <c r="I8" s="53"/>
      <c r="J8" s="53"/>
      <c r="K8" s="53"/>
      <c r="L8" s="53"/>
      <c r="M8" s="53"/>
    </row>
    <row r="9" spans="1:13">
      <c r="A9" s="12" t="s">
        <v>32</v>
      </c>
      <c r="B9" s="247">
        <v>27.7005452257794</v>
      </c>
      <c r="C9" s="247">
        <v>27.5659801678108</v>
      </c>
      <c r="D9" s="247">
        <v>17.834224598930501</v>
      </c>
      <c r="E9" s="247">
        <v>0</v>
      </c>
      <c r="F9" s="247">
        <v>17.161413043478301</v>
      </c>
      <c r="G9" s="52"/>
      <c r="H9" s="53"/>
      <c r="I9" s="53"/>
      <c r="J9" s="53"/>
      <c r="K9" s="53"/>
      <c r="L9" s="53"/>
      <c r="M9" s="53"/>
    </row>
    <row r="10" spans="1:13" ht="16.5" customHeight="1">
      <c r="A10" s="12" t="s">
        <v>33</v>
      </c>
      <c r="B10" s="247">
        <v>20.054292523026199</v>
      </c>
      <c r="C10" s="247">
        <v>19.471167048054902</v>
      </c>
      <c r="D10" s="247">
        <v>17.2264150943396</v>
      </c>
      <c r="E10" s="247">
        <v>1.5485008818342201</v>
      </c>
      <c r="F10" s="247">
        <v>14.500466286661499</v>
      </c>
      <c r="G10" s="52"/>
      <c r="H10" s="53"/>
      <c r="I10" s="53"/>
      <c r="J10" s="53"/>
      <c r="K10" s="53"/>
      <c r="L10" s="53"/>
      <c r="M10" s="53"/>
    </row>
    <row r="11" spans="1:13">
      <c r="A11" s="12" t="s">
        <v>89</v>
      </c>
      <c r="B11" s="247">
        <v>30.557905138339901</v>
      </c>
      <c r="C11" s="247">
        <v>25.745736987769</v>
      </c>
      <c r="D11" s="247">
        <v>27.371024734982299</v>
      </c>
      <c r="E11" s="247">
        <v>0.68031496062992003</v>
      </c>
      <c r="F11" s="247">
        <v>19.693445570447899</v>
      </c>
      <c r="G11" s="52"/>
      <c r="H11" s="53"/>
      <c r="I11" s="53"/>
      <c r="J11" s="53"/>
      <c r="K11" s="53"/>
      <c r="L11" s="53"/>
      <c r="M11" s="53"/>
    </row>
    <row r="12" spans="1:13">
      <c r="A12" s="12" t="s">
        <v>34</v>
      </c>
      <c r="B12" s="247">
        <v>21.149904845557</v>
      </c>
      <c r="C12" s="247">
        <v>16.327687383302202</v>
      </c>
      <c r="D12" s="247">
        <v>11.8243243243243</v>
      </c>
      <c r="E12" s="247">
        <v>1.3473053892215601</v>
      </c>
      <c r="F12" s="247">
        <v>12.4136854158715</v>
      </c>
      <c r="G12" s="52"/>
      <c r="H12" s="53"/>
      <c r="I12" s="53"/>
      <c r="J12" s="53"/>
      <c r="K12" s="53"/>
      <c r="L12" s="53"/>
      <c r="M12" s="53"/>
    </row>
    <row r="13" spans="1:13">
      <c r="A13" s="12" t="s">
        <v>35</v>
      </c>
      <c r="B13" s="247">
        <v>19</v>
      </c>
      <c r="C13" s="247">
        <v>18.740595994137799</v>
      </c>
      <c r="D13" s="247">
        <v>18.252390057361399</v>
      </c>
      <c r="E13" s="247">
        <v>0.69879518072289004</v>
      </c>
      <c r="F13" s="247">
        <v>14.3254863116188</v>
      </c>
      <c r="G13" s="52"/>
      <c r="H13" s="53"/>
      <c r="I13" s="53"/>
      <c r="J13" s="53"/>
      <c r="K13" s="53"/>
      <c r="L13" s="53"/>
      <c r="M13" s="53"/>
    </row>
    <row r="14" spans="1:13">
      <c r="A14" s="12" t="s">
        <v>55</v>
      </c>
      <c r="B14" s="247">
        <v>7.60794602698651</v>
      </c>
      <c r="C14" s="247">
        <v>7.5312385823894799</v>
      </c>
      <c r="D14" s="247">
        <v>6.9818181818181797</v>
      </c>
      <c r="E14" s="247">
        <v>4.4375</v>
      </c>
      <c r="F14" s="247">
        <v>6.6457088846880898</v>
      </c>
      <c r="G14" s="52"/>
      <c r="H14" s="53"/>
      <c r="I14" s="53"/>
      <c r="J14" s="53"/>
      <c r="K14" s="53"/>
      <c r="L14" s="53"/>
      <c r="M14" s="53"/>
    </row>
    <row r="15" spans="1:13">
      <c r="A15" s="12" t="s">
        <v>36</v>
      </c>
      <c r="B15" s="247">
        <v>26.653870625662801</v>
      </c>
      <c r="C15" s="247">
        <v>26.5965621840243</v>
      </c>
      <c r="D15" s="247">
        <v>24.935185185185201</v>
      </c>
      <c r="E15" s="247">
        <v>10.350427350427401</v>
      </c>
      <c r="F15" s="247">
        <v>21.827936031983999</v>
      </c>
      <c r="G15" s="52"/>
      <c r="H15" s="53"/>
      <c r="I15" s="53"/>
      <c r="J15" s="53"/>
      <c r="K15" s="53"/>
      <c r="L15" s="53"/>
      <c r="M15" s="53"/>
    </row>
    <row r="16" spans="1:13">
      <c r="A16" s="12" t="s">
        <v>56</v>
      </c>
      <c r="B16" s="247">
        <v>10.886287625418101</v>
      </c>
      <c r="C16" s="247">
        <v>10.1086956521739</v>
      </c>
      <c r="D16" s="247">
        <v>7.8070175438596499</v>
      </c>
      <c r="E16" s="247">
        <v>0</v>
      </c>
      <c r="F16" s="247">
        <v>6.8527550067448404</v>
      </c>
      <c r="G16" s="52"/>
      <c r="H16" s="53"/>
      <c r="I16" s="53"/>
      <c r="J16" s="53"/>
      <c r="K16" s="53"/>
      <c r="L16" s="53"/>
      <c r="M16" s="53"/>
    </row>
    <row r="17" spans="1:13">
      <c r="A17" s="12" t="s">
        <v>57</v>
      </c>
      <c r="B17" s="247">
        <v>11.175125584618099</v>
      </c>
      <c r="C17" s="247">
        <v>11.5307692307692</v>
      </c>
      <c r="D17" s="247">
        <v>12.5810810810811</v>
      </c>
      <c r="E17" s="247">
        <v>4.5567765567765601</v>
      </c>
      <c r="F17" s="247">
        <v>9.9731078904992003</v>
      </c>
      <c r="G17" s="52"/>
      <c r="H17" s="53"/>
      <c r="I17" s="53"/>
      <c r="J17" s="53"/>
      <c r="K17" s="53"/>
      <c r="L17" s="53"/>
      <c r="M17" s="53"/>
    </row>
    <row r="18" spans="1:13">
      <c r="A18" s="12" t="s">
        <v>58</v>
      </c>
      <c r="B18" s="247">
        <v>20.8610816542948</v>
      </c>
      <c r="C18" s="247">
        <v>20.247139588100701</v>
      </c>
      <c r="D18" s="247">
        <v>18.3045685279188</v>
      </c>
      <c r="E18" s="247">
        <v>6.9849246231155799</v>
      </c>
      <c r="F18" s="247">
        <v>16.585939647117002</v>
      </c>
      <c r="G18" s="52"/>
      <c r="H18" s="53"/>
      <c r="I18" s="53"/>
      <c r="J18" s="53"/>
      <c r="K18" s="53"/>
      <c r="L18" s="53"/>
      <c r="M18" s="53"/>
    </row>
    <row r="19" spans="1:13">
      <c r="A19" s="12" t="s">
        <v>37</v>
      </c>
      <c r="B19" s="247">
        <v>26.173222912353399</v>
      </c>
      <c r="C19" s="247">
        <v>28.0155865463495</v>
      </c>
      <c r="D19" s="247">
        <v>28.139344262295101</v>
      </c>
      <c r="E19" s="247">
        <v>3.7894736842105301</v>
      </c>
      <c r="F19" s="247">
        <v>21.3242193336322</v>
      </c>
      <c r="G19" s="52"/>
      <c r="H19" s="53"/>
      <c r="I19" s="53"/>
      <c r="J19" s="53"/>
      <c r="K19" s="53"/>
      <c r="L19" s="53"/>
      <c r="M19" s="53"/>
    </row>
    <row r="20" spans="1:13">
      <c r="A20" s="12" t="s">
        <v>92</v>
      </c>
      <c r="B20" s="247">
        <v>11.7917087967644</v>
      </c>
      <c r="C20" s="247">
        <v>13.4405034324943</v>
      </c>
      <c r="D20" s="247">
        <v>15.0810810810811</v>
      </c>
      <c r="E20" s="247">
        <v>14.6666666666667</v>
      </c>
      <c r="F20" s="247">
        <v>13.6609260304913</v>
      </c>
      <c r="G20" s="52"/>
      <c r="H20" s="53"/>
      <c r="I20" s="53"/>
      <c r="J20" s="53"/>
      <c r="K20" s="53"/>
      <c r="L20" s="53"/>
      <c r="M20" s="53"/>
    </row>
    <row r="21" spans="1:13">
      <c r="A21" s="12" t="s">
        <v>38</v>
      </c>
      <c r="B21" s="247">
        <v>19.471451021477201</v>
      </c>
      <c r="C21" s="247">
        <v>20.5214329454991</v>
      </c>
      <c r="D21" s="247">
        <v>28.784565916398702</v>
      </c>
      <c r="E21" s="247">
        <v>13.7205882352941</v>
      </c>
      <c r="F21" s="247">
        <v>20.932328190743299</v>
      </c>
      <c r="G21" s="52"/>
      <c r="H21" s="53"/>
      <c r="I21" s="53"/>
      <c r="J21" s="53"/>
      <c r="K21" s="53"/>
      <c r="L21" s="53"/>
      <c r="M21" s="53"/>
    </row>
    <row r="22" spans="1:13">
      <c r="A22" s="12" t="s">
        <v>39</v>
      </c>
      <c r="B22" s="247">
        <v>25.149669135747502</v>
      </c>
      <c r="C22" s="247">
        <v>25.200195722074699</v>
      </c>
      <c r="D22" s="247">
        <v>16.8333333333333</v>
      </c>
      <c r="E22" s="247">
        <v>5.9701492537313401</v>
      </c>
      <c r="F22" s="247">
        <v>18.850262757202</v>
      </c>
      <c r="G22" s="52"/>
      <c r="H22" s="53"/>
      <c r="I22" s="53"/>
      <c r="J22" s="53"/>
      <c r="K22" s="53"/>
      <c r="L22" s="53"/>
      <c r="M22" s="53"/>
    </row>
    <row r="23" spans="1:13">
      <c r="A23" s="12" t="s">
        <v>40</v>
      </c>
      <c r="B23" s="247">
        <v>28.9987397605545</v>
      </c>
      <c r="C23" s="247">
        <v>21.210224558050601</v>
      </c>
      <c r="D23" s="247">
        <v>17.168539325842701</v>
      </c>
      <c r="E23" s="247">
        <v>16.977777777777799</v>
      </c>
      <c r="F23" s="247">
        <v>20.610747723483399</v>
      </c>
      <c r="G23" s="52"/>
      <c r="H23" s="53"/>
      <c r="I23" s="53"/>
      <c r="J23" s="53"/>
      <c r="K23" s="53"/>
      <c r="L23" s="53"/>
      <c r="M23" s="53"/>
    </row>
    <row r="24" spans="1:13">
      <c r="A24" s="12" t="s">
        <v>41</v>
      </c>
      <c r="B24" s="247">
        <v>21.152285970416902</v>
      </c>
      <c r="C24" s="247">
        <v>19.421371758747402</v>
      </c>
      <c r="D24" s="247">
        <v>18.813033359193199</v>
      </c>
      <c r="E24" s="247">
        <v>0.59785301403798996</v>
      </c>
      <c r="F24" s="247">
        <v>15.005101995387699</v>
      </c>
      <c r="G24" s="52"/>
      <c r="H24" s="53"/>
      <c r="I24" s="53"/>
      <c r="J24" s="53"/>
      <c r="K24" s="53"/>
      <c r="L24" s="53"/>
      <c r="M24" s="53"/>
    </row>
    <row r="25" spans="1:13">
      <c r="A25" s="12" t="s">
        <v>42</v>
      </c>
      <c r="B25" s="247">
        <v>13.954237555135499</v>
      </c>
      <c r="C25" s="247">
        <v>11.1169467259438</v>
      </c>
      <c r="D25" s="247">
        <v>7.29652715939448</v>
      </c>
      <c r="E25" s="247">
        <v>0.93967714528461999</v>
      </c>
      <c r="F25" s="247">
        <v>8.2348474731480295</v>
      </c>
      <c r="G25" s="52"/>
      <c r="H25" s="53"/>
      <c r="I25" s="53"/>
      <c r="J25" s="53"/>
      <c r="K25" s="53"/>
      <c r="L25" s="53"/>
      <c r="M25" s="53"/>
    </row>
    <row r="26" spans="1:13">
      <c r="A26" s="12" t="s">
        <v>43</v>
      </c>
      <c r="B26" s="247">
        <v>33.337108190091001</v>
      </c>
      <c r="C26" s="247">
        <v>39.649122807017498</v>
      </c>
      <c r="D26" s="247">
        <v>40.767123287671197</v>
      </c>
      <c r="E26" s="247">
        <v>0</v>
      </c>
      <c r="F26" s="247">
        <v>28.052989130434799</v>
      </c>
      <c r="G26" s="52"/>
      <c r="H26" s="53"/>
      <c r="I26" s="53"/>
      <c r="J26" s="53"/>
      <c r="K26" s="53"/>
      <c r="L26" s="53"/>
      <c r="M26" s="53"/>
    </row>
    <row r="27" spans="1:13">
      <c r="A27" s="12" t="s">
        <v>59</v>
      </c>
      <c r="B27" s="247">
        <v>17.8875102543068</v>
      </c>
      <c r="C27" s="247">
        <v>16.078949634093799</v>
      </c>
      <c r="D27" s="247">
        <v>12.5821782178218</v>
      </c>
      <c r="E27" s="247">
        <v>2.7467811158798301</v>
      </c>
      <c r="F27" s="247">
        <v>12.2832494279176</v>
      </c>
      <c r="G27" s="52"/>
      <c r="H27" s="53"/>
      <c r="I27" s="53"/>
      <c r="J27" s="53"/>
      <c r="K27" s="53"/>
      <c r="L27" s="53"/>
      <c r="M27" s="53"/>
    </row>
    <row r="28" spans="1:13">
      <c r="A28" s="12" t="s">
        <v>44</v>
      </c>
      <c r="B28" s="247">
        <v>41.431790177785601</v>
      </c>
      <c r="C28" s="247">
        <v>45.049434187016097</v>
      </c>
      <c r="D28" s="247">
        <v>33.905838041431302</v>
      </c>
      <c r="E28" s="247">
        <v>27.263598326359801</v>
      </c>
      <c r="F28" s="247">
        <v>37.002763265834801</v>
      </c>
      <c r="G28" s="52"/>
      <c r="H28" s="53"/>
      <c r="I28" s="53"/>
      <c r="J28" s="53"/>
      <c r="K28" s="53"/>
      <c r="L28" s="53"/>
      <c r="M28" s="53"/>
    </row>
    <row r="29" spans="1:13">
      <c r="A29" s="12" t="s">
        <v>45</v>
      </c>
      <c r="B29" s="247">
        <v>40.411203128594401</v>
      </c>
      <c r="C29" s="247">
        <v>34.383878464939599</v>
      </c>
      <c r="D29" s="247">
        <v>23.071718538565602</v>
      </c>
      <c r="E29" s="247">
        <v>7.2814207650273204</v>
      </c>
      <c r="F29" s="247">
        <v>26.487409601812299</v>
      </c>
      <c r="G29" s="52"/>
      <c r="H29" s="53"/>
      <c r="I29" s="53"/>
      <c r="J29" s="53"/>
      <c r="K29" s="53"/>
      <c r="L29" s="53"/>
      <c r="M29" s="53"/>
    </row>
    <row r="30" spans="1:13">
      <c r="A30" s="12" t="s">
        <v>46</v>
      </c>
      <c r="B30" s="247">
        <v>27.3978635682159</v>
      </c>
      <c r="C30" s="247">
        <v>22.728494122037699</v>
      </c>
      <c r="D30" s="247">
        <v>20.731182795698899</v>
      </c>
      <c r="E30" s="247">
        <v>0</v>
      </c>
      <c r="F30" s="247">
        <v>17.178367958877701</v>
      </c>
      <c r="G30" s="52"/>
      <c r="H30" s="53"/>
      <c r="I30" s="53"/>
      <c r="J30" s="53"/>
      <c r="K30" s="53"/>
      <c r="L30" s="53"/>
      <c r="M30" s="53"/>
    </row>
    <row r="31" spans="1:13">
      <c r="A31" s="12" t="s">
        <v>47</v>
      </c>
      <c r="B31" s="247">
        <v>11.1818514899853</v>
      </c>
      <c r="C31" s="247">
        <v>10.7737561631555</v>
      </c>
      <c r="D31" s="247">
        <v>9.6675392670157105</v>
      </c>
      <c r="E31" s="247">
        <v>6.9088541666666696</v>
      </c>
      <c r="F31" s="247">
        <v>9.6072559746616797</v>
      </c>
      <c r="G31" s="52"/>
      <c r="H31" s="53"/>
      <c r="I31" s="53"/>
      <c r="J31" s="53"/>
      <c r="K31" s="53"/>
      <c r="L31" s="53"/>
      <c r="M31" s="53"/>
    </row>
    <row r="32" spans="1:13">
      <c r="A32" s="12" t="s">
        <v>48</v>
      </c>
      <c r="B32" s="247">
        <v>16.19098426247</v>
      </c>
      <c r="C32" s="247">
        <v>12.283918281822899</v>
      </c>
      <c r="D32" s="247">
        <v>11.538461538461499</v>
      </c>
      <c r="E32" s="247">
        <v>0</v>
      </c>
      <c r="F32" s="247">
        <v>9.9182092122255696</v>
      </c>
      <c r="G32" s="52"/>
      <c r="H32" s="53"/>
      <c r="I32" s="53"/>
      <c r="J32" s="53"/>
      <c r="K32" s="53"/>
      <c r="L32" s="53"/>
      <c r="M32" s="53"/>
    </row>
    <row r="33" spans="1:13">
      <c r="A33" s="12" t="s">
        <v>49</v>
      </c>
      <c r="B33" s="247">
        <v>24.414123683499898</v>
      </c>
      <c r="C33" s="247">
        <v>14.3380417556673</v>
      </c>
      <c r="D33" s="247">
        <v>10.366771159874601</v>
      </c>
      <c r="E33" s="247">
        <v>1.4810996563573899</v>
      </c>
      <c r="F33" s="247">
        <v>12.924248496994</v>
      </c>
      <c r="G33" s="52"/>
      <c r="H33" s="53"/>
      <c r="I33" s="53"/>
      <c r="J33" s="53"/>
      <c r="K33" s="53"/>
      <c r="L33" s="53"/>
      <c r="M33" s="53"/>
    </row>
    <row r="34" spans="1:13">
      <c r="A34" s="12" t="s">
        <v>60</v>
      </c>
      <c r="B34" s="247">
        <v>29.345590700793601</v>
      </c>
      <c r="C34" s="247">
        <v>23.250381834843701</v>
      </c>
      <c r="D34" s="247">
        <v>20.2157894736842</v>
      </c>
      <c r="E34" s="247">
        <v>1.21348314606742</v>
      </c>
      <c r="F34" s="247">
        <v>18.980249887942598</v>
      </c>
      <c r="G34" s="52"/>
      <c r="H34" s="53"/>
      <c r="I34" s="53"/>
      <c r="J34" s="53"/>
      <c r="K34" s="53"/>
      <c r="L34" s="53"/>
      <c r="M34" s="53"/>
    </row>
    <row r="35" spans="1:13">
      <c r="A35" s="12" t="s">
        <v>50</v>
      </c>
      <c r="B35" s="247">
        <v>44.6311170377721</v>
      </c>
      <c r="C35" s="247">
        <v>33.680797101449301</v>
      </c>
      <c r="D35" s="247">
        <v>37.640834575260797</v>
      </c>
      <c r="E35" s="247">
        <v>3.44</v>
      </c>
      <c r="F35" s="247">
        <v>29.9982327524583</v>
      </c>
      <c r="G35" s="52"/>
      <c r="H35" s="53"/>
      <c r="I35" s="53"/>
      <c r="J35" s="53"/>
      <c r="K35" s="53"/>
      <c r="L35" s="53"/>
      <c r="M35" s="53"/>
    </row>
    <row r="36" spans="1:13">
      <c r="A36" s="12" t="s">
        <v>52</v>
      </c>
      <c r="B36" s="247">
        <v>12.658456898718301</v>
      </c>
      <c r="C36" s="247">
        <v>15.730926989335501</v>
      </c>
      <c r="D36" s="247">
        <v>13.6723163841808</v>
      </c>
      <c r="E36" s="247">
        <v>5.7106918238993698</v>
      </c>
      <c r="F36" s="247">
        <v>12.004686279614701</v>
      </c>
      <c r="G36" s="52"/>
      <c r="H36" s="53"/>
      <c r="I36" s="53"/>
      <c r="J36" s="53"/>
      <c r="K36" s="53"/>
      <c r="L36" s="53"/>
      <c r="M36" s="53"/>
    </row>
    <row r="37" spans="1:13">
      <c r="A37" s="12" t="s">
        <v>53</v>
      </c>
      <c r="B37" s="247">
        <v>12.633183408295899</v>
      </c>
      <c r="C37" s="247">
        <v>11.113677536231901</v>
      </c>
      <c r="D37" s="247">
        <v>4.9122807017543897</v>
      </c>
      <c r="E37" s="247">
        <v>4.7931034482758603</v>
      </c>
      <c r="F37" s="247">
        <v>7.9467312348668298</v>
      </c>
      <c r="G37" s="52"/>
      <c r="H37" s="53"/>
      <c r="I37" s="53"/>
      <c r="J37" s="53"/>
      <c r="K37" s="53"/>
      <c r="L37" s="53"/>
      <c r="M37" s="53"/>
    </row>
    <row r="38" spans="1:13" s="48" customFormat="1">
      <c r="A38" s="12" t="s">
        <v>84</v>
      </c>
      <c r="B38" s="247">
        <v>26.749842499665601</v>
      </c>
      <c r="C38" s="247">
        <v>23.673094279697299</v>
      </c>
      <c r="D38" s="247">
        <v>13.452115812917601</v>
      </c>
      <c r="E38" s="247">
        <v>2.9064449064449098</v>
      </c>
      <c r="F38" s="247">
        <v>16.439480196910001</v>
      </c>
      <c r="G38" s="52"/>
      <c r="H38" s="53"/>
      <c r="I38" s="53"/>
      <c r="J38" s="53"/>
      <c r="K38" s="53"/>
      <c r="L38" s="53"/>
      <c r="M38" s="53"/>
    </row>
    <row r="39" spans="1:13">
      <c r="A39" s="248" t="s">
        <v>83</v>
      </c>
      <c r="B39" s="249">
        <v>25.535298191698502</v>
      </c>
      <c r="C39" s="249">
        <v>22.202960833316201</v>
      </c>
      <c r="D39" s="249">
        <v>19.376703107329401</v>
      </c>
      <c r="E39" s="249">
        <v>3.6126756800085502</v>
      </c>
      <c r="F39" s="250">
        <v>17.603568328139598</v>
      </c>
      <c r="G39" s="52"/>
      <c r="H39" s="53"/>
    </row>
    <row r="40" spans="1:13" s="51" customFormat="1">
      <c r="A40" s="42"/>
      <c r="B40" s="42"/>
      <c r="C40" s="42"/>
      <c r="D40" s="42"/>
      <c r="E40" s="42"/>
      <c r="F40" s="42"/>
      <c r="G40" s="42"/>
      <c r="H40" s="42"/>
    </row>
    <row r="41" spans="1:13" s="51" customFormat="1">
      <c r="A41" s="51" t="s">
        <v>72</v>
      </c>
      <c r="G41" s="42"/>
      <c r="H41" s="42"/>
    </row>
    <row r="42" spans="1:13" s="51" customFormat="1" ht="12.75">
      <c r="A42" s="51" t="s">
        <v>73</v>
      </c>
    </row>
    <row r="43" spans="1:13">
      <c r="A43" s="374"/>
      <c r="B43" s="374"/>
      <c r="C43" s="374"/>
      <c r="D43" s="51"/>
      <c r="E43" s="51"/>
      <c r="F43" s="51"/>
      <c r="G43" s="51"/>
      <c r="H43" s="51"/>
    </row>
    <row r="44" spans="1:13">
      <c r="A44" s="51" t="s">
        <v>74</v>
      </c>
    </row>
  </sheetData>
  <mergeCells count="2">
    <mergeCell ref="A3:F3"/>
    <mergeCell ref="A43:C43"/>
  </mergeCells>
  <pageMargins left="0.19685039370078741" right="0.19685039370078741" top="0.39370078740157483" bottom="0.3937007874015748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21C6C-F1CC-4519-9207-2BAB3A1F0A09}">
  <sheetPr codeName="Feuil16"/>
  <dimension ref="A1:U40"/>
  <sheetViews>
    <sheetView topLeftCell="A12" workbookViewId="0">
      <selection activeCell="A40" sqref="A40"/>
    </sheetView>
  </sheetViews>
  <sheetFormatPr baseColWidth="10" defaultRowHeight="15"/>
  <cols>
    <col min="1" max="1" width="23" style="60" bestFit="1" customWidth="1"/>
    <col min="2" max="13" width="8.7109375" style="60" customWidth="1"/>
    <col min="14" max="16384" width="11.42578125" style="60"/>
  </cols>
  <sheetData>
    <row r="1" spans="1:16" s="59" customFormat="1" ht="62.25" customHeight="1"/>
    <row r="2" spans="1:16" s="59" customFormat="1" ht="16.5"/>
    <row r="3" spans="1:16" ht="16.5" customHeight="1">
      <c r="A3" s="266" t="s">
        <v>139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43"/>
      <c r="P3" s="243"/>
    </row>
    <row r="4" spans="1:16" ht="16.5">
      <c r="A4" s="375"/>
      <c r="B4" s="375"/>
      <c r="C4" s="375"/>
      <c r="D4" s="375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43"/>
      <c r="P4" s="243"/>
    </row>
    <row r="5" spans="1:16">
      <c r="A5" s="194" t="s">
        <v>54</v>
      </c>
      <c r="B5" s="194">
        <v>2010</v>
      </c>
      <c r="C5" s="194">
        <v>2011</v>
      </c>
      <c r="D5" s="194">
        <v>2012</v>
      </c>
      <c r="E5" s="194">
        <v>2013</v>
      </c>
      <c r="F5" s="194">
        <v>2014</v>
      </c>
      <c r="G5" s="194">
        <v>2015</v>
      </c>
      <c r="H5" s="194">
        <v>2016</v>
      </c>
      <c r="I5" s="194">
        <v>2017</v>
      </c>
      <c r="J5" s="194">
        <v>2018</v>
      </c>
      <c r="K5" s="194">
        <v>2019</v>
      </c>
      <c r="L5" s="194">
        <v>2020</v>
      </c>
      <c r="M5" s="194">
        <v>2021</v>
      </c>
      <c r="N5" s="194">
        <v>2022</v>
      </c>
      <c r="O5" s="194">
        <v>2023</v>
      </c>
      <c r="P5" s="194">
        <v>2024</v>
      </c>
    </row>
    <row r="6" spans="1:16">
      <c r="A6" s="5" t="s">
        <v>16</v>
      </c>
      <c r="B6" s="262">
        <v>125</v>
      </c>
      <c r="C6" s="262">
        <v>135</v>
      </c>
      <c r="D6" s="262">
        <v>129</v>
      </c>
      <c r="E6" s="262">
        <v>127</v>
      </c>
      <c r="F6" s="262">
        <v>131</v>
      </c>
      <c r="G6" s="262">
        <v>139</v>
      </c>
      <c r="H6" s="262">
        <v>133</v>
      </c>
      <c r="I6" s="262">
        <v>135</v>
      </c>
      <c r="J6" s="262"/>
      <c r="K6" s="262">
        <v>121</v>
      </c>
      <c r="L6" s="262">
        <v>115</v>
      </c>
      <c r="M6" s="262">
        <v>109</v>
      </c>
      <c r="N6" s="262">
        <v>103</v>
      </c>
      <c r="O6" s="262">
        <v>94</v>
      </c>
      <c r="P6" s="262">
        <v>90</v>
      </c>
    </row>
    <row r="7" spans="1:16">
      <c r="A7" s="5" t="s">
        <v>30</v>
      </c>
      <c r="B7" s="262">
        <v>81</v>
      </c>
      <c r="C7" s="262">
        <v>85</v>
      </c>
      <c r="D7" s="262">
        <v>78</v>
      </c>
      <c r="E7" s="262">
        <v>74</v>
      </c>
      <c r="F7" s="262">
        <v>74</v>
      </c>
      <c r="G7" s="262">
        <v>75</v>
      </c>
      <c r="H7" s="262">
        <v>76</v>
      </c>
      <c r="I7" s="262">
        <v>76</v>
      </c>
      <c r="J7" s="262"/>
      <c r="K7" s="262">
        <v>70</v>
      </c>
      <c r="L7" s="262">
        <v>70</v>
      </c>
      <c r="M7" s="262">
        <v>61</v>
      </c>
      <c r="N7" s="262">
        <v>60</v>
      </c>
      <c r="O7" s="262">
        <v>60</v>
      </c>
      <c r="P7" s="262">
        <v>57</v>
      </c>
    </row>
    <row r="8" spans="1:16">
      <c r="A8" s="5" t="s">
        <v>31</v>
      </c>
      <c r="B8" s="262">
        <v>56</v>
      </c>
      <c r="C8" s="262">
        <v>55</v>
      </c>
      <c r="D8" s="262">
        <v>50</v>
      </c>
      <c r="E8" s="262">
        <v>51</v>
      </c>
      <c r="F8" s="262">
        <v>54</v>
      </c>
      <c r="G8" s="262">
        <v>55</v>
      </c>
      <c r="H8" s="262">
        <v>61</v>
      </c>
      <c r="I8" s="262">
        <v>54</v>
      </c>
      <c r="J8" s="262"/>
      <c r="K8" s="262">
        <v>59</v>
      </c>
      <c r="L8" s="262">
        <v>53</v>
      </c>
      <c r="M8" s="262">
        <v>48</v>
      </c>
      <c r="N8" s="262">
        <v>43</v>
      </c>
      <c r="O8" s="262">
        <v>46</v>
      </c>
      <c r="P8" s="262">
        <v>41</v>
      </c>
    </row>
    <row r="9" spans="1:16">
      <c r="A9" s="5" t="s">
        <v>32</v>
      </c>
      <c r="B9" s="262">
        <v>49</v>
      </c>
      <c r="C9" s="262">
        <v>47</v>
      </c>
      <c r="D9" s="262">
        <v>48</v>
      </c>
      <c r="E9" s="262">
        <v>53</v>
      </c>
      <c r="F9" s="262">
        <v>50</v>
      </c>
      <c r="G9" s="262">
        <v>47</v>
      </c>
      <c r="H9" s="262">
        <v>47</v>
      </c>
      <c r="I9" s="262">
        <v>50</v>
      </c>
      <c r="J9" s="262"/>
      <c r="K9" s="262">
        <v>47</v>
      </c>
      <c r="L9" s="262">
        <v>49</v>
      </c>
      <c r="M9" s="262">
        <v>49</v>
      </c>
      <c r="N9" s="262">
        <v>39</v>
      </c>
      <c r="O9" s="262">
        <v>37</v>
      </c>
      <c r="P9" s="262">
        <v>40</v>
      </c>
    </row>
    <row r="10" spans="1:16">
      <c r="A10" s="5" t="s">
        <v>33</v>
      </c>
      <c r="B10" s="262">
        <v>38</v>
      </c>
      <c r="C10" s="262">
        <v>41</v>
      </c>
      <c r="D10" s="262">
        <v>43</v>
      </c>
      <c r="E10" s="262">
        <v>40</v>
      </c>
      <c r="F10" s="262">
        <v>43</v>
      </c>
      <c r="G10" s="262">
        <v>45</v>
      </c>
      <c r="H10" s="262">
        <v>47</v>
      </c>
      <c r="I10" s="262">
        <v>45</v>
      </c>
      <c r="J10" s="262"/>
      <c r="K10" s="262">
        <v>38</v>
      </c>
      <c r="L10" s="262">
        <v>35</v>
      </c>
      <c r="M10" s="262">
        <v>32</v>
      </c>
      <c r="N10" s="262">
        <v>27</v>
      </c>
      <c r="O10" s="262">
        <v>28</v>
      </c>
      <c r="P10" s="262">
        <v>28</v>
      </c>
    </row>
    <row r="11" spans="1:16">
      <c r="A11" s="5" t="s">
        <v>89</v>
      </c>
      <c r="B11" s="262">
        <v>17</v>
      </c>
      <c r="C11" s="262">
        <v>19</v>
      </c>
      <c r="D11" s="262">
        <v>17</v>
      </c>
      <c r="E11" s="262">
        <v>13</v>
      </c>
      <c r="F11" s="262">
        <v>12</v>
      </c>
      <c r="G11" s="262">
        <v>16</v>
      </c>
      <c r="H11" s="262">
        <v>19</v>
      </c>
      <c r="I11" s="262">
        <v>18</v>
      </c>
      <c r="J11" s="262"/>
      <c r="K11" s="262">
        <v>17</v>
      </c>
      <c r="L11" s="262">
        <v>18</v>
      </c>
      <c r="M11" s="262">
        <v>15</v>
      </c>
      <c r="N11" s="243"/>
      <c r="O11" s="243">
        <v>15</v>
      </c>
      <c r="P11" s="262">
        <v>15</v>
      </c>
    </row>
    <row r="12" spans="1:16">
      <c r="A12" s="5" t="s">
        <v>34</v>
      </c>
      <c r="B12" s="262">
        <v>95</v>
      </c>
      <c r="C12" s="262">
        <v>103</v>
      </c>
      <c r="D12" s="262">
        <v>95</v>
      </c>
      <c r="E12" s="262">
        <v>96</v>
      </c>
      <c r="F12" s="262">
        <v>107</v>
      </c>
      <c r="G12" s="262">
        <v>104</v>
      </c>
      <c r="H12" s="262">
        <v>101</v>
      </c>
      <c r="I12" s="262">
        <v>97</v>
      </c>
      <c r="J12" s="262"/>
      <c r="K12" s="262">
        <v>89</v>
      </c>
      <c r="L12" s="262">
        <v>77</v>
      </c>
      <c r="M12" s="262">
        <v>78</v>
      </c>
      <c r="N12" s="262">
        <v>49</v>
      </c>
      <c r="O12" s="262">
        <v>46</v>
      </c>
      <c r="P12" s="262">
        <v>43</v>
      </c>
    </row>
    <row r="13" spans="1:16">
      <c r="A13" s="5" t="s">
        <v>35</v>
      </c>
      <c r="B13" s="262">
        <v>51</v>
      </c>
      <c r="C13" s="262">
        <v>49</v>
      </c>
      <c r="D13" s="262">
        <v>48</v>
      </c>
      <c r="E13" s="262">
        <v>54</v>
      </c>
      <c r="F13" s="262">
        <v>68</v>
      </c>
      <c r="G13" s="262">
        <v>68</v>
      </c>
      <c r="H13" s="262">
        <v>64</v>
      </c>
      <c r="I13" s="262">
        <v>62</v>
      </c>
      <c r="J13" s="262"/>
      <c r="K13" s="262">
        <v>60</v>
      </c>
      <c r="L13" s="262">
        <v>54</v>
      </c>
      <c r="M13" s="262">
        <v>56</v>
      </c>
      <c r="N13" s="262">
        <v>50</v>
      </c>
      <c r="O13" s="262">
        <v>56</v>
      </c>
      <c r="P13" s="262">
        <v>53</v>
      </c>
    </row>
    <row r="14" spans="1:16">
      <c r="A14" s="5" t="s">
        <v>55</v>
      </c>
      <c r="B14" s="262">
        <v>82</v>
      </c>
      <c r="C14" s="262">
        <v>83</v>
      </c>
      <c r="D14" s="262">
        <v>76</v>
      </c>
      <c r="E14" s="262">
        <v>72</v>
      </c>
      <c r="F14" s="262">
        <v>77</v>
      </c>
      <c r="G14" s="262">
        <v>77</v>
      </c>
      <c r="H14" s="262">
        <v>72</v>
      </c>
      <c r="I14" s="262">
        <v>79</v>
      </c>
      <c r="J14" s="262"/>
      <c r="K14" s="262">
        <v>77</v>
      </c>
      <c r="L14" s="262">
        <v>76</v>
      </c>
      <c r="M14" s="262">
        <v>55</v>
      </c>
      <c r="N14" s="262">
        <v>54</v>
      </c>
      <c r="O14" s="262">
        <v>53</v>
      </c>
      <c r="P14" s="262">
        <v>47</v>
      </c>
    </row>
    <row r="15" spans="1:16">
      <c r="A15" s="5" t="s">
        <v>36</v>
      </c>
      <c r="B15" s="262">
        <v>30</v>
      </c>
      <c r="C15" s="262">
        <v>26</v>
      </c>
      <c r="D15" s="262">
        <v>33</v>
      </c>
      <c r="E15" s="262">
        <v>37</v>
      </c>
      <c r="F15" s="262">
        <v>24</v>
      </c>
      <c r="G15" s="262">
        <v>27</v>
      </c>
      <c r="H15" s="262">
        <v>24</v>
      </c>
      <c r="I15" s="262">
        <v>23</v>
      </c>
      <c r="J15" s="262"/>
      <c r="K15" s="262">
        <v>17</v>
      </c>
      <c r="L15" s="262">
        <v>16</v>
      </c>
      <c r="M15" s="262">
        <v>13</v>
      </c>
      <c r="N15" s="262">
        <v>15</v>
      </c>
      <c r="O15" s="262">
        <v>16</v>
      </c>
      <c r="P15" s="262">
        <v>18</v>
      </c>
    </row>
    <row r="16" spans="1:16">
      <c r="A16" s="5" t="s">
        <v>56</v>
      </c>
      <c r="B16" s="262">
        <v>14</v>
      </c>
      <c r="C16" s="262">
        <v>13</v>
      </c>
      <c r="D16" s="262">
        <v>12</v>
      </c>
      <c r="E16" s="262">
        <v>13</v>
      </c>
      <c r="F16" s="262">
        <v>11</v>
      </c>
      <c r="G16" s="262">
        <v>10</v>
      </c>
      <c r="H16" s="262">
        <v>9</v>
      </c>
      <c r="I16" s="262">
        <v>10</v>
      </c>
      <c r="J16" s="262"/>
      <c r="K16" s="262">
        <v>9</v>
      </c>
      <c r="L16" s="262">
        <v>9</v>
      </c>
      <c r="M16" s="262">
        <v>9</v>
      </c>
      <c r="N16" s="262">
        <v>11</v>
      </c>
      <c r="O16" s="262">
        <v>10</v>
      </c>
      <c r="P16" s="262">
        <v>10</v>
      </c>
    </row>
    <row r="17" spans="1:21">
      <c r="A17" s="5" t="s">
        <v>57</v>
      </c>
      <c r="B17" s="243"/>
      <c r="C17" s="243"/>
      <c r="D17" s="243"/>
      <c r="E17" s="243"/>
      <c r="F17" s="243"/>
      <c r="G17" s="243"/>
      <c r="H17" s="243"/>
      <c r="I17" s="243"/>
      <c r="J17" s="262"/>
      <c r="K17" s="243"/>
      <c r="L17" s="243"/>
      <c r="M17" s="262">
        <v>15</v>
      </c>
      <c r="N17" s="262">
        <v>14</v>
      </c>
      <c r="O17" s="262">
        <v>13</v>
      </c>
      <c r="P17" s="262">
        <v>12</v>
      </c>
    </row>
    <row r="18" spans="1:21">
      <c r="A18" s="5" t="s">
        <v>58</v>
      </c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>
        <v>19</v>
      </c>
      <c r="P18" s="262">
        <v>19</v>
      </c>
      <c r="Q18" s="43"/>
      <c r="R18" s="43"/>
      <c r="S18" s="43"/>
      <c r="T18" s="43"/>
      <c r="U18" s="43"/>
    </row>
    <row r="19" spans="1:21">
      <c r="A19" s="5" t="s">
        <v>37</v>
      </c>
      <c r="B19" s="262">
        <v>13</v>
      </c>
      <c r="C19" s="262">
        <v>12</v>
      </c>
      <c r="D19" s="262">
        <v>12</v>
      </c>
      <c r="E19" s="262">
        <v>11</v>
      </c>
      <c r="F19" s="262">
        <v>10</v>
      </c>
      <c r="G19" s="262">
        <v>8</v>
      </c>
      <c r="H19" s="262">
        <v>9</v>
      </c>
      <c r="I19" s="262">
        <v>13</v>
      </c>
      <c r="J19" s="262"/>
      <c r="K19" s="262">
        <v>17</v>
      </c>
      <c r="L19" s="262">
        <v>19</v>
      </c>
      <c r="M19" s="262">
        <v>19</v>
      </c>
      <c r="N19" s="262">
        <v>16</v>
      </c>
      <c r="O19" s="262">
        <v>13</v>
      </c>
      <c r="P19" s="262">
        <v>11</v>
      </c>
    </row>
    <row r="20" spans="1:21">
      <c r="A20" s="5" t="s">
        <v>92</v>
      </c>
      <c r="B20" s="376" t="s">
        <v>140</v>
      </c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6"/>
      <c r="N20" s="376"/>
      <c r="O20" s="376"/>
      <c r="P20" s="376"/>
    </row>
    <row r="21" spans="1:21">
      <c r="A21" s="5" t="s">
        <v>38</v>
      </c>
      <c r="B21" s="262">
        <v>69</v>
      </c>
      <c r="C21" s="262">
        <v>10</v>
      </c>
      <c r="D21" s="262">
        <v>15</v>
      </c>
      <c r="E21" s="262">
        <v>15</v>
      </c>
      <c r="F21" s="262">
        <v>16</v>
      </c>
      <c r="G21" s="262">
        <v>12</v>
      </c>
      <c r="H21" s="262">
        <v>11</v>
      </c>
      <c r="I21" s="262">
        <v>11</v>
      </c>
      <c r="J21" s="262"/>
      <c r="K21" s="262">
        <v>13</v>
      </c>
      <c r="L21" s="262">
        <v>14</v>
      </c>
      <c r="M21" s="262">
        <v>12</v>
      </c>
      <c r="N21" s="262">
        <v>12</v>
      </c>
      <c r="O21" s="262">
        <v>15</v>
      </c>
      <c r="P21" s="262">
        <v>12</v>
      </c>
    </row>
    <row r="22" spans="1:21">
      <c r="A22" s="5" t="s">
        <v>39</v>
      </c>
      <c r="B22" s="262">
        <v>29</v>
      </c>
      <c r="C22" s="262">
        <v>31</v>
      </c>
      <c r="D22" s="262">
        <v>30</v>
      </c>
      <c r="E22" s="262">
        <v>27</v>
      </c>
      <c r="F22" s="262">
        <v>29</v>
      </c>
      <c r="G22" s="262">
        <v>28</v>
      </c>
      <c r="H22" s="262">
        <v>27</v>
      </c>
      <c r="I22" s="262">
        <v>27</v>
      </c>
      <c r="J22" s="262"/>
      <c r="K22" s="262">
        <v>26</v>
      </c>
      <c r="L22" s="262">
        <v>26</v>
      </c>
      <c r="M22" s="262">
        <v>26</v>
      </c>
      <c r="N22" s="262">
        <v>25</v>
      </c>
      <c r="O22" s="262">
        <v>24</v>
      </c>
      <c r="P22" s="262">
        <v>24</v>
      </c>
    </row>
    <row r="23" spans="1:21">
      <c r="A23" s="5" t="s">
        <v>40</v>
      </c>
      <c r="B23" s="262">
        <v>3</v>
      </c>
      <c r="C23" s="262">
        <v>5</v>
      </c>
      <c r="D23" s="262">
        <v>5</v>
      </c>
      <c r="E23" s="262">
        <v>7</v>
      </c>
      <c r="F23" s="262">
        <v>9</v>
      </c>
      <c r="G23" s="262">
        <v>10</v>
      </c>
      <c r="H23" s="262">
        <v>7</v>
      </c>
      <c r="I23" s="262">
        <v>7</v>
      </c>
      <c r="J23" s="262"/>
      <c r="K23" s="262">
        <v>6</v>
      </c>
      <c r="L23" s="262">
        <v>6</v>
      </c>
      <c r="M23" s="262">
        <v>5</v>
      </c>
      <c r="N23" s="262">
        <v>5</v>
      </c>
      <c r="O23" s="262">
        <v>4</v>
      </c>
      <c r="P23" s="262">
        <v>3</v>
      </c>
    </row>
    <row r="24" spans="1:21">
      <c r="A24" s="5" t="s">
        <v>41</v>
      </c>
      <c r="B24" s="262">
        <v>100</v>
      </c>
      <c r="C24" s="262">
        <v>91</v>
      </c>
      <c r="D24" s="262">
        <v>97</v>
      </c>
      <c r="E24" s="262">
        <v>93</v>
      </c>
      <c r="F24" s="262">
        <v>102</v>
      </c>
      <c r="G24" s="262">
        <v>104</v>
      </c>
      <c r="H24" s="262">
        <v>107</v>
      </c>
      <c r="I24" s="262">
        <v>105</v>
      </c>
      <c r="J24" s="262"/>
      <c r="K24" s="262">
        <v>92</v>
      </c>
      <c r="L24" s="262">
        <v>92</v>
      </c>
      <c r="M24" s="262">
        <v>84</v>
      </c>
      <c r="N24" s="262">
        <v>74</v>
      </c>
      <c r="O24" s="262">
        <v>72</v>
      </c>
      <c r="P24" s="262">
        <v>67</v>
      </c>
    </row>
    <row r="25" spans="1:21">
      <c r="A25" s="5" t="s">
        <v>42</v>
      </c>
      <c r="B25" s="262">
        <v>43</v>
      </c>
      <c r="C25" s="262">
        <v>57</v>
      </c>
      <c r="D25" s="262">
        <v>77</v>
      </c>
      <c r="E25" s="262">
        <v>80</v>
      </c>
      <c r="F25" s="262">
        <v>87</v>
      </c>
      <c r="G25" s="262">
        <v>92</v>
      </c>
      <c r="H25" s="262">
        <v>96</v>
      </c>
      <c r="I25" s="262">
        <v>100</v>
      </c>
      <c r="J25" s="262"/>
      <c r="K25" s="262">
        <v>93</v>
      </c>
      <c r="L25" s="262">
        <v>91</v>
      </c>
      <c r="M25" s="262">
        <v>93</v>
      </c>
      <c r="N25" s="262">
        <v>89</v>
      </c>
      <c r="O25" s="262">
        <v>91</v>
      </c>
      <c r="P25" s="262">
        <v>90</v>
      </c>
    </row>
    <row r="26" spans="1:21">
      <c r="A26" s="5" t="s">
        <v>43</v>
      </c>
      <c r="B26" s="262">
        <v>23</v>
      </c>
      <c r="C26" s="262">
        <v>16</v>
      </c>
      <c r="D26" s="262">
        <v>14</v>
      </c>
      <c r="E26" s="262">
        <v>13</v>
      </c>
      <c r="F26" s="262">
        <v>14</v>
      </c>
      <c r="G26" s="262">
        <v>15</v>
      </c>
      <c r="H26" s="262">
        <v>15</v>
      </c>
      <c r="I26" s="262">
        <v>15</v>
      </c>
      <c r="J26" s="262"/>
      <c r="K26" s="262">
        <v>15</v>
      </c>
      <c r="L26" s="262">
        <v>15</v>
      </c>
      <c r="M26" s="262">
        <v>15</v>
      </c>
      <c r="N26" s="262">
        <v>14</v>
      </c>
      <c r="O26" s="262">
        <v>11</v>
      </c>
      <c r="P26" s="262">
        <v>10</v>
      </c>
    </row>
    <row r="27" spans="1:21">
      <c r="A27" s="5" t="s">
        <v>59</v>
      </c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62">
        <v>39</v>
      </c>
      <c r="O27" s="262">
        <v>30</v>
      </c>
      <c r="P27" s="262">
        <v>24</v>
      </c>
    </row>
    <row r="28" spans="1:21">
      <c r="A28" s="5" t="s">
        <v>44</v>
      </c>
      <c r="B28" s="262">
        <v>74</v>
      </c>
      <c r="C28" s="262">
        <v>68</v>
      </c>
      <c r="D28" s="262">
        <v>70</v>
      </c>
      <c r="E28" s="262">
        <v>64</v>
      </c>
      <c r="F28" s="262">
        <v>63</v>
      </c>
      <c r="G28" s="262">
        <v>59</v>
      </c>
      <c r="H28" s="262">
        <v>62</v>
      </c>
      <c r="I28" s="262">
        <v>56</v>
      </c>
      <c r="J28" s="262"/>
      <c r="K28" s="262">
        <v>49</v>
      </c>
      <c r="L28" s="262">
        <v>44</v>
      </c>
      <c r="M28" s="262">
        <v>47</v>
      </c>
      <c r="N28" s="262">
        <v>42</v>
      </c>
      <c r="O28" s="262">
        <v>41</v>
      </c>
      <c r="P28" s="262">
        <v>41</v>
      </c>
    </row>
    <row r="29" spans="1:21">
      <c r="A29" s="5" t="s">
        <v>45</v>
      </c>
      <c r="B29" s="262">
        <v>32</v>
      </c>
      <c r="C29" s="262">
        <v>34</v>
      </c>
      <c r="D29" s="262">
        <v>27</v>
      </c>
      <c r="E29" s="262">
        <v>23</v>
      </c>
      <c r="F29" s="262">
        <v>27</v>
      </c>
      <c r="G29" s="262">
        <v>28</v>
      </c>
      <c r="H29" s="262">
        <v>25</v>
      </c>
      <c r="I29" s="262">
        <v>23</v>
      </c>
      <c r="J29" s="262"/>
      <c r="K29" s="262">
        <v>19</v>
      </c>
      <c r="L29" s="262">
        <v>19</v>
      </c>
      <c r="M29" s="262">
        <v>18</v>
      </c>
      <c r="N29" s="262">
        <v>16</v>
      </c>
      <c r="O29" s="262">
        <v>13</v>
      </c>
      <c r="P29" s="262">
        <v>12</v>
      </c>
    </row>
    <row r="30" spans="1:21">
      <c r="A30" s="5" t="s">
        <v>46</v>
      </c>
      <c r="B30" s="262">
        <v>91</v>
      </c>
      <c r="C30" s="262">
        <v>94</v>
      </c>
      <c r="D30" s="262">
        <v>93</v>
      </c>
      <c r="E30" s="262">
        <v>97</v>
      </c>
      <c r="F30" s="262">
        <v>100</v>
      </c>
      <c r="G30" s="262">
        <v>103</v>
      </c>
      <c r="H30" s="262">
        <v>104</v>
      </c>
      <c r="I30" s="262">
        <v>16</v>
      </c>
      <c r="J30" s="262"/>
      <c r="K30" s="262">
        <v>15</v>
      </c>
      <c r="L30" s="262">
        <v>16</v>
      </c>
      <c r="M30" s="262">
        <v>13</v>
      </c>
      <c r="N30" s="262">
        <v>15</v>
      </c>
      <c r="O30" s="262">
        <v>14</v>
      </c>
      <c r="P30" s="262">
        <v>11</v>
      </c>
    </row>
    <row r="31" spans="1:21">
      <c r="A31" s="5" t="s">
        <v>47</v>
      </c>
      <c r="B31" s="262">
        <v>91</v>
      </c>
      <c r="C31" s="262">
        <v>94</v>
      </c>
      <c r="D31" s="262">
        <v>93</v>
      </c>
      <c r="E31" s="262">
        <v>97</v>
      </c>
      <c r="F31" s="262">
        <v>100</v>
      </c>
      <c r="G31" s="262">
        <v>103</v>
      </c>
      <c r="H31" s="262">
        <v>104</v>
      </c>
      <c r="I31" s="262">
        <v>75</v>
      </c>
      <c r="J31" s="262"/>
      <c r="K31" s="262">
        <v>71</v>
      </c>
      <c r="L31" s="262">
        <v>63</v>
      </c>
      <c r="M31" s="262">
        <v>57</v>
      </c>
      <c r="N31" s="262">
        <v>54</v>
      </c>
      <c r="O31" s="262">
        <v>51</v>
      </c>
      <c r="P31" s="262">
        <v>45</v>
      </c>
    </row>
    <row r="32" spans="1:21">
      <c r="A32" s="5" t="s">
        <v>48</v>
      </c>
      <c r="B32" s="262">
        <v>69</v>
      </c>
      <c r="C32" s="262">
        <v>65</v>
      </c>
      <c r="D32" s="262">
        <v>68</v>
      </c>
      <c r="E32" s="262">
        <v>64</v>
      </c>
      <c r="F32" s="262">
        <v>66</v>
      </c>
      <c r="G32" s="262">
        <v>66</v>
      </c>
      <c r="H32" s="262">
        <v>59</v>
      </c>
      <c r="I32" s="262">
        <v>61</v>
      </c>
      <c r="J32" s="262"/>
      <c r="K32" s="262">
        <v>52</v>
      </c>
      <c r="L32" s="262">
        <v>51</v>
      </c>
      <c r="M32" s="262">
        <v>46</v>
      </c>
      <c r="N32" s="262">
        <v>45</v>
      </c>
      <c r="O32" s="262">
        <v>42</v>
      </c>
      <c r="P32" s="262">
        <v>40</v>
      </c>
    </row>
    <row r="33" spans="1:16">
      <c r="A33" s="5" t="s">
        <v>49</v>
      </c>
      <c r="B33" s="262">
        <v>38</v>
      </c>
      <c r="C33" s="262">
        <v>44</v>
      </c>
      <c r="D33" s="262">
        <v>43</v>
      </c>
      <c r="E33" s="262">
        <v>45</v>
      </c>
      <c r="F33" s="262">
        <v>46</v>
      </c>
      <c r="G33" s="262">
        <v>49</v>
      </c>
      <c r="H33" s="262">
        <v>51</v>
      </c>
      <c r="I33" s="262">
        <v>48</v>
      </c>
      <c r="J33" s="262"/>
      <c r="K33" s="262">
        <v>47</v>
      </c>
      <c r="L33" s="262">
        <v>44</v>
      </c>
      <c r="M33" s="262">
        <v>42</v>
      </c>
      <c r="N33" s="262">
        <v>40</v>
      </c>
      <c r="O33" s="262">
        <v>38</v>
      </c>
      <c r="P33" s="262">
        <v>40</v>
      </c>
    </row>
    <row r="34" spans="1:16">
      <c r="A34" s="5" t="s">
        <v>60</v>
      </c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62">
        <v>31</v>
      </c>
      <c r="O34" s="262">
        <v>27</v>
      </c>
      <c r="P34" s="262">
        <v>27</v>
      </c>
    </row>
    <row r="35" spans="1:16">
      <c r="A35" s="5" t="s">
        <v>50</v>
      </c>
      <c r="B35" s="262">
        <v>100</v>
      </c>
      <c r="C35" s="262">
        <v>98</v>
      </c>
      <c r="D35" s="262">
        <v>95</v>
      </c>
      <c r="E35" s="262">
        <v>96</v>
      </c>
      <c r="F35" s="262">
        <v>96</v>
      </c>
      <c r="G35" s="262">
        <v>96</v>
      </c>
      <c r="H35" s="262">
        <v>95</v>
      </c>
      <c r="I35" s="262">
        <v>92</v>
      </c>
      <c r="J35" s="262"/>
      <c r="K35" s="262">
        <v>82</v>
      </c>
      <c r="L35" s="262">
        <v>76</v>
      </c>
      <c r="M35" s="262">
        <v>71</v>
      </c>
      <c r="N35" s="262">
        <v>70</v>
      </c>
      <c r="O35" s="262">
        <v>66</v>
      </c>
      <c r="P35" s="262">
        <v>65</v>
      </c>
    </row>
    <row r="36" spans="1:16">
      <c r="A36" s="5" t="s">
        <v>51</v>
      </c>
      <c r="B36" s="262">
        <v>82</v>
      </c>
      <c r="C36" s="262">
        <v>85</v>
      </c>
      <c r="D36" s="262">
        <v>84</v>
      </c>
      <c r="E36" s="262">
        <v>84</v>
      </c>
      <c r="F36" s="262">
        <v>84</v>
      </c>
      <c r="G36" s="262">
        <v>84</v>
      </c>
      <c r="H36" s="262">
        <v>89</v>
      </c>
      <c r="I36" s="262">
        <v>87</v>
      </c>
      <c r="J36" s="262"/>
      <c r="K36" s="262">
        <v>70</v>
      </c>
      <c r="L36" s="262">
        <v>65</v>
      </c>
      <c r="M36" s="262">
        <v>73</v>
      </c>
      <c r="N36" s="243"/>
      <c r="O36" s="243"/>
      <c r="P36" s="262"/>
    </row>
    <row r="37" spans="1:16">
      <c r="A37" s="5" t="s">
        <v>52</v>
      </c>
      <c r="B37" s="262">
        <v>91</v>
      </c>
      <c r="C37" s="262">
        <v>94</v>
      </c>
      <c r="D37" s="262">
        <v>93</v>
      </c>
      <c r="E37" s="262">
        <v>97</v>
      </c>
      <c r="F37" s="262">
        <v>100</v>
      </c>
      <c r="G37" s="262">
        <v>103</v>
      </c>
      <c r="H37" s="262">
        <v>104</v>
      </c>
      <c r="I37" s="262">
        <v>12</v>
      </c>
      <c r="J37" s="262"/>
      <c r="K37" s="262">
        <v>9</v>
      </c>
      <c r="L37" s="262">
        <v>8</v>
      </c>
      <c r="M37" s="262">
        <v>9</v>
      </c>
      <c r="N37" s="262">
        <v>9</v>
      </c>
      <c r="O37" s="262">
        <v>8</v>
      </c>
      <c r="P37" s="262">
        <v>7</v>
      </c>
    </row>
    <row r="38" spans="1:16">
      <c r="A38" s="5" t="s">
        <v>53</v>
      </c>
      <c r="B38" s="262">
        <v>91</v>
      </c>
      <c r="C38" s="262">
        <v>94</v>
      </c>
      <c r="D38" s="262">
        <v>93</v>
      </c>
      <c r="E38" s="262">
        <v>97</v>
      </c>
      <c r="F38" s="262">
        <v>100</v>
      </c>
      <c r="G38" s="262">
        <v>103</v>
      </c>
      <c r="H38" s="262">
        <v>104</v>
      </c>
      <c r="I38" s="262">
        <v>8</v>
      </c>
      <c r="J38" s="262"/>
      <c r="K38" s="262">
        <v>9</v>
      </c>
      <c r="L38" s="262">
        <v>8</v>
      </c>
      <c r="M38" s="262">
        <v>6</v>
      </c>
      <c r="N38" s="262">
        <v>4</v>
      </c>
      <c r="O38" s="262">
        <v>3</v>
      </c>
      <c r="P38" s="262">
        <v>2</v>
      </c>
    </row>
    <row r="39" spans="1:16" ht="15.75" thickBot="1">
      <c r="A39" s="5" t="s">
        <v>84</v>
      </c>
      <c r="B39" s="262">
        <v>113</v>
      </c>
      <c r="C39" s="262">
        <v>110</v>
      </c>
      <c r="D39" s="262">
        <v>102</v>
      </c>
      <c r="E39" s="262">
        <v>104</v>
      </c>
      <c r="F39" s="262">
        <v>114</v>
      </c>
      <c r="G39" s="262">
        <v>115</v>
      </c>
      <c r="H39" s="262">
        <v>110</v>
      </c>
      <c r="I39" s="262">
        <v>109</v>
      </c>
      <c r="J39" s="262"/>
      <c r="K39" s="262">
        <v>100</v>
      </c>
      <c r="L39" s="262">
        <v>108</v>
      </c>
      <c r="M39" s="262">
        <v>101</v>
      </c>
      <c r="N39" s="262">
        <v>102</v>
      </c>
      <c r="O39" s="262">
        <v>101</v>
      </c>
      <c r="P39" s="262">
        <v>89</v>
      </c>
    </row>
    <row r="40" spans="1:16" ht="15.75" thickTop="1">
      <c r="A40" s="109" t="s">
        <v>83</v>
      </c>
      <c r="B40" s="110">
        <v>1448</v>
      </c>
      <c r="C40" s="110">
        <v>1476</v>
      </c>
      <c r="D40" s="110">
        <v>1461</v>
      </c>
      <c r="E40" s="110">
        <v>1453</v>
      </c>
      <c r="F40" s="110">
        <v>1514</v>
      </c>
      <c r="G40" s="110">
        <v>1532</v>
      </c>
      <c r="H40" s="110">
        <v>1520</v>
      </c>
      <c r="I40" s="110">
        <v>1514</v>
      </c>
      <c r="J40" s="110"/>
      <c r="K40" s="110">
        <v>1389</v>
      </c>
      <c r="L40" s="110">
        <v>1337</v>
      </c>
      <c r="M40" s="110">
        <v>1277</v>
      </c>
      <c r="N40" s="110">
        <v>1236</v>
      </c>
      <c r="O40" s="110">
        <v>1157</v>
      </c>
      <c r="P40" s="110">
        <v>1093</v>
      </c>
    </row>
  </sheetData>
  <mergeCells count="2">
    <mergeCell ref="A4:D4"/>
    <mergeCell ref="B20:P20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887FB-687A-400F-B326-54A173CF2E9D}">
  <sheetPr codeName="Feuil17"/>
  <dimension ref="A1:P40"/>
  <sheetViews>
    <sheetView topLeftCell="A6" workbookViewId="0">
      <selection activeCell="F19" sqref="B19:P20"/>
    </sheetView>
  </sheetViews>
  <sheetFormatPr baseColWidth="10" defaultRowHeight="15"/>
  <cols>
    <col min="1" max="1" width="23" style="60" bestFit="1" customWidth="1"/>
    <col min="2" max="13" width="8.7109375" style="60" customWidth="1"/>
    <col min="14" max="16384" width="11.42578125" style="60"/>
  </cols>
  <sheetData>
    <row r="1" spans="1:16" s="59" customFormat="1" ht="62.25" customHeight="1"/>
    <row r="2" spans="1:16" s="59" customFormat="1" ht="16.5"/>
    <row r="3" spans="1:16" ht="16.5" customHeight="1">
      <c r="A3" s="377" t="s">
        <v>141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243"/>
      <c r="P3" s="243"/>
    </row>
    <row r="4" spans="1:16" ht="16.5">
      <c r="A4" s="375"/>
      <c r="B4" s="375"/>
      <c r="C4" s="375"/>
      <c r="D4" s="375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43"/>
      <c r="P4" s="243"/>
    </row>
    <row r="5" spans="1:16">
      <c r="A5" s="194" t="s">
        <v>54</v>
      </c>
      <c r="B5" s="194">
        <v>2010</v>
      </c>
      <c r="C5" s="194">
        <v>2011</v>
      </c>
      <c r="D5" s="194">
        <v>2012</v>
      </c>
      <c r="E5" s="194">
        <v>2013</v>
      </c>
      <c r="F5" s="194">
        <v>2014</v>
      </c>
      <c r="G5" s="194">
        <v>2015</v>
      </c>
      <c r="H5" s="194">
        <v>2016</v>
      </c>
      <c r="I5" s="194">
        <v>2017</v>
      </c>
      <c r="J5" s="194">
        <v>2018</v>
      </c>
      <c r="K5" s="194">
        <v>2019</v>
      </c>
      <c r="L5" s="194">
        <v>2020</v>
      </c>
      <c r="M5" s="194">
        <v>2021</v>
      </c>
      <c r="N5" s="194">
        <v>2022</v>
      </c>
      <c r="O5" s="194">
        <v>2023</v>
      </c>
      <c r="P5" s="194">
        <v>2024</v>
      </c>
    </row>
    <row r="6" spans="1:16">
      <c r="A6" s="243" t="s">
        <v>16</v>
      </c>
      <c r="B6" s="243">
        <v>492</v>
      </c>
      <c r="C6" s="243">
        <v>504</v>
      </c>
      <c r="D6" s="243">
        <v>428</v>
      </c>
      <c r="E6" s="243">
        <v>415</v>
      </c>
      <c r="F6" s="243">
        <v>592</v>
      </c>
      <c r="G6" s="243">
        <v>453</v>
      </c>
      <c r="H6" s="243">
        <v>421</v>
      </c>
      <c r="I6" s="243">
        <v>429</v>
      </c>
      <c r="J6" s="243"/>
      <c r="K6" s="243">
        <v>399</v>
      </c>
      <c r="L6" s="243">
        <v>476</v>
      </c>
      <c r="M6" s="243">
        <v>368</v>
      </c>
      <c r="N6" s="243">
        <v>483</v>
      </c>
      <c r="O6" s="262">
        <v>338</v>
      </c>
      <c r="P6" s="262">
        <v>319</v>
      </c>
    </row>
    <row r="7" spans="1:16">
      <c r="A7" s="243" t="s">
        <v>30</v>
      </c>
      <c r="B7" s="243">
        <v>290</v>
      </c>
      <c r="C7" s="243">
        <v>326</v>
      </c>
      <c r="D7" s="243">
        <v>300</v>
      </c>
      <c r="E7" s="243">
        <v>323</v>
      </c>
      <c r="F7" s="243">
        <v>298</v>
      </c>
      <c r="G7" s="243">
        <v>300</v>
      </c>
      <c r="H7" s="243">
        <v>289</v>
      </c>
      <c r="I7" s="243">
        <v>313</v>
      </c>
      <c r="J7" s="243"/>
      <c r="K7" s="243">
        <v>282</v>
      </c>
      <c r="L7" s="243">
        <v>275</v>
      </c>
      <c r="M7" s="243">
        <v>250</v>
      </c>
      <c r="N7" s="243">
        <v>255</v>
      </c>
      <c r="O7" s="262">
        <v>250</v>
      </c>
      <c r="P7" s="262">
        <v>226</v>
      </c>
    </row>
    <row r="8" spans="1:16">
      <c r="A8" s="243" t="s">
        <v>31</v>
      </c>
      <c r="B8" s="243">
        <v>164</v>
      </c>
      <c r="C8" s="243">
        <v>156</v>
      </c>
      <c r="D8" s="243">
        <v>158</v>
      </c>
      <c r="E8" s="243">
        <v>158</v>
      </c>
      <c r="F8" s="243">
        <v>155</v>
      </c>
      <c r="G8" s="243">
        <v>173</v>
      </c>
      <c r="H8" s="243">
        <v>194</v>
      </c>
      <c r="I8" s="243">
        <v>173</v>
      </c>
      <c r="J8" s="243"/>
      <c r="K8" s="243">
        <v>183</v>
      </c>
      <c r="L8" s="243">
        <v>194</v>
      </c>
      <c r="M8" s="243">
        <v>179</v>
      </c>
      <c r="N8" s="243">
        <v>149</v>
      </c>
      <c r="O8" s="262">
        <v>152</v>
      </c>
      <c r="P8" s="262">
        <v>149</v>
      </c>
    </row>
    <row r="9" spans="1:16">
      <c r="A9" s="243" t="s">
        <v>32</v>
      </c>
      <c r="B9" s="243">
        <v>162</v>
      </c>
      <c r="C9" s="243">
        <v>142</v>
      </c>
      <c r="D9" s="243">
        <v>148</v>
      </c>
      <c r="E9" s="243">
        <v>178</v>
      </c>
      <c r="F9" s="243">
        <v>164</v>
      </c>
      <c r="G9" s="243">
        <v>161</v>
      </c>
      <c r="H9" s="243">
        <v>158</v>
      </c>
      <c r="I9" s="243">
        <v>175</v>
      </c>
      <c r="J9" s="243"/>
      <c r="K9" s="243">
        <v>183</v>
      </c>
      <c r="L9" s="243">
        <v>207</v>
      </c>
      <c r="M9" s="243">
        <v>198</v>
      </c>
      <c r="N9" s="243">
        <v>126</v>
      </c>
      <c r="O9" s="262">
        <v>131</v>
      </c>
      <c r="P9" s="262">
        <v>148</v>
      </c>
    </row>
    <row r="10" spans="1:16">
      <c r="A10" s="243" t="s">
        <v>33</v>
      </c>
      <c r="B10" s="243">
        <v>111</v>
      </c>
      <c r="C10" s="243">
        <v>124</v>
      </c>
      <c r="D10" s="243">
        <v>124</v>
      </c>
      <c r="E10" s="243">
        <v>131</v>
      </c>
      <c r="F10" s="243">
        <v>148</v>
      </c>
      <c r="G10" s="243">
        <v>162</v>
      </c>
      <c r="H10" s="243">
        <v>190</v>
      </c>
      <c r="I10" s="243">
        <v>191</v>
      </c>
      <c r="J10" s="243"/>
      <c r="K10" s="243">
        <v>108</v>
      </c>
      <c r="L10" s="243">
        <v>95</v>
      </c>
      <c r="M10" s="243">
        <v>134</v>
      </c>
      <c r="N10" s="243">
        <v>114</v>
      </c>
      <c r="O10" s="262">
        <v>103</v>
      </c>
      <c r="P10" s="262">
        <v>115</v>
      </c>
    </row>
    <row r="11" spans="1:16">
      <c r="A11" s="243" t="s">
        <v>89</v>
      </c>
      <c r="B11" s="243">
        <v>46</v>
      </c>
      <c r="C11" s="243">
        <v>106</v>
      </c>
      <c r="D11" s="243">
        <v>59</v>
      </c>
      <c r="E11" s="243">
        <v>50</v>
      </c>
      <c r="F11" s="243">
        <v>53</v>
      </c>
      <c r="G11" s="243">
        <v>67</v>
      </c>
      <c r="H11" s="243">
        <v>74</v>
      </c>
      <c r="I11" s="243">
        <v>70</v>
      </c>
      <c r="J11" s="243"/>
      <c r="K11" s="243">
        <v>60</v>
      </c>
      <c r="L11" s="243">
        <v>62</v>
      </c>
      <c r="M11" s="243">
        <v>51</v>
      </c>
      <c r="N11" s="243" t="s">
        <v>76</v>
      </c>
      <c r="O11" s="262">
        <v>46</v>
      </c>
      <c r="P11" s="262">
        <v>43</v>
      </c>
    </row>
    <row r="12" spans="1:16">
      <c r="A12" s="243" t="s">
        <v>34</v>
      </c>
      <c r="B12" s="243">
        <v>290</v>
      </c>
      <c r="C12" s="243">
        <v>319</v>
      </c>
      <c r="D12" s="243">
        <v>347</v>
      </c>
      <c r="E12" s="243">
        <v>316</v>
      </c>
      <c r="F12" s="243">
        <v>311</v>
      </c>
      <c r="G12" s="243">
        <v>296</v>
      </c>
      <c r="H12" s="243">
        <v>297</v>
      </c>
      <c r="I12" s="243">
        <v>293</v>
      </c>
      <c r="J12" s="243"/>
      <c r="K12" s="243">
        <v>276</v>
      </c>
      <c r="L12" s="243">
        <v>258</v>
      </c>
      <c r="M12" s="243">
        <v>242</v>
      </c>
      <c r="N12" s="243">
        <v>155</v>
      </c>
      <c r="O12" s="262">
        <v>155</v>
      </c>
      <c r="P12" s="262">
        <v>144</v>
      </c>
    </row>
    <row r="13" spans="1:16">
      <c r="A13" s="243" t="s">
        <v>35</v>
      </c>
      <c r="B13" s="243">
        <v>159</v>
      </c>
      <c r="C13" s="243">
        <v>153</v>
      </c>
      <c r="D13" s="243">
        <v>158</v>
      </c>
      <c r="E13" s="243">
        <v>187</v>
      </c>
      <c r="F13" s="243">
        <v>243</v>
      </c>
      <c r="G13" s="243">
        <v>254</v>
      </c>
      <c r="H13" s="243">
        <v>242</v>
      </c>
      <c r="I13" s="243">
        <v>234</v>
      </c>
      <c r="J13" s="243"/>
      <c r="K13" s="243">
        <v>248</v>
      </c>
      <c r="L13" s="243">
        <v>223</v>
      </c>
      <c r="M13" s="243">
        <v>231</v>
      </c>
      <c r="N13" s="243">
        <v>205</v>
      </c>
      <c r="O13" s="262">
        <v>224</v>
      </c>
      <c r="P13" s="262">
        <v>218</v>
      </c>
    </row>
    <row r="14" spans="1:16">
      <c r="A14" s="243" t="s">
        <v>55</v>
      </c>
      <c r="B14" s="243">
        <v>259</v>
      </c>
      <c r="C14" s="243">
        <v>273</v>
      </c>
      <c r="D14" s="243">
        <v>250</v>
      </c>
      <c r="E14" s="243">
        <v>244</v>
      </c>
      <c r="F14" s="243">
        <v>263</v>
      </c>
      <c r="G14" s="243">
        <v>257</v>
      </c>
      <c r="H14" s="243">
        <v>239</v>
      </c>
      <c r="I14" s="243">
        <v>271</v>
      </c>
      <c r="J14" s="243"/>
      <c r="K14" s="243">
        <v>279</v>
      </c>
      <c r="L14" s="243">
        <v>289</v>
      </c>
      <c r="M14" s="243">
        <v>210</v>
      </c>
      <c r="N14" s="243">
        <v>214</v>
      </c>
      <c r="O14" s="262">
        <v>215</v>
      </c>
      <c r="P14" s="262">
        <v>198</v>
      </c>
    </row>
    <row r="15" spans="1:16">
      <c r="A15" s="243" t="s">
        <v>36</v>
      </c>
      <c r="B15" s="243">
        <v>109</v>
      </c>
      <c r="C15" s="243">
        <v>98</v>
      </c>
      <c r="D15" s="243">
        <v>101</v>
      </c>
      <c r="E15" s="243">
        <v>117</v>
      </c>
      <c r="F15" s="243">
        <v>78</v>
      </c>
      <c r="G15" s="243">
        <v>91</v>
      </c>
      <c r="H15" s="243">
        <v>89</v>
      </c>
      <c r="I15" s="243">
        <v>71</v>
      </c>
      <c r="J15" s="243"/>
      <c r="K15" s="243">
        <v>57</v>
      </c>
      <c r="L15" s="243">
        <v>55</v>
      </c>
      <c r="M15" s="243">
        <v>47</v>
      </c>
      <c r="N15" s="243">
        <v>51</v>
      </c>
      <c r="O15" s="262">
        <v>54</v>
      </c>
      <c r="P15" s="262">
        <v>58</v>
      </c>
    </row>
    <row r="16" spans="1:16">
      <c r="A16" s="243" t="s">
        <v>56</v>
      </c>
      <c r="B16" s="243">
        <v>30</v>
      </c>
      <c r="C16" s="243">
        <v>25</v>
      </c>
      <c r="D16" s="243">
        <v>31</v>
      </c>
      <c r="E16" s="243">
        <v>36</v>
      </c>
      <c r="F16" s="243">
        <v>39</v>
      </c>
      <c r="G16" s="243">
        <v>32</v>
      </c>
      <c r="H16" s="243">
        <v>33</v>
      </c>
      <c r="I16" s="243">
        <v>36</v>
      </c>
      <c r="J16" s="243"/>
      <c r="K16" s="243">
        <v>29</v>
      </c>
      <c r="L16" s="243">
        <v>28</v>
      </c>
      <c r="M16" s="243">
        <v>23</v>
      </c>
      <c r="N16" s="243">
        <v>29</v>
      </c>
      <c r="O16" s="262">
        <v>26</v>
      </c>
      <c r="P16" s="262">
        <v>26</v>
      </c>
    </row>
    <row r="17" spans="1:16">
      <c r="A17" s="243" t="s">
        <v>57</v>
      </c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>
        <v>49</v>
      </c>
      <c r="N17" s="243">
        <v>55</v>
      </c>
      <c r="O17" s="262">
        <v>83</v>
      </c>
      <c r="P17" s="262">
        <v>50</v>
      </c>
    </row>
    <row r="18" spans="1:16">
      <c r="A18" s="243" t="s">
        <v>58</v>
      </c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62">
        <v>67</v>
      </c>
      <c r="P18" s="262">
        <v>65</v>
      </c>
    </row>
    <row r="19" spans="1:16">
      <c r="A19" s="243" t="s">
        <v>37</v>
      </c>
      <c r="B19" s="243">
        <v>45</v>
      </c>
      <c r="C19" s="243">
        <v>39</v>
      </c>
      <c r="D19" s="243">
        <v>38</v>
      </c>
      <c r="E19" s="243">
        <v>42</v>
      </c>
      <c r="F19" s="243">
        <v>34</v>
      </c>
      <c r="G19" s="243">
        <v>38</v>
      </c>
      <c r="H19" s="243">
        <v>45</v>
      </c>
      <c r="I19" s="243">
        <v>55</v>
      </c>
      <c r="J19" s="243"/>
      <c r="K19" s="243">
        <v>73</v>
      </c>
      <c r="L19" s="243">
        <v>82</v>
      </c>
      <c r="M19" s="243">
        <v>80</v>
      </c>
      <c r="N19" s="243">
        <v>73</v>
      </c>
      <c r="O19" s="262">
        <v>50</v>
      </c>
      <c r="P19" s="262">
        <v>50</v>
      </c>
    </row>
    <row r="20" spans="1:16">
      <c r="A20" s="5" t="s">
        <v>92</v>
      </c>
      <c r="B20" s="376"/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6"/>
      <c r="N20" s="376"/>
      <c r="O20" s="376"/>
      <c r="P20" s="376"/>
    </row>
    <row r="21" spans="1:16">
      <c r="A21" s="243" t="s">
        <v>38</v>
      </c>
      <c r="B21" s="243">
        <v>189</v>
      </c>
      <c r="C21" s="243">
        <v>38</v>
      </c>
      <c r="D21" s="243">
        <v>32</v>
      </c>
      <c r="E21" s="243">
        <v>44</v>
      </c>
      <c r="F21" s="243">
        <v>47</v>
      </c>
      <c r="G21" s="243">
        <v>35</v>
      </c>
      <c r="H21" s="243">
        <v>31</v>
      </c>
      <c r="I21" s="243">
        <v>30</v>
      </c>
      <c r="J21" s="243"/>
      <c r="K21" s="243">
        <v>47</v>
      </c>
      <c r="L21" s="243">
        <v>44</v>
      </c>
      <c r="M21" s="243">
        <v>37</v>
      </c>
      <c r="N21" s="243">
        <v>40</v>
      </c>
      <c r="O21" s="262">
        <v>55</v>
      </c>
      <c r="P21" s="262">
        <v>49</v>
      </c>
    </row>
    <row r="22" spans="1:16">
      <c r="A22" s="243" t="s">
        <v>39</v>
      </c>
      <c r="B22" s="243">
        <v>101</v>
      </c>
      <c r="C22" s="243">
        <v>109</v>
      </c>
      <c r="D22" s="243">
        <v>110</v>
      </c>
      <c r="E22" s="243">
        <v>90</v>
      </c>
      <c r="F22" s="243">
        <v>100</v>
      </c>
      <c r="G22" s="243">
        <v>99</v>
      </c>
      <c r="H22" s="243">
        <v>94</v>
      </c>
      <c r="I22" s="243">
        <v>96</v>
      </c>
      <c r="J22" s="243"/>
      <c r="K22" s="243">
        <v>98</v>
      </c>
      <c r="L22" s="243">
        <v>99</v>
      </c>
      <c r="M22" s="243">
        <v>101</v>
      </c>
      <c r="N22" s="243">
        <v>104</v>
      </c>
      <c r="O22" s="262">
        <v>91</v>
      </c>
      <c r="P22" s="262">
        <v>92</v>
      </c>
    </row>
    <row r="23" spans="1:16">
      <c r="A23" s="243" t="s">
        <v>40</v>
      </c>
      <c r="B23" s="243">
        <v>10</v>
      </c>
      <c r="C23" s="243">
        <v>17</v>
      </c>
      <c r="D23" s="243">
        <v>21</v>
      </c>
      <c r="E23" s="243">
        <v>23</v>
      </c>
      <c r="F23" s="243">
        <v>26</v>
      </c>
      <c r="G23" s="243">
        <v>36</v>
      </c>
      <c r="H23" s="243">
        <v>49</v>
      </c>
      <c r="I23" s="243">
        <v>49</v>
      </c>
      <c r="J23" s="243"/>
      <c r="K23" s="243">
        <v>27</v>
      </c>
      <c r="L23" s="243">
        <v>5</v>
      </c>
      <c r="M23" s="243">
        <v>5</v>
      </c>
      <c r="N23" s="243">
        <v>5</v>
      </c>
      <c r="O23" s="262">
        <v>5</v>
      </c>
      <c r="P23" s="262">
        <v>5</v>
      </c>
    </row>
    <row r="24" spans="1:16">
      <c r="A24" s="243" t="s">
        <v>41</v>
      </c>
      <c r="B24" s="243">
        <v>306</v>
      </c>
      <c r="C24" s="243">
        <v>284</v>
      </c>
      <c r="D24" s="243">
        <v>318</v>
      </c>
      <c r="E24" s="243">
        <v>314</v>
      </c>
      <c r="F24" s="243">
        <v>331</v>
      </c>
      <c r="G24" s="243">
        <v>347</v>
      </c>
      <c r="H24" s="243">
        <v>373</v>
      </c>
      <c r="I24" s="243">
        <v>375</v>
      </c>
      <c r="J24" s="243"/>
      <c r="K24" s="243">
        <v>326</v>
      </c>
      <c r="L24" s="243">
        <v>324</v>
      </c>
      <c r="M24" s="243">
        <v>299</v>
      </c>
      <c r="N24" s="243">
        <v>279</v>
      </c>
      <c r="O24" s="262">
        <v>270</v>
      </c>
      <c r="P24" s="262">
        <v>262</v>
      </c>
    </row>
    <row r="25" spans="1:16">
      <c r="A25" s="243" t="s">
        <v>42</v>
      </c>
      <c r="B25" s="243">
        <v>163</v>
      </c>
      <c r="C25" s="243">
        <v>194</v>
      </c>
      <c r="D25" s="243">
        <v>248</v>
      </c>
      <c r="E25" s="243">
        <v>256</v>
      </c>
      <c r="F25" s="243">
        <v>296</v>
      </c>
      <c r="G25" s="243">
        <v>322</v>
      </c>
      <c r="H25" s="243">
        <v>318</v>
      </c>
      <c r="I25" s="243">
        <v>343</v>
      </c>
      <c r="J25" s="243"/>
      <c r="K25" s="243">
        <v>328</v>
      </c>
      <c r="L25" s="243">
        <v>331</v>
      </c>
      <c r="M25" s="243">
        <v>349</v>
      </c>
      <c r="N25" s="243">
        <v>348</v>
      </c>
      <c r="O25" s="262">
        <v>346</v>
      </c>
      <c r="P25" s="262">
        <v>356</v>
      </c>
    </row>
    <row r="26" spans="1:16">
      <c r="A26" s="243" t="s">
        <v>43</v>
      </c>
      <c r="B26" s="243">
        <v>72</v>
      </c>
      <c r="C26" s="243">
        <v>52</v>
      </c>
      <c r="D26" s="243">
        <v>59</v>
      </c>
      <c r="E26" s="243">
        <v>43</v>
      </c>
      <c r="F26" s="243">
        <v>49</v>
      </c>
      <c r="G26" s="243">
        <v>57</v>
      </c>
      <c r="H26" s="243">
        <v>61</v>
      </c>
      <c r="I26" s="243">
        <v>52</v>
      </c>
      <c r="J26" s="243"/>
      <c r="K26" s="243">
        <v>59</v>
      </c>
      <c r="L26" s="243">
        <v>54</v>
      </c>
      <c r="M26" s="243">
        <v>55</v>
      </c>
      <c r="N26" s="243">
        <v>55</v>
      </c>
      <c r="O26" s="262">
        <v>43</v>
      </c>
      <c r="P26" s="262">
        <v>38</v>
      </c>
    </row>
    <row r="27" spans="1:16">
      <c r="A27" s="243" t="s">
        <v>59</v>
      </c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>
        <v>111</v>
      </c>
      <c r="O27" s="262">
        <v>102</v>
      </c>
      <c r="P27" s="262">
        <v>97</v>
      </c>
    </row>
    <row r="28" spans="1:16">
      <c r="A28" s="243" t="s">
        <v>44</v>
      </c>
      <c r="B28" s="243">
        <v>219</v>
      </c>
      <c r="C28" s="243">
        <v>198</v>
      </c>
      <c r="D28" s="243">
        <v>223</v>
      </c>
      <c r="E28" s="243">
        <v>214</v>
      </c>
      <c r="F28" s="243">
        <v>231</v>
      </c>
      <c r="G28" s="243">
        <v>237</v>
      </c>
      <c r="H28" s="243">
        <v>180</v>
      </c>
      <c r="I28" s="243">
        <v>237</v>
      </c>
      <c r="J28" s="243"/>
      <c r="K28" s="243">
        <v>181</v>
      </c>
      <c r="L28" s="243">
        <v>181</v>
      </c>
      <c r="M28" s="243">
        <v>183</v>
      </c>
      <c r="N28" s="243">
        <v>162</v>
      </c>
      <c r="O28" s="262">
        <v>135</v>
      </c>
      <c r="P28" s="262">
        <v>167</v>
      </c>
    </row>
    <row r="29" spans="1:16">
      <c r="A29" s="243" t="s">
        <v>45</v>
      </c>
      <c r="B29" s="243">
        <v>84</v>
      </c>
      <c r="C29" s="243">
        <v>85</v>
      </c>
      <c r="D29" s="243">
        <v>67</v>
      </c>
      <c r="E29" s="243">
        <v>68</v>
      </c>
      <c r="F29" s="243">
        <v>74</v>
      </c>
      <c r="G29" s="243">
        <v>78</v>
      </c>
      <c r="H29" s="243">
        <v>74</v>
      </c>
      <c r="I29" s="243">
        <v>65</v>
      </c>
      <c r="J29" s="243"/>
      <c r="K29" s="243">
        <v>65</v>
      </c>
      <c r="L29" s="243">
        <v>58</v>
      </c>
      <c r="M29" s="243">
        <v>59</v>
      </c>
      <c r="N29" s="243">
        <v>60</v>
      </c>
      <c r="O29" s="262">
        <v>61</v>
      </c>
      <c r="P29" s="262">
        <v>52</v>
      </c>
    </row>
    <row r="30" spans="1:16">
      <c r="A30" s="243" t="s">
        <v>46</v>
      </c>
      <c r="B30" s="243">
        <v>243</v>
      </c>
      <c r="C30" s="243">
        <v>251</v>
      </c>
      <c r="D30" s="243">
        <v>260</v>
      </c>
      <c r="E30" s="243">
        <v>284</v>
      </c>
      <c r="F30" s="243">
        <v>303</v>
      </c>
      <c r="G30" s="243">
        <v>314</v>
      </c>
      <c r="H30" s="243">
        <v>340</v>
      </c>
      <c r="I30" s="243">
        <v>63</v>
      </c>
      <c r="J30" s="243"/>
      <c r="K30" s="243">
        <v>45</v>
      </c>
      <c r="L30" s="243">
        <v>48</v>
      </c>
      <c r="M30" s="243">
        <v>47</v>
      </c>
      <c r="N30" s="243">
        <v>51</v>
      </c>
      <c r="O30" s="262">
        <v>52</v>
      </c>
      <c r="P30" s="262">
        <v>50</v>
      </c>
    </row>
    <row r="31" spans="1:16">
      <c r="A31" s="243" t="s">
        <v>47</v>
      </c>
      <c r="B31" s="243">
        <v>243</v>
      </c>
      <c r="C31" s="243">
        <v>251</v>
      </c>
      <c r="D31" s="243">
        <v>260</v>
      </c>
      <c r="E31" s="243">
        <v>284</v>
      </c>
      <c r="F31" s="243">
        <v>303</v>
      </c>
      <c r="G31" s="243">
        <v>314</v>
      </c>
      <c r="H31" s="243">
        <v>340</v>
      </c>
      <c r="I31" s="243">
        <v>250</v>
      </c>
      <c r="J31" s="243"/>
      <c r="K31" s="243">
        <v>258</v>
      </c>
      <c r="L31" s="243">
        <v>225</v>
      </c>
      <c r="M31" s="243">
        <v>231</v>
      </c>
      <c r="N31" s="243">
        <v>194</v>
      </c>
      <c r="O31" s="262">
        <v>191</v>
      </c>
      <c r="P31" s="262">
        <v>176</v>
      </c>
    </row>
    <row r="32" spans="1:16">
      <c r="A32" s="243" t="s">
        <v>48</v>
      </c>
      <c r="B32" s="243">
        <v>189</v>
      </c>
      <c r="C32" s="243">
        <v>187</v>
      </c>
      <c r="D32" s="243">
        <v>205</v>
      </c>
      <c r="E32" s="243">
        <v>215</v>
      </c>
      <c r="F32" s="243">
        <v>205</v>
      </c>
      <c r="G32" s="243">
        <v>203</v>
      </c>
      <c r="H32" s="243">
        <v>203</v>
      </c>
      <c r="I32" s="243">
        <v>222</v>
      </c>
      <c r="J32" s="243"/>
      <c r="K32" s="243">
        <v>188</v>
      </c>
      <c r="L32" s="243">
        <v>184</v>
      </c>
      <c r="M32" s="243">
        <v>188</v>
      </c>
      <c r="N32" s="243">
        <v>183</v>
      </c>
      <c r="O32" s="262">
        <v>272</v>
      </c>
      <c r="P32" s="262">
        <v>175</v>
      </c>
    </row>
    <row r="33" spans="1:16">
      <c r="A33" s="243" t="s">
        <v>49</v>
      </c>
      <c r="B33" s="243">
        <v>140</v>
      </c>
      <c r="C33" s="243">
        <v>169</v>
      </c>
      <c r="D33" s="243">
        <v>173</v>
      </c>
      <c r="E33" s="243">
        <v>173</v>
      </c>
      <c r="F33" s="243">
        <v>193</v>
      </c>
      <c r="G33" s="243">
        <v>213</v>
      </c>
      <c r="H33" s="243">
        <v>185</v>
      </c>
      <c r="I33" s="243">
        <v>236</v>
      </c>
      <c r="J33" s="243"/>
      <c r="K33" s="243">
        <v>181</v>
      </c>
      <c r="L33" s="243">
        <v>176</v>
      </c>
      <c r="M33" s="243">
        <v>169</v>
      </c>
      <c r="N33" s="243">
        <v>166</v>
      </c>
      <c r="O33" s="262">
        <v>164</v>
      </c>
      <c r="P33" s="262">
        <v>173</v>
      </c>
    </row>
    <row r="34" spans="1:16">
      <c r="A34" s="243" t="s">
        <v>60</v>
      </c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>
        <v>116</v>
      </c>
      <c r="O34" s="262">
        <v>103</v>
      </c>
      <c r="P34" s="262">
        <v>107</v>
      </c>
    </row>
    <row r="35" spans="1:16">
      <c r="A35" s="243" t="s">
        <v>50</v>
      </c>
      <c r="B35" s="243">
        <v>279</v>
      </c>
      <c r="C35" s="243">
        <v>274</v>
      </c>
      <c r="D35" s="243">
        <v>276</v>
      </c>
      <c r="E35" s="243">
        <v>275</v>
      </c>
      <c r="F35" s="243">
        <v>279</v>
      </c>
      <c r="G35" s="243">
        <v>298</v>
      </c>
      <c r="H35" s="243">
        <v>280</v>
      </c>
      <c r="I35" s="243">
        <v>300</v>
      </c>
      <c r="J35" s="243"/>
      <c r="K35" s="243">
        <v>288</v>
      </c>
      <c r="L35" s="243">
        <v>295</v>
      </c>
      <c r="M35" s="243">
        <v>263</v>
      </c>
      <c r="N35" s="243">
        <v>255</v>
      </c>
      <c r="O35" s="262">
        <v>252</v>
      </c>
      <c r="P35" s="262">
        <v>245</v>
      </c>
    </row>
    <row r="36" spans="1:16">
      <c r="A36" s="243" t="s">
        <v>51</v>
      </c>
      <c r="B36" s="243">
        <v>242</v>
      </c>
      <c r="C36" s="243">
        <v>254</v>
      </c>
      <c r="D36" s="243">
        <v>248</v>
      </c>
      <c r="E36" s="243">
        <v>235</v>
      </c>
      <c r="F36" s="243">
        <v>262</v>
      </c>
      <c r="G36" s="243">
        <v>258</v>
      </c>
      <c r="H36" s="243">
        <v>296</v>
      </c>
      <c r="I36" s="243">
        <v>304</v>
      </c>
      <c r="J36" s="243"/>
      <c r="K36" s="243">
        <v>252</v>
      </c>
      <c r="L36" s="243">
        <v>274</v>
      </c>
      <c r="M36" s="243">
        <v>267</v>
      </c>
      <c r="N36" s="243"/>
      <c r="O36" s="262"/>
      <c r="P36" s="262"/>
    </row>
    <row r="37" spans="1:16">
      <c r="A37" s="243" t="s">
        <v>52</v>
      </c>
      <c r="B37" s="243">
        <v>243</v>
      </c>
      <c r="C37" s="243">
        <v>251</v>
      </c>
      <c r="D37" s="243">
        <v>260</v>
      </c>
      <c r="E37" s="243">
        <v>284</v>
      </c>
      <c r="F37" s="243">
        <v>303</v>
      </c>
      <c r="G37" s="243">
        <v>314</v>
      </c>
      <c r="H37" s="243">
        <v>340</v>
      </c>
      <c r="I37" s="243">
        <v>41</v>
      </c>
      <c r="J37" s="243"/>
      <c r="K37" s="243">
        <v>25</v>
      </c>
      <c r="L37" s="243">
        <v>28</v>
      </c>
      <c r="M37" s="243">
        <v>27</v>
      </c>
      <c r="N37" s="243">
        <v>31</v>
      </c>
      <c r="O37" s="262">
        <v>29</v>
      </c>
      <c r="P37" s="262">
        <v>26</v>
      </c>
    </row>
    <row r="38" spans="1:16">
      <c r="A38" s="243" t="s">
        <v>53</v>
      </c>
      <c r="B38" s="243">
        <v>243</v>
      </c>
      <c r="C38" s="243">
        <v>251</v>
      </c>
      <c r="D38" s="243">
        <v>260</v>
      </c>
      <c r="E38" s="243">
        <v>284</v>
      </c>
      <c r="F38" s="243">
        <v>303</v>
      </c>
      <c r="G38" s="243">
        <v>314</v>
      </c>
      <c r="H38" s="243">
        <v>340</v>
      </c>
      <c r="I38" s="243">
        <v>24</v>
      </c>
      <c r="J38" s="243"/>
      <c r="K38" s="243">
        <v>26</v>
      </c>
      <c r="L38" s="243">
        <v>20</v>
      </c>
      <c r="M38" s="243">
        <v>19</v>
      </c>
      <c r="N38" s="243">
        <v>11</v>
      </c>
      <c r="O38" s="262">
        <v>7</v>
      </c>
      <c r="P38" s="262">
        <v>7</v>
      </c>
    </row>
    <row r="39" spans="1:16" ht="15.75" thickBot="1">
      <c r="A39" s="243" t="s">
        <v>84</v>
      </c>
      <c r="B39" s="243">
        <v>377</v>
      </c>
      <c r="C39" s="243">
        <v>386</v>
      </c>
      <c r="D39" s="243">
        <v>378</v>
      </c>
      <c r="E39" s="243">
        <v>388</v>
      </c>
      <c r="F39" s="243">
        <v>433</v>
      </c>
      <c r="G39" s="243">
        <v>439</v>
      </c>
      <c r="H39" s="243">
        <v>438</v>
      </c>
      <c r="I39" s="243">
        <v>472</v>
      </c>
      <c r="J39" s="243"/>
      <c r="K39" s="243">
        <v>418</v>
      </c>
      <c r="L39" s="243">
        <v>431</v>
      </c>
      <c r="M39" s="243">
        <v>406</v>
      </c>
      <c r="N39" s="243">
        <v>421</v>
      </c>
      <c r="O39" s="262">
        <v>418</v>
      </c>
      <c r="P39" s="262">
        <v>366</v>
      </c>
    </row>
    <row r="40" spans="1:16" ht="15.75" thickTop="1">
      <c r="A40" s="267" t="s">
        <v>83</v>
      </c>
      <c r="B40" s="109">
        <v>4582</v>
      </c>
      <c r="C40" s="109">
        <v>4763</v>
      </c>
      <c r="D40" s="109">
        <v>4760</v>
      </c>
      <c r="E40" s="109">
        <v>4819</v>
      </c>
      <c r="F40" s="109">
        <v>5207</v>
      </c>
      <c r="G40" s="109">
        <v>5220</v>
      </c>
      <c r="H40" s="109">
        <v>5193</v>
      </c>
      <c r="I40" s="109">
        <v>5470</v>
      </c>
      <c r="J40" s="109"/>
      <c r="K40" s="109">
        <v>4989</v>
      </c>
      <c r="L40" s="109">
        <v>5021</v>
      </c>
      <c r="M40" s="109">
        <v>4767</v>
      </c>
      <c r="N40" s="109">
        <v>4743</v>
      </c>
      <c r="O40" s="109">
        <v>4490</v>
      </c>
      <c r="P40" s="109">
        <v>4252</v>
      </c>
    </row>
  </sheetData>
  <mergeCells count="3">
    <mergeCell ref="A3:N3"/>
    <mergeCell ref="A4:D4"/>
    <mergeCell ref="B20:P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38848-EE56-46F9-B5C5-76FCC76BC9DD}">
  <sheetPr codeName="Feuil23"/>
  <dimension ref="A8:AA48"/>
  <sheetViews>
    <sheetView zoomScale="85" zoomScaleNormal="85" workbookViewId="0">
      <selection activeCell="I19" sqref="H19:I20"/>
    </sheetView>
  </sheetViews>
  <sheetFormatPr baseColWidth="10" defaultRowHeight="12" customHeight="1"/>
  <cols>
    <col min="1" max="1" width="29.140625" style="135" customWidth="1"/>
    <col min="2" max="14" width="14.28515625" style="132" customWidth="1"/>
    <col min="15" max="16384" width="11.42578125" style="132"/>
  </cols>
  <sheetData>
    <row r="8" spans="1:27" ht="15" customHeight="1">
      <c r="A8" s="360" t="s">
        <v>132</v>
      </c>
      <c r="B8" s="361"/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</row>
    <row r="9" spans="1:27" ht="15" customHeight="1">
      <c r="A9" s="133"/>
    </row>
    <row r="10" spans="1:27" s="134" customFormat="1" ht="18.75" customHeight="1">
      <c r="A10" s="180"/>
      <c r="B10" s="362" t="s">
        <v>86</v>
      </c>
      <c r="C10" s="363"/>
      <c r="D10" s="363"/>
      <c r="E10" s="363"/>
      <c r="F10" s="364"/>
      <c r="G10" s="363" t="s">
        <v>71</v>
      </c>
      <c r="H10" s="363"/>
      <c r="I10" s="363"/>
      <c r="J10" s="363"/>
      <c r="K10" s="364"/>
      <c r="L10" s="362" t="s">
        <v>101</v>
      </c>
      <c r="M10" s="363"/>
      <c r="N10" s="363"/>
    </row>
    <row r="11" spans="1:27" ht="38.25">
      <c r="A11" s="181"/>
      <c r="B11" s="182" t="s">
        <v>102</v>
      </c>
      <c r="C11" s="183" t="s">
        <v>103</v>
      </c>
      <c r="D11" s="184" t="s">
        <v>131</v>
      </c>
      <c r="E11" s="183" t="s">
        <v>104</v>
      </c>
      <c r="F11" s="123" t="s">
        <v>105</v>
      </c>
      <c r="G11" s="182" t="s">
        <v>4</v>
      </c>
      <c r="H11" s="183" t="s">
        <v>6</v>
      </c>
      <c r="I11" s="183" t="s">
        <v>7</v>
      </c>
      <c r="J11" s="183" t="s">
        <v>5</v>
      </c>
      <c r="K11" s="123" t="s">
        <v>106</v>
      </c>
      <c r="L11" s="184" t="s">
        <v>107</v>
      </c>
      <c r="M11" s="183" t="s">
        <v>108</v>
      </c>
      <c r="N11" s="184" t="s">
        <v>109</v>
      </c>
    </row>
    <row r="12" spans="1:27" ht="15" customHeight="1">
      <c r="A12" s="124" t="s">
        <v>96</v>
      </c>
      <c r="B12" s="185">
        <v>18</v>
      </c>
      <c r="C12" s="186">
        <v>17</v>
      </c>
      <c r="D12" s="186">
        <v>35</v>
      </c>
      <c r="E12" s="186">
        <v>16</v>
      </c>
      <c r="F12" s="187">
        <v>51</v>
      </c>
      <c r="G12" s="185">
        <v>28</v>
      </c>
      <c r="H12" s="186">
        <v>32</v>
      </c>
      <c r="I12" s="186">
        <v>30</v>
      </c>
      <c r="J12" s="186">
        <v>34</v>
      </c>
      <c r="K12" s="187">
        <v>124</v>
      </c>
      <c r="L12" s="188">
        <v>175</v>
      </c>
      <c r="M12" s="186">
        <v>1083</v>
      </c>
      <c r="N12" s="186">
        <v>1258</v>
      </c>
    </row>
    <row r="13" spans="1:27" ht="15" customHeight="1">
      <c r="A13" s="124" t="s">
        <v>16</v>
      </c>
      <c r="B13" s="185">
        <v>936</v>
      </c>
      <c r="C13" s="186">
        <v>649</v>
      </c>
      <c r="D13" s="186">
        <v>1585</v>
      </c>
      <c r="E13" s="186">
        <v>1175</v>
      </c>
      <c r="F13" s="187">
        <v>2760</v>
      </c>
      <c r="G13" s="185">
        <v>1421</v>
      </c>
      <c r="H13" s="186">
        <v>1400</v>
      </c>
      <c r="I13" s="186">
        <v>1381</v>
      </c>
      <c r="J13" s="186">
        <v>1452</v>
      </c>
      <c r="K13" s="187">
        <v>5654</v>
      </c>
      <c r="L13" s="188">
        <v>8414</v>
      </c>
      <c r="M13" s="186">
        <v>59510</v>
      </c>
      <c r="N13" s="186">
        <v>67924</v>
      </c>
    </row>
    <row r="14" spans="1:27" ht="15" customHeight="1">
      <c r="A14" s="124" t="s">
        <v>30</v>
      </c>
      <c r="B14" s="185">
        <v>389</v>
      </c>
      <c r="C14" s="186">
        <v>298</v>
      </c>
      <c r="D14" s="186">
        <v>687</v>
      </c>
      <c r="E14" s="186">
        <v>420</v>
      </c>
      <c r="F14" s="187">
        <v>1107</v>
      </c>
      <c r="G14" s="185">
        <v>550</v>
      </c>
      <c r="H14" s="186">
        <v>522</v>
      </c>
      <c r="I14" s="186">
        <v>543</v>
      </c>
      <c r="J14" s="186">
        <v>529</v>
      </c>
      <c r="K14" s="187">
        <v>2144</v>
      </c>
      <c r="L14" s="188">
        <v>3251</v>
      </c>
      <c r="M14" s="186">
        <v>22941</v>
      </c>
      <c r="N14" s="186">
        <v>26192</v>
      </c>
    </row>
    <row r="15" spans="1:27" ht="15" customHeight="1">
      <c r="A15" s="124" t="s">
        <v>31</v>
      </c>
      <c r="B15" s="185">
        <v>368</v>
      </c>
      <c r="C15" s="186">
        <v>234</v>
      </c>
      <c r="D15" s="186">
        <v>602</v>
      </c>
      <c r="E15" s="186">
        <v>495</v>
      </c>
      <c r="F15" s="187">
        <v>1097</v>
      </c>
      <c r="G15" s="185">
        <v>603</v>
      </c>
      <c r="H15" s="186">
        <v>563</v>
      </c>
      <c r="I15" s="186">
        <v>577</v>
      </c>
      <c r="J15" s="186">
        <v>612</v>
      </c>
      <c r="K15" s="187">
        <v>2355</v>
      </c>
      <c r="L15" s="188">
        <v>3452</v>
      </c>
      <c r="M15" s="186">
        <v>21517</v>
      </c>
      <c r="N15" s="186">
        <v>24969</v>
      </c>
    </row>
    <row r="16" spans="1:27" ht="15" customHeight="1">
      <c r="A16" s="124" t="s">
        <v>32</v>
      </c>
      <c r="B16" s="185">
        <v>224</v>
      </c>
      <c r="C16" s="186">
        <v>144</v>
      </c>
      <c r="D16" s="186">
        <v>368</v>
      </c>
      <c r="E16" s="186">
        <v>302</v>
      </c>
      <c r="F16" s="187">
        <v>670</v>
      </c>
      <c r="G16" s="185">
        <v>311</v>
      </c>
      <c r="H16" s="186">
        <v>342</v>
      </c>
      <c r="I16" s="186">
        <v>374</v>
      </c>
      <c r="J16" s="186">
        <v>413</v>
      </c>
      <c r="K16" s="187">
        <v>1440</v>
      </c>
      <c r="L16" s="188">
        <v>2110</v>
      </c>
      <c r="M16" s="186">
        <v>14234</v>
      </c>
      <c r="N16" s="186">
        <v>16344</v>
      </c>
    </row>
    <row r="17" spans="1:14" ht="15" customHeight="1">
      <c r="A17" s="124" t="s">
        <v>33</v>
      </c>
      <c r="B17" s="185">
        <v>388</v>
      </c>
      <c r="C17" s="186">
        <v>243</v>
      </c>
      <c r="D17" s="186">
        <v>631</v>
      </c>
      <c r="E17" s="186">
        <v>431</v>
      </c>
      <c r="F17" s="187">
        <v>1062</v>
      </c>
      <c r="G17" s="185">
        <v>552</v>
      </c>
      <c r="H17" s="186">
        <v>570</v>
      </c>
      <c r="I17" s="186">
        <v>530</v>
      </c>
      <c r="J17" s="186">
        <v>567</v>
      </c>
      <c r="K17" s="187">
        <v>2219</v>
      </c>
      <c r="L17" s="188">
        <v>3281</v>
      </c>
      <c r="M17" s="186">
        <v>25038</v>
      </c>
      <c r="N17" s="186">
        <v>28319</v>
      </c>
    </row>
    <row r="18" spans="1:14" ht="15" customHeight="1">
      <c r="A18" s="124" t="s">
        <v>34</v>
      </c>
      <c r="B18" s="185">
        <v>394</v>
      </c>
      <c r="C18" s="186">
        <v>311</v>
      </c>
      <c r="D18" s="186">
        <v>705</v>
      </c>
      <c r="E18" s="186">
        <v>497</v>
      </c>
      <c r="F18" s="187">
        <v>1202</v>
      </c>
      <c r="G18" s="185">
        <v>594</v>
      </c>
      <c r="H18" s="186">
        <v>652</v>
      </c>
      <c r="I18" s="186">
        <v>592</v>
      </c>
      <c r="J18" s="186">
        <v>668</v>
      </c>
      <c r="K18" s="187">
        <v>2506</v>
      </c>
      <c r="L18" s="188">
        <v>3708</v>
      </c>
      <c r="M18" s="186">
        <v>23420</v>
      </c>
      <c r="N18" s="186">
        <v>27128</v>
      </c>
    </row>
    <row r="19" spans="1:14" ht="15" customHeight="1">
      <c r="A19" s="124" t="s">
        <v>89</v>
      </c>
      <c r="B19" s="185">
        <v>192</v>
      </c>
      <c r="C19" s="186">
        <v>142</v>
      </c>
      <c r="D19" s="186">
        <v>334</v>
      </c>
      <c r="E19" s="186">
        <v>291</v>
      </c>
      <c r="F19" s="187">
        <v>625</v>
      </c>
      <c r="G19" s="185">
        <v>440</v>
      </c>
      <c r="H19" s="186">
        <v>487</v>
      </c>
      <c r="I19" s="186">
        <v>566</v>
      </c>
      <c r="J19" s="186">
        <v>635</v>
      </c>
      <c r="K19" s="187">
        <v>2128</v>
      </c>
      <c r="L19" s="188">
        <v>2753</v>
      </c>
      <c r="M19" s="186">
        <v>16904</v>
      </c>
      <c r="N19" s="186">
        <v>19657</v>
      </c>
    </row>
    <row r="20" spans="1:14" ht="15" customHeight="1">
      <c r="A20" s="124" t="s">
        <v>35</v>
      </c>
      <c r="B20" s="185">
        <v>288</v>
      </c>
      <c r="C20" s="186">
        <v>227</v>
      </c>
      <c r="D20" s="186">
        <v>515</v>
      </c>
      <c r="E20" s="186">
        <v>409</v>
      </c>
      <c r="F20" s="187">
        <v>924</v>
      </c>
      <c r="G20" s="185">
        <v>508</v>
      </c>
      <c r="H20" s="186">
        <v>534</v>
      </c>
      <c r="I20" s="186">
        <v>523</v>
      </c>
      <c r="J20" s="186">
        <v>498</v>
      </c>
      <c r="K20" s="187">
        <v>2063</v>
      </c>
      <c r="L20" s="188">
        <v>2987</v>
      </c>
      <c r="M20" s="186">
        <v>18020</v>
      </c>
      <c r="N20" s="186">
        <v>21007</v>
      </c>
    </row>
    <row r="21" spans="1:14" ht="15" customHeight="1">
      <c r="A21" s="124" t="s">
        <v>55</v>
      </c>
      <c r="B21" s="185">
        <v>567</v>
      </c>
      <c r="C21" s="186">
        <v>434</v>
      </c>
      <c r="D21" s="186">
        <v>1001</v>
      </c>
      <c r="E21" s="186">
        <v>748</v>
      </c>
      <c r="F21" s="187">
        <v>1749</v>
      </c>
      <c r="G21" s="185">
        <v>928</v>
      </c>
      <c r="H21" s="186">
        <v>833</v>
      </c>
      <c r="I21" s="186">
        <v>825</v>
      </c>
      <c r="J21" s="186">
        <v>864</v>
      </c>
      <c r="K21" s="187">
        <v>3450</v>
      </c>
      <c r="L21" s="188">
        <v>5199</v>
      </c>
      <c r="M21" s="186">
        <v>28915</v>
      </c>
      <c r="N21" s="186">
        <v>34114</v>
      </c>
    </row>
    <row r="22" spans="1:14" ht="15" customHeight="1">
      <c r="A22" s="124" t="s">
        <v>36</v>
      </c>
      <c r="B22" s="185">
        <v>143</v>
      </c>
      <c r="C22" s="186">
        <v>101</v>
      </c>
      <c r="D22" s="186">
        <v>244</v>
      </c>
      <c r="E22" s="186">
        <v>170</v>
      </c>
      <c r="F22" s="187">
        <v>414</v>
      </c>
      <c r="G22" s="185">
        <v>205</v>
      </c>
      <c r="H22" s="186">
        <v>215</v>
      </c>
      <c r="I22" s="186">
        <v>216</v>
      </c>
      <c r="J22" s="186">
        <v>234</v>
      </c>
      <c r="K22" s="187">
        <v>870</v>
      </c>
      <c r="L22" s="188">
        <v>1284</v>
      </c>
      <c r="M22" s="186">
        <v>10138</v>
      </c>
      <c r="N22" s="186">
        <v>11422</v>
      </c>
    </row>
    <row r="23" spans="1:14" ht="15" customHeight="1">
      <c r="A23" s="124" t="s">
        <v>56</v>
      </c>
      <c r="B23" s="185">
        <v>65</v>
      </c>
      <c r="C23" s="186">
        <v>35</v>
      </c>
      <c r="D23" s="186">
        <v>100</v>
      </c>
      <c r="E23" s="186">
        <v>74</v>
      </c>
      <c r="F23" s="187">
        <v>174</v>
      </c>
      <c r="G23" s="185">
        <v>91</v>
      </c>
      <c r="H23" s="186">
        <v>98</v>
      </c>
      <c r="I23" s="186">
        <v>114</v>
      </c>
      <c r="J23" s="186">
        <v>116</v>
      </c>
      <c r="K23" s="187">
        <v>419</v>
      </c>
      <c r="L23" s="188">
        <v>593</v>
      </c>
      <c r="M23" s="186">
        <v>4374</v>
      </c>
      <c r="N23" s="186">
        <v>4967</v>
      </c>
    </row>
    <row r="24" spans="1:14" ht="15" customHeight="1">
      <c r="A24" s="124" t="s">
        <v>57</v>
      </c>
      <c r="B24" s="185">
        <v>169</v>
      </c>
      <c r="C24" s="186">
        <v>117</v>
      </c>
      <c r="D24" s="186">
        <v>286</v>
      </c>
      <c r="E24" s="186">
        <v>201</v>
      </c>
      <c r="F24" s="187">
        <v>487</v>
      </c>
      <c r="G24" s="185">
        <v>251</v>
      </c>
      <c r="H24" s="186">
        <v>260</v>
      </c>
      <c r="I24" s="186">
        <v>296</v>
      </c>
      <c r="J24" s="186">
        <v>273</v>
      </c>
      <c r="K24" s="187">
        <v>1080</v>
      </c>
      <c r="L24" s="188">
        <v>1567</v>
      </c>
      <c r="M24" s="186">
        <v>9752</v>
      </c>
      <c r="N24" s="186">
        <v>11319</v>
      </c>
    </row>
    <row r="25" spans="1:14" ht="15" customHeight="1">
      <c r="A25" s="124" t="s">
        <v>58</v>
      </c>
      <c r="B25" s="185">
        <v>134</v>
      </c>
      <c r="C25" s="186">
        <v>92</v>
      </c>
      <c r="D25" s="186">
        <v>226</v>
      </c>
      <c r="E25" s="186">
        <v>159</v>
      </c>
      <c r="F25" s="187">
        <v>385</v>
      </c>
      <c r="G25" s="185">
        <v>205</v>
      </c>
      <c r="H25" s="186">
        <v>190</v>
      </c>
      <c r="I25" s="186">
        <v>197</v>
      </c>
      <c r="J25" s="186">
        <v>199</v>
      </c>
      <c r="K25" s="187">
        <v>791</v>
      </c>
      <c r="L25" s="188">
        <v>1176</v>
      </c>
      <c r="M25" s="186">
        <v>6803</v>
      </c>
      <c r="N25" s="186">
        <v>7979</v>
      </c>
    </row>
    <row r="26" spans="1:14" ht="15" customHeight="1">
      <c r="A26" s="124" t="s">
        <v>37</v>
      </c>
      <c r="B26" s="185">
        <v>116</v>
      </c>
      <c r="C26" s="186">
        <v>105</v>
      </c>
      <c r="D26" s="186">
        <v>221</v>
      </c>
      <c r="E26" s="186">
        <v>161</v>
      </c>
      <c r="F26" s="187">
        <v>382</v>
      </c>
      <c r="G26" s="185">
        <v>189</v>
      </c>
      <c r="H26" s="186">
        <v>212</v>
      </c>
      <c r="I26" s="186">
        <v>244</v>
      </c>
      <c r="J26" s="186">
        <v>228</v>
      </c>
      <c r="K26" s="187">
        <v>873</v>
      </c>
      <c r="L26" s="188">
        <v>1255</v>
      </c>
      <c r="M26" s="186">
        <v>7925</v>
      </c>
      <c r="N26" s="186">
        <v>9180</v>
      </c>
    </row>
    <row r="27" spans="1:14" ht="15" customHeight="1">
      <c r="A27" s="124" t="s">
        <v>38</v>
      </c>
      <c r="B27" s="185">
        <v>113</v>
      </c>
      <c r="C27" s="186">
        <v>115</v>
      </c>
      <c r="D27" s="186">
        <v>228</v>
      </c>
      <c r="E27" s="186">
        <v>168</v>
      </c>
      <c r="F27" s="187">
        <v>396</v>
      </c>
      <c r="G27" s="185">
        <v>249</v>
      </c>
      <c r="H27" s="186">
        <v>284</v>
      </c>
      <c r="I27" s="186">
        <v>311</v>
      </c>
      <c r="J27" s="186">
        <v>272</v>
      </c>
      <c r="K27" s="187">
        <v>1116</v>
      </c>
      <c r="L27" s="188">
        <v>1512</v>
      </c>
      <c r="M27" s="186">
        <v>10951</v>
      </c>
      <c r="N27" s="186">
        <v>12463</v>
      </c>
    </row>
    <row r="28" spans="1:14" ht="15" customHeight="1">
      <c r="A28" s="124" t="s">
        <v>39</v>
      </c>
      <c r="B28" s="185">
        <v>219</v>
      </c>
      <c r="C28" s="186">
        <v>169</v>
      </c>
      <c r="D28" s="186">
        <v>388</v>
      </c>
      <c r="E28" s="186">
        <v>262</v>
      </c>
      <c r="F28" s="187">
        <v>650</v>
      </c>
      <c r="G28" s="185">
        <v>319</v>
      </c>
      <c r="H28" s="186">
        <v>311</v>
      </c>
      <c r="I28" s="186">
        <v>264</v>
      </c>
      <c r="J28" s="186">
        <v>268</v>
      </c>
      <c r="K28" s="187">
        <v>1162</v>
      </c>
      <c r="L28" s="188">
        <v>1812</v>
      </c>
      <c r="M28" s="186">
        <v>10810</v>
      </c>
      <c r="N28" s="186">
        <v>12622</v>
      </c>
    </row>
    <row r="29" spans="1:14" ht="15" customHeight="1">
      <c r="A29" s="124" t="s">
        <v>40</v>
      </c>
      <c r="B29" s="185">
        <v>46</v>
      </c>
      <c r="C29" s="186">
        <v>36</v>
      </c>
      <c r="D29" s="186">
        <v>82</v>
      </c>
      <c r="E29" s="186">
        <v>58</v>
      </c>
      <c r="F29" s="187">
        <v>140</v>
      </c>
      <c r="G29" s="185">
        <v>69</v>
      </c>
      <c r="H29" s="186">
        <v>91</v>
      </c>
      <c r="I29" s="186">
        <v>89</v>
      </c>
      <c r="J29" s="186">
        <v>90</v>
      </c>
      <c r="K29" s="187">
        <v>339</v>
      </c>
      <c r="L29" s="188">
        <v>479</v>
      </c>
      <c r="M29" s="186">
        <v>3086</v>
      </c>
      <c r="N29" s="186">
        <v>3565</v>
      </c>
    </row>
    <row r="30" spans="1:14" ht="15" customHeight="1">
      <c r="A30" s="124" t="s">
        <v>41</v>
      </c>
      <c r="B30" s="185">
        <v>701</v>
      </c>
      <c r="C30" s="186">
        <v>498</v>
      </c>
      <c r="D30" s="186">
        <v>1199</v>
      </c>
      <c r="E30" s="186">
        <v>915</v>
      </c>
      <c r="F30" s="187">
        <v>2114</v>
      </c>
      <c r="G30" s="185">
        <v>1164</v>
      </c>
      <c r="H30" s="186">
        <v>1219</v>
      </c>
      <c r="I30" s="186">
        <v>1289</v>
      </c>
      <c r="J30" s="186">
        <v>1211</v>
      </c>
      <c r="K30" s="187">
        <v>4883</v>
      </c>
      <c r="L30" s="188">
        <v>6997</v>
      </c>
      <c r="M30" s="186">
        <v>40886</v>
      </c>
      <c r="N30" s="186">
        <v>47883</v>
      </c>
    </row>
    <row r="31" spans="1:14" ht="15" customHeight="1">
      <c r="A31" s="124" t="s">
        <v>42</v>
      </c>
      <c r="B31" s="185">
        <v>671</v>
      </c>
      <c r="C31" s="186">
        <v>437</v>
      </c>
      <c r="D31" s="186">
        <v>1108</v>
      </c>
      <c r="E31" s="186">
        <v>829</v>
      </c>
      <c r="F31" s="187">
        <v>1937</v>
      </c>
      <c r="G31" s="185">
        <v>1104</v>
      </c>
      <c r="H31" s="186">
        <v>1154</v>
      </c>
      <c r="I31" s="186">
        <v>1123</v>
      </c>
      <c r="J31" s="186">
        <v>1177</v>
      </c>
      <c r="K31" s="187">
        <v>4558</v>
      </c>
      <c r="L31" s="188">
        <v>6495</v>
      </c>
      <c r="M31" s="186">
        <v>43498</v>
      </c>
      <c r="N31" s="186">
        <v>49993</v>
      </c>
    </row>
    <row r="32" spans="1:14" ht="15" customHeight="1">
      <c r="A32" s="124" t="s">
        <v>43</v>
      </c>
      <c r="B32" s="185">
        <v>132</v>
      </c>
      <c r="C32" s="186">
        <v>83</v>
      </c>
      <c r="D32" s="186">
        <v>215</v>
      </c>
      <c r="E32" s="186">
        <v>158</v>
      </c>
      <c r="F32" s="187">
        <v>373</v>
      </c>
      <c r="G32" s="185">
        <v>215</v>
      </c>
      <c r="H32" s="186">
        <v>228</v>
      </c>
      <c r="I32" s="186">
        <v>219</v>
      </c>
      <c r="J32" s="186">
        <v>234</v>
      </c>
      <c r="K32" s="187">
        <v>896</v>
      </c>
      <c r="L32" s="188">
        <v>1269</v>
      </c>
      <c r="M32" s="186">
        <v>8636</v>
      </c>
      <c r="N32" s="186">
        <v>9905</v>
      </c>
    </row>
    <row r="33" spans="1:14" ht="15" customHeight="1">
      <c r="A33" s="124" t="s">
        <v>59</v>
      </c>
      <c r="B33" s="185">
        <v>312</v>
      </c>
      <c r="C33" s="186">
        <v>223</v>
      </c>
      <c r="D33" s="186">
        <v>535</v>
      </c>
      <c r="E33" s="186">
        <v>397</v>
      </c>
      <c r="F33" s="187">
        <v>932</v>
      </c>
      <c r="G33" s="185">
        <v>424</v>
      </c>
      <c r="H33" s="186">
        <v>505</v>
      </c>
      <c r="I33" s="186">
        <v>505</v>
      </c>
      <c r="J33" s="186">
        <v>466</v>
      </c>
      <c r="K33" s="187">
        <v>1900</v>
      </c>
      <c r="L33" s="188">
        <v>2832</v>
      </c>
      <c r="M33" s="186">
        <v>20952</v>
      </c>
      <c r="N33" s="186">
        <v>23784</v>
      </c>
    </row>
    <row r="34" spans="1:14" ht="15" customHeight="1">
      <c r="A34" s="124" t="s">
        <v>44</v>
      </c>
      <c r="B34" s="185">
        <v>401</v>
      </c>
      <c r="C34" s="186">
        <v>274</v>
      </c>
      <c r="D34" s="186">
        <v>675</v>
      </c>
      <c r="E34" s="186">
        <v>396</v>
      </c>
      <c r="F34" s="187">
        <v>1071</v>
      </c>
      <c r="G34" s="185">
        <v>494</v>
      </c>
      <c r="H34" s="186">
        <v>511</v>
      </c>
      <c r="I34" s="186">
        <v>531</v>
      </c>
      <c r="J34" s="186">
        <v>478</v>
      </c>
      <c r="K34" s="187">
        <v>2014</v>
      </c>
      <c r="L34" s="188">
        <v>3085</v>
      </c>
      <c r="M34" s="186">
        <v>20243</v>
      </c>
      <c r="N34" s="186">
        <v>23328</v>
      </c>
    </row>
    <row r="35" spans="1:14" ht="15" customHeight="1">
      <c r="A35" s="124" t="s">
        <v>45</v>
      </c>
      <c r="B35" s="185">
        <v>504</v>
      </c>
      <c r="C35" s="186">
        <v>300</v>
      </c>
      <c r="D35" s="186">
        <v>804</v>
      </c>
      <c r="E35" s="186">
        <v>572</v>
      </c>
      <c r="F35" s="187">
        <v>1376</v>
      </c>
      <c r="G35" s="185">
        <v>756</v>
      </c>
      <c r="H35" s="186">
        <v>767</v>
      </c>
      <c r="I35" s="186">
        <v>739</v>
      </c>
      <c r="J35" s="186">
        <v>732</v>
      </c>
      <c r="K35" s="187">
        <v>2994</v>
      </c>
      <c r="L35" s="188">
        <v>4370</v>
      </c>
      <c r="M35" s="186">
        <v>31359</v>
      </c>
      <c r="N35" s="186">
        <v>35729</v>
      </c>
    </row>
    <row r="36" spans="1:14" ht="15" customHeight="1">
      <c r="A36" s="124" t="s">
        <v>46</v>
      </c>
      <c r="B36" s="185">
        <v>153</v>
      </c>
      <c r="C36" s="186">
        <v>125</v>
      </c>
      <c r="D36" s="186">
        <v>278</v>
      </c>
      <c r="E36" s="186">
        <v>174</v>
      </c>
      <c r="F36" s="187">
        <v>452</v>
      </c>
      <c r="G36" s="185">
        <v>232</v>
      </c>
      <c r="H36" s="186">
        <v>233</v>
      </c>
      <c r="I36" s="186">
        <v>279</v>
      </c>
      <c r="J36" s="186">
        <v>271</v>
      </c>
      <c r="K36" s="187">
        <v>1015</v>
      </c>
      <c r="L36" s="188">
        <v>1467</v>
      </c>
      <c r="M36" s="186">
        <v>10439</v>
      </c>
      <c r="N36" s="186">
        <v>11906</v>
      </c>
    </row>
    <row r="37" spans="1:14" ht="15" customHeight="1">
      <c r="A37" s="124" t="s">
        <v>47</v>
      </c>
      <c r="B37" s="185">
        <v>485</v>
      </c>
      <c r="C37" s="186">
        <v>364</v>
      </c>
      <c r="D37" s="186">
        <v>849</v>
      </c>
      <c r="E37" s="186">
        <v>556</v>
      </c>
      <c r="F37" s="187">
        <v>1405</v>
      </c>
      <c r="G37" s="185">
        <v>712</v>
      </c>
      <c r="H37" s="186">
        <v>776</v>
      </c>
      <c r="I37" s="186">
        <v>764</v>
      </c>
      <c r="J37" s="186">
        <v>768</v>
      </c>
      <c r="K37" s="187">
        <v>3020</v>
      </c>
      <c r="L37" s="188">
        <v>4425</v>
      </c>
      <c r="M37" s="186">
        <v>29864</v>
      </c>
      <c r="N37" s="186">
        <v>34289</v>
      </c>
    </row>
    <row r="38" spans="1:14" ht="15" customHeight="1">
      <c r="A38" s="124" t="s">
        <v>48</v>
      </c>
      <c r="B38" s="185">
        <v>302</v>
      </c>
      <c r="C38" s="186">
        <v>237</v>
      </c>
      <c r="D38" s="186">
        <v>539</v>
      </c>
      <c r="E38" s="186">
        <v>396</v>
      </c>
      <c r="F38" s="187">
        <v>935</v>
      </c>
      <c r="G38" s="185">
        <v>489</v>
      </c>
      <c r="H38" s="186">
        <v>498</v>
      </c>
      <c r="I38" s="186">
        <v>520</v>
      </c>
      <c r="J38" s="186">
        <v>513</v>
      </c>
      <c r="K38" s="187">
        <v>2020</v>
      </c>
      <c r="L38" s="188">
        <v>2955</v>
      </c>
      <c r="M38" s="186">
        <v>25052</v>
      </c>
      <c r="N38" s="186">
        <v>28007</v>
      </c>
    </row>
    <row r="39" spans="1:14" ht="15" customHeight="1">
      <c r="A39" s="124" t="s">
        <v>49</v>
      </c>
      <c r="B39" s="185">
        <v>430</v>
      </c>
      <c r="C39" s="186">
        <v>327</v>
      </c>
      <c r="D39" s="186">
        <v>757</v>
      </c>
      <c r="E39" s="186">
        <v>516</v>
      </c>
      <c r="F39" s="187">
        <v>1273</v>
      </c>
      <c r="G39" s="185">
        <v>644</v>
      </c>
      <c r="H39" s="186">
        <v>631</v>
      </c>
      <c r="I39" s="186">
        <v>638</v>
      </c>
      <c r="J39" s="186">
        <v>582</v>
      </c>
      <c r="K39" s="187">
        <v>2495</v>
      </c>
      <c r="L39" s="188">
        <v>3768</v>
      </c>
      <c r="M39" s="186">
        <v>28480</v>
      </c>
      <c r="N39" s="186">
        <v>32248</v>
      </c>
    </row>
    <row r="40" spans="1:14" ht="15" customHeight="1">
      <c r="A40" s="124" t="s">
        <v>92</v>
      </c>
      <c r="B40" s="185">
        <v>29</v>
      </c>
      <c r="C40" s="186">
        <v>22</v>
      </c>
      <c r="D40" s="186">
        <v>51</v>
      </c>
      <c r="E40" s="186">
        <v>35</v>
      </c>
      <c r="F40" s="187">
        <v>86</v>
      </c>
      <c r="G40" s="185">
        <v>43</v>
      </c>
      <c r="H40" s="186">
        <v>38</v>
      </c>
      <c r="I40" s="186">
        <v>37</v>
      </c>
      <c r="J40" s="186">
        <v>36</v>
      </c>
      <c r="K40" s="187">
        <v>154</v>
      </c>
      <c r="L40" s="188">
        <v>240</v>
      </c>
      <c r="M40" s="186">
        <v>1535</v>
      </c>
      <c r="N40" s="186">
        <v>1775</v>
      </c>
    </row>
    <row r="41" spans="1:14" ht="15" customHeight="1">
      <c r="A41" s="124" t="s">
        <v>60</v>
      </c>
      <c r="B41" s="185">
        <v>283</v>
      </c>
      <c r="C41" s="186">
        <v>183</v>
      </c>
      <c r="D41" s="186">
        <v>466</v>
      </c>
      <c r="E41" s="186">
        <v>348</v>
      </c>
      <c r="F41" s="187">
        <v>814</v>
      </c>
      <c r="G41" s="185">
        <v>389</v>
      </c>
      <c r="H41" s="186">
        <v>427</v>
      </c>
      <c r="I41" s="186">
        <v>380</v>
      </c>
      <c r="J41" s="186">
        <v>356</v>
      </c>
      <c r="K41" s="187">
        <v>1552</v>
      </c>
      <c r="L41" s="188">
        <v>2366</v>
      </c>
      <c r="M41" s="186">
        <v>17780</v>
      </c>
      <c r="N41" s="186">
        <v>20146</v>
      </c>
    </row>
    <row r="42" spans="1:14" ht="15" customHeight="1">
      <c r="A42" s="124" t="s">
        <v>50</v>
      </c>
      <c r="B42" s="185">
        <v>2093</v>
      </c>
      <c r="C42" s="186">
        <v>1386</v>
      </c>
      <c r="D42" s="186">
        <v>3479</v>
      </c>
      <c r="E42" s="186">
        <v>2208</v>
      </c>
      <c r="F42" s="187">
        <v>5687</v>
      </c>
      <c r="G42" s="185">
        <v>2804</v>
      </c>
      <c r="H42" s="186">
        <v>2760</v>
      </c>
      <c r="I42" s="186">
        <v>2684</v>
      </c>
      <c r="J42" s="186">
        <v>2700</v>
      </c>
      <c r="K42" s="187">
        <v>10948</v>
      </c>
      <c r="L42" s="188">
        <v>16635</v>
      </c>
      <c r="M42" s="186">
        <v>128402</v>
      </c>
      <c r="N42" s="186">
        <v>145037</v>
      </c>
    </row>
    <row r="43" spans="1:14" ht="15" customHeight="1">
      <c r="A43" s="124" t="s">
        <v>52</v>
      </c>
      <c r="B43" s="185">
        <v>80</v>
      </c>
      <c r="C43" s="186">
        <v>64</v>
      </c>
      <c r="D43" s="186">
        <v>144</v>
      </c>
      <c r="E43" s="186">
        <v>129</v>
      </c>
      <c r="F43" s="187">
        <v>273</v>
      </c>
      <c r="G43" s="185">
        <v>173</v>
      </c>
      <c r="H43" s="186">
        <v>159</v>
      </c>
      <c r="I43" s="186">
        <v>177</v>
      </c>
      <c r="J43" s="186">
        <v>159</v>
      </c>
      <c r="K43" s="187">
        <v>668</v>
      </c>
      <c r="L43" s="188">
        <v>941</v>
      </c>
      <c r="M43" s="186">
        <v>5366</v>
      </c>
      <c r="N43" s="186">
        <v>6307</v>
      </c>
    </row>
    <row r="44" spans="1:14" ht="15" customHeight="1">
      <c r="A44" s="124" t="s">
        <v>53</v>
      </c>
      <c r="B44" s="185">
        <v>62</v>
      </c>
      <c r="C44" s="186">
        <v>39</v>
      </c>
      <c r="D44" s="186">
        <v>101</v>
      </c>
      <c r="E44" s="186">
        <v>77</v>
      </c>
      <c r="F44" s="187">
        <v>178</v>
      </c>
      <c r="G44" s="185">
        <v>87</v>
      </c>
      <c r="H44" s="186">
        <v>96</v>
      </c>
      <c r="I44" s="186">
        <v>114</v>
      </c>
      <c r="J44" s="186">
        <v>116</v>
      </c>
      <c r="K44" s="187">
        <v>413</v>
      </c>
      <c r="L44" s="188">
        <v>591</v>
      </c>
      <c r="M44" s="186">
        <v>5366</v>
      </c>
      <c r="N44" s="186">
        <v>5957</v>
      </c>
    </row>
    <row r="45" spans="1:14" ht="15" customHeight="1">
      <c r="A45" s="124" t="s">
        <v>84</v>
      </c>
      <c r="B45" s="185">
        <v>522</v>
      </c>
      <c r="C45" s="186">
        <v>372</v>
      </c>
      <c r="D45" s="186">
        <v>894</v>
      </c>
      <c r="E45" s="186">
        <v>659</v>
      </c>
      <c r="F45" s="187">
        <v>1553</v>
      </c>
      <c r="G45" s="185">
        <v>869</v>
      </c>
      <c r="H45" s="186">
        <v>932</v>
      </c>
      <c r="I45" s="186">
        <v>898</v>
      </c>
      <c r="J45" s="186">
        <v>962</v>
      </c>
      <c r="K45" s="187">
        <v>3661</v>
      </c>
      <c r="L45" s="188">
        <v>5214</v>
      </c>
      <c r="M45" s="186">
        <v>33812</v>
      </c>
      <c r="N45" s="186">
        <v>39026</v>
      </c>
    </row>
    <row r="46" spans="1:14" ht="12" customHeight="1">
      <c r="A46" s="189" t="s">
        <v>83</v>
      </c>
      <c r="B46" s="190">
        <v>11929</v>
      </c>
      <c r="C46" s="190">
        <v>8403</v>
      </c>
      <c r="D46" s="190">
        <v>20332</v>
      </c>
      <c r="E46" s="190">
        <v>14402</v>
      </c>
      <c r="F46" s="190">
        <v>34734</v>
      </c>
      <c r="G46" s="190">
        <v>18112</v>
      </c>
      <c r="H46" s="190">
        <v>18530</v>
      </c>
      <c r="I46" s="190">
        <v>18569</v>
      </c>
      <c r="J46" s="190">
        <v>18713</v>
      </c>
      <c r="K46" s="190">
        <v>73924</v>
      </c>
      <c r="L46" s="190">
        <v>108658</v>
      </c>
      <c r="M46" s="190">
        <v>747091</v>
      </c>
      <c r="N46" s="190">
        <v>855749</v>
      </c>
    </row>
    <row r="48" spans="1:14" ht="12" customHeight="1">
      <c r="A48" s="135" t="s">
        <v>110</v>
      </c>
    </row>
  </sheetData>
  <mergeCells count="4">
    <mergeCell ref="A8:AA8"/>
    <mergeCell ref="B10:F10"/>
    <mergeCell ref="G10:K10"/>
    <mergeCell ref="L10:N10"/>
  </mergeCells>
  <pageMargins left="0.05" right="0.05" top="0.5" bottom="0.5" header="0" footer="0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578-B27D-4247-A1E3-41F6841B87B6}">
  <sheetPr codeName="Feuil18"/>
  <dimension ref="A1:J40"/>
  <sheetViews>
    <sheetView workbookViewId="0">
      <selection activeCell="A6" sqref="A6:A39"/>
    </sheetView>
  </sheetViews>
  <sheetFormatPr baseColWidth="10" defaultRowHeight="15"/>
  <cols>
    <col min="1" max="1" width="23" style="60" bestFit="1" customWidth="1"/>
    <col min="2" max="7" width="8.7109375" style="60" customWidth="1"/>
    <col min="8" max="16384" width="11.42578125" style="60"/>
  </cols>
  <sheetData>
    <row r="1" spans="1:10" s="59" customFormat="1" ht="62.25" customHeight="1"/>
    <row r="2" spans="1:10" s="59" customFormat="1" ht="16.5"/>
    <row r="3" spans="1:10" ht="16.5" customHeight="1">
      <c r="A3" s="377" t="s">
        <v>142</v>
      </c>
      <c r="B3" s="377"/>
      <c r="C3" s="377"/>
      <c r="D3" s="377"/>
      <c r="E3" s="377"/>
      <c r="F3" s="377"/>
      <c r="G3" s="377"/>
      <c r="H3" s="377"/>
      <c r="I3" s="261"/>
      <c r="J3" s="261"/>
    </row>
    <row r="4" spans="1:10" ht="16.5">
      <c r="A4" s="263"/>
      <c r="B4" s="261"/>
      <c r="C4" s="261"/>
      <c r="D4" s="261"/>
      <c r="E4" s="261"/>
      <c r="F4" s="261"/>
      <c r="G4" s="261"/>
      <c r="H4" s="261"/>
      <c r="I4" s="261"/>
      <c r="J4" s="261"/>
    </row>
    <row r="5" spans="1:10">
      <c r="A5" s="194" t="s">
        <v>54</v>
      </c>
      <c r="B5" s="194">
        <v>2016</v>
      </c>
      <c r="C5" s="194">
        <v>2017</v>
      </c>
      <c r="D5" s="194">
        <v>2018</v>
      </c>
      <c r="E5" s="194">
        <v>2019</v>
      </c>
      <c r="F5" s="194">
        <v>2020</v>
      </c>
      <c r="G5" s="194">
        <v>2021</v>
      </c>
      <c r="H5" s="194">
        <v>2022</v>
      </c>
      <c r="I5" s="194">
        <v>2023</v>
      </c>
      <c r="J5" s="194">
        <v>2024</v>
      </c>
    </row>
    <row r="6" spans="1:10">
      <c r="A6" s="243" t="s">
        <v>16</v>
      </c>
      <c r="B6" s="238">
        <v>151.81782608695653</v>
      </c>
      <c r="C6" s="238">
        <v>155.74478260869566</v>
      </c>
      <c r="D6" s="238"/>
      <c r="E6" s="238">
        <v>147.54</v>
      </c>
      <c r="F6" s="238">
        <v>144.25391304347826</v>
      </c>
      <c r="G6" s="238">
        <v>147.99869565217392</v>
      </c>
      <c r="H6" s="238">
        <v>155.43086956521699</v>
      </c>
      <c r="I6" s="238">
        <v>155</v>
      </c>
      <c r="J6" s="238">
        <v>152</v>
      </c>
    </row>
    <row r="7" spans="1:10">
      <c r="A7" s="243" t="s">
        <v>30</v>
      </c>
      <c r="B7" s="238">
        <v>66.667391304347831</v>
      </c>
      <c r="C7" s="238">
        <v>73.984782608695653</v>
      </c>
      <c r="D7" s="238"/>
      <c r="E7" s="238">
        <v>67.573478260869564</v>
      </c>
      <c r="F7" s="238">
        <v>56.54304347826087</v>
      </c>
      <c r="G7" s="238">
        <v>67.466086956521735</v>
      </c>
      <c r="H7" s="238">
        <v>66.405217391304404</v>
      </c>
      <c r="I7" s="238">
        <v>67.900000000000006</v>
      </c>
      <c r="J7" s="238">
        <v>70.5</v>
      </c>
    </row>
    <row r="8" spans="1:10">
      <c r="A8" s="243" t="s">
        <v>31</v>
      </c>
      <c r="B8" s="238">
        <v>62.285652173913043</v>
      </c>
      <c r="C8" s="238">
        <v>58.829130434782606</v>
      </c>
      <c r="D8" s="238"/>
      <c r="E8" s="238">
        <v>59.32782608695652</v>
      </c>
      <c r="F8" s="238">
        <v>66.188260869565212</v>
      </c>
      <c r="G8" s="238">
        <v>62.443043478260869</v>
      </c>
      <c r="H8" s="238">
        <v>62.495217391304401</v>
      </c>
      <c r="I8" s="238">
        <v>60.9</v>
      </c>
      <c r="J8" s="238">
        <v>60</v>
      </c>
    </row>
    <row r="9" spans="1:10">
      <c r="A9" s="243" t="s">
        <v>32</v>
      </c>
      <c r="B9" s="238">
        <v>83.552173913043475</v>
      </c>
      <c r="C9" s="238">
        <v>82.313913043478266</v>
      </c>
      <c r="D9" s="238"/>
      <c r="E9" s="238">
        <v>77.102173913043472</v>
      </c>
      <c r="F9" s="238">
        <v>84.422608695652173</v>
      </c>
      <c r="G9" s="238">
        <v>76.652173913043484</v>
      </c>
      <c r="H9" s="238">
        <v>81.386956521739194</v>
      </c>
      <c r="I9" s="238">
        <v>74.7</v>
      </c>
      <c r="J9" s="238">
        <v>78.900000000000006</v>
      </c>
    </row>
    <row r="10" spans="1:10">
      <c r="A10" s="243" t="s">
        <v>33</v>
      </c>
      <c r="B10" s="238">
        <v>30.719565217391306</v>
      </c>
      <c r="C10" s="238">
        <v>26.993043478260869</v>
      </c>
      <c r="D10" s="238"/>
      <c r="E10" s="238">
        <v>36.10521739130435</v>
      </c>
      <c r="F10" s="238">
        <v>35.521739130434781</v>
      </c>
      <c r="G10" s="238">
        <v>31.760869565217391</v>
      </c>
      <c r="H10" s="238">
        <v>26.4469565217391</v>
      </c>
      <c r="I10" s="238">
        <v>28</v>
      </c>
      <c r="J10" s="238">
        <v>26</v>
      </c>
    </row>
    <row r="11" spans="1:10">
      <c r="A11" s="243" t="s">
        <v>89</v>
      </c>
      <c r="B11" s="238">
        <v>30.051304347826086</v>
      </c>
      <c r="C11" s="238">
        <v>32.270000000000003</v>
      </c>
      <c r="D11" s="238"/>
      <c r="E11" s="238">
        <v>36.080434782608698</v>
      </c>
      <c r="F11" s="238">
        <v>40.30869565217391</v>
      </c>
      <c r="G11" s="238">
        <v>31.685217391304349</v>
      </c>
      <c r="H11" s="236"/>
      <c r="I11" s="236">
        <v>45</v>
      </c>
      <c r="J11" s="238">
        <v>43.9</v>
      </c>
    </row>
    <row r="12" spans="1:10">
      <c r="A12" s="243" t="s">
        <v>34</v>
      </c>
      <c r="B12" s="238">
        <v>69.816521739130437</v>
      </c>
      <c r="C12" s="238">
        <v>67.251739130434785</v>
      </c>
      <c r="D12" s="238"/>
      <c r="E12" s="238">
        <v>73.383913043478259</v>
      </c>
      <c r="F12" s="238">
        <v>76.52739130434783</v>
      </c>
      <c r="G12" s="238">
        <v>72.456521739130437</v>
      </c>
      <c r="H12" s="238">
        <v>63.852173913043501</v>
      </c>
      <c r="I12" s="238">
        <v>54.4</v>
      </c>
      <c r="J12" s="238">
        <v>55.9</v>
      </c>
    </row>
    <row r="13" spans="1:10">
      <c r="A13" s="243" t="s">
        <v>35</v>
      </c>
      <c r="B13" s="238">
        <v>34.110869565217392</v>
      </c>
      <c r="C13" s="238">
        <v>37.591739130434782</v>
      </c>
      <c r="D13" s="238"/>
      <c r="E13" s="238">
        <v>64.380434782608702</v>
      </c>
      <c r="F13" s="238">
        <v>71.303043478260875</v>
      </c>
      <c r="G13" s="238">
        <v>81.840869565217389</v>
      </c>
      <c r="H13" s="238">
        <v>84.75</v>
      </c>
      <c r="I13" s="238">
        <v>73.7</v>
      </c>
      <c r="J13" s="238">
        <v>74.900000000000006</v>
      </c>
    </row>
    <row r="14" spans="1:10">
      <c r="A14" s="243" t="s">
        <v>55</v>
      </c>
      <c r="B14" s="238">
        <v>55.718260869565221</v>
      </c>
      <c r="C14" s="238">
        <v>56.906956521739133</v>
      </c>
      <c r="D14" s="238"/>
      <c r="E14" s="238">
        <v>71.584782608695647</v>
      </c>
      <c r="F14" s="238">
        <v>69.377391304347825</v>
      </c>
      <c r="G14" s="238">
        <v>56.016521739130432</v>
      </c>
      <c r="H14" s="238">
        <v>70.158695652173904</v>
      </c>
      <c r="I14" s="238">
        <v>106.8</v>
      </c>
      <c r="J14" s="238">
        <v>69.2</v>
      </c>
    </row>
    <row r="15" spans="1:10">
      <c r="A15" s="243" t="s">
        <v>36</v>
      </c>
      <c r="B15" s="238">
        <v>21.499565217391304</v>
      </c>
      <c r="C15" s="238">
        <v>18.957391304347826</v>
      </c>
      <c r="D15" s="238"/>
      <c r="E15" s="238">
        <v>16.75391304347826</v>
      </c>
      <c r="F15" s="238">
        <v>16.129565217391303</v>
      </c>
      <c r="G15" s="238">
        <v>16.692173913043479</v>
      </c>
      <c r="H15" s="238">
        <v>16.5365217391304</v>
      </c>
      <c r="I15" s="238">
        <v>18.399999999999999</v>
      </c>
      <c r="J15" s="238">
        <v>18.399999999999999</v>
      </c>
    </row>
    <row r="16" spans="1:10">
      <c r="A16" s="243" t="s">
        <v>56</v>
      </c>
      <c r="B16" s="238">
        <v>5.7656521739130433</v>
      </c>
      <c r="C16" s="238">
        <v>7.0913043478260871</v>
      </c>
      <c r="D16" s="238"/>
      <c r="E16" s="238">
        <v>7.5743478260869566</v>
      </c>
      <c r="F16" s="238">
        <v>8.0534782608695661</v>
      </c>
      <c r="G16" s="238">
        <v>10.670434782608696</v>
      </c>
      <c r="H16" s="238">
        <v>12.666521739130401</v>
      </c>
      <c r="I16" s="238">
        <v>16.3</v>
      </c>
      <c r="J16" s="238">
        <v>16.7</v>
      </c>
    </row>
    <row r="17" spans="1:10">
      <c r="A17" s="243" t="s">
        <v>57</v>
      </c>
      <c r="B17" s="236"/>
      <c r="C17" s="236"/>
      <c r="D17" s="236"/>
      <c r="E17" s="236"/>
      <c r="F17" s="236"/>
      <c r="G17" s="238">
        <v>9.4065217391304348</v>
      </c>
      <c r="H17" s="238">
        <v>10.086956521739101</v>
      </c>
      <c r="I17" s="238">
        <v>9.4</v>
      </c>
      <c r="J17" s="238">
        <v>8.3000000000000007</v>
      </c>
    </row>
    <row r="18" spans="1:10">
      <c r="A18" s="243" t="s">
        <v>58</v>
      </c>
      <c r="B18" s="236"/>
      <c r="C18" s="236"/>
      <c r="D18" s="236"/>
      <c r="E18" s="236"/>
      <c r="F18" s="236"/>
      <c r="G18" s="236"/>
      <c r="H18" s="236"/>
      <c r="I18" s="236">
        <v>22.3</v>
      </c>
      <c r="J18" s="238">
        <v>28.2</v>
      </c>
    </row>
    <row r="19" spans="1:10">
      <c r="A19" s="243" t="s">
        <v>37</v>
      </c>
      <c r="B19" s="238">
        <v>15.872608695652174</v>
      </c>
      <c r="C19" s="238">
        <v>20.986521739130435</v>
      </c>
      <c r="D19" s="238"/>
      <c r="E19" s="238">
        <v>31.51217391304348</v>
      </c>
      <c r="F19" s="238">
        <v>38.364347826086956</v>
      </c>
      <c r="G19" s="238">
        <v>43.257391304347827</v>
      </c>
      <c r="H19" s="238">
        <v>41.516521739130397</v>
      </c>
      <c r="I19" s="238">
        <v>36.4</v>
      </c>
      <c r="J19" s="238">
        <v>37.299999999999997</v>
      </c>
    </row>
    <row r="20" spans="1:10">
      <c r="A20" s="5" t="s">
        <v>92</v>
      </c>
      <c r="B20" s="264"/>
      <c r="C20" s="264"/>
      <c r="D20" s="264"/>
      <c r="E20" s="264"/>
      <c r="F20" s="264"/>
      <c r="G20" s="264"/>
      <c r="H20" s="264"/>
      <c r="I20" s="264"/>
      <c r="J20" s="264"/>
    </row>
    <row r="21" spans="1:10">
      <c r="A21" s="243" t="s">
        <v>38</v>
      </c>
      <c r="B21" s="238">
        <v>11.316521739130435</v>
      </c>
      <c r="C21" s="238">
        <v>8.2056521739130428</v>
      </c>
      <c r="D21" s="238"/>
      <c r="E21" s="238">
        <v>10.838260869565218</v>
      </c>
      <c r="F21" s="238">
        <v>10.537826086956521</v>
      </c>
      <c r="G21" s="238">
        <v>10.48391304347826</v>
      </c>
      <c r="H21" s="238">
        <v>14.192608695652201</v>
      </c>
      <c r="I21" s="238">
        <v>22.1</v>
      </c>
      <c r="J21" s="238">
        <v>23.4</v>
      </c>
    </row>
    <row r="22" spans="1:10">
      <c r="A22" s="243" t="s">
        <v>39</v>
      </c>
      <c r="B22" s="238">
        <v>24.966086956521739</v>
      </c>
      <c r="C22" s="238">
        <v>23.893478260869564</v>
      </c>
      <c r="D22" s="238"/>
      <c r="E22" s="238">
        <v>25.143913043478261</v>
      </c>
      <c r="F22" s="238">
        <v>24.610434782608696</v>
      </c>
      <c r="G22" s="238">
        <v>26.333913043478262</v>
      </c>
      <c r="H22" s="238">
        <v>26.866521739130398</v>
      </c>
      <c r="I22" s="238">
        <v>25</v>
      </c>
      <c r="J22" s="238">
        <v>26.1</v>
      </c>
    </row>
    <row r="23" spans="1:10">
      <c r="A23" s="243" t="s">
        <v>40</v>
      </c>
      <c r="B23" s="236"/>
      <c r="C23" s="238">
        <v>1.1982608695652175</v>
      </c>
      <c r="D23" s="238"/>
      <c r="E23" s="238">
        <v>0.80304347826086953</v>
      </c>
      <c r="F23" s="238">
        <v>0.36260869565217391</v>
      </c>
      <c r="G23" s="238">
        <v>0.34565217391304348</v>
      </c>
      <c r="H23" s="238">
        <v>0.72347826086957001</v>
      </c>
      <c r="I23" s="238">
        <v>1.4</v>
      </c>
      <c r="J23" s="238">
        <v>0.1</v>
      </c>
    </row>
    <row r="24" spans="1:10">
      <c r="A24" s="243" t="s">
        <v>41</v>
      </c>
      <c r="B24" s="238">
        <v>93.989130434782609</v>
      </c>
      <c r="C24" s="238">
        <v>99.021739130434781</v>
      </c>
      <c r="D24" s="238"/>
      <c r="E24" s="238">
        <v>101.82434782608695</v>
      </c>
      <c r="F24" s="238">
        <v>101.84913043478261</v>
      </c>
      <c r="G24" s="238">
        <v>72.780869565217387</v>
      </c>
      <c r="H24" s="238">
        <v>90.410434782608704</v>
      </c>
      <c r="I24" s="238">
        <v>92.3</v>
      </c>
      <c r="J24" s="238">
        <v>92.8</v>
      </c>
    </row>
    <row r="25" spans="1:10">
      <c r="A25" s="243" t="s">
        <v>42</v>
      </c>
      <c r="B25" s="238">
        <v>91.5704347826087</v>
      </c>
      <c r="C25" s="238">
        <v>87.609130434782614</v>
      </c>
      <c r="D25" s="238"/>
      <c r="E25" s="238">
        <v>97.925217391304344</v>
      </c>
      <c r="F25" s="238">
        <v>94.25739130434782</v>
      </c>
      <c r="G25" s="238">
        <v>101.79913043478261</v>
      </c>
      <c r="H25" s="238">
        <v>104.37913043478299</v>
      </c>
      <c r="I25" s="238">
        <v>109.7</v>
      </c>
      <c r="J25" s="238">
        <v>119.8</v>
      </c>
    </row>
    <row r="26" spans="1:10">
      <c r="A26" s="243" t="s">
        <v>43</v>
      </c>
      <c r="B26" s="238">
        <v>16.724347826086955</v>
      </c>
      <c r="C26" s="238">
        <v>19.560434782608695</v>
      </c>
      <c r="D26" s="238"/>
      <c r="E26" s="238">
        <v>17.733043478260871</v>
      </c>
      <c r="F26" s="238">
        <v>16.900434782608695</v>
      </c>
      <c r="G26" s="238">
        <v>14.40391304347826</v>
      </c>
      <c r="H26" s="238">
        <v>13.672173913043499</v>
      </c>
      <c r="I26" s="238">
        <v>11.7</v>
      </c>
      <c r="J26" s="238">
        <v>14.9</v>
      </c>
    </row>
    <row r="27" spans="1:10">
      <c r="A27" s="243" t="s">
        <v>59</v>
      </c>
      <c r="B27" s="236"/>
      <c r="C27" s="236"/>
      <c r="D27" s="236"/>
      <c r="E27" s="236"/>
      <c r="F27" s="236"/>
      <c r="G27" s="236"/>
      <c r="H27" s="238">
        <v>52.7852173913044</v>
      </c>
      <c r="I27" s="238">
        <v>43.3</v>
      </c>
      <c r="J27" s="238">
        <v>39.5</v>
      </c>
    </row>
    <row r="28" spans="1:10">
      <c r="A28" s="243" t="s">
        <v>44</v>
      </c>
      <c r="B28" s="238">
        <v>81.201739130434788</v>
      </c>
      <c r="C28" s="238">
        <v>83.378695652173917</v>
      </c>
      <c r="D28" s="238"/>
      <c r="E28" s="238">
        <v>96.804347826086953</v>
      </c>
      <c r="F28" s="238">
        <v>91.14</v>
      </c>
      <c r="G28" s="238">
        <v>88.929130434782607</v>
      </c>
      <c r="H28" s="238">
        <v>92.372173913043497</v>
      </c>
      <c r="I28" s="238">
        <v>80.7</v>
      </c>
      <c r="J28" s="238">
        <v>76.099999999999994</v>
      </c>
    </row>
    <row r="29" spans="1:10">
      <c r="A29" s="243" t="s">
        <v>45</v>
      </c>
      <c r="B29" s="238">
        <v>35.573043478260871</v>
      </c>
      <c r="C29" s="238">
        <v>33.314782608695651</v>
      </c>
      <c r="D29" s="238"/>
      <c r="E29" s="238">
        <v>39.634347826086959</v>
      </c>
      <c r="F29" s="238">
        <v>38.953913043478259</v>
      </c>
      <c r="G29" s="238">
        <v>34.479130434782611</v>
      </c>
      <c r="H29" s="238">
        <v>32.451739130434802</v>
      </c>
      <c r="I29" s="238">
        <v>31.3</v>
      </c>
      <c r="J29" s="238">
        <v>29.2</v>
      </c>
    </row>
    <row r="30" spans="1:10">
      <c r="A30" s="243" t="s">
        <v>46</v>
      </c>
      <c r="B30" s="238">
        <v>90.254782608695649</v>
      </c>
      <c r="C30" s="238">
        <v>12.666521739130435</v>
      </c>
      <c r="D30" s="238"/>
      <c r="E30" s="238">
        <v>14.42608695652174</v>
      </c>
      <c r="F30" s="238">
        <v>10.294347826086957</v>
      </c>
      <c r="G30" s="238">
        <v>13.349565217391305</v>
      </c>
      <c r="H30" s="238">
        <v>18.9486956521739</v>
      </c>
      <c r="I30" s="238">
        <v>21.1</v>
      </c>
      <c r="J30" s="238">
        <v>21.4</v>
      </c>
    </row>
    <row r="31" spans="1:10">
      <c r="A31" s="243" t="s">
        <v>47</v>
      </c>
      <c r="B31" s="238">
        <v>90.254782608695649</v>
      </c>
      <c r="C31" s="238">
        <v>71.097826086956516</v>
      </c>
      <c r="D31" s="238"/>
      <c r="E31" s="238">
        <v>65.724782608695648</v>
      </c>
      <c r="F31" s="238">
        <v>81.201739130434788</v>
      </c>
      <c r="G31" s="238">
        <v>69.870434782608697</v>
      </c>
      <c r="H31" s="238">
        <v>69.633913043478302</v>
      </c>
      <c r="I31" s="238">
        <v>93.3</v>
      </c>
      <c r="J31" s="238">
        <v>90.8</v>
      </c>
    </row>
    <row r="32" spans="1:10">
      <c r="A32" s="243" t="s">
        <v>48</v>
      </c>
      <c r="B32" s="238">
        <v>27.090869565217393</v>
      </c>
      <c r="C32" s="238">
        <v>28.631304347826088</v>
      </c>
      <c r="D32" s="238"/>
      <c r="E32" s="238">
        <v>37.586521739130433</v>
      </c>
      <c r="F32" s="238">
        <v>33.646956521739128</v>
      </c>
      <c r="G32" s="238">
        <v>27.301739130434783</v>
      </c>
      <c r="H32" s="238">
        <v>25.426086956521701</v>
      </c>
      <c r="I32" s="238">
        <v>42.4</v>
      </c>
      <c r="J32" s="238">
        <v>40.1</v>
      </c>
    </row>
    <row r="33" spans="1:10">
      <c r="A33" s="243" t="s">
        <v>49</v>
      </c>
      <c r="B33" s="238">
        <v>51.167826086956524</v>
      </c>
      <c r="C33" s="238">
        <v>51.689565217391305</v>
      </c>
      <c r="D33" s="238"/>
      <c r="E33" s="238">
        <v>51.513478260869569</v>
      </c>
      <c r="F33" s="238">
        <v>41.774347826086959</v>
      </c>
      <c r="G33" s="238">
        <v>40.980434782608697</v>
      </c>
      <c r="H33" s="238">
        <v>48.577391304347799</v>
      </c>
      <c r="I33" s="238">
        <v>51.4</v>
      </c>
      <c r="J33" s="238">
        <v>47.3</v>
      </c>
    </row>
    <row r="34" spans="1:10">
      <c r="A34" s="243" t="s">
        <v>60</v>
      </c>
      <c r="B34" s="236"/>
      <c r="C34" s="236"/>
      <c r="D34" s="236"/>
      <c r="E34" s="236"/>
      <c r="F34" s="236"/>
      <c r="G34" s="236"/>
      <c r="H34" s="238">
        <v>46.1426086956522</v>
      </c>
      <c r="I34" s="238">
        <v>50.3</v>
      </c>
      <c r="J34" s="238">
        <v>37.299999999999997</v>
      </c>
    </row>
    <row r="35" spans="1:10">
      <c r="A35" s="243" t="s">
        <v>50</v>
      </c>
      <c r="B35" s="238">
        <v>145.72217391304349</v>
      </c>
      <c r="C35" s="238">
        <v>154.95782608695652</v>
      </c>
      <c r="D35" s="238"/>
      <c r="E35" s="238">
        <v>159.15739130434784</v>
      </c>
      <c r="F35" s="238">
        <v>142.31391304347827</v>
      </c>
      <c r="G35" s="238">
        <v>138.19695652173914</v>
      </c>
      <c r="H35" s="238">
        <v>140.78739130434801</v>
      </c>
      <c r="I35" s="238">
        <v>142.80000000000001</v>
      </c>
      <c r="J35" s="238">
        <v>128.80000000000001</v>
      </c>
    </row>
    <row r="36" spans="1:10">
      <c r="A36" s="243" t="s">
        <v>51</v>
      </c>
      <c r="B36" s="238">
        <v>97.059130434782602</v>
      </c>
      <c r="C36" s="238">
        <v>106.40086956521739</v>
      </c>
      <c r="D36" s="238"/>
      <c r="E36" s="238">
        <v>103.21130434782609</v>
      </c>
      <c r="F36" s="238">
        <v>98.471304347826091</v>
      </c>
      <c r="G36" s="238">
        <v>105.18695652173913</v>
      </c>
      <c r="H36" s="236"/>
      <c r="I36" s="236"/>
      <c r="J36" s="238"/>
    </row>
    <row r="37" spans="1:10">
      <c r="A37" s="243" t="s">
        <v>52</v>
      </c>
      <c r="B37" s="238">
        <v>90.254782608695649</v>
      </c>
      <c r="C37" s="238">
        <v>8.5169565217391305</v>
      </c>
      <c r="D37" s="238"/>
      <c r="E37" s="238">
        <v>8.9865217391304348</v>
      </c>
      <c r="F37" s="238">
        <v>7.2443478260869565</v>
      </c>
      <c r="G37" s="238">
        <v>7.95</v>
      </c>
      <c r="H37" s="238">
        <v>8.4260869565217398</v>
      </c>
      <c r="I37" s="238">
        <v>6.2</v>
      </c>
      <c r="J37" s="238">
        <v>5</v>
      </c>
    </row>
    <row r="38" spans="1:10">
      <c r="A38" s="243" t="s">
        <v>53</v>
      </c>
      <c r="B38" s="238">
        <v>90.254782608695649</v>
      </c>
      <c r="C38" s="238">
        <v>6.3591304347826085</v>
      </c>
      <c r="D38" s="238"/>
      <c r="E38" s="238">
        <v>6.5713043478260866</v>
      </c>
      <c r="F38" s="238">
        <v>5.1039130434782605</v>
      </c>
      <c r="G38" s="238">
        <v>5.7334782608695649</v>
      </c>
      <c r="H38" s="238">
        <v>3.0260869565217399</v>
      </c>
      <c r="I38" s="238">
        <v>2.5</v>
      </c>
      <c r="J38" s="238">
        <v>1.8</v>
      </c>
    </row>
    <row r="39" spans="1:10" ht="15.75" thickBot="1">
      <c r="A39" s="243" t="s">
        <v>84</v>
      </c>
      <c r="B39" s="238">
        <v>194.97304347826088</v>
      </c>
      <c r="C39" s="238">
        <v>211.82</v>
      </c>
      <c r="D39" s="238"/>
      <c r="E39" s="238">
        <v>233.51826086956521</v>
      </c>
      <c r="F39" s="238">
        <v>234.66217391304349</v>
      </c>
      <c r="G39" s="238">
        <v>229.65391304347827</v>
      </c>
      <c r="H39" s="238">
        <v>227.77217391304401</v>
      </c>
      <c r="I39" s="238">
        <v>204.3</v>
      </c>
      <c r="J39" s="238">
        <v>188.3</v>
      </c>
    </row>
    <row r="40" spans="1:10" ht="15.75" thickTop="1">
      <c r="A40" s="268" t="s">
        <v>83</v>
      </c>
      <c r="B40" s="269">
        <v>1860.3473913043479</v>
      </c>
      <c r="C40" s="269">
        <v>1647.2434782608696</v>
      </c>
      <c r="D40" s="269"/>
      <c r="E40" s="269">
        <v>1760.3208695652174</v>
      </c>
      <c r="F40" s="269">
        <v>1740.3182608695652</v>
      </c>
      <c r="G40" s="269">
        <v>1696.1256521739131</v>
      </c>
      <c r="H40" s="269">
        <v>1815.49391304348</v>
      </c>
      <c r="I40" s="269">
        <v>1801</v>
      </c>
      <c r="J40" s="269">
        <v>1722.8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E1AD-288F-4333-9AE2-FF5FE06FFBBA}">
  <sheetPr codeName="Feuil19"/>
  <dimension ref="A1:J40"/>
  <sheetViews>
    <sheetView topLeftCell="A6" workbookViewId="0">
      <selection activeCell="A6" sqref="A6:A39"/>
    </sheetView>
  </sheetViews>
  <sheetFormatPr baseColWidth="10" defaultRowHeight="15"/>
  <cols>
    <col min="1" max="1" width="23" style="60" bestFit="1" customWidth="1"/>
    <col min="2" max="7" width="8.7109375" style="60" customWidth="1"/>
    <col min="8" max="16384" width="11.42578125" style="60"/>
  </cols>
  <sheetData>
    <row r="1" spans="1:10" s="59" customFormat="1" ht="62.25" customHeight="1"/>
    <row r="2" spans="1:10" s="59" customFormat="1" ht="16.5"/>
    <row r="3" spans="1:10" ht="16.5" customHeight="1">
      <c r="A3" s="377" t="s">
        <v>143</v>
      </c>
      <c r="B3" s="377"/>
      <c r="C3" s="377"/>
      <c r="D3" s="377"/>
      <c r="E3" s="377"/>
      <c r="F3" s="377"/>
      <c r="G3" s="377"/>
      <c r="H3" s="377"/>
      <c r="I3" s="261"/>
      <c r="J3" s="261"/>
    </row>
    <row r="4" spans="1:10" ht="16.5">
      <c r="A4" s="263"/>
      <c r="B4" s="261"/>
      <c r="C4" s="261"/>
      <c r="D4" s="261"/>
      <c r="E4" s="261"/>
      <c r="F4" s="261"/>
      <c r="G4" s="261"/>
      <c r="H4" s="261"/>
      <c r="I4" s="261"/>
      <c r="J4" s="261"/>
    </row>
    <row r="5" spans="1:10">
      <c r="A5" s="194" t="s">
        <v>54</v>
      </c>
      <c r="B5" s="194">
        <v>2016</v>
      </c>
      <c r="C5" s="194">
        <v>2017</v>
      </c>
      <c r="D5" s="194">
        <v>2018</v>
      </c>
      <c r="E5" s="194">
        <v>2019</v>
      </c>
      <c r="F5" s="194">
        <v>2020</v>
      </c>
      <c r="G5" s="194">
        <v>2021</v>
      </c>
      <c r="H5" s="194">
        <v>2022</v>
      </c>
      <c r="I5" s="194">
        <v>2023</v>
      </c>
      <c r="J5" s="194">
        <v>2024</v>
      </c>
    </row>
    <row r="6" spans="1:10">
      <c r="A6" s="243" t="s">
        <v>16</v>
      </c>
      <c r="B6" s="238">
        <v>129.03703703703704</v>
      </c>
      <c r="C6" s="238">
        <v>130.50041356492969</v>
      </c>
      <c r="D6" s="238"/>
      <c r="E6" s="238">
        <v>158.70885028949544</v>
      </c>
      <c r="F6" s="238">
        <v>147.98918918918918</v>
      </c>
      <c r="G6" s="238">
        <v>125.86080586080585</v>
      </c>
      <c r="H6" s="238">
        <v>126.021164021164</v>
      </c>
      <c r="I6" s="238">
        <v>132.80000000000001</v>
      </c>
      <c r="J6" s="238">
        <v>103.3</v>
      </c>
    </row>
    <row r="7" spans="1:10">
      <c r="A7" s="243" t="s">
        <v>30</v>
      </c>
      <c r="B7" s="238">
        <v>108.71306471306471</v>
      </c>
      <c r="C7" s="238">
        <v>102.23655913978494</v>
      </c>
      <c r="D7" s="238"/>
      <c r="E7" s="238">
        <v>108.62117452440033</v>
      </c>
      <c r="F7" s="238">
        <v>94.842411642411648</v>
      </c>
      <c r="G7" s="238">
        <v>82.887260887260894</v>
      </c>
      <c r="H7" s="238">
        <v>80.411070411070398</v>
      </c>
      <c r="I7" s="238">
        <v>106.6</v>
      </c>
      <c r="J7" s="238">
        <v>90.9</v>
      </c>
    </row>
    <row r="8" spans="1:10">
      <c r="A8" s="243" t="s">
        <v>31</v>
      </c>
      <c r="B8" s="238">
        <v>68.411884411884415</v>
      </c>
      <c r="C8" s="238">
        <v>75.083540115798186</v>
      </c>
      <c r="D8" s="238"/>
      <c r="E8" s="238">
        <v>77.438378825475596</v>
      </c>
      <c r="F8" s="238">
        <v>64.992099792099793</v>
      </c>
      <c r="G8" s="238">
        <v>62.248270248270245</v>
      </c>
      <c r="H8" s="238">
        <v>61.1640211640212</v>
      </c>
      <c r="I8" s="238">
        <v>62</v>
      </c>
      <c r="J8" s="238">
        <v>63.3</v>
      </c>
    </row>
    <row r="9" spans="1:10">
      <c r="A9" s="243" t="s">
        <v>32</v>
      </c>
      <c r="B9" s="238">
        <v>74.030932030932036</v>
      </c>
      <c r="C9" s="238">
        <v>85.596360628618697</v>
      </c>
      <c r="D9" s="238"/>
      <c r="E9" s="238">
        <v>77.093465674110831</v>
      </c>
      <c r="F9" s="238">
        <v>86.123908523908526</v>
      </c>
      <c r="G9" s="238">
        <v>66.477004477004471</v>
      </c>
      <c r="H9" s="238">
        <v>70.828652828652906</v>
      </c>
      <c r="I9" s="238">
        <v>58.4</v>
      </c>
      <c r="J9" s="238">
        <v>70.099999999999994</v>
      </c>
    </row>
    <row r="10" spans="1:10">
      <c r="A10" s="243" t="s">
        <v>33</v>
      </c>
      <c r="B10" s="238">
        <v>52.749694749694747</v>
      </c>
      <c r="C10" s="238">
        <v>59.220016542597186</v>
      </c>
      <c r="D10" s="238"/>
      <c r="E10" s="238">
        <v>38.773366418527708</v>
      </c>
      <c r="F10" s="238">
        <v>32.52058212058212</v>
      </c>
      <c r="G10" s="238">
        <v>33.8998778998779</v>
      </c>
      <c r="H10" s="238">
        <v>29.804639804639798</v>
      </c>
      <c r="I10" s="238">
        <v>28.4</v>
      </c>
      <c r="J10" s="238">
        <v>28.1</v>
      </c>
    </row>
    <row r="11" spans="1:10">
      <c r="A11" s="243" t="s">
        <v>89</v>
      </c>
      <c r="B11" s="238">
        <v>8.5177045177045176</v>
      </c>
      <c r="C11" s="238">
        <v>22.506203473945408</v>
      </c>
      <c r="D11" s="238"/>
      <c r="E11" s="238">
        <v>10.267162944582299</v>
      </c>
      <c r="F11" s="238">
        <v>9.9542619542619537</v>
      </c>
      <c r="G11" s="238">
        <v>10.767602767602767</v>
      </c>
      <c r="H11" s="236"/>
      <c r="I11" s="238">
        <v>11.8</v>
      </c>
      <c r="J11" s="238">
        <v>13.1</v>
      </c>
    </row>
    <row r="12" spans="1:10">
      <c r="A12" s="243" t="s">
        <v>34</v>
      </c>
      <c r="B12" s="238">
        <v>133.3919413919414</v>
      </c>
      <c r="C12" s="238">
        <v>142.39288668320927</v>
      </c>
      <c r="D12" s="238"/>
      <c r="E12" s="238">
        <v>134.47311827956989</v>
      </c>
      <c r="F12" s="238">
        <v>111.15758835758835</v>
      </c>
      <c r="G12" s="238">
        <v>102.79039479039479</v>
      </c>
      <c r="H12" s="238">
        <v>80.534798534798597</v>
      </c>
      <c r="I12" s="238">
        <v>57.5</v>
      </c>
      <c r="J12" s="238">
        <v>52.4</v>
      </c>
    </row>
    <row r="13" spans="1:10">
      <c r="A13" s="243" t="s">
        <v>35</v>
      </c>
      <c r="B13" s="238">
        <v>91.331705331705336</v>
      </c>
      <c r="C13" s="238">
        <v>87.831265508684865</v>
      </c>
      <c r="D13" s="238"/>
      <c r="E13" s="238">
        <v>50.516956162117452</v>
      </c>
      <c r="F13" s="238">
        <v>67.01288981288981</v>
      </c>
      <c r="G13" s="238">
        <v>48.302808302808302</v>
      </c>
      <c r="H13" s="238">
        <v>34.902726902726897</v>
      </c>
      <c r="I13" s="238">
        <v>58</v>
      </c>
      <c r="J13" s="238">
        <v>67.599999999999994</v>
      </c>
    </row>
    <row r="14" spans="1:10">
      <c r="A14" s="243" t="s">
        <v>55</v>
      </c>
      <c r="B14" s="238">
        <v>106.12617012617012</v>
      </c>
      <c r="C14" s="238">
        <v>102.56741108354012</v>
      </c>
      <c r="D14" s="238"/>
      <c r="E14" s="238">
        <v>125.70719602977667</v>
      </c>
      <c r="F14" s="238">
        <v>136.13804573804575</v>
      </c>
      <c r="G14" s="238">
        <v>118.51851851851852</v>
      </c>
      <c r="H14" s="238">
        <v>87.566951566951602</v>
      </c>
      <c r="I14" s="238">
        <v>39.9</v>
      </c>
      <c r="J14" s="238">
        <v>113.7</v>
      </c>
    </row>
    <row r="15" spans="1:10">
      <c r="A15" s="243" t="s">
        <v>36</v>
      </c>
      <c r="B15" s="238">
        <v>15.514041514041514</v>
      </c>
      <c r="C15" s="238">
        <v>17.002481389578165</v>
      </c>
      <c r="D15" s="238"/>
      <c r="E15" s="238">
        <v>14.775020678246484</v>
      </c>
      <c r="F15" s="238">
        <v>14.644490644490645</v>
      </c>
      <c r="G15" s="238">
        <v>12.188848188848189</v>
      </c>
      <c r="H15" s="238">
        <v>10.9010989010989</v>
      </c>
      <c r="I15" s="238">
        <v>12.2</v>
      </c>
      <c r="J15" s="238">
        <v>13.6</v>
      </c>
    </row>
    <row r="16" spans="1:10">
      <c r="A16" s="243" t="s">
        <v>56</v>
      </c>
      <c r="B16" s="238">
        <v>1.6182336182336183</v>
      </c>
      <c r="C16" s="238">
        <v>2.8660049627791562</v>
      </c>
      <c r="D16" s="238"/>
      <c r="E16" s="238">
        <v>3.2638544251447477</v>
      </c>
      <c r="F16" s="238">
        <v>2.9696465696465695</v>
      </c>
      <c r="G16" s="238">
        <v>2.7309727309727312</v>
      </c>
      <c r="H16" s="238">
        <v>2.04884004884005</v>
      </c>
      <c r="I16" s="238">
        <v>2.4</v>
      </c>
      <c r="J16" s="238">
        <v>3.8</v>
      </c>
    </row>
    <row r="17" spans="1:10">
      <c r="A17" s="243" t="s">
        <v>57</v>
      </c>
      <c r="B17" s="236"/>
      <c r="C17" s="236"/>
      <c r="D17" s="236"/>
      <c r="E17" s="236"/>
      <c r="F17" s="236"/>
      <c r="G17" s="238">
        <v>26.415954415954417</v>
      </c>
      <c r="H17" s="238">
        <v>28.327228327228301</v>
      </c>
      <c r="I17" s="238">
        <v>27</v>
      </c>
      <c r="J17" s="238">
        <v>32</v>
      </c>
    </row>
    <row r="18" spans="1:10">
      <c r="A18" s="243" t="s">
        <v>58</v>
      </c>
      <c r="B18" s="236"/>
      <c r="C18" s="236"/>
      <c r="D18" s="236"/>
      <c r="E18" s="236"/>
      <c r="F18" s="236"/>
      <c r="G18" s="236"/>
      <c r="H18" s="236"/>
      <c r="I18" s="238">
        <v>30.8</v>
      </c>
      <c r="J18" s="238">
        <v>27.5</v>
      </c>
    </row>
    <row r="19" spans="1:10">
      <c r="A19" s="243" t="s">
        <v>37</v>
      </c>
      <c r="B19" s="238">
        <v>11.571021571021571</v>
      </c>
      <c r="C19" s="238">
        <v>17.38296112489661</v>
      </c>
      <c r="D19" s="238"/>
      <c r="E19" s="238">
        <v>25.415219189412738</v>
      </c>
      <c r="F19" s="238">
        <v>25.168399168399169</v>
      </c>
      <c r="G19" s="238">
        <v>18.561660561660563</v>
      </c>
      <c r="H19" s="238">
        <v>16.349206349206401</v>
      </c>
      <c r="I19" s="238">
        <v>15.7</v>
      </c>
      <c r="J19" s="238">
        <v>15.9</v>
      </c>
    </row>
    <row r="20" spans="1:10">
      <c r="A20" s="5" t="s">
        <v>92</v>
      </c>
      <c r="B20" s="264"/>
      <c r="C20" s="264"/>
      <c r="D20" s="264"/>
      <c r="E20" s="264"/>
      <c r="F20" s="264"/>
      <c r="G20" s="264"/>
      <c r="H20" s="264"/>
      <c r="I20" s="264"/>
      <c r="J20" s="264"/>
    </row>
    <row r="21" spans="1:10">
      <c r="A21" s="243" t="s">
        <v>38</v>
      </c>
      <c r="B21" s="238">
        <v>7.90964590964591</v>
      </c>
      <c r="C21" s="238">
        <v>11.095119933829611</v>
      </c>
      <c r="D21" s="238"/>
      <c r="E21" s="238">
        <v>9.126550868486353</v>
      </c>
      <c r="F21" s="238">
        <v>9.9575883575883584</v>
      </c>
      <c r="G21" s="238">
        <v>8.2604802604802607</v>
      </c>
      <c r="H21" s="238">
        <v>7.3618233618233599</v>
      </c>
      <c r="I21" s="238">
        <v>10.4</v>
      </c>
      <c r="J21" s="238">
        <v>18.100000000000001</v>
      </c>
    </row>
    <row r="22" spans="1:10">
      <c r="A22" s="243" t="s">
        <v>39</v>
      </c>
      <c r="B22" s="238">
        <v>40.752136752136749</v>
      </c>
      <c r="C22" s="238">
        <v>39.819685690653429</v>
      </c>
      <c r="D22" s="238"/>
      <c r="E22" s="238">
        <v>39.942928039702231</v>
      </c>
      <c r="F22" s="238">
        <v>33.435343035343038</v>
      </c>
      <c r="G22" s="238">
        <v>31.601953601953603</v>
      </c>
      <c r="H22" s="238">
        <v>36.884004884004902</v>
      </c>
      <c r="I22" s="238">
        <v>38.4</v>
      </c>
      <c r="J22" s="238">
        <v>35.1</v>
      </c>
    </row>
    <row r="23" spans="1:10">
      <c r="A23" s="243" t="s">
        <v>40</v>
      </c>
      <c r="B23" s="238">
        <v>7.9381359381359378</v>
      </c>
      <c r="C23" s="238">
        <v>5.3722084367245655</v>
      </c>
      <c r="D23" s="238"/>
      <c r="E23" s="238">
        <v>4.5169561621174523</v>
      </c>
      <c r="F23" s="238">
        <v>5.4827442827442825</v>
      </c>
      <c r="G23" s="238">
        <v>3.9755799755799757</v>
      </c>
      <c r="H23" s="238">
        <v>3.5742775742775801</v>
      </c>
      <c r="I23" s="238">
        <v>1.5</v>
      </c>
      <c r="J23" s="238">
        <v>3.6</v>
      </c>
    </row>
    <row r="24" spans="1:10">
      <c r="A24" s="243" t="s">
        <v>41</v>
      </c>
      <c r="B24" s="238">
        <v>97.868945868945872</v>
      </c>
      <c r="C24" s="238">
        <v>99.856079404466499</v>
      </c>
      <c r="D24" s="238"/>
      <c r="E24" s="238">
        <v>86.306865177832918</v>
      </c>
      <c r="F24" s="238">
        <v>82.428274428274435</v>
      </c>
      <c r="G24" s="238">
        <v>104.31257631257631</v>
      </c>
      <c r="H24" s="238">
        <v>68.133496133496195</v>
      </c>
      <c r="I24" s="238">
        <v>62.9</v>
      </c>
      <c r="J24" s="238">
        <v>58.2</v>
      </c>
    </row>
    <row r="25" spans="1:10">
      <c r="A25" s="243" t="s">
        <v>42</v>
      </c>
      <c r="B25" s="238">
        <v>96.936100936100942</v>
      </c>
      <c r="C25" s="238">
        <v>112.61786600496278</v>
      </c>
      <c r="D25" s="238"/>
      <c r="E25" s="238">
        <v>139.29197684036393</v>
      </c>
      <c r="F25" s="238">
        <v>153.57588357588358</v>
      </c>
      <c r="G25" s="238">
        <v>164.7057387057387</v>
      </c>
      <c r="H25" s="238">
        <v>179.93162393162399</v>
      </c>
      <c r="I25" s="238">
        <v>204.8</v>
      </c>
      <c r="J25" s="238">
        <v>190.7</v>
      </c>
    </row>
    <row r="26" spans="1:10">
      <c r="A26" s="243" t="s">
        <v>43</v>
      </c>
      <c r="B26" s="238">
        <v>13.284493284493285</v>
      </c>
      <c r="C26" s="238">
        <v>10.31844499586435</v>
      </c>
      <c r="D26" s="238"/>
      <c r="E26" s="238">
        <v>9.2762613730355667</v>
      </c>
      <c r="F26" s="238">
        <v>7.8286902286902285</v>
      </c>
      <c r="G26" s="238">
        <v>18.275946275946275</v>
      </c>
      <c r="H26" s="238">
        <v>17.641839641839599</v>
      </c>
      <c r="I26" s="238">
        <v>19.8</v>
      </c>
      <c r="J26" s="238">
        <v>14</v>
      </c>
    </row>
    <row r="27" spans="1:10">
      <c r="A27" s="243" t="s">
        <v>59</v>
      </c>
      <c r="B27" s="236"/>
      <c r="C27" s="236"/>
      <c r="D27" s="236"/>
      <c r="E27" s="236"/>
      <c r="F27" s="236"/>
      <c r="G27" s="236"/>
      <c r="H27" s="238">
        <v>36.345950345950399</v>
      </c>
      <c r="I27" s="238">
        <v>34.5</v>
      </c>
      <c r="J27" s="238">
        <v>27.5</v>
      </c>
    </row>
    <row r="28" spans="1:10">
      <c r="A28" s="243" t="s">
        <v>44</v>
      </c>
      <c r="B28" s="238">
        <v>77.57346357346357</v>
      </c>
      <c r="C28" s="238">
        <v>77.852770885028946</v>
      </c>
      <c r="D28" s="238"/>
      <c r="E28" s="238">
        <v>55.56492969396195</v>
      </c>
      <c r="F28" s="238">
        <v>74.977130977130983</v>
      </c>
      <c r="G28" s="238">
        <v>70.485144485144488</v>
      </c>
      <c r="H28" s="238">
        <v>61.676841676841697</v>
      </c>
      <c r="I28" s="238">
        <v>62.9</v>
      </c>
      <c r="J28" s="238">
        <v>58.5</v>
      </c>
    </row>
    <row r="29" spans="1:10">
      <c r="A29" s="243" t="s">
        <v>45</v>
      </c>
      <c r="B29" s="238">
        <v>12.685388685388686</v>
      </c>
      <c r="C29" s="238">
        <v>12.071960297766749</v>
      </c>
      <c r="D29" s="238"/>
      <c r="E29" s="238">
        <v>11.375516956162118</v>
      </c>
      <c r="F29" s="238">
        <v>8.2777546777546771</v>
      </c>
      <c r="G29" s="238">
        <v>7.1721611721611724</v>
      </c>
      <c r="H29" s="238">
        <v>6.6764346764346802</v>
      </c>
      <c r="I29" s="238">
        <v>6.8</v>
      </c>
      <c r="J29" s="238">
        <v>4.5999999999999996</v>
      </c>
    </row>
    <row r="30" spans="1:10">
      <c r="A30" s="243" t="s">
        <v>46</v>
      </c>
      <c r="B30" s="238">
        <v>113.54090354090354</v>
      </c>
      <c r="C30" s="238">
        <v>22.880066170388751</v>
      </c>
      <c r="D30" s="238"/>
      <c r="E30" s="238">
        <v>22.75682382133995</v>
      </c>
      <c r="F30" s="238">
        <v>18.951351351351352</v>
      </c>
      <c r="G30" s="238">
        <v>18.551892551892553</v>
      </c>
      <c r="H30" s="238">
        <v>18.403744403744401</v>
      </c>
      <c r="I30" s="238">
        <v>19.2</v>
      </c>
      <c r="J30" s="238">
        <v>20.7</v>
      </c>
    </row>
    <row r="31" spans="1:10">
      <c r="A31" s="243" t="s">
        <v>47</v>
      </c>
      <c r="B31" s="238">
        <v>113.54090354090354</v>
      </c>
      <c r="C31" s="238">
        <v>89.208436724565757</v>
      </c>
      <c r="D31" s="238"/>
      <c r="E31" s="238">
        <v>111.83457402812242</v>
      </c>
      <c r="F31" s="238">
        <v>98.732640332640329</v>
      </c>
      <c r="G31" s="238">
        <v>83.786731786731792</v>
      </c>
      <c r="H31" s="238">
        <v>77.829873829873904</v>
      </c>
      <c r="I31" s="238">
        <v>81.900000000000006</v>
      </c>
      <c r="J31" s="238">
        <v>74.900000000000006</v>
      </c>
    </row>
    <row r="32" spans="1:10">
      <c r="A32" s="243" t="s">
        <v>48</v>
      </c>
      <c r="B32" s="238">
        <v>121.44403744403745</v>
      </c>
      <c r="C32" s="238">
        <v>121.23573200992556</v>
      </c>
      <c r="D32" s="238"/>
      <c r="E32" s="238">
        <v>138.80314309346568</v>
      </c>
      <c r="F32" s="238">
        <v>124.92723492723492</v>
      </c>
      <c r="G32" s="238">
        <v>119.26821326821327</v>
      </c>
      <c r="H32" s="238">
        <v>122.40618640618599</v>
      </c>
      <c r="I32" s="238">
        <v>102.9</v>
      </c>
      <c r="J32" s="238">
        <v>85.6</v>
      </c>
    </row>
    <row r="33" spans="1:10">
      <c r="A33" s="243" t="s">
        <v>49</v>
      </c>
      <c r="B33" s="238">
        <v>117.89173789173789</v>
      </c>
      <c r="C33" s="238">
        <v>102.51612903225806</v>
      </c>
      <c r="D33" s="238"/>
      <c r="E33" s="238">
        <v>121.95947063688999</v>
      </c>
      <c r="F33" s="238">
        <v>116.14553014553015</v>
      </c>
      <c r="G33" s="238">
        <v>105.65323565323565</v>
      </c>
      <c r="H33" s="238">
        <v>94.828652828652906</v>
      </c>
      <c r="I33" s="238">
        <v>97.7</v>
      </c>
      <c r="J33" s="238">
        <v>93.1</v>
      </c>
    </row>
    <row r="34" spans="1:10">
      <c r="A34" s="243" t="s">
        <v>60</v>
      </c>
      <c r="B34" s="236"/>
      <c r="C34" s="236"/>
      <c r="D34" s="236"/>
      <c r="E34" s="236"/>
      <c r="F34" s="236"/>
      <c r="G34" s="236"/>
      <c r="H34" s="238">
        <v>27.697191697191698</v>
      </c>
      <c r="I34" s="238">
        <v>25.9</v>
      </c>
      <c r="J34" s="238">
        <v>25.8</v>
      </c>
    </row>
    <row r="35" spans="1:10">
      <c r="A35" s="243" t="s">
        <v>50</v>
      </c>
      <c r="B35" s="238">
        <v>97.468457468457473</v>
      </c>
      <c r="C35" s="238">
        <v>95.127377998345736</v>
      </c>
      <c r="D35" s="238"/>
      <c r="E35" s="238">
        <v>126.16211745244003</v>
      </c>
      <c r="F35" s="238">
        <v>127.81871101871101</v>
      </c>
      <c r="G35" s="238">
        <v>110.63980463980464</v>
      </c>
      <c r="H35" s="238">
        <v>119.973951973952</v>
      </c>
      <c r="I35" s="238">
        <v>114</v>
      </c>
      <c r="J35" s="238">
        <v>88.4</v>
      </c>
    </row>
    <row r="36" spans="1:10">
      <c r="A36" s="243" t="s">
        <v>51</v>
      </c>
      <c r="B36" s="238">
        <v>62.757020757020754</v>
      </c>
      <c r="C36" s="238">
        <v>68.467328370554171</v>
      </c>
      <c r="D36" s="238"/>
      <c r="E36" s="238">
        <v>67.331679073614552</v>
      </c>
      <c r="F36" s="238">
        <v>66.512266112266119</v>
      </c>
      <c r="G36" s="238">
        <v>62.900284900284902</v>
      </c>
      <c r="H36" s="236"/>
      <c r="I36" s="243"/>
      <c r="J36" s="236"/>
    </row>
    <row r="37" spans="1:10">
      <c r="A37" s="243" t="s">
        <v>52</v>
      </c>
      <c r="B37" s="238">
        <v>113.54090354090354</v>
      </c>
      <c r="C37" s="238">
        <v>11.339123242349048</v>
      </c>
      <c r="D37" s="238"/>
      <c r="E37" s="238">
        <v>13.889991728701407</v>
      </c>
      <c r="F37" s="238">
        <v>11.767151767151768</v>
      </c>
      <c r="G37" s="238">
        <v>12.985754985754985</v>
      </c>
      <c r="H37" s="238">
        <v>14.316646316646301</v>
      </c>
      <c r="I37" s="238">
        <v>13.1</v>
      </c>
      <c r="J37" s="238">
        <v>13.8</v>
      </c>
    </row>
    <row r="38" spans="1:10">
      <c r="A38" s="243" t="s">
        <v>53</v>
      </c>
      <c r="B38" s="238">
        <v>113.54090354090354</v>
      </c>
      <c r="C38" s="238">
        <v>1.9106699751861043</v>
      </c>
      <c r="D38" s="238"/>
      <c r="E38" s="238">
        <v>3.9015715467328369</v>
      </c>
      <c r="F38" s="238">
        <v>2.9846153846153847</v>
      </c>
      <c r="G38" s="238">
        <v>3.7387057387057387</v>
      </c>
      <c r="H38" s="238">
        <v>1.7981277981278001</v>
      </c>
      <c r="I38" s="238">
        <v>1.3</v>
      </c>
      <c r="J38" s="238">
        <v>1</v>
      </c>
    </row>
    <row r="39" spans="1:10" ht="15.75" thickBot="1">
      <c r="A39" s="243" t="s">
        <v>84</v>
      </c>
      <c r="B39" s="238">
        <v>102.74074074074075</v>
      </c>
      <c r="C39" s="238">
        <v>111.6377171215881</v>
      </c>
      <c r="D39" s="238"/>
      <c r="E39" s="238">
        <v>121.75765095119934</v>
      </c>
      <c r="F39" s="238">
        <v>115.16507276507276</v>
      </c>
      <c r="G39" s="238">
        <v>114.24989824989825</v>
      </c>
      <c r="H39" s="238">
        <v>137.92511192511199</v>
      </c>
      <c r="I39" s="238">
        <v>174</v>
      </c>
      <c r="J39" s="238">
        <v>167.7</v>
      </c>
    </row>
    <row r="40" spans="1:10" ht="15.75" thickTop="1">
      <c r="A40" s="268" t="s">
        <v>83</v>
      </c>
      <c r="B40" s="269">
        <v>2112.4273504273506</v>
      </c>
      <c r="C40" s="269">
        <v>1838.5128205128208</v>
      </c>
      <c r="D40" s="269"/>
      <c r="E40" s="269">
        <v>1908.852770885029</v>
      </c>
      <c r="F40" s="269">
        <v>1852.4814968814972</v>
      </c>
      <c r="G40" s="269">
        <v>1752.2140822140821</v>
      </c>
      <c r="H40" s="269">
        <v>1749.3072853072899</v>
      </c>
      <c r="I40" s="269">
        <v>1715.5</v>
      </c>
      <c r="J40" s="269">
        <v>1676.8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64869-A073-456A-8724-DA83924F80D2}">
  <sheetPr codeName="Feuil20"/>
  <dimension ref="A1:J40"/>
  <sheetViews>
    <sheetView workbookViewId="0">
      <selection activeCell="A6" sqref="A6:A39"/>
    </sheetView>
  </sheetViews>
  <sheetFormatPr baseColWidth="10" defaultRowHeight="15"/>
  <cols>
    <col min="1" max="1" width="23" style="60" bestFit="1" customWidth="1"/>
    <col min="2" max="7" width="8.7109375" style="60" customWidth="1"/>
    <col min="8" max="16384" width="11.42578125" style="60"/>
  </cols>
  <sheetData>
    <row r="1" spans="1:10" s="59" customFormat="1" ht="62.25" customHeight="1"/>
    <row r="2" spans="1:10" s="59" customFormat="1" ht="16.5"/>
    <row r="3" spans="1:10" ht="16.5" customHeight="1">
      <c r="A3" s="265" t="s">
        <v>81</v>
      </c>
      <c r="B3" s="265"/>
      <c r="C3" s="265"/>
      <c r="D3" s="265"/>
      <c r="E3" s="265"/>
      <c r="F3" s="265"/>
      <c r="G3" s="265"/>
      <c r="H3" s="265"/>
    </row>
    <row r="4" spans="1:10" ht="16.5">
      <c r="A4" s="260"/>
      <c r="B4" s="59"/>
      <c r="C4" s="59"/>
      <c r="D4" s="59"/>
      <c r="E4" s="59"/>
      <c r="F4" s="59"/>
      <c r="G4" s="59"/>
      <c r="H4" s="59"/>
    </row>
    <row r="5" spans="1:10">
      <c r="A5" s="194" t="s">
        <v>54</v>
      </c>
      <c r="B5" s="270" t="s">
        <v>120</v>
      </c>
      <c r="C5" s="271">
        <v>2017</v>
      </c>
      <c r="D5" s="271">
        <v>2018</v>
      </c>
      <c r="E5" s="271">
        <v>2019</v>
      </c>
      <c r="F5" s="271">
        <v>2020</v>
      </c>
      <c r="G5" s="271">
        <v>2021</v>
      </c>
      <c r="H5" s="271">
        <v>2022</v>
      </c>
      <c r="I5" s="271">
        <v>2023</v>
      </c>
      <c r="J5" s="271">
        <v>2024</v>
      </c>
    </row>
    <row r="6" spans="1:10">
      <c r="A6" s="272" t="s">
        <v>16</v>
      </c>
      <c r="B6" s="273">
        <v>5.898128441606703</v>
      </c>
      <c r="C6" s="274">
        <v>5.8994</v>
      </c>
      <c r="D6" s="274"/>
      <c r="E6" s="274">
        <v>5.499068207230712</v>
      </c>
      <c r="F6" s="274">
        <v>5.3987242905493362</v>
      </c>
      <c r="G6" s="274">
        <v>5.1531579266077276</v>
      </c>
      <c r="H6" s="274">
        <v>5.1948820041850698</v>
      </c>
      <c r="I6" s="274">
        <v>5.4404901796206202</v>
      </c>
      <c r="J6" s="274">
        <v>5.5056553245116602</v>
      </c>
    </row>
    <row r="7" spans="1:10">
      <c r="A7" s="272" t="s">
        <v>30</v>
      </c>
      <c r="B7" s="273">
        <v>6.3674681283999837</v>
      </c>
      <c r="C7" s="274">
        <v>7.2962999999999996</v>
      </c>
      <c r="D7" s="274"/>
      <c r="E7" s="274">
        <v>6.5351526364477328</v>
      </c>
      <c r="F7" s="274">
        <v>5.364615130764788</v>
      </c>
      <c r="G7" s="274">
        <v>6.2009271099744243</v>
      </c>
      <c r="H7" s="274">
        <v>3.03775010939178</v>
      </c>
      <c r="I7" s="274">
        <v>6.12114321558788</v>
      </c>
      <c r="J7" s="274">
        <v>6.3657358312713601</v>
      </c>
    </row>
    <row r="8" spans="1:10">
      <c r="A8" s="272" t="s">
        <v>31</v>
      </c>
      <c r="B8" s="273">
        <v>5.3648279219563344</v>
      </c>
      <c r="C8" s="274">
        <v>5.2061000000000002</v>
      </c>
      <c r="D8" s="274"/>
      <c r="E8" s="274">
        <v>5.0881497501677977</v>
      </c>
      <c r="F8" s="274">
        <v>5.613932219640815</v>
      </c>
      <c r="G8" s="274">
        <v>5.4822689620948957</v>
      </c>
      <c r="H8" s="274">
        <v>5.3921671605957204</v>
      </c>
      <c r="I8" s="274">
        <v>5.3113983548766202</v>
      </c>
      <c r="J8" s="274">
        <v>5.4679957195513502</v>
      </c>
    </row>
    <row r="9" spans="1:10">
      <c r="A9" s="272" t="s">
        <v>32</v>
      </c>
      <c r="B9" s="273">
        <v>11.35219754253308</v>
      </c>
      <c r="C9" s="274">
        <v>11.8779</v>
      </c>
      <c r="D9" s="274"/>
      <c r="E9" s="274">
        <v>10.90554086464547</v>
      </c>
      <c r="F9" s="274">
        <v>12.562888198757763</v>
      </c>
      <c r="G9" s="274">
        <v>10.558150676727752</v>
      </c>
      <c r="H9" s="274">
        <v>12.0752161011482</v>
      </c>
      <c r="I9" s="274">
        <v>11.2547145102148</v>
      </c>
      <c r="J9" s="274">
        <v>11.772615184944801</v>
      </c>
    </row>
    <row r="10" spans="1:10">
      <c r="A10" s="272" t="s">
        <v>33</v>
      </c>
      <c r="B10" s="273">
        <v>2.6759203151037725</v>
      </c>
      <c r="C10" s="274">
        <v>2.3637000000000001</v>
      </c>
      <c r="D10" s="274"/>
      <c r="E10" s="274">
        <v>3.0832807336724466</v>
      </c>
      <c r="F10" s="274">
        <v>2.9675638371290542</v>
      </c>
      <c r="G10" s="274">
        <v>2.6984596062206787</v>
      </c>
      <c r="H10" s="274">
        <v>2.34251164940116</v>
      </c>
      <c r="I10" s="274">
        <v>2.52668340919793</v>
      </c>
      <c r="J10" s="274">
        <v>2.4486203226070602</v>
      </c>
    </row>
    <row r="11" spans="1:10">
      <c r="A11" s="272" t="s">
        <v>34</v>
      </c>
      <c r="B11" s="273">
        <v>4.8049911726861971</v>
      </c>
      <c r="C11" s="274">
        <v>4.6093999999999999</v>
      </c>
      <c r="D11" s="274"/>
      <c r="E11" s="274">
        <v>4.9151984623897027</v>
      </c>
      <c r="F11" s="274">
        <v>4.8221418591271474</v>
      </c>
      <c r="G11" s="274">
        <v>4.7668764302059499</v>
      </c>
      <c r="H11" s="274">
        <v>5.2166808752486498</v>
      </c>
      <c r="I11" s="274">
        <v>4.4708953089244901</v>
      </c>
      <c r="J11" s="274">
        <v>4.6524271142299103</v>
      </c>
    </row>
    <row r="12" spans="1:10">
      <c r="A12" s="272" t="s">
        <v>89</v>
      </c>
      <c r="B12" s="273">
        <v>3.9180318576044439</v>
      </c>
      <c r="C12" s="274">
        <v>4.2685000000000004</v>
      </c>
      <c r="D12" s="274"/>
      <c r="E12" s="274">
        <v>4.9903782548559743</v>
      </c>
      <c r="F12" s="274">
        <v>5.5906651389977684</v>
      </c>
      <c r="G12" s="274">
        <v>4.598725310784376</v>
      </c>
      <c r="H12" s="274" t="s">
        <v>76</v>
      </c>
      <c r="I12" s="274">
        <v>6.7736380303823998</v>
      </c>
      <c r="J12" s="274">
        <v>7.0246956521739099</v>
      </c>
    </row>
    <row r="13" spans="1:10">
      <c r="A13" s="272" t="s">
        <v>35</v>
      </c>
      <c r="B13" s="273">
        <v>4.0083277984979304</v>
      </c>
      <c r="C13" s="274">
        <v>4.0420999999999996</v>
      </c>
      <c r="D13" s="274"/>
      <c r="E13" s="274">
        <v>6.5627354518459429</v>
      </c>
      <c r="F13" s="274">
        <v>7.1517596267062054</v>
      </c>
      <c r="G13" s="274">
        <v>8.2087130958091663</v>
      </c>
      <c r="H13" s="274">
        <v>8.6303462321792299</v>
      </c>
      <c r="I13" s="274">
        <v>7.7239540607055002</v>
      </c>
      <c r="J13" s="274">
        <v>8.1065782044042898</v>
      </c>
    </row>
    <row r="14" spans="1:10">
      <c r="A14" s="272" t="s">
        <v>55</v>
      </c>
      <c r="B14" s="273">
        <v>2.7942959312720772</v>
      </c>
      <c r="C14" s="274">
        <v>2.7964000000000002</v>
      </c>
      <c r="D14" s="274"/>
      <c r="E14" s="274">
        <v>3.36394655116051</v>
      </c>
      <c r="F14" s="274">
        <v>3.1406695927726491</v>
      </c>
      <c r="G14" s="274">
        <v>3.2435739281488378</v>
      </c>
      <c r="H14" s="274">
        <v>3.9304591401778102</v>
      </c>
      <c r="I14" s="274">
        <v>6.02645009323781</v>
      </c>
      <c r="J14" s="274">
        <v>3.9543838715290698</v>
      </c>
    </row>
    <row r="15" spans="1:10">
      <c r="A15" s="272" t="s">
        <v>36</v>
      </c>
      <c r="B15" s="273">
        <v>4.4420589292130792</v>
      </c>
      <c r="C15" s="274">
        <v>3.9495</v>
      </c>
      <c r="D15" s="274"/>
      <c r="E15" s="274">
        <v>3.8338473783703115</v>
      </c>
      <c r="F15" s="274">
        <v>3.608403851765392</v>
      </c>
      <c r="G15" s="274">
        <v>3.7765099350777107</v>
      </c>
      <c r="H15" s="274">
        <v>3.7412945111154801</v>
      </c>
      <c r="I15" s="274">
        <v>4.3256787099408101</v>
      </c>
      <c r="J15" s="274">
        <v>4.4462297836589002</v>
      </c>
    </row>
    <row r="16" spans="1:10">
      <c r="A16" s="272" t="s">
        <v>56</v>
      </c>
      <c r="B16" s="273">
        <v>2.5068052930056708</v>
      </c>
      <c r="C16" s="274">
        <v>3.9495</v>
      </c>
      <c r="D16" s="274"/>
      <c r="E16" s="274">
        <v>4.0504533829342018</v>
      </c>
      <c r="F16" s="274">
        <v>4.4008077928248994</v>
      </c>
      <c r="G16" s="274">
        <v>5.7061148570099984</v>
      </c>
      <c r="H16" s="274">
        <v>7.0369565217391301</v>
      </c>
      <c r="I16" s="274">
        <v>9.7414735745899499</v>
      </c>
      <c r="J16" s="274">
        <v>9.6096951524237895</v>
      </c>
    </row>
    <row r="17" spans="1:10">
      <c r="A17" s="272" t="s">
        <v>57</v>
      </c>
      <c r="B17" s="273"/>
      <c r="C17" s="274"/>
      <c r="D17" s="274"/>
      <c r="E17" s="274"/>
      <c r="F17" s="274"/>
      <c r="G17" s="274">
        <v>1.822969329288844</v>
      </c>
      <c r="H17" s="274">
        <v>1.92867237509352</v>
      </c>
      <c r="I17" s="274">
        <v>1.89257282827399</v>
      </c>
      <c r="J17" s="274">
        <v>1.69815195071869</v>
      </c>
    </row>
    <row r="18" spans="1:10">
      <c r="A18" s="272" t="s">
        <v>58</v>
      </c>
      <c r="B18" s="273"/>
      <c r="C18" s="274"/>
      <c r="D18" s="274"/>
      <c r="E18" s="274"/>
      <c r="F18" s="274"/>
      <c r="G18" s="274"/>
      <c r="H18" s="274"/>
      <c r="I18" s="274">
        <v>5.5288420146362496</v>
      </c>
      <c r="J18" s="274">
        <v>7.3230942970073398</v>
      </c>
    </row>
    <row r="19" spans="1:10">
      <c r="A19" s="272" t="s">
        <v>37</v>
      </c>
      <c r="B19" s="273">
        <v>3.9780974174566852</v>
      </c>
      <c r="C19" s="274">
        <v>5.3129999999999997</v>
      </c>
      <c r="D19" s="274"/>
      <c r="E19" s="274">
        <v>8.6334723049434174</v>
      </c>
      <c r="F19" s="274">
        <v>10.34079456228759</v>
      </c>
      <c r="G19" s="274">
        <v>12.15095261358085</v>
      </c>
      <c r="H19" s="274">
        <v>11.0710724637681</v>
      </c>
      <c r="I19" s="274">
        <v>9.9609291244788594</v>
      </c>
      <c r="J19" s="274">
        <v>9.7748691099476499</v>
      </c>
    </row>
    <row r="20" spans="1:10">
      <c r="A20" s="272" t="s">
        <v>38</v>
      </c>
      <c r="B20" s="273">
        <v>3.3480833547723181</v>
      </c>
      <c r="C20" s="274">
        <v>2.3647</v>
      </c>
      <c r="D20" s="274"/>
      <c r="E20" s="274">
        <v>3.027447170269614</v>
      </c>
      <c r="F20" s="274">
        <v>2.8026133209990749</v>
      </c>
      <c r="G20" s="274">
        <v>2.6744676131322094</v>
      </c>
      <c r="H20" s="274">
        <v>3.6113508131430501</v>
      </c>
      <c r="I20" s="274">
        <v>5.3009071004066302</v>
      </c>
      <c r="J20" s="274">
        <v>5.9162274923144498</v>
      </c>
    </row>
    <row r="21" spans="1:10">
      <c r="A21" s="272" t="s">
        <v>39</v>
      </c>
      <c r="B21" s="273">
        <v>6.0892895015906685</v>
      </c>
      <c r="C21" s="274">
        <v>5.3693</v>
      </c>
      <c r="D21" s="274"/>
      <c r="E21" s="274">
        <v>4.9205309282736325</v>
      </c>
      <c r="F21" s="274">
        <v>4.3481333538177909</v>
      </c>
      <c r="G21" s="274">
        <v>4.3889855072463773</v>
      </c>
      <c r="H21" s="274">
        <v>4.34733361474603</v>
      </c>
      <c r="I21" s="274">
        <v>4.24647523436923</v>
      </c>
      <c r="J21" s="274">
        <v>4.0180602006689004</v>
      </c>
    </row>
    <row r="22" spans="1:10">
      <c r="A22" s="272" t="s">
        <v>40</v>
      </c>
      <c r="B22" s="273">
        <v>6.2676453980801808E-2</v>
      </c>
      <c r="C22" s="274">
        <v>0.70489999999999997</v>
      </c>
      <c r="D22" s="274"/>
      <c r="E22" s="274">
        <v>0.48086435824004164</v>
      </c>
      <c r="F22" s="274">
        <v>0.22245932248599626</v>
      </c>
      <c r="G22" s="274">
        <v>0.23838080959520239</v>
      </c>
      <c r="H22" s="274">
        <v>0.53196930946291998</v>
      </c>
      <c r="I22" s="274">
        <v>1.0362318840579701</v>
      </c>
      <c r="J22" s="274">
        <v>7.3913043478259999E-2</v>
      </c>
    </row>
    <row r="23" spans="1:10">
      <c r="A23" s="272" t="s">
        <v>41</v>
      </c>
      <c r="B23" s="273">
        <v>4.3055029974705725</v>
      </c>
      <c r="C23" s="274">
        <v>4.4364999999999997</v>
      </c>
      <c r="D23" s="274"/>
      <c r="E23" s="274">
        <v>4.4406606116915377</v>
      </c>
      <c r="F23" s="274">
        <v>4.4495032955344085</v>
      </c>
      <c r="G23" s="274">
        <v>3.2019740239866867</v>
      </c>
      <c r="H23" s="274">
        <v>4.0307817558006596</v>
      </c>
      <c r="I23" s="274">
        <v>4.1773165453472396</v>
      </c>
      <c r="J23" s="274">
        <v>4.3902348731027097</v>
      </c>
    </row>
    <row r="24" spans="1:10">
      <c r="A24" s="272" t="s">
        <v>42</v>
      </c>
      <c r="B24" s="273">
        <v>4.7593781072041947</v>
      </c>
      <c r="C24" s="274">
        <v>4.4069000000000003</v>
      </c>
      <c r="D24" s="274"/>
      <c r="E24" s="274">
        <v>4.8358132045088569</v>
      </c>
      <c r="F24" s="274">
        <v>4.6592877560231249</v>
      </c>
      <c r="G24" s="274">
        <v>4.8661152215479255</v>
      </c>
      <c r="H24" s="274">
        <v>5.1367682300582</v>
      </c>
      <c r="I24" s="274">
        <v>5.4635081562357799</v>
      </c>
      <c r="J24" s="274">
        <v>6.1824201476959004</v>
      </c>
    </row>
    <row r="25" spans="1:10">
      <c r="A25" s="272" t="s">
        <v>43</v>
      </c>
      <c r="B25" s="273">
        <v>4.0991048593350374</v>
      </c>
      <c r="C25" s="274">
        <v>4.7942</v>
      </c>
      <c r="D25" s="274"/>
      <c r="E25" s="274">
        <v>4.4332608695652178</v>
      </c>
      <c r="F25" s="274">
        <v>4.1832759362892808</v>
      </c>
      <c r="G25" s="274">
        <v>3.6744676131322098</v>
      </c>
      <c r="H25" s="274">
        <v>3.4877994676131299</v>
      </c>
      <c r="I25" s="274">
        <v>3.0867270850063102</v>
      </c>
      <c r="J25" s="274">
        <v>4.00629443991141</v>
      </c>
    </row>
    <row r="26" spans="1:10">
      <c r="A26" s="272" t="s">
        <v>59</v>
      </c>
      <c r="B26" s="273"/>
      <c r="C26" s="274"/>
      <c r="D26" s="274"/>
      <c r="E26" s="274"/>
      <c r="F26" s="274"/>
      <c r="G26" s="274"/>
      <c r="H26" s="274">
        <v>5.6274218967275402</v>
      </c>
      <c r="I26" s="274">
        <v>4.5956337118065198</v>
      </c>
      <c r="J26" s="274">
        <v>4.2364247061018903</v>
      </c>
    </row>
    <row r="27" spans="1:10">
      <c r="A27" s="272" t="s">
        <v>44</v>
      </c>
      <c r="B27" s="273">
        <v>7.763072574611356</v>
      </c>
      <c r="C27" s="274">
        <v>8.0326000000000004</v>
      </c>
      <c r="D27" s="274"/>
      <c r="E27" s="274">
        <v>8.6124864613956369</v>
      </c>
      <c r="F27" s="274">
        <v>8.1302408563782329</v>
      </c>
      <c r="G27" s="274">
        <v>8.1213817748659913</v>
      </c>
      <c r="H27" s="274">
        <v>8.6490799544048205</v>
      </c>
      <c r="I27" s="274">
        <v>7.4749999999999996</v>
      </c>
      <c r="J27" s="274">
        <v>7.10485933503836</v>
      </c>
    </row>
    <row r="28" spans="1:10">
      <c r="A28" s="272" t="s">
        <v>45</v>
      </c>
      <c r="B28" s="273">
        <v>2.7196516420688739</v>
      </c>
      <c r="C28" s="274">
        <v>2.4954999999999998</v>
      </c>
      <c r="D28" s="274"/>
      <c r="E28" s="274">
        <v>2.8169401440004944</v>
      </c>
      <c r="F28" s="274">
        <v>2.7316909567656564</v>
      </c>
      <c r="G28" s="274">
        <v>2.265383077186768</v>
      </c>
      <c r="H28" s="274">
        <v>2.22120048805166</v>
      </c>
      <c r="I28" s="274">
        <v>2.21769900612327</v>
      </c>
      <c r="J28" s="274">
        <v>2.1204499494438802</v>
      </c>
    </row>
    <row r="29" spans="1:10">
      <c r="A29" s="272" t="s">
        <v>46</v>
      </c>
      <c r="B29" s="273">
        <v>3.1892149331694575</v>
      </c>
      <c r="C29" s="274">
        <v>2.7065000000000001</v>
      </c>
      <c r="D29" s="274"/>
      <c r="E29" s="274">
        <v>3.0759247242050614</v>
      </c>
      <c r="F29" s="274">
        <v>2.3396245059288541</v>
      </c>
      <c r="G29" s="274">
        <v>2.8403330249768732</v>
      </c>
      <c r="H29" s="274">
        <v>4.1737215092894102</v>
      </c>
      <c r="I29" s="274">
        <v>4.6988476808366402</v>
      </c>
      <c r="J29" s="274">
        <v>4.7335513659099702</v>
      </c>
    </row>
    <row r="30" spans="1:10">
      <c r="A30" s="272" t="s">
        <v>47</v>
      </c>
      <c r="B30" s="273">
        <v>3.1892149331694575</v>
      </c>
      <c r="C30" s="274">
        <v>3.8957999999999999</v>
      </c>
      <c r="D30" s="274"/>
      <c r="E30" s="274">
        <v>3.8057198962765284</v>
      </c>
      <c r="F30" s="274">
        <v>5.0373287301758554</v>
      </c>
      <c r="G30" s="274">
        <v>4.3532981172964922</v>
      </c>
      <c r="H30" s="274">
        <v>4.6671523487586004</v>
      </c>
      <c r="I30" s="274">
        <v>6.2932875667429498</v>
      </c>
      <c r="J30" s="274">
        <v>6.4608076744545899</v>
      </c>
    </row>
    <row r="31" spans="1:10">
      <c r="A31" s="272" t="s">
        <v>48</v>
      </c>
      <c r="B31" s="273">
        <v>2.7145159884987367</v>
      </c>
      <c r="C31" s="274">
        <v>2.8292000000000002</v>
      </c>
      <c r="D31" s="274"/>
      <c r="E31" s="274">
        <v>3.7699620600933237</v>
      </c>
      <c r="F31" s="274">
        <v>3.3479558728098637</v>
      </c>
      <c r="G31" s="274">
        <v>2.7466538360598372</v>
      </c>
      <c r="H31" s="274">
        <v>2.5075036446273899</v>
      </c>
      <c r="I31" s="274">
        <v>4.2774536041767197</v>
      </c>
      <c r="J31" s="274">
        <v>4.2930016275284801</v>
      </c>
    </row>
    <row r="32" spans="1:10">
      <c r="A32" s="272" t="s">
        <v>49</v>
      </c>
      <c r="B32" s="273">
        <v>4.2148126925005371</v>
      </c>
      <c r="C32" s="274">
        <v>4.0667999999999997</v>
      </c>
      <c r="D32" s="274"/>
      <c r="E32" s="274">
        <v>4.0916186068998863</v>
      </c>
      <c r="F32" s="274">
        <v>3.3743415045304488</v>
      </c>
      <c r="G32" s="274">
        <v>3.3075411446818963</v>
      </c>
      <c r="H32" s="274">
        <v>3.8924191750278698</v>
      </c>
      <c r="I32" s="274">
        <v>4.1467873811278402</v>
      </c>
      <c r="J32" s="274">
        <v>3.7188087024830101</v>
      </c>
    </row>
    <row r="33" spans="1:10">
      <c r="A33" s="272" t="s">
        <v>60</v>
      </c>
      <c r="B33" s="273"/>
      <c r="C33" s="274"/>
      <c r="D33" s="274"/>
      <c r="E33" s="274"/>
      <c r="F33" s="274"/>
      <c r="G33" s="274"/>
      <c r="H33" s="274">
        <v>5.5194508009153296</v>
      </c>
      <c r="I33" s="274">
        <v>5.9494295405488797</v>
      </c>
      <c r="J33" s="274">
        <v>4.5775024035893601</v>
      </c>
    </row>
    <row r="34" spans="1:10">
      <c r="A34" s="272" t="s">
        <v>50</v>
      </c>
      <c r="B34" s="273">
        <v>2.3028156433793217</v>
      </c>
      <c r="C34" s="274">
        <v>2.3740999999999999</v>
      </c>
      <c r="D34" s="274"/>
      <c r="E34" s="274">
        <v>2.4997234381081803</v>
      </c>
      <c r="F34" s="274">
        <v>2.2454072742738762</v>
      </c>
      <c r="G34" s="274">
        <v>2.2343889494218132</v>
      </c>
      <c r="H34" s="274">
        <v>2.3697591534143698</v>
      </c>
      <c r="I34" s="274">
        <v>2.4080707621897601</v>
      </c>
      <c r="J34" s="274">
        <v>2.26426403467863</v>
      </c>
    </row>
    <row r="35" spans="1:10">
      <c r="A35" s="272" t="s">
        <v>146</v>
      </c>
      <c r="B35" s="278"/>
      <c r="C35" s="279"/>
      <c r="D35" s="279"/>
      <c r="E35" s="279"/>
      <c r="F35" s="279"/>
      <c r="G35" s="279"/>
      <c r="H35" s="279"/>
      <c r="I35" s="279"/>
      <c r="J35" s="279"/>
    </row>
    <row r="36" spans="1:10">
      <c r="A36" s="272" t="s">
        <v>51</v>
      </c>
      <c r="B36" s="273">
        <v>5.3712855802314667</v>
      </c>
      <c r="C36" s="274">
        <v>5.7984</v>
      </c>
      <c r="D36" s="274"/>
      <c r="E36" s="274">
        <v>5.7149116471664501</v>
      </c>
      <c r="F36" s="274">
        <v>5.4950504658385091</v>
      </c>
      <c r="G36" s="274">
        <v>5.8243054552457991</v>
      </c>
      <c r="H36" s="274"/>
      <c r="I36" s="274"/>
      <c r="J36" s="274"/>
    </row>
    <row r="37" spans="1:10">
      <c r="A37" s="272" t="s">
        <v>52</v>
      </c>
      <c r="B37" s="273">
        <v>3.1892149331694575</v>
      </c>
      <c r="C37" s="274">
        <v>2.8201999999999998</v>
      </c>
      <c r="D37" s="274"/>
      <c r="E37" s="274">
        <v>2.7995394825951512</v>
      </c>
      <c r="F37" s="274">
        <v>2.4147826086956523</v>
      </c>
      <c r="G37" s="274">
        <v>2.5</v>
      </c>
      <c r="H37" s="274">
        <v>2.76265146115467</v>
      </c>
      <c r="I37" s="274">
        <v>2.1812356979405001</v>
      </c>
      <c r="J37" s="274">
        <v>1.83548335722249</v>
      </c>
    </row>
    <row r="38" spans="1:10">
      <c r="A38" s="272" t="s">
        <v>53</v>
      </c>
      <c r="B38" s="273">
        <v>3.1892149331694575</v>
      </c>
      <c r="C38" s="274">
        <v>3.0426000000000002</v>
      </c>
      <c r="D38" s="274"/>
      <c r="E38" s="274">
        <v>3.3872702823845811</v>
      </c>
      <c r="F38" s="274">
        <v>2.9165217391304346</v>
      </c>
      <c r="G38" s="274">
        <v>3.3334175935288166</v>
      </c>
      <c r="H38" s="274">
        <v>1.7593528816986901</v>
      </c>
      <c r="I38" s="274">
        <v>1.4521739130434801</v>
      </c>
      <c r="J38" s="274">
        <v>0.99951148021494995</v>
      </c>
    </row>
    <row r="39" spans="1:10" ht="15.75" thickBot="1">
      <c r="A39" s="275" t="s">
        <v>84</v>
      </c>
      <c r="B39" s="273">
        <v>12.29338231262679</v>
      </c>
      <c r="C39" s="274">
        <v>13.2719</v>
      </c>
      <c r="D39" s="274"/>
      <c r="E39" s="274">
        <v>14.567577097290407</v>
      </c>
      <c r="F39" s="274">
        <v>14.908651455720678</v>
      </c>
      <c r="G39" s="274">
        <v>15.218947186446538</v>
      </c>
      <c r="H39" s="274">
        <v>14.4159603742433</v>
      </c>
      <c r="I39" s="274">
        <v>12.887313125771501</v>
      </c>
      <c r="J39" s="274">
        <v>12.1248355217111</v>
      </c>
    </row>
    <row r="40" spans="1:10" ht="15.75" thickTop="1">
      <c r="A40" s="268" t="s">
        <v>83</v>
      </c>
      <c r="B40" s="276">
        <v>4.4931399272945356</v>
      </c>
      <c r="C40" s="277">
        <v>4.5888054106495515</v>
      </c>
      <c r="D40" s="277"/>
      <c r="E40" s="277">
        <v>4.8758299021278493</v>
      </c>
      <c r="F40" s="277">
        <v>4.8166899916126455</v>
      </c>
      <c r="G40" s="277">
        <v>4.6796127801735778</v>
      </c>
      <c r="H40" s="277">
        <v>4.87734441889015</v>
      </c>
      <c r="I40" s="277">
        <v>5.0478056139820699</v>
      </c>
      <c r="J40" s="277">
        <v>4.9599615462609004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0C01-6667-4BFF-846D-3B52E7A96052}">
  <sheetPr codeName="Feuil21"/>
  <dimension ref="A1:J40"/>
  <sheetViews>
    <sheetView workbookViewId="0">
      <selection activeCell="A6" sqref="A6:A39"/>
    </sheetView>
  </sheetViews>
  <sheetFormatPr baseColWidth="10" defaultRowHeight="15"/>
  <cols>
    <col min="1" max="1" width="23" style="60" bestFit="1" customWidth="1"/>
    <col min="2" max="7" width="8.7109375" style="60" customWidth="1"/>
    <col min="8" max="16384" width="11.42578125" style="60"/>
  </cols>
  <sheetData>
    <row r="1" spans="1:10" s="59" customFormat="1" ht="62.25" customHeight="1"/>
    <row r="2" spans="1:10" s="59" customFormat="1" ht="16.5"/>
    <row r="3" spans="1:10" ht="16.5">
      <c r="A3" s="378" t="s">
        <v>81</v>
      </c>
      <c r="B3" s="378"/>
      <c r="C3" s="378"/>
      <c r="D3" s="378"/>
      <c r="E3" s="378"/>
      <c r="F3" s="378"/>
      <c r="G3" s="378"/>
      <c r="H3" s="378"/>
    </row>
    <row r="4" spans="1:10" ht="16.5">
      <c r="A4" s="61"/>
      <c r="B4" s="59"/>
      <c r="C4" s="59"/>
      <c r="D4" s="59"/>
      <c r="E4" s="59"/>
      <c r="F4" s="59"/>
      <c r="G4" s="59"/>
      <c r="H4" s="59"/>
      <c r="I4" s="59"/>
    </row>
    <row r="5" spans="1:10">
      <c r="A5" s="194" t="s">
        <v>54</v>
      </c>
      <c r="B5" s="270" t="s">
        <v>120</v>
      </c>
      <c r="C5" s="271">
        <v>2017</v>
      </c>
      <c r="D5" s="271">
        <v>2018</v>
      </c>
      <c r="E5" s="271">
        <v>2019</v>
      </c>
      <c r="F5" s="271">
        <v>2020</v>
      </c>
      <c r="G5" s="271">
        <v>2021</v>
      </c>
      <c r="H5" s="271">
        <v>2022</v>
      </c>
      <c r="I5" s="271">
        <v>2023</v>
      </c>
      <c r="J5" s="271">
        <v>2024</v>
      </c>
    </row>
    <row r="6" spans="1:10">
      <c r="A6" s="243" t="s">
        <v>16</v>
      </c>
      <c r="B6" s="227">
        <v>2.3628829342068678</v>
      </c>
      <c r="C6" s="228">
        <v>2.4011115651321009</v>
      </c>
      <c r="D6" s="228"/>
      <c r="E6" s="228">
        <v>2.904627567523709</v>
      </c>
      <c r="F6" s="228">
        <v>2.7158962963697775</v>
      </c>
      <c r="G6" s="228">
        <v>2.2229036711551724</v>
      </c>
      <c r="H6" s="228">
        <v>2.2579085574525801</v>
      </c>
      <c r="I6" s="228">
        <v>2.3424596757930098</v>
      </c>
      <c r="J6" s="274">
        <v>1.82700672973047</v>
      </c>
    </row>
    <row r="7" spans="1:10">
      <c r="A7" s="243" t="s">
        <v>30</v>
      </c>
      <c r="B7" s="227">
        <v>5.5156298687501124</v>
      </c>
      <c r="C7" s="228">
        <v>5.1949471107614302</v>
      </c>
      <c r="D7" s="228"/>
      <c r="E7" s="228">
        <v>5.3826151895143868</v>
      </c>
      <c r="F7" s="228">
        <v>4.7232276714348433</v>
      </c>
      <c r="G7" s="228">
        <v>4.1672831014208596</v>
      </c>
      <c r="H7" s="228">
        <v>2.04454176579612</v>
      </c>
      <c r="I7" s="228">
        <v>5.1281117498634403</v>
      </c>
      <c r="J7" s="274">
        <v>4.2381388276910696</v>
      </c>
    </row>
    <row r="8" spans="1:10">
      <c r="A8" s="243" t="s">
        <v>31</v>
      </c>
      <c r="B8" s="227">
        <v>2.9024982779755799</v>
      </c>
      <c r="C8" s="228">
        <v>3.1232753791929362</v>
      </c>
      <c r="D8" s="228"/>
      <c r="E8" s="228">
        <v>3.1815274784501066</v>
      </c>
      <c r="F8" s="228">
        <v>2.6355271610746063</v>
      </c>
      <c r="G8" s="228">
        <v>2.7135252941704553</v>
      </c>
      <c r="H8" s="228">
        <v>2.7310527310527299</v>
      </c>
      <c r="I8" s="228">
        <v>2.6626593536778298</v>
      </c>
      <c r="J8" s="274">
        <v>2.6888426888426902</v>
      </c>
    </row>
    <row r="9" spans="1:10">
      <c r="A9" s="243" t="s">
        <v>32</v>
      </c>
      <c r="B9" s="227">
        <v>4.6211568059258443</v>
      </c>
      <c r="C9" s="228">
        <v>5.2192902822328477</v>
      </c>
      <c r="D9" s="228"/>
      <c r="E9" s="228">
        <v>4.833446123768705</v>
      </c>
      <c r="F9" s="228">
        <v>5.4371154371154367</v>
      </c>
      <c r="G9" s="228">
        <v>4.3055054713085799</v>
      </c>
      <c r="H9" s="228">
        <v>4.7952341391705202</v>
      </c>
      <c r="I9" s="228">
        <v>3.89355509355509</v>
      </c>
      <c r="J9" s="274">
        <v>4.8694271194271197</v>
      </c>
    </row>
    <row r="10" spans="1:10">
      <c r="A10" s="243" t="s">
        <v>33</v>
      </c>
      <c r="B10" s="227">
        <v>2.5997878141791397</v>
      </c>
      <c r="C10" s="228">
        <v>2.7960347753823034</v>
      </c>
      <c r="D10" s="228"/>
      <c r="E10" s="228">
        <v>1.7975598710490359</v>
      </c>
      <c r="F10" s="228">
        <v>1.5224991629486011</v>
      </c>
      <c r="G10" s="228">
        <v>1.606629284354403</v>
      </c>
      <c r="H10" s="228">
        <v>1.4492653236108699</v>
      </c>
      <c r="I10" s="228">
        <v>1.3404557313905801</v>
      </c>
      <c r="J10" s="274">
        <v>1.2683880191766601</v>
      </c>
    </row>
    <row r="11" spans="1:10">
      <c r="A11" s="243" t="s">
        <v>89</v>
      </c>
      <c r="B11" s="227">
        <v>0.40253802068546873</v>
      </c>
      <c r="C11" s="228">
        <v>1.0096995726310187</v>
      </c>
      <c r="D11" s="228"/>
      <c r="E11" s="228">
        <v>0.46144552559920443</v>
      </c>
      <c r="F11" s="228">
        <v>0.43948176398507521</v>
      </c>
      <c r="G11" s="228">
        <v>0.48371980088062744</v>
      </c>
      <c r="H11" s="228" t="s">
        <v>76</v>
      </c>
      <c r="I11" s="228">
        <v>0.54295709277258997</v>
      </c>
      <c r="J11" s="274">
        <v>0.61740890688258998</v>
      </c>
    </row>
    <row r="12" spans="1:10">
      <c r="A12" s="243" t="s">
        <v>34</v>
      </c>
      <c r="B12" s="227">
        <v>4.7896567824754541</v>
      </c>
      <c r="C12" s="228">
        <v>5.0565655782389651</v>
      </c>
      <c r="D12" s="228"/>
      <c r="E12" s="228">
        <v>4.6952904427224125</v>
      </c>
      <c r="F12" s="228">
        <v>3.6409298512148163</v>
      </c>
      <c r="G12" s="228">
        <v>3.4761716195601888</v>
      </c>
      <c r="H12" s="228">
        <v>3.4281704781704798</v>
      </c>
      <c r="I12" s="228">
        <v>2.3428167682446399</v>
      </c>
      <c r="J12" s="274">
        <v>2.0897538215973999</v>
      </c>
    </row>
    <row r="13" spans="1:10">
      <c r="A13" s="243" t="s">
        <v>35</v>
      </c>
      <c r="B13" s="227">
        <v>5.1570697533430456</v>
      </c>
      <c r="C13" s="228">
        <v>4.8552385576940225</v>
      </c>
      <c r="D13" s="228"/>
      <c r="E13" s="228">
        <v>2.6899337679508761</v>
      </c>
      <c r="F13" s="228">
        <v>3.4866227790265247</v>
      </c>
      <c r="G13" s="228">
        <v>2.4469507752182524</v>
      </c>
      <c r="H13" s="228">
        <v>1.77931040206489</v>
      </c>
      <c r="I13" s="228">
        <v>2.8759047986005402</v>
      </c>
      <c r="J13" s="274">
        <v>3.2777085224976701</v>
      </c>
    </row>
    <row r="14" spans="1:10">
      <c r="A14" s="243" t="s">
        <v>55</v>
      </c>
      <c r="B14" s="227">
        <v>2.8270157199299444</v>
      </c>
      <c r="C14" s="228">
        <v>2.6620143027132137</v>
      </c>
      <c r="D14" s="228"/>
      <c r="E14" s="228">
        <v>3.1054149216842064</v>
      </c>
      <c r="F14" s="228">
        <v>3.3051237129897002</v>
      </c>
      <c r="G14" s="228">
        <v>3.7470287233170572</v>
      </c>
      <c r="H14" s="228">
        <v>2.8618135335985602</v>
      </c>
      <c r="I14" s="228">
        <v>1.20164690559626</v>
      </c>
      <c r="J14" s="274">
        <v>3.2959836090270902</v>
      </c>
    </row>
    <row r="15" spans="1:10">
      <c r="A15" s="243" t="s">
        <v>36</v>
      </c>
      <c r="B15" s="227">
        <v>1.7199602565456225</v>
      </c>
      <c r="C15" s="228">
        <v>1.8541419181655578</v>
      </c>
      <c r="D15" s="228"/>
      <c r="E15" s="228">
        <v>1.5802161153204799</v>
      </c>
      <c r="F15" s="228">
        <v>1.5529682549831014</v>
      </c>
      <c r="G15" s="228">
        <v>1.3036201271495389</v>
      </c>
      <c r="H15" s="228">
        <v>1.23194671867238</v>
      </c>
      <c r="I15" s="228">
        <v>1.36698451782251</v>
      </c>
      <c r="J15" s="274">
        <v>1.56493894424929</v>
      </c>
    </row>
    <row r="16" spans="1:10">
      <c r="A16" s="243" t="s">
        <v>56</v>
      </c>
      <c r="B16" s="227">
        <v>0.40154680353191524</v>
      </c>
      <c r="C16" s="228">
        <v>1.8541419181655578</v>
      </c>
      <c r="D16" s="228"/>
      <c r="E16" s="228">
        <v>0.7572748086182709</v>
      </c>
      <c r="F16" s="228">
        <v>0.68425036166971642</v>
      </c>
      <c r="G16" s="228">
        <v>0.63363636449483318</v>
      </c>
      <c r="H16" s="228">
        <v>0.48905123671479001</v>
      </c>
      <c r="I16" s="228">
        <v>0.57201702061515003</v>
      </c>
      <c r="J16" s="274">
        <v>0.91079145971747</v>
      </c>
    </row>
    <row r="17" spans="1:10">
      <c r="A17" s="243" t="s">
        <v>57</v>
      </c>
      <c r="B17" s="227"/>
      <c r="C17" s="228"/>
      <c r="D17" s="228"/>
      <c r="E17" s="228"/>
      <c r="F17" s="228"/>
      <c r="G17" s="228">
        <v>2.6258403992002401</v>
      </c>
      <c r="H17" s="228">
        <v>2.7561627561627602</v>
      </c>
      <c r="I17" s="228">
        <v>2.4988064988065002</v>
      </c>
      <c r="J17" s="274">
        <v>2.9591129591129599</v>
      </c>
    </row>
    <row r="18" spans="1:10">
      <c r="A18" s="243" t="s">
        <v>58</v>
      </c>
      <c r="B18" s="227"/>
      <c r="C18" s="228"/>
      <c r="D18" s="228"/>
      <c r="E18" s="228"/>
      <c r="F18" s="228"/>
      <c r="G18" s="228"/>
      <c r="H18" s="228"/>
      <c r="I18" s="228">
        <v>3.9183634603481901</v>
      </c>
      <c r="J18" s="274">
        <v>3.4825256064194101</v>
      </c>
    </row>
    <row r="19" spans="1:10">
      <c r="A19" s="243" t="s">
        <v>37</v>
      </c>
      <c r="B19" s="227">
        <v>1.2322706678404229</v>
      </c>
      <c r="C19" s="228">
        <v>1.8355819561664846</v>
      </c>
      <c r="D19" s="228"/>
      <c r="E19" s="228">
        <v>2.7066261117585451</v>
      </c>
      <c r="F19" s="228">
        <v>2.7386723795864167</v>
      </c>
      <c r="G19" s="228">
        <v>2.0308162540110022</v>
      </c>
      <c r="H19" s="228">
        <v>1.89587998895604</v>
      </c>
      <c r="I19" s="228">
        <v>1.7405598800947599</v>
      </c>
      <c r="J19" s="274">
        <v>1.8237111020616199</v>
      </c>
    </row>
    <row r="20" spans="1:10">
      <c r="A20" s="280" t="s">
        <v>146</v>
      </c>
      <c r="B20" s="227"/>
      <c r="C20" s="228"/>
      <c r="D20" s="228"/>
      <c r="E20" s="228"/>
      <c r="F20" s="228"/>
      <c r="G20" s="228"/>
      <c r="H20" s="228"/>
      <c r="I20" s="228"/>
      <c r="J20" s="274"/>
    </row>
    <row r="21" spans="1:10">
      <c r="A21" s="243" t="s">
        <v>38</v>
      </c>
      <c r="B21" s="227">
        <v>0.70120974376293532</v>
      </c>
      <c r="C21" s="228">
        <v>0.97754360650481165</v>
      </c>
      <c r="D21" s="228"/>
      <c r="E21" s="228">
        <v>0.87251920348817902</v>
      </c>
      <c r="F21" s="228">
        <v>0.95105905994158146</v>
      </c>
      <c r="G21" s="228">
        <v>0.78224244890911565</v>
      </c>
      <c r="H21" s="228">
        <v>0.70885937049933001</v>
      </c>
      <c r="I21" s="228">
        <v>0.96308470729230999</v>
      </c>
      <c r="J21" s="274">
        <v>1.6228138808784001</v>
      </c>
    </row>
    <row r="22" spans="1:10">
      <c r="A22" s="243" t="s">
        <v>39</v>
      </c>
      <c r="B22" s="227">
        <v>5.1715909583929891</v>
      </c>
      <c r="C22" s="228">
        <v>4.7235688838260295</v>
      </c>
      <c r="D22" s="228"/>
      <c r="E22" s="228">
        <v>4.5544957855988857</v>
      </c>
      <c r="F22" s="228">
        <v>3.6068331213962286</v>
      </c>
      <c r="G22" s="228">
        <v>3.1073700690219868</v>
      </c>
      <c r="H22" s="228">
        <v>3.6232208539900901</v>
      </c>
      <c r="I22" s="228">
        <v>3.5807707822633201</v>
      </c>
      <c r="J22" s="274">
        <v>3.0216022987107301</v>
      </c>
    </row>
    <row r="23" spans="1:10">
      <c r="A23" s="243" t="s">
        <v>40</v>
      </c>
      <c r="B23" s="227">
        <v>2.3982283801014916</v>
      </c>
      <c r="C23" s="228">
        <v>1.5988715585489779</v>
      </c>
      <c r="D23" s="228"/>
      <c r="E23" s="228">
        <v>1.2547100450326258</v>
      </c>
      <c r="F23" s="228">
        <v>1.4738559899850223</v>
      </c>
      <c r="G23" s="228">
        <v>1.0272816474366862</v>
      </c>
      <c r="H23" s="228">
        <v>1.0171474238326601</v>
      </c>
      <c r="I23" s="228">
        <v>0.41325233525791</v>
      </c>
      <c r="J23" s="274">
        <v>1.06709841223116</v>
      </c>
    </row>
    <row r="24" spans="1:10">
      <c r="A24" s="243" t="s">
        <v>41</v>
      </c>
      <c r="B24" s="227">
        <v>2.3017155660617563</v>
      </c>
      <c r="C24" s="228">
        <v>2.2871296244724348</v>
      </c>
      <c r="D24" s="228"/>
      <c r="E24" s="228">
        <v>1.897271162405648</v>
      </c>
      <c r="F24" s="228">
        <v>1.7601596076932402</v>
      </c>
      <c r="G24" s="228">
        <v>2.1983683100648328</v>
      </c>
      <c r="H24" s="228">
        <v>1.4483281899012199</v>
      </c>
      <c r="I24" s="228">
        <v>1.3080510544127999</v>
      </c>
      <c r="J24" s="274">
        <v>1.1922904488949999</v>
      </c>
    </row>
    <row r="25" spans="1:10">
      <c r="A25" s="243" t="s">
        <v>42</v>
      </c>
      <c r="B25" s="227">
        <v>2.5822083360708832</v>
      </c>
      <c r="C25" s="228">
        <v>2.9205878113320223</v>
      </c>
      <c r="D25" s="228"/>
      <c r="E25" s="228">
        <v>3.4342203363008861</v>
      </c>
      <c r="F25" s="228">
        <v>3.7650375968591221</v>
      </c>
      <c r="G25" s="228">
        <v>3.9611769770499925</v>
      </c>
      <c r="H25" s="228">
        <v>4.3181122250889699</v>
      </c>
      <c r="I25" s="228">
        <v>4.5953037694509904</v>
      </c>
      <c r="J25" s="274">
        <v>4.1829813747321403</v>
      </c>
    </row>
    <row r="26" spans="1:10">
      <c r="A26" s="243" t="s">
        <v>43</v>
      </c>
      <c r="B26" s="227">
        <v>1.5447085214527077</v>
      </c>
      <c r="C26" s="228">
        <v>1.1928838145507918</v>
      </c>
      <c r="D26" s="228"/>
      <c r="E26" s="228">
        <v>1.0786350433762286</v>
      </c>
      <c r="F26" s="228">
        <v>0.91137255281609175</v>
      </c>
      <c r="G26" s="228">
        <v>2.0982716734725919</v>
      </c>
      <c r="H26" s="228">
        <v>2.0411421090922799</v>
      </c>
      <c r="I26" s="228">
        <v>2.28623164107035</v>
      </c>
      <c r="J26" s="274">
        <v>1.56695500445501</v>
      </c>
    </row>
    <row r="27" spans="1:10">
      <c r="A27" s="243" t="s">
        <v>59</v>
      </c>
      <c r="B27" s="227"/>
      <c r="C27" s="228"/>
      <c r="D27" s="228"/>
      <c r="E27" s="228"/>
      <c r="F27" s="228"/>
      <c r="G27" s="228"/>
      <c r="H27" s="228">
        <v>2.02353181099775</v>
      </c>
      <c r="I27" s="228">
        <v>1.81555233687935</v>
      </c>
      <c r="J27" s="274">
        <v>1.44632892001313</v>
      </c>
    </row>
    <row r="28" spans="1:10">
      <c r="A28" s="243" t="s">
        <v>44</v>
      </c>
      <c r="B28" s="227">
        <v>4.5311602554593202</v>
      </c>
      <c r="C28" s="228">
        <v>4.4084241724251951</v>
      </c>
      <c r="D28" s="228"/>
      <c r="E28" s="228">
        <v>3.0313655043077987</v>
      </c>
      <c r="F28" s="228">
        <v>3.9524054284201888</v>
      </c>
      <c r="G28" s="228">
        <v>3.6749293266498695</v>
      </c>
      <c r="H28" s="228">
        <v>3.1936338069130801</v>
      </c>
      <c r="I28" s="228">
        <v>3.1441916384387598</v>
      </c>
      <c r="J28" s="274">
        <v>2.9026750377296602</v>
      </c>
    </row>
    <row r="29" spans="1:10">
      <c r="A29" s="243" t="s">
        <v>45</v>
      </c>
      <c r="B29" s="227">
        <v>0.50219274288949667</v>
      </c>
      <c r="C29" s="228">
        <v>0.46412765466231248</v>
      </c>
      <c r="D29" s="228"/>
      <c r="E29" s="228">
        <v>0.42319631533341218</v>
      </c>
      <c r="F29" s="228">
        <v>0.30155754745918678</v>
      </c>
      <c r="G29" s="228">
        <v>0.25343325696682589</v>
      </c>
      <c r="H29" s="228">
        <v>0.24230159931758999</v>
      </c>
      <c r="I29" s="228">
        <v>0.23326431825404001</v>
      </c>
      <c r="J29" s="274">
        <v>0.15265458151229999</v>
      </c>
    </row>
    <row r="30" spans="1:10">
      <c r="A30" s="243" t="s">
        <v>46</v>
      </c>
      <c r="B30" s="227">
        <v>2.146330879790237</v>
      </c>
      <c r="C30" s="228">
        <v>2.1749112329266875</v>
      </c>
      <c r="D30" s="228"/>
      <c r="E30" s="228">
        <v>2.0782487508073011</v>
      </c>
      <c r="F30" s="228">
        <v>1.7011985055073027</v>
      </c>
      <c r="G30" s="228">
        <v>1.7289741427672465</v>
      </c>
      <c r="H30" s="228">
        <v>1.8183426694064999</v>
      </c>
      <c r="I30" s="228">
        <v>1.85007196545658</v>
      </c>
      <c r="J30" s="274">
        <v>2.03893776307569</v>
      </c>
    </row>
    <row r="31" spans="1:10">
      <c r="A31" s="243" t="s">
        <v>47</v>
      </c>
      <c r="B31" s="227">
        <v>2.146330879790237</v>
      </c>
      <c r="C31" s="228">
        <v>2.7049253100232189</v>
      </c>
      <c r="D31" s="228"/>
      <c r="E31" s="228">
        <v>3.3323770568570446</v>
      </c>
      <c r="F31" s="228">
        <v>3.0902234845896817</v>
      </c>
      <c r="G31" s="228">
        <v>2.4737741891565337</v>
      </c>
      <c r="H31" s="228">
        <v>2.5976047668305098</v>
      </c>
      <c r="I31" s="228">
        <v>2.6659682519057499</v>
      </c>
      <c r="J31" s="274">
        <v>2.4802632484751701</v>
      </c>
    </row>
    <row r="32" spans="1:10">
      <c r="A32" s="243" t="s">
        <v>48</v>
      </c>
      <c r="B32" s="227">
        <v>6.6837665076520336</v>
      </c>
      <c r="C32" s="228">
        <v>6.5040628760689678</v>
      </c>
      <c r="D32" s="228"/>
      <c r="E32" s="228">
        <v>7.4305751120698966</v>
      </c>
      <c r="F32" s="228">
        <v>6.5716588599281911</v>
      </c>
      <c r="G32" s="228">
        <v>6.1764999103165863</v>
      </c>
      <c r="H32" s="228">
        <v>6.3998365738386198</v>
      </c>
      <c r="I32" s="228">
        <v>5.0737902217192197</v>
      </c>
      <c r="J32" s="274">
        <v>4.2378296041662402</v>
      </c>
    </row>
    <row r="33" spans="1:10">
      <c r="A33" s="243" t="s">
        <v>49</v>
      </c>
      <c r="B33" s="227">
        <v>5.0488966977189671</v>
      </c>
      <c r="C33" s="228">
        <v>4.434088625962719</v>
      </c>
      <c r="D33" s="228"/>
      <c r="E33" s="228">
        <v>5.1963984080481458</v>
      </c>
      <c r="F33" s="228">
        <v>4.869833549078832</v>
      </c>
      <c r="G33" s="228">
        <v>4.391240052087932</v>
      </c>
      <c r="H33" s="228">
        <v>4.0182082985898804</v>
      </c>
      <c r="I33" s="228">
        <v>4.0951984288111696</v>
      </c>
      <c r="J33" s="274">
        <v>3.73333777742595</v>
      </c>
    </row>
    <row r="34" spans="1:10">
      <c r="A34" s="243" t="s">
        <v>60</v>
      </c>
      <c r="B34" s="227"/>
      <c r="C34" s="228"/>
      <c r="D34" s="228"/>
      <c r="E34" s="228"/>
      <c r="F34" s="228"/>
      <c r="G34" s="228"/>
      <c r="H34" s="228">
        <v>1.83859973333658</v>
      </c>
      <c r="I34" s="228">
        <v>1.6618147727833401</v>
      </c>
      <c r="J34" s="274">
        <v>1.6648627215637499</v>
      </c>
    </row>
    <row r="35" spans="1:10">
      <c r="A35" s="243" t="s">
        <v>50</v>
      </c>
      <c r="B35" s="227">
        <v>0.9545437025605471</v>
      </c>
      <c r="C35" s="228">
        <v>0.92752903664533681</v>
      </c>
      <c r="D35" s="228"/>
      <c r="E35" s="228">
        <v>1.2056777279476303</v>
      </c>
      <c r="F35" s="228">
        <v>1.2205759264582794</v>
      </c>
      <c r="G35" s="228">
        <v>1.0415118576654865</v>
      </c>
      <c r="H35" s="228">
        <v>1.1439983513905501</v>
      </c>
      <c r="I35" s="228">
        <v>1.0462052822335499</v>
      </c>
      <c r="J35" s="274">
        <v>0.80734707333172995</v>
      </c>
    </row>
    <row r="36" spans="1:10">
      <c r="A36" s="243" t="s">
        <v>51</v>
      </c>
      <c r="B36" s="227">
        <v>1.8971288016028038</v>
      </c>
      <c r="C36" s="228">
        <v>2.0548417878317577</v>
      </c>
      <c r="D36" s="228"/>
      <c r="E36" s="228">
        <v>1.9997528682392205</v>
      </c>
      <c r="F36" s="228">
        <v>1.9719023454570446</v>
      </c>
      <c r="G36" s="228">
        <v>1.900310722062988</v>
      </c>
      <c r="H36" s="228"/>
      <c r="I36" s="228"/>
      <c r="J36" s="274"/>
    </row>
    <row r="37" spans="1:10">
      <c r="A37" s="243" t="s">
        <v>52</v>
      </c>
      <c r="B37" s="227">
        <v>2.146330879790237</v>
      </c>
      <c r="C37" s="228">
        <v>2.1274152424669883</v>
      </c>
      <c r="D37" s="228"/>
      <c r="E37" s="228">
        <v>2.3865965169590044</v>
      </c>
      <c r="F37" s="228">
        <v>1.8918250429504451</v>
      </c>
      <c r="G37" s="228">
        <v>2.0070718679683131</v>
      </c>
      <c r="H37" s="228">
        <v>2.2160902160902198</v>
      </c>
      <c r="I37" s="228">
        <v>2.0107420413699102</v>
      </c>
      <c r="J37" s="274">
        <v>2.0659305090442799</v>
      </c>
    </row>
    <row r="38" spans="1:10">
      <c r="A38" s="243" t="s">
        <v>53</v>
      </c>
      <c r="B38" s="227">
        <v>2.146330879790237</v>
      </c>
      <c r="C38" s="228">
        <v>0.39073005627527696</v>
      </c>
      <c r="D38" s="228"/>
      <c r="E38" s="228">
        <v>0.81282740556934108</v>
      </c>
      <c r="F38" s="228">
        <v>0.66324786324786322</v>
      </c>
      <c r="G38" s="228">
        <v>0.81099907564115803</v>
      </c>
      <c r="H38" s="228">
        <v>0.43842630954803002</v>
      </c>
      <c r="I38" s="228">
        <v>0.29945438396142998</v>
      </c>
      <c r="J38" s="274">
        <v>0.24364092160702</v>
      </c>
    </row>
    <row r="39" spans="1:10" ht="15.75" thickBot="1">
      <c r="A39" s="275" t="s">
        <v>84</v>
      </c>
      <c r="B39" s="227">
        <v>3.0298065685856903</v>
      </c>
      <c r="C39" s="228">
        <v>3.2575931462383454</v>
      </c>
      <c r="D39" s="228"/>
      <c r="E39" s="228">
        <v>3.4977779646997798</v>
      </c>
      <c r="F39" s="228">
        <v>3.3342522514497035</v>
      </c>
      <c r="G39" s="228">
        <v>3.2633504213052915</v>
      </c>
      <c r="H39" s="228">
        <v>4.0087418636493997</v>
      </c>
      <c r="I39" s="228">
        <v>4.9138661395086096</v>
      </c>
      <c r="J39" s="274">
        <v>4.5808462634466496</v>
      </c>
    </row>
    <row r="40" spans="1:10" ht="15.75" thickTop="1">
      <c r="A40" s="268" t="s">
        <v>83</v>
      </c>
      <c r="B40" s="276">
        <v>2.6135510153034081</v>
      </c>
      <c r="C40" s="277">
        <v>2.669269597271688</v>
      </c>
      <c r="D40" s="277"/>
      <c r="E40" s="277">
        <v>2.7154114270666301</v>
      </c>
      <c r="F40" s="277">
        <v>2.6138042652088909</v>
      </c>
      <c r="G40" s="277">
        <v>2.4497582448537343</v>
      </c>
      <c r="H40" s="277">
        <v>2.4164448876105702</v>
      </c>
      <c r="I40" s="277">
        <v>2.3448188062731501</v>
      </c>
      <c r="J40" s="277">
        <v>2.26828340079788</v>
      </c>
    </row>
  </sheetData>
  <mergeCells count="1">
    <mergeCell ref="A3:H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72A4-C949-4373-9E5E-A3731B6AD7DE}">
  <sheetPr codeName="Feuil24"/>
  <dimension ref="A1:J42"/>
  <sheetViews>
    <sheetView topLeftCell="A4" zoomScale="90" zoomScaleNormal="90" workbookViewId="0">
      <selection activeCell="A6" sqref="A6:A39"/>
    </sheetView>
  </sheetViews>
  <sheetFormatPr baseColWidth="10" defaultRowHeight="15"/>
  <cols>
    <col min="1" max="1" width="24.85546875" style="146" customWidth="1"/>
    <col min="2" max="8" width="8.7109375" style="146" customWidth="1"/>
    <col min="9" max="16384" width="11.42578125" style="146"/>
  </cols>
  <sheetData>
    <row r="1" spans="1:10" s="144" customFormat="1" ht="57" customHeight="1"/>
    <row r="2" spans="1:10" s="144" customFormat="1"/>
    <row r="3" spans="1:10" ht="16.5" customHeight="1">
      <c r="A3" s="379" t="s">
        <v>119</v>
      </c>
      <c r="B3" s="379"/>
      <c r="C3" s="379"/>
      <c r="D3" s="379"/>
      <c r="E3" s="379"/>
      <c r="F3" s="379"/>
      <c r="G3" s="379"/>
      <c r="H3" s="379"/>
      <c r="I3" s="145"/>
    </row>
    <row r="4" spans="1:10">
      <c r="A4" s="147"/>
      <c r="B4" s="144"/>
      <c r="C4" s="144"/>
      <c r="D4" s="144"/>
      <c r="E4" s="144"/>
      <c r="F4" s="144"/>
      <c r="G4" s="144"/>
      <c r="H4" s="144"/>
      <c r="I4" s="144"/>
    </row>
    <row r="5" spans="1:10">
      <c r="A5" s="194" t="s">
        <v>54</v>
      </c>
      <c r="B5" s="270" t="s">
        <v>120</v>
      </c>
      <c r="C5" s="271">
        <v>2017</v>
      </c>
      <c r="D5" s="271">
        <v>2018</v>
      </c>
      <c r="E5" s="271">
        <v>2019</v>
      </c>
      <c r="F5" s="271">
        <v>2020</v>
      </c>
      <c r="G5" s="271">
        <v>2021</v>
      </c>
      <c r="H5" s="271">
        <v>2022</v>
      </c>
      <c r="I5" s="271">
        <v>2023</v>
      </c>
      <c r="J5" s="271">
        <v>2024</v>
      </c>
    </row>
    <row r="6" spans="1:10" ht="15.75" customHeight="1">
      <c r="A6" s="272" t="s">
        <v>16</v>
      </c>
      <c r="B6" s="273">
        <v>3.4953934427379414</v>
      </c>
      <c r="C6" s="274">
        <v>3.54483215075697</v>
      </c>
      <c r="D6" s="274"/>
      <c r="E6" s="274">
        <v>3.759038299858787</v>
      </c>
      <c r="F6" s="274">
        <v>3.5986098046135626</v>
      </c>
      <c r="G6" s="274">
        <v>3.2090403270796783</v>
      </c>
      <c r="H6" s="274">
        <v>3.2686544227187002</v>
      </c>
      <c r="I6" s="274">
        <v>3.3785306824140702</v>
      </c>
      <c r="J6" s="274">
        <v>3.0336944076002199</v>
      </c>
    </row>
    <row r="7" spans="1:10" ht="15.75" customHeight="1">
      <c r="A7" s="272" t="s">
        <v>30</v>
      </c>
      <c r="B7" s="273">
        <v>5.8111483107161215</v>
      </c>
      <c r="C7" s="274">
        <v>5.9095017353615225</v>
      </c>
      <c r="D7" s="274"/>
      <c r="E7" s="274">
        <v>5.7730882301857767</v>
      </c>
      <c r="F7" s="274">
        <v>4.9440057191597822</v>
      </c>
      <c r="G7" s="274">
        <v>4.886361645881788</v>
      </c>
      <c r="H7" s="274">
        <v>2.3945020235492001</v>
      </c>
      <c r="I7" s="274">
        <v>5.4736630192353903</v>
      </c>
      <c r="J7" s="274">
        <v>4.9626081857234796</v>
      </c>
    </row>
    <row r="8" spans="1:10" ht="15.75" customHeight="1">
      <c r="A8" s="272" t="s">
        <v>31</v>
      </c>
      <c r="B8" s="273">
        <v>3.7151090558782678</v>
      </c>
      <c r="C8" s="274">
        <v>3.789266286094533</v>
      </c>
      <c r="D8" s="274"/>
      <c r="E8" s="274">
        <v>3.799061247567558</v>
      </c>
      <c r="F8" s="274">
        <v>3.5989125010058993</v>
      </c>
      <c r="G8" s="274">
        <v>3.6321384714981391</v>
      </c>
      <c r="H8" s="274">
        <v>3.6258109625120598</v>
      </c>
      <c r="I8" s="274">
        <v>3.53718544302009</v>
      </c>
      <c r="J8" s="274">
        <v>3.5720208101310398</v>
      </c>
    </row>
    <row r="9" spans="1:10" ht="15.75" customHeight="1">
      <c r="A9" s="272" t="s">
        <v>32</v>
      </c>
      <c r="B9" s="273">
        <v>6.7400815202726907</v>
      </c>
      <c r="C9" s="274">
        <v>7.1971827549120002</v>
      </c>
      <c r="D9" s="274"/>
      <c r="E9" s="274">
        <v>6.6983336050023583</v>
      </c>
      <c r="F9" s="274">
        <v>7.5596860469663438</v>
      </c>
      <c r="G9" s="274">
        <v>6.3052501493413198</v>
      </c>
      <c r="H9" s="274">
        <v>7.0429244013661201</v>
      </c>
      <c r="I9" s="274">
        <v>6.1522472620680499</v>
      </c>
      <c r="J9" s="274">
        <v>7.0614347042123704</v>
      </c>
    </row>
    <row r="10" spans="1:10" ht="15.75" customHeight="1">
      <c r="A10" s="272" t="s">
        <v>33</v>
      </c>
      <c r="B10" s="273">
        <v>2.6272980789136309</v>
      </c>
      <c r="C10" s="274">
        <v>2.6445723932778544</v>
      </c>
      <c r="D10" s="274"/>
      <c r="E10" s="274">
        <v>2.2499574462088963</v>
      </c>
      <c r="F10" s="274">
        <v>2.0414737849089977</v>
      </c>
      <c r="G10" s="274">
        <v>1.9975889097990653</v>
      </c>
      <c r="H10" s="274">
        <v>1.7614867173623401</v>
      </c>
      <c r="I10" s="274">
        <v>1.7478767689015899</v>
      </c>
      <c r="J10" s="274">
        <v>1.65040774067714</v>
      </c>
    </row>
    <row r="11" spans="1:10" ht="15.75" customHeight="1">
      <c r="A11" s="272" t="s">
        <v>34</v>
      </c>
      <c r="B11" s="273">
        <v>4.7949141843103309</v>
      </c>
      <c r="C11" s="274">
        <v>4.9039678552899186</v>
      </c>
      <c r="D11" s="274"/>
      <c r="E11" s="274">
        <v>4.7706456580915342</v>
      </c>
      <c r="F11" s="274">
        <v>4.261693452814173</v>
      </c>
      <c r="G11" s="274">
        <v>3.9143827681377088</v>
      </c>
      <c r="H11" s="274">
        <v>4.0322369036736996</v>
      </c>
      <c r="I11" s="274">
        <v>3.0479239904426501</v>
      </c>
      <c r="J11" s="274">
        <v>2.9204801694248701</v>
      </c>
    </row>
    <row r="12" spans="1:10" ht="15.75" customHeight="1">
      <c r="A12" s="272" t="s">
        <v>89</v>
      </c>
      <c r="B12" s="273">
        <v>1.3378081465671385</v>
      </c>
      <c r="C12" s="274">
        <v>1.8350486925944862</v>
      </c>
      <c r="D12" s="274"/>
      <c r="E12" s="274">
        <v>1.5721708862683517</v>
      </c>
      <c r="F12" s="274">
        <v>1.6832872607647642</v>
      </c>
      <c r="G12" s="274">
        <v>1.4563574668578769</v>
      </c>
      <c r="H12" s="274" t="s">
        <v>76</v>
      </c>
      <c r="I12" s="274">
        <v>2.0038229623251702</v>
      </c>
      <c r="J12" s="274">
        <v>2.0720235875244599</v>
      </c>
    </row>
    <row r="13" spans="1:10" ht="15.75" customHeight="1">
      <c r="A13" s="272" t="s">
        <v>35</v>
      </c>
      <c r="B13" s="273">
        <v>4.7842324522091051</v>
      </c>
      <c r="C13" s="274">
        <v>4.5791531449112686</v>
      </c>
      <c r="D13" s="274"/>
      <c r="E13" s="274">
        <v>4.0187964653629296</v>
      </c>
      <c r="F13" s="274">
        <v>4.738469794146992</v>
      </c>
      <c r="G13" s="274">
        <v>4.3804671110072597</v>
      </c>
      <c r="H13" s="274">
        <v>4.0323972021895704</v>
      </c>
      <c r="I13" s="274">
        <v>4.4321090368401501</v>
      </c>
      <c r="J13" s="274">
        <v>4.7714733655112997</v>
      </c>
    </row>
    <row r="14" spans="1:10" ht="15.75" customHeight="1">
      <c r="A14" s="272" t="s">
        <v>55</v>
      </c>
      <c r="B14" s="273">
        <v>2.8156651182278241</v>
      </c>
      <c r="C14" s="274">
        <v>2.7084641237309657</v>
      </c>
      <c r="D14" s="274"/>
      <c r="E14" s="274">
        <v>3.1944944727731914</v>
      </c>
      <c r="F14" s="274">
        <v>3.2477155031983811</v>
      </c>
      <c r="G14" s="274">
        <v>3.5692237271502849</v>
      </c>
      <c r="H14" s="274">
        <v>3.2502338976270599</v>
      </c>
      <c r="I14" s="274">
        <v>2.8816530459972798</v>
      </c>
      <c r="J14" s="274">
        <v>3.5174765998168498</v>
      </c>
    </row>
    <row r="15" spans="1:10" ht="15.75" customHeight="1">
      <c r="A15" s="272" t="s">
        <v>36</v>
      </c>
      <c r="B15" s="273">
        <v>2.6705343962072741</v>
      </c>
      <c r="C15" s="274">
        <v>2.5740782171743728</v>
      </c>
      <c r="D15" s="274"/>
      <c r="E15" s="274">
        <v>2.2980272391927659</v>
      </c>
      <c r="F15" s="274">
        <v>2.2139608533728019</v>
      </c>
      <c r="G15" s="274">
        <v>2.0973872259906803</v>
      </c>
      <c r="H15" s="274">
        <v>2.0559673161908498</v>
      </c>
      <c r="I15" s="274">
        <v>2.3211130006706502</v>
      </c>
      <c r="J15" s="274">
        <v>2.4939532803206101</v>
      </c>
    </row>
    <row r="16" spans="1:10" ht="15.75" customHeight="1">
      <c r="A16" s="272" t="s">
        <v>56</v>
      </c>
      <c r="B16" s="273">
        <v>1.1664906464686668</v>
      </c>
      <c r="C16" s="274">
        <v>2.5740782171743728</v>
      </c>
      <c r="D16" s="274"/>
      <c r="E16" s="274">
        <v>1.7537544095844182</v>
      </c>
      <c r="F16" s="274">
        <v>1.7865680438437819</v>
      </c>
      <c r="G16" s="274">
        <v>2.1685125426507161</v>
      </c>
      <c r="H16" s="274">
        <v>2.4275758276759398</v>
      </c>
      <c r="I16" s="274">
        <v>3.1456291962685801</v>
      </c>
      <c r="J16" s="274">
        <v>3.4632522397021299</v>
      </c>
    </row>
    <row r="17" spans="1:10" ht="15.75" customHeight="1">
      <c r="A17" s="272" t="s">
        <v>57</v>
      </c>
      <c r="B17" s="273"/>
      <c r="C17" s="274"/>
      <c r="D17" s="274"/>
      <c r="E17" s="274"/>
      <c r="F17" s="274"/>
      <c r="G17" s="274">
        <v>2.3536449510568231</v>
      </c>
      <c r="H17" s="274">
        <v>2.4810340407786402</v>
      </c>
      <c r="I17" s="274">
        <v>2.3077487091713298</v>
      </c>
      <c r="J17" s="274">
        <v>2.56722526856541</v>
      </c>
    </row>
    <row r="18" spans="1:10" ht="15.75" customHeight="1">
      <c r="A18" s="272" t="s">
        <v>58</v>
      </c>
      <c r="B18" s="273"/>
      <c r="C18" s="274"/>
      <c r="D18" s="274"/>
      <c r="E18" s="274"/>
      <c r="F18" s="274"/>
      <c r="G18" s="274"/>
      <c r="H18" s="274"/>
      <c r="I18" s="274">
        <v>4.4651141628123696</v>
      </c>
      <c r="J18" s="274">
        <v>4.7398546420285603</v>
      </c>
    </row>
    <row r="19" spans="1:10" ht="15.75" customHeight="1">
      <c r="A19" s="272" t="s">
        <v>37</v>
      </c>
      <c r="B19" s="273">
        <v>2.0510934429502048</v>
      </c>
      <c r="C19" s="274">
        <v>2.8591268900169187</v>
      </c>
      <c r="D19" s="274"/>
      <c r="E19" s="274">
        <v>4.3655976305564588</v>
      </c>
      <c r="F19" s="274">
        <v>4.9250191468593902</v>
      </c>
      <c r="G19" s="274">
        <v>4.8676418792132594</v>
      </c>
      <c r="H19" s="274">
        <v>4.6352885702096502</v>
      </c>
      <c r="I19" s="274">
        <v>4.1068333613251999</v>
      </c>
      <c r="J19" s="274">
        <v>4.24390421681258</v>
      </c>
    </row>
    <row r="20" spans="1:10" ht="15.75" customHeight="1">
      <c r="A20" s="272" t="s">
        <v>38</v>
      </c>
      <c r="B20" s="273">
        <v>1.3114711902303102</v>
      </c>
      <c r="C20" s="274">
        <v>1.3023462960690049</v>
      </c>
      <c r="D20" s="274"/>
      <c r="E20" s="274">
        <v>1.4219951380378615</v>
      </c>
      <c r="F20" s="274">
        <v>1.4402961661661895</v>
      </c>
      <c r="G20" s="274">
        <v>1.2945022999971354</v>
      </c>
      <c r="H20" s="274">
        <v>1.4933704688205001</v>
      </c>
      <c r="I20" s="274">
        <v>2.17222370323393</v>
      </c>
      <c r="J20" s="274">
        <v>2.7472793505402202</v>
      </c>
    </row>
    <row r="21" spans="1:10" ht="15.75" customHeight="1">
      <c r="A21" s="272" t="s">
        <v>39</v>
      </c>
      <c r="B21" s="273">
        <v>5.4856614114072197</v>
      </c>
      <c r="C21" s="274">
        <v>4.9466742198387417</v>
      </c>
      <c r="D21" s="274"/>
      <c r="E21" s="274">
        <v>4.6892536803444154</v>
      </c>
      <c r="F21" s="274">
        <v>3.8878618766210136</v>
      </c>
      <c r="G21" s="274">
        <v>3.5829231073241723</v>
      </c>
      <c r="H21" s="274">
        <v>3.8931253691572598</v>
      </c>
      <c r="I21" s="274">
        <v>3.81683334836229</v>
      </c>
      <c r="J21" s="274">
        <v>3.3790513253513499</v>
      </c>
    </row>
    <row r="22" spans="1:10" ht="15.75" customHeight="1">
      <c r="A22" s="272" t="s">
        <v>40</v>
      </c>
      <c r="B22" s="273">
        <v>1.6566304489209014</v>
      </c>
      <c r="C22" s="274">
        <v>1.2985117206106291</v>
      </c>
      <c r="D22" s="274"/>
      <c r="E22" s="274">
        <v>1.0094875977947479</v>
      </c>
      <c r="F22" s="274">
        <v>1.092589341756347</v>
      </c>
      <c r="G22" s="274">
        <v>0.81226168223552997</v>
      </c>
      <c r="H22" s="274">
        <v>0.88384596210682997</v>
      </c>
      <c r="I22" s="274">
        <v>0.58623257214807001</v>
      </c>
      <c r="J22" s="274">
        <v>0.77681458837854001</v>
      </c>
    </row>
    <row r="23" spans="1:10" ht="15.75" customHeight="1">
      <c r="A23" s="272" t="s">
        <v>41</v>
      </c>
      <c r="B23" s="273">
        <v>2.9814774872374277</v>
      </c>
      <c r="C23" s="274">
        <v>3.0142136789163576</v>
      </c>
      <c r="D23" s="274"/>
      <c r="E23" s="274">
        <v>2.7496523385548066</v>
      </c>
      <c r="F23" s="274">
        <v>2.6431067823157921</v>
      </c>
      <c r="G23" s="274">
        <v>2.5234175816157554</v>
      </c>
      <c r="H23" s="274">
        <v>2.2700679187013999</v>
      </c>
      <c r="I23" s="274">
        <v>2.2113383385958598</v>
      </c>
      <c r="J23" s="274">
        <v>2.15848374784813</v>
      </c>
    </row>
    <row r="24" spans="1:10" ht="15.75" customHeight="1">
      <c r="A24" s="272" t="s">
        <v>42</v>
      </c>
      <c r="B24" s="273">
        <v>3.3199460323830512</v>
      </c>
      <c r="C24" s="274">
        <v>3.4261977487978337</v>
      </c>
      <c r="D24" s="274"/>
      <c r="E24" s="274">
        <v>3.9009569845694503</v>
      </c>
      <c r="F24" s="274">
        <v>4.0615089295350932</v>
      </c>
      <c r="G24" s="274">
        <v>4.2640779062483407</v>
      </c>
      <c r="H24" s="274">
        <v>4.5826231174562002</v>
      </c>
      <c r="I24" s="274">
        <v>4.8649132703448599</v>
      </c>
      <c r="J24" s="274">
        <v>4.7792728147984702</v>
      </c>
    </row>
    <row r="25" spans="1:10" ht="15.75" customHeight="1">
      <c r="A25" s="272" t="s">
        <v>43</v>
      </c>
      <c r="B25" s="273">
        <v>2.3666278478375586</v>
      </c>
      <c r="C25" s="274">
        <v>2.3471233133128866</v>
      </c>
      <c r="D25" s="274"/>
      <c r="E25" s="274">
        <v>2.1435956231187649</v>
      </c>
      <c r="F25" s="274">
        <v>1.9579671426206591</v>
      </c>
      <c r="G25" s="274">
        <v>2.5874789643249829</v>
      </c>
      <c r="H25" s="274">
        <v>2.4859183322610399</v>
      </c>
      <c r="I25" s="274">
        <v>2.5295257655705301</v>
      </c>
      <c r="J25" s="274">
        <v>2.2839554846955399</v>
      </c>
    </row>
    <row r="26" spans="1:10" ht="15.75" customHeight="1">
      <c r="A26" s="272" t="s">
        <v>59</v>
      </c>
      <c r="B26" s="273"/>
      <c r="C26" s="274"/>
      <c r="D26" s="274"/>
      <c r="E26" s="274"/>
      <c r="F26" s="274"/>
      <c r="G26" s="274"/>
      <c r="H26" s="274">
        <v>3.2425901955684502</v>
      </c>
      <c r="I26" s="274">
        <v>2.7373533418710401</v>
      </c>
      <c r="J26" s="274">
        <v>2.3645384089378201</v>
      </c>
    </row>
    <row r="27" spans="1:10" ht="15.75" customHeight="1">
      <c r="A27" s="272" t="s">
        <v>44</v>
      </c>
      <c r="B27" s="273">
        <v>5.7568963997062488</v>
      </c>
      <c r="C27" s="274">
        <v>5.7500523016120848</v>
      </c>
      <c r="D27" s="274"/>
      <c r="E27" s="274">
        <v>5.1528331931027704</v>
      </c>
      <c r="F27" s="274">
        <v>5.5042124246895616</v>
      </c>
      <c r="G27" s="274">
        <v>5.2908820086268538</v>
      </c>
      <c r="H27" s="274">
        <v>5.1095879290838102</v>
      </c>
      <c r="I27" s="274">
        <v>4.66327998871032</v>
      </c>
      <c r="J27" s="274">
        <v>4.3615208667142999</v>
      </c>
    </row>
    <row r="28" spans="1:10" ht="15.75" customHeight="1">
      <c r="A28" s="272" t="s">
        <v>45</v>
      </c>
      <c r="B28" s="273">
        <v>1.2586967178834001</v>
      </c>
      <c r="C28" s="274">
        <v>1.1531184681519919</v>
      </c>
      <c r="D28" s="274"/>
      <c r="E28" s="274">
        <v>1.2456621436446662</v>
      </c>
      <c r="F28" s="274">
        <v>1.1323823476680157</v>
      </c>
      <c r="G28" s="274">
        <v>0.95706092846837743</v>
      </c>
      <c r="H28" s="274">
        <v>0.91844081270403999</v>
      </c>
      <c r="I28" s="274">
        <v>0.88069128984471001</v>
      </c>
      <c r="J28" s="274">
        <v>0.77226245937816995</v>
      </c>
    </row>
    <row r="29" spans="1:10" ht="15.75" customHeight="1">
      <c r="A29" s="272" t="s">
        <v>46</v>
      </c>
      <c r="B29" s="273">
        <v>2.5097990905123053</v>
      </c>
      <c r="C29" s="274">
        <v>2.3385913098367888</v>
      </c>
      <c r="D29" s="274"/>
      <c r="E29" s="274">
        <v>2.3774239627788805</v>
      </c>
      <c r="F29" s="274">
        <v>1.8819626240307794</v>
      </c>
      <c r="G29" s="274">
        <v>2.0674956428570224</v>
      </c>
      <c r="H29" s="274">
        <v>2.5369864821127099</v>
      </c>
      <c r="I29" s="274">
        <v>2.7091050723777701</v>
      </c>
      <c r="J29" s="274">
        <v>2.86917999107916</v>
      </c>
    </row>
    <row r="30" spans="1:10" ht="15.75" customHeight="1">
      <c r="A30" s="272" t="s">
        <v>47</v>
      </c>
      <c r="B30" s="273">
        <v>2.5097990905123053</v>
      </c>
      <c r="C30" s="274">
        <v>3.1291482102580965</v>
      </c>
      <c r="D30" s="274"/>
      <c r="E30" s="274">
        <v>3.4932000125283897</v>
      </c>
      <c r="F30" s="274">
        <v>3.5680027654783881</v>
      </c>
      <c r="G30" s="274">
        <v>3.0780682405717243</v>
      </c>
      <c r="H30" s="274">
        <v>3.2757872821471601</v>
      </c>
      <c r="I30" s="274">
        <v>3.8464002291979602</v>
      </c>
      <c r="J30" s="274">
        <v>3.7441423261025299</v>
      </c>
    </row>
    <row r="31" spans="1:10" ht="15.75" customHeight="1">
      <c r="A31" s="272" t="s">
        <v>48</v>
      </c>
      <c r="B31" s="273">
        <v>5.276550870666247</v>
      </c>
      <c r="C31" s="274">
        <v>5.2109539762778736</v>
      </c>
      <c r="D31" s="274"/>
      <c r="E31" s="274">
        <v>6.1567073239998642</v>
      </c>
      <c r="F31" s="274">
        <v>5.4567856658284253</v>
      </c>
      <c r="G31" s="274">
        <v>5.0109385435435234</v>
      </c>
      <c r="H31" s="274">
        <v>5.0700435852199597</v>
      </c>
      <c r="I31" s="274">
        <v>4.8123892319926203</v>
      </c>
      <c r="J31" s="274">
        <v>4.2552867418459996</v>
      </c>
    </row>
    <row r="32" spans="1:10" ht="15.75" customHeight="1">
      <c r="A32" s="272" t="s">
        <v>49</v>
      </c>
      <c r="B32" s="273">
        <v>4.7635830932289212</v>
      </c>
      <c r="C32" s="274">
        <v>4.3038150781370179</v>
      </c>
      <c r="D32" s="274"/>
      <c r="E32" s="274">
        <v>4.8106752328829607</v>
      </c>
      <c r="F32" s="274">
        <v>4.3588152904117337</v>
      </c>
      <c r="G32" s="274">
        <v>4.0228716168955927</v>
      </c>
      <c r="H32" s="274">
        <v>3.9753045472355799</v>
      </c>
      <c r="I32" s="274">
        <v>4.1128311769271297</v>
      </c>
      <c r="J32" s="274">
        <v>3.7284292019476202</v>
      </c>
    </row>
    <row r="33" spans="1:10" ht="15.75" customHeight="1">
      <c r="A33" s="272" t="s">
        <v>60</v>
      </c>
      <c r="B33" s="273"/>
      <c r="C33" s="274"/>
      <c r="D33" s="274"/>
      <c r="E33" s="274"/>
      <c r="F33" s="274"/>
      <c r="G33" s="274"/>
      <c r="H33" s="274">
        <v>3.1342593091243001</v>
      </c>
      <c r="I33" s="274">
        <v>3.170056807515</v>
      </c>
      <c r="J33" s="274">
        <v>2.6669289519816899</v>
      </c>
    </row>
    <row r="34" spans="1:10" ht="15.75" customHeight="1">
      <c r="A34" s="272" t="s">
        <v>50</v>
      </c>
      <c r="B34" s="273">
        <v>1.470407106726531</v>
      </c>
      <c r="C34" s="274">
        <v>1.4901102549323855</v>
      </c>
      <c r="D34" s="274"/>
      <c r="E34" s="274">
        <v>1.695202357297771</v>
      </c>
      <c r="F34" s="274">
        <v>1.6069757528982112</v>
      </c>
      <c r="G34" s="274">
        <v>1.4804662134789612</v>
      </c>
      <c r="H34" s="274">
        <v>1.58123911541478</v>
      </c>
      <c r="I34" s="274">
        <v>1.52603521181336</v>
      </c>
      <c r="J34" s="274">
        <v>1.3054226224258001</v>
      </c>
    </row>
    <row r="35" spans="1:10" ht="15.75" customHeight="1">
      <c r="A35" s="272" t="s">
        <v>146</v>
      </c>
      <c r="B35" s="380"/>
      <c r="C35" s="381"/>
      <c r="D35" s="381"/>
      <c r="E35" s="381"/>
      <c r="F35" s="381"/>
      <c r="G35" s="381"/>
      <c r="H35" s="381"/>
      <c r="I35" s="381"/>
      <c r="J35" s="381"/>
    </row>
    <row r="36" spans="1:10" ht="15.75" customHeight="1">
      <c r="A36" s="272" t="s">
        <v>51</v>
      </c>
      <c r="B36" s="273">
        <v>3.1244604338573478</v>
      </c>
      <c r="C36" s="274">
        <v>3.3843274227941076</v>
      </c>
      <c r="D36" s="274"/>
      <c r="E36" s="274">
        <v>3.2967907098674005</v>
      </c>
      <c r="F36" s="274">
        <v>3.1942608027123369</v>
      </c>
      <c r="G36" s="274">
        <v>3.2855207471075842</v>
      </c>
      <c r="H36" s="274"/>
      <c r="I36" s="274"/>
      <c r="J36" s="274"/>
    </row>
    <row r="37" spans="1:10" ht="15.75" customHeight="1">
      <c r="A37" s="272" t="s">
        <v>52</v>
      </c>
      <c r="B37" s="273">
        <v>2.5097990905123053</v>
      </c>
      <c r="C37" s="274">
        <v>2.3779736244416978</v>
      </c>
      <c r="D37" s="274"/>
      <c r="E37" s="274">
        <v>2.5333901957731833</v>
      </c>
      <c r="F37" s="274">
        <v>2.0619847715009461</v>
      </c>
      <c r="G37" s="274">
        <v>2.1695082886792729</v>
      </c>
      <c r="H37" s="274">
        <v>2.3888375526131802</v>
      </c>
      <c r="I37" s="274">
        <v>2.0625444849974399</v>
      </c>
      <c r="J37" s="274">
        <v>1.9990738964541099</v>
      </c>
    </row>
    <row r="38" spans="1:10" ht="15.75" customHeight="1">
      <c r="A38" s="272" t="s">
        <v>53</v>
      </c>
      <c r="B38" s="273">
        <v>2.5097990905123053</v>
      </c>
      <c r="C38" s="274">
        <v>1.1847851590213057</v>
      </c>
      <c r="D38" s="274"/>
      <c r="E38" s="274">
        <v>1.5538391534953893</v>
      </c>
      <c r="F38" s="274">
        <v>1.2941645484949833</v>
      </c>
      <c r="G38" s="274">
        <v>1.4963955765521806</v>
      </c>
      <c r="H38" s="274">
        <v>0.82285840838037005</v>
      </c>
      <c r="I38" s="274">
        <v>0.63510482920162004</v>
      </c>
      <c r="J38" s="274">
        <v>0.4712973673468</v>
      </c>
    </row>
    <row r="39" spans="1:10" ht="15.75" customHeight="1" thickBot="1">
      <c r="A39" s="275" t="s">
        <v>84</v>
      </c>
      <c r="B39" s="273">
        <v>5.9817919272453608</v>
      </c>
      <c r="C39" s="274">
        <v>6.4395324929641271</v>
      </c>
      <c r="D39" s="274"/>
      <c r="E39" s="274">
        <v>6.988117856427313</v>
      </c>
      <c r="F39" s="274">
        <v>6.9575824717206887</v>
      </c>
      <c r="G39" s="274">
        <v>6.8643475308059188</v>
      </c>
      <c r="H39" s="274">
        <v>7.2361030504478903</v>
      </c>
      <c r="I39" s="274">
        <v>7.3793194116948602</v>
      </c>
      <c r="J39" s="274">
        <v>6.8278380774253096</v>
      </c>
    </row>
    <row r="40" spans="1:10" ht="15.75" customHeight="1" thickTop="1">
      <c r="A40" s="268" t="s">
        <v>83</v>
      </c>
      <c r="B40" s="231">
        <v>3.2580741519253476</v>
      </c>
      <c r="C40" s="232">
        <v>3.3269287216043004</v>
      </c>
      <c r="D40" s="232"/>
      <c r="E40" s="232">
        <v>3.4484714665885772</v>
      </c>
      <c r="F40" s="232">
        <v>3.3517424413678838</v>
      </c>
      <c r="G40" s="232">
        <v>3.1996916929303758</v>
      </c>
      <c r="H40" s="232">
        <v>3.2403526340831301</v>
      </c>
      <c r="I40" s="232">
        <v>3.23088032270527</v>
      </c>
      <c r="J40" s="232">
        <v>3.1287147422960899</v>
      </c>
    </row>
    <row r="41" spans="1:10" ht="16.5">
      <c r="A41" s="111"/>
    </row>
    <row r="42" spans="1:10">
      <c r="A42" s="148" t="s">
        <v>121</v>
      </c>
    </row>
  </sheetData>
  <mergeCells count="2">
    <mergeCell ref="A3:H3"/>
    <mergeCell ref="B35:J3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7B56B-1A4D-412A-AF23-B1382213BC8F}">
  <sheetPr codeName="Feuil22"/>
  <dimension ref="A2:Q219"/>
  <sheetViews>
    <sheetView workbookViewId="0">
      <selection activeCell="B6" sqref="B6"/>
    </sheetView>
  </sheetViews>
  <sheetFormatPr baseColWidth="10" defaultRowHeight="12.75"/>
  <cols>
    <col min="1" max="1" width="6.7109375" style="6" customWidth="1"/>
    <col min="2" max="2" width="29.5703125" style="24" customWidth="1"/>
    <col min="3" max="12" width="8.42578125" style="32" customWidth="1"/>
    <col min="13" max="15" width="8.42578125" style="6" customWidth="1"/>
    <col min="16" max="17" width="6.42578125" style="6" customWidth="1"/>
    <col min="18" max="16384" width="11.42578125" style="5"/>
  </cols>
  <sheetData>
    <row r="2" spans="2:17" ht="18.75">
      <c r="B2" s="365" t="s">
        <v>86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</row>
    <row r="4" spans="2:17" ht="12.75" customHeight="1">
      <c r="B4" s="366" t="str">
        <f>CONCATENATE('FICHE RESEAUX'!$B$38, " Evolution du taux de couverture en accueil préscolaire | Selon les tranches d'âge | Structures subventionnées | 2010 - ", 'FICHE RESEAUX'!$B$23)</f>
        <v>Ensemble des réseaux Evolution du taux de couverture en accueil préscolaire | Selon les tranches d'âge | Structures subventionnées | 2010 - 2024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</row>
    <row r="5" spans="2:17" ht="12.75" customHeight="1"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2:17">
      <c r="C6" s="7">
        <v>2010</v>
      </c>
      <c r="D6" s="7">
        <v>2011</v>
      </c>
      <c r="E6" s="7">
        <v>2012</v>
      </c>
      <c r="F6" s="7">
        <v>2013</v>
      </c>
      <c r="G6" s="7">
        <v>2014</v>
      </c>
      <c r="H6" s="7">
        <v>2015</v>
      </c>
      <c r="I6" s="7">
        <v>2016</v>
      </c>
      <c r="J6" s="7">
        <v>2017</v>
      </c>
      <c r="K6" s="7">
        <v>2018</v>
      </c>
      <c r="L6" s="7">
        <v>2019</v>
      </c>
      <c r="M6" s="7">
        <v>2020</v>
      </c>
      <c r="N6" s="7">
        <v>2021</v>
      </c>
      <c r="O6" s="7">
        <v>2022</v>
      </c>
      <c r="P6" s="7">
        <v>2023</v>
      </c>
      <c r="Q6" s="7">
        <v>2024</v>
      </c>
    </row>
    <row r="7" spans="2:17">
      <c r="B7" s="39" t="s">
        <v>169</v>
      </c>
      <c r="C7" s="68">
        <f>VLOOKUP('FICHE RESEAUX'!$B$38,PRE_Tx_couv_nursery!$A$5:$N$40, 2, FALSE)</f>
        <v>12.493499999999999</v>
      </c>
      <c r="D7" s="68">
        <f>VLOOKUP('FICHE RESEAUX'!$B$38,PRE_Tx_couv_nursery!$A$5:$N$40, 3, FALSE)</f>
        <v>13.496</v>
      </c>
      <c r="E7" s="68">
        <f>VLOOKUP('FICHE RESEAUX'!$B$38,PRE_Tx_couv_nursery!$A$5:$N$40, 4, FALSE)</f>
        <v>14.799899999999999</v>
      </c>
      <c r="F7" s="68">
        <f>VLOOKUP('FICHE RESEAUX'!$B$38,PRE_Tx_couv_nursery!$A$5:$N$40, 5, FALSE)</f>
        <v>15.759399999999999</v>
      </c>
      <c r="G7" s="68">
        <f>VLOOKUP('FICHE RESEAUX'!$B$38,PRE_Tx_couv_nursery!$A$5:$N$40, 6, FALSE)</f>
        <v>16.603300000000001</v>
      </c>
      <c r="H7" s="68">
        <f>VLOOKUP('FICHE RESEAUX'!$B$38,PRE_Tx_couv_nursery!$A$5:$N$40, 7, FALSE)</f>
        <v>17.473299999999998</v>
      </c>
      <c r="I7" s="68">
        <f>VLOOKUP('FICHE RESEAUX'!$B$38,PRE_Tx_couv_nursery!$A$5:$N$40, 8, FALSE)</f>
        <v>18.371300000000002</v>
      </c>
      <c r="J7" s="68">
        <f>VLOOKUP('FICHE RESEAUX'!$B$38,PRE_Tx_couv_nursery!$A$5:$N$40, 9, FALSE)</f>
        <v>19.0305</v>
      </c>
      <c r="K7" s="68"/>
      <c r="L7" s="68">
        <f>VLOOKUP('FICHE RESEAUX'!$B$38,PRE_Tx_couv_nursery!$A$5:$N$40, 11, FALSE)</f>
        <v>20.215</v>
      </c>
      <c r="M7" s="68">
        <f>VLOOKUP('FICHE RESEAUX'!$B$38,PRE_Tx_couv_nursery!$A$5:$N$40, 12, FALSE)</f>
        <v>20.455999268939049</v>
      </c>
      <c r="N7" s="68">
        <f>VLOOKUP('FICHE RESEAUX'!$B$38,PRE_Tx_couv_nursery!$A$5:$N$40, 13, FALSE)</f>
        <v>21.434802424684381</v>
      </c>
      <c r="O7" s="68">
        <f>VLOOKUP('FICHE RESEAUX'!$B$38,PRE_Tx_couv_nursery!$A$5:$N$40, 14, FALSE)</f>
        <v>22.434703815116102</v>
      </c>
      <c r="P7" s="68">
        <f>VLOOKUP('FICHE RESEAUX'!$B$38,PRE_Tx_couv_nursery!$A$5:$O$40, 15, FALSE)</f>
        <v>24.348960893242499</v>
      </c>
      <c r="Q7" s="68">
        <f>VLOOKUP('FICHE RESEAUX'!$B$38,PRE_Tx_couv_nursery!$A$5:$AA$100, 16, FALSE)</f>
        <v>26.773734660757899</v>
      </c>
    </row>
    <row r="8" spans="2:17">
      <c r="B8" s="39" t="s">
        <v>170</v>
      </c>
      <c r="C8" s="68">
        <f>VLOOKUP('FICHE RESEAUX'!$B$38,PRE_Tx_couv_garderie!$A$5:$N$40, 2, FALSE)</f>
        <v>18.634499999999999</v>
      </c>
      <c r="D8" s="68">
        <f>VLOOKUP('FICHE RESEAUX'!$B$38,PRE_Tx_couv_garderie!$A$5:$N$40, 3, FALSE)</f>
        <v>20.322099999999999</v>
      </c>
      <c r="E8" s="68">
        <f>VLOOKUP('FICHE RESEAUX'!$B$38,PRE_Tx_couv_garderie!$A$5:$N$40, 4, FALSE)</f>
        <v>21.307700000000001</v>
      </c>
      <c r="F8" s="68">
        <f>VLOOKUP('FICHE RESEAUX'!$B$38,PRE_Tx_couv_garderie!$A$5:$N$40, 5, FALSE)</f>
        <v>21.3858</v>
      </c>
      <c r="G8" s="68">
        <f>VLOOKUP('FICHE RESEAUX'!$B$38,PRE_Tx_couv_garderie!$A$5:$N$40, 6, FALSE)</f>
        <v>22.751200000000001</v>
      </c>
      <c r="H8" s="68">
        <f>VLOOKUP('FICHE RESEAUX'!$B$38,PRE_Tx_couv_garderie!$A$5:$N$40, 7, FALSE)</f>
        <v>23.238099999999999</v>
      </c>
      <c r="I8" s="68">
        <f>VLOOKUP('FICHE RESEAUX'!$B$38,PRE_Tx_couv_garderie!$A$5:$N$40, 8, FALSE)</f>
        <v>23.895099999999999</v>
      </c>
      <c r="J8" s="68">
        <f>VLOOKUP('FICHE RESEAUX'!$B$38,PRE_Tx_couv_garderie!$A$5:$N$40, 9, FALSE)</f>
        <v>24.4602</v>
      </c>
      <c r="K8" s="68"/>
      <c r="L8" s="68">
        <f>VLOOKUP('FICHE RESEAUX'!$B$38,PRE_Tx_couv_garderie!$A$5:$N$40, 11, FALSE)</f>
        <v>26.034700000000001</v>
      </c>
      <c r="M8" s="68">
        <f>VLOOKUP('FICHE RESEAUX'!$B$38,PRE_Tx_couv_garderie!$A$5:$N$40, 12, FALSE)</f>
        <v>26.884240084240083</v>
      </c>
      <c r="N8" s="68">
        <f>VLOOKUP('FICHE RESEAUX'!$B$38,PRE_Tx_couv_garderie!$A$5:$N$40, 13, FALSE)</f>
        <v>27.376048657718123</v>
      </c>
      <c r="O8" s="68">
        <f>VLOOKUP('FICHE RESEAUX'!$B$38,PRE_Tx_couv_garderie!$A$5:$N$40, 14, FALSE)</f>
        <v>27.931093322890501</v>
      </c>
      <c r="P8" s="68">
        <f>VLOOKUP('FICHE RESEAUX'!$B$38,PRE_Tx_couv_garderie!$A$5:$O$40, 15, FALSE)</f>
        <v>28.6125218671399</v>
      </c>
      <c r="Q8" s="68">
        <f>VLOOKUP('FICHE RESEAUX'!$B$38,PRE_Tx_couv_garderie!$A$5:$AA$10000, 16, FALSE)</f>
        <v>29.710942650147999</v>
      </c>
    </row>
    <row r="9" spans="2:17">
      <c r="B9" s="69" t="s">
        <v>168</v>
      </c>
      <c r="C9" s="68">
        <f>VLOOKUP('FICHE RESEAUX'!$B$38,PRE_Tx_couv_sub!$A$1:$P$400, 2, FALSE)</f>
        <v>14.9147</v>
      </c>
      <c r="D9" s="68">
        <f>VLOOKUP('FICHE RESEAUX'!$B$38,PRE_Tx_couv_sub!$A$1:$P$400, 3, FALSE)</f>
        <v>16.142800000000001</v>
      </c>
      <c r="E9" s="68">
        <f>VLOOKUP('FICHE RESEAUX'!$B$38,PRE_Tx_couv_sub!$A$1:$P$400, 4, FALSE)</f>
        <v>17.380500000000001</v>
      </c>
      <c r="F9" s="68">
        <f>VLOOKUP('FICHE RESEAUX'!$B$38,PRE_Tx_couv_sub!$A$1:$P$400, 5, FALSE)</f>
        <v>18.018000000000001</v>
      </c>
      <c r="G9" s="68">
        <f>VLOOKUP('FICHE RESEAUX'!$B$38,PRE_Tx_couv_sub!$A$1:$P$400, 6, FALSE)</f>
        <v>19.004300000000001</v>
      </c>
      <c r="H9" s="68">
        <f>VLOOKUP('FICHE RESEAUX'!$B$38,PRE_Tx_couv_sub!$A$1:$P$400, 7, FALSE)</f>
        <v>19.704599999999999</v>
      </c>
      <c r="I9" s="68">
        <f>VLOOKUP('FICHE RESEAUX'!$B$38,PRE_Tx_couv_sub!$A$1:$P$400, 8, FALSE)</f>
        <v>20.525200000000002</v>
      </c>
      <c r="J9" s="68">
        <f>VLOOKUP('FICHE RESEAUX'!$B$38,PRE_Tx_couv_sub!$A$1:$P$400, 9, FALSE)</f>
        <v>21.156099999999999</v>
      </c>
      <c r="K9" s="68"/>
      <c r="L9" s="68">
        <f>VLOOKUP('FICHE RESEAUX'!$B$38,PRE_Tx_couv_sub!$A$1:$P$400, 11, FALSE)</f>
        <v>22.482900000000001</v>
      </c>
      <c r="M9" s="68">
        <f>VLOOKUP('FICHE RESEAUX'!$B$38,PRE_Tx_couv_sub!$A$1:$P$400, 12, FALSE)</f>
        <v>22.991337078962665</v>
      </c>
      <c r="N9" s="68">
        <f>VLOOKUP('FICHE RESEAUX'!$B$38,PRE_Tx_couv_sub!$A$1:$P$400, 13, FALSE)</f>
        <v>23.779555800800114</v>
      </c>
      <c r="O9" s="68">
        <f>VLOOKUP('FICHE RESEAUX'!$B$38,PRE_Tx_couv_sub!$A$1:$P$400, 14, FALSE)</f>
        <v>24.612958503997</v>
      </c>
      <c r="P9" s="68">
        <f>VLOOKUP('FICHE RESEAUX'!$B$38,PRE_Tx_couv_sub!$A$1:$O$400, 15, FALSE)</f>
        <v>26.061053445320201</v>
      </c>
      <c r="Q9" s="68">
        <f>VLOOKUP('FICHE RESEAUX'!$B$38,PRE_Tx_couv_sub!$A$1:$AA$400, 16, FALSE)</f>
        <v>27.991609638105601</v>
      </c>
    </row>
    <row r="10" spans="2:17" ht="16.5">
      <c r="B10" s="26"/>
      <c r="C10" s="15"/>
      <c r="D10" s="15"/>
      <c r="E10" s="15"/>
      <c r="F10" s="15"/>
      <c r="G10" s="15"/>
      <c r="H10" s="15"/>
      <c r="I10" s="15"/>
      <c r="J10" s="15"/>
      <c r="K10" s="15"/>
      <c r="L10" s="16"/>
      <c r="M10" s="2"/>
      <c r="N10" s="2"/>
      <c r="O10" s="2"/>
    </row>
    <row r="11" spans="2:17" ht="16.5">
      <c r="B11" s="367"/>
      <c r="C11" s="367"/>
      <c r="D11" s="367"/>
      <c r="E11" s="367"/>
      <c r="F11" s="367"/>
      <c r="G11" s="367"/>
      <c r="H11" s="36"/>
      <c r="I11" s="16"/>
      <c r="J11" s="16"/>
      <c r="K11" s="16"/>
      <c r="L11" s="16"/>
      <c r="M11" s="2"/>
      <c r="N11" s="2"/>
      <c r="O11" s="2"/>
    </row>
    <row r="12" spans="2:17" ht="18">
      <c r="B12" s="28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"/>
      <c r="N12" s="1"/>
      <c r="O12" s="1"/>
    </row>
    <row r="13" spans="2:17">
      <c r="B13" s="370" t="str">
        <f>CONCATENATE('FICHE RESEAUX'!$B$38, " | Evolution du taux de couverture en accueil préscolaire | Selon le type de structure | 2010 - ", 'FICHE RESEAUX'!$B$23)</f>
        <v>Ensemble des réseaux | Evolution du taux de couverture en accueil préscolaire | Selon le type de structure | 2010 - 2024</v>
      </c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</row>
    <row r="14" spans="2:17">
      <c r="C14" s="7">
        <v>2010</v>
      </c>
      <c r="D14" s="7">
        <v>2011</v>
      </c>
      <c r="E14" s="7">
        <v>2012</v>
      </c>
      <c r="F14" s="7">
        <v>2013</v>
      </c>
      <c r="G14" s="7">
        <v>2014</v>
      </c>
      <c r="H14" s="7">
        <v>2015</v>
      </c>
      <c r="I14" s="7">
        <v>2016</v>
      </c>
      <c r="J14" s="7">
        <v>2017</v>
      </c>
      <c r="K14" s="7">
        <v>2018</v>
      </c>
      <c r="L14" s="7">
        <v>2019</v>
      </c>
      <c r="M14" s="7">
        <v>2020</v>
      </c>
      <c r="N14" s="7">
        <v>2021</v>
      </c>
      <c r="O14" s="7">
        <v>2022</v>
      </c>
      <c r="P14" s="7">
        <v>2023</v>
      </c>
      <c r="Q14" s="7">
        <v>2024</v>
      </c>
    </row>
    <row r="15" spans="2:17">
      <c r="B15" s="39" t="s">
        <v>150</v>
      </c>
      <c r="C15" s="68">
        <f>VLOOKUP('FICHE RESEAUX'!$B$38,PRE_Tx_couv_sub!$A$1:$P$400, 2, FALSE)</f>
        <v>14.9147</v>
      </c>
      <c r="D15" s="68">
        <f>VLOOKUP('FICHE RESEAUX'!$B$38,PRE_Tx_couv_sub!$A$1:$P$400, 3, FALSE)</f>
        <v>16.142800000000001</v>
      </c>
      <c r="E15" s="68">
        <f>VLOOKUP('FICHE RESEAUX'!$B$38,PRE_Tx_couv_sub!$A$1:$P$400, 4, FALSE)</f>
        <v>17.380500000000001</v>
      </c>
      <c r="F15" s="68">
        <f>VLOOKUP('FICHE RESEAUX'!$B$38,PRE_Tx_couv_sub!$A$1:$P$400, 5, FALSE)</f>
        <v>18.018000000000001</v>
      </c>
      <c r="G15" s="68">
        <f>VLOOKUP('FICHE RESEAUX'!$B$38,PRE_Tx_couv_sub!$A$1:$P$400, 6, FALSE)</f>
        <v>19.004300000000001</v>
      </c>
      <c r="H15" s="68">
        <f>VLOOKUP('FICHE RESEAUX'!$B$38,PRE_Tx_couv_sub!$A$1:$P$400, 7, FALSE)</f>
        <v>19.704599999999999</v>
      </c>
      <c r="I15" s="68">
        <f>VLOOKUP('FICHE RESEAUX'!$B$38,PRE_Tx_couv_sub!$A$1:$P$400, 8, FALSE)</f>
        <v>20.525200000000002</v>
      </c>
      <c r="J15" s="68">
        <f>VLOOKUP('FICHE RESEAUX'!$B$38,PRE_Tx_couv_sub!$A$1:$P$400, 9, FALSE)</f>
        <v>21.156099999999999</v>
      </c>
      <c r="K15" s="68"/>
      <c r="L15" s="68">
        <f>VLOOKUP('FICHE RESEAUX'!$B$38,PRE_Tx_couv_sub!$A$1:$P$400, 11, FALSE)</f>
        <v>22.482900000000001</v>
      </c>
      <c r="M15" s="68">
        <f>VLOOKUP('FICHE RESEAUX'!$B$38,PRE_Tx_couv_sub!$A$1:$P$400, 12, FALSE)</f>
        <v>22.991337078962665</v>
      </c>
      <c r="N15" s="68">
        <f>VLOOKUP('FICHE RESEAUX'!$B$38,PRE_Tx_couv_sub!$A$1:$P$400, 13, FALSE)</f>
        <v>23.779555800800114</v>
      </c>
      <c r="O15" s="68">
        <f>VLOOKUP('FICHE RESEAUX'!$B$38,PRE_Tx_couv_sub!$A$1:$P$400, 14, FALSE)</f>
        <v>24.612958503997</v>
      </c>
      <c r="P15" s="68">
        <f>VLOOKUP('FICHE RESEAUX'!$B$38,PRE_Tx_couv_sub!$A$1:$AA$400, 15, FALSE)</f>
        <v>26.061053445320201</v>
      </c>
      <c r="Q15" s="68">
        <f>VLOOKUP('FICHE RESEAUX'!$B$38,PRE_Tx_couv_sub!$A$1:$AA$400, 16, FALSE)</f>
        <v>27.991609638105601</v>
      </c>
    </row>
    <row r="16" spans="2:17">
      <c r="B16" s="39" t="s">
        <v>151</v>
      </c>
      <c r="C16" s="68">
        <f>VLOOKUP('FICHE RESEAUX'!$B$38,PRE_Tx_couv_ns!$A$5:$N$40, 2, FALSE)</f>
        <v>3.8106</v>
      </c>
      <c r="D16" s="68">
        <f>VLOOKUP('FICHE RESEAUX'!$B$38,PRE_Tx_couv_ns!$A$5:$N$40, 3, FALSE)</f>
        <v>3.7928999999999999</v>
      </c>
      <c r="E16" s="68">
        <f>VLOOKUP('FICHE RESEAUX'!$B$38,PRE_Tx_couv_ns!$A$5:$N$40, 4, FALSE)</f>
        <v>4.3766999999999996</v>
      </c>
      <c r="F16" s="68">
        <f>VLOOKUP('FICHE RESEAUX'!$B$38,PRE_Tx_couv_ns!$A$5:$N$40, 5, FALSE)</f>
        <v>5.2877000000000001</v>
      </c>
      <c r="G16" s="68">
        <f>VLOOKUP('FICHE RESEAUX'!$B$38,PRE_Tx_couv_ns!$A$5:$N$40, 6, FALSE)</f>
        <v>4.7275</v>
      </c>
      <c r="H16" s="68">
        <f>VLOOKUP('FICHE RESEAUX'!$B$38,PRE_Tx_couv_ns!$A$5:$N$40, 7, FALSE)</f>
        <v>4.9401000000000002</v>
      </c>
      <c r="I16" s="68">
        <f>VLOOKUP('FICHE RESEAUX'!$B$38,PRE_Tx_couv_ns!$A$5:$N$40, 8, FALSE)</f>
        <v>4.9640000000000004</v>
      </c>
      <c r="J16" s="68">
        <f>VLOOKUP('FICHE RESEAUX'!$B$38,PRE_Tx_couv_ns!$A$5:$N$40, 9, FALSE)</f>
        <v>5.0959000000000003</v>
      </c>
      <c r="K16" s="68"/>
      <c r="L16" s="68">
        <f>VLOOKUP('FICHE RESEAUX'!$B$38,PRE_Tx_couv_ns!$A$5:$N$40, 11, FALSE)</f>
        <v>5.4257999999999997</v>
      </c>
      <c r="M16" s="68">
        <f>VLOOKUP('FICHE RESEAUX'!$B$38,PRE_Tx_couv_ns!$A$5:$N$40, 12, FALSE)</f>
        <v>5.3390000000000004</v>
      </c>
      <c r="N16" s="68">
        <f>VLOOKUP('FICHE RESEAUX'!$B$38,PRE_Tx_couv_ns!$A$5:$N$40, 13, FALSE)</f>
        <v>5.8271394857085745</v>
      </c>
      <c r="O16" s="68">
        <f>VLOOKUP('FICHE RESEAUX'!$B$38,PRE_Tx_couv_ns!$A$5:$N$40, 14, FALSE)</f>
        <v>5.57905993233841</v>
      </c>
      <c r="P16" s="68">
        <f>VLOOKUP('FICHE RESEAUX'!$B$38,PRE_Tx_couv_ns!$A$5:$AA$40, 15, FALSE)</f>
        <v>6</v>
      </c>
      <c r="Q16" s="68">
        <f>VLOOKUP('FICHE RESEAUX'!$B$38,PRE_Tx_couv_ns!$A$5:$AA$100, 16, FALSE)</f>
        <v>6</v>
      </c>
    </row>
    <row r="17" spans="2:17">
      <c r="B17" s="39" t="s">
        <v>93</v>
      </c>
      <c r="C17" s="68">
        <f>VLOOKUP('FICHE RESEAUX'!$B$38,PRE_Tx_couv_TOR!$A$5:$N$40, 2, FALSE)</f>
        <v>1.4740200000000001</v>
      </c>
      <c r="D17" s="68">
        <f>VLOOKUP('FICHE RESEAUX'!$B$38,PRE_Tx_couv_TOR!$A$5:$N$40, 3, FALSE)</f>
        <v>1.59484</v>
      </c>
      <c r="E17" s="68">
        <f>VLOOKUP('FICHE RESEAUX'!$B$38,PRE_Tx_couv_TOR!$A$5:$N$40, 4, FALSE)</f>
        <v>1.5363199999999999</v>
      </c>
      <c r="F17" s="68">
        <f>VLOOKUP('FICHE RESEAUX'!$B$38,PRE_Tx_couv_TOR!$A$5:$N$40, 5, FALSE)</f>
        <v>1.48506</v>
      </c>
      <c r="G17" s="68">
        <f>VLOOKUP('FICHE RESEAUX'!$B$38,PRE_Tx_couv_TOR!$A$5:$N$40, 6, FALSE)</f>
        <v>1.45997</v>
      </c>
      <c r="H17" s="68">
        <f>VLOOKUP('FICHE RESEAUX'!$B$38,PRE_Tx_couv_TOR!$A$5:$N$40, 7, FALSE)</f>
        <v>1.49292066</v>
      </c>
      <c r="I17" s="68">
        <f>VLOOKUP('FICHE RESEAUX'!$B$38,PRE_Tx_couv_TOR!$A$5:$N$40, 8, FALSE)</f>
        <v>1.365</v>
      </c>
      <c r="J17" s="68">
        <f>VLOOKUP('FICHE RESEAUX'!$B$38,PRE_Tx_couv_TOR!$A$5:$N$40, 9, FALSE)</f>
        <v>1.3663000000000001</v>
      </c>
      <c r="K17" s="68"/>
      <c r="L17" s="68">
        <f>VLOOKUP('FICHE RESEAUX'!$B$38,PRE_Tx_couv_TOR!$A$5:$N$40, 11, FALSE)</f>
        <v>1.28576</v>
      </c>
      <c r="M17" s="68">
        <f>VLOOKUP('FICHE RESEAUX'!$B$38,PRE_Tx_couv_TOR!$A$5:$N$40, 12, FALSE)</f>
        <v>1.1778</v>
      </c>
      <c r="N17" s="68">
        <f>VLOOKUP('FICHE RESEAUX'!$B$38,PRE_Tx_couv_TOR!$A$5:$N$40, 13, FALSE)</f>
        <v>1.2441415393088255</v>
      </c>
      <c r="O17" s="68">
        <f>VLOOKUP('FICHE RESEAUX'!$B$38,PRE_Tx_couv_TOR!$A$5:$N$40, 14, FALSE)</f>
        <v>1.23575217896569</v>
      </c>
      <c r="P17" s="68">
        <f>VLOOKUP('FICHE RESEAUX'!$B$38,PRE_Tx_couv_TOR!$A$5:$AA$40, 15, FALSE)</f>
        <v>1</v>
      </c>
      <c r="Q17" s="68">
        <f>VLOOKUP('FICHE RESEAUX'!$B$38,PRE_Tx_couv_TOR!$A$5:$AA$100, 16, FALSE)</f>
        <v>1</v>
      </c>
    </row>
    <row r="18" spans="2:17">
      <c r="B18" s="69" t="s">
        <v>86</v>
      </c>
      <c r="C18" s="68">
        <f>VLOOKUP('FICHE RESEAUX'!$B$38,PRE_Tx_couv_all!$A$5:$N$40, 2, FALSE)</f>
        <v>19.974699999999999</v>
      </c>
      <c r="D18" s="68">
        <f>VLOOKUP('FICHE RESEAUX'!$B$38,PRE_Tx_couv_all!$A$5:$N$40, 3, FALSE)</f>
        <v>21.366099999999999</v>
      </c>
      <c r="E18" s="68">
        <f>VLOOKUP('FICHE RESEAUX'!$B$38,PRE_Tx_couv_all!$A$5:$N$40, 4, FALSE)</f>
        <v>23.074999999999999</v>
      </c>
      <c r="F18" s="68">
        <f>VLOOKUP('FICHE RESEAUX'!$B$38,PRE_Tx_couv_all!$A$5:$N$40, 5, FALSE)</f>
        <v>24.6309</v>
      </c>
      <c r="G18" s="68">
        <f>VLOOKUP('FICHE RESEAUX'!$B$38,PRE_Tx_couv_all!$A$5:$N$40, 6, FALSE)</f>
        <v>25.127300000000002</v>
      </c>
      <c r="H18" s="68">
        <f>VLOOKUP('FICHE RESEAUX'!$B$38,PRE_Tx_couv_all!$A$5:$N$40, 7, FALSE)</f>
        <v>26.774899999999999</v>
      </c>
      <c r="I18" s="68">
        <f>VLOOKUP('FICHE RESEAUX'!$B$38,PRE_Tx_couv_all!$A$5:$N$40, 8, FALSE)</f>
        <v>26.774899999999999</v>
      </c>
      <c r="J18" s="68">
        <f>VLOOKUP('FICHE RESEAUX'!$B$38,PRE_Tx_couv_all!$A$5:$N$40, 9, FALSE)</f>
        <v>27.548400000000001</v>
      </c>
      <c r="K18" s="68"/>
      <c r="L18" s="68">
        <f>VLOOKUP('FICHE RESEAUX'!$B$38,PRE_Tx_couv_all!$A$5:$N$40, 11, FALSE)</f>
        <v>29.1646</v>
      </c>
      <c r="M18" s="68">
        <f>VLOOKUP('FICHE RESEAUX'!$B$38,PRE_Tx_couv_all!$A$5:$N$40, 12, FALSE)</f>
        <v>29.452000000000002</v>
      </c>
      <c r="N18" s="68">
        <f>VLOOKUP('FICHE RESEAUX'!$B$38,PRE_Tx_couv_all!$A$5:$N$40, 13, FALSE)</f>
        <v>30.850915599614488</v>
      </c>
      <c r="O18" s="68">
        <f>VLOOKUP('FICHE RESEAUX'!$B$38,PRE_Tx_couv_all!$A$5:$N$40, 14, FALSE)</f>
        <v>31.4277706153011</v>
      </c>
      <c r="P18" s="68">
        <f>VLOOKUP('FICHE RESEAUX'!$B$38,PRE_Tx_couv_all!$A$5:$AA$40, 15, FALSE)</f>
        <v>33</v>
      </c>
      <c r="Q18" s="68">
        <f>VLOOKUP('FICHE RESEAUX'!$B$38,PRE_Tx_couv_all!$A$5:$AAA$40, 16, FALSE)</f>
        <v>34.9</v>
      </c>
    </row>
    <row r="19" spans="2:17" ht="16.5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"/>
      <c r="N19" s="1"/>
      <c r="O19" s="1"/>
    </row>
    <row r="20" spans="2:17" ht="13.5">
      <c r="B20" s="54" t="s">
        <v>75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2:17" ht="16.5">
      <c r="B21" s="26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2:17">
      <c r="C22" s="54" t="str" cm="1">
        <f t="array" ref="C22">IF(O9=O15,"",ATTENTION)</f>
        <v/>
      </c>
    </row>
    <row r="24" spans="2:17" ht="18.75">
      <c r="B24" s="365" t="s">
        <v>85</v>
      </c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</row>
    <row r="25" spans="2:17" ht="18.75"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</row>
    <row r="26" spans="2:17">
      <c r="B26" s="369" t="str">
        <f>CONCATENATE('FICHE RESEAUX'!$B$38," / Evolution du taux de couverture* en accueil parascolaire | Structures subventionnées | 2011 - ",'FICHE RESEAUX'!$B$23)</f>
        <v>Ensemble des réseaux / Evolution du taux de couverture* en accueil parascolaire | Structures subventionnées | 2011 - 2024</v>
      </c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</row>
    <row r="27" spans="2:17"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</row>
    <row r="28" spans="2:17" ht="13.5">
      <c r="B28" s="6"/>
      <c r="C28" s="16" t="s">
        <v>19</v>
      </c>
      <c r="D28" s="16" t="s">
        <v>20</v>
      </c>
      <c r="E28" s="16" t="s">
        <v>21</v>
      </c>
      <c r="F28" s="16" t="s">
        <v>22</v>
      </c>
      <c r="G28" s="16">
        <v>2015</v>
      </c>
      <c r="H28" s="16">
        <v>2016</v>
      </c>
      <c r="I28" s="16">
        <v>2017</v>
      </c>
      <c r="J28" s="16">
        <v>2018</v>
      </c>
      <c r="K28" s="16">
        <v>2019</v>
      </c>
      <c r="L28" s="16">
        <v>2020</v>
      </c>
      <c r="M28" s="16">
        <v>2021</v>
      </c>
      <c r="N28" s="16">
        <v>2022</v>
      </c>
      <c r="O28" s="16">
        <v>2023</v>
      </c>
      <c r="P28" s="6">
        <v>2024</v>
      </c>
    </row>
    <row r="29" spans="2:17" ht="16.5">
      <c r="B29" s="2" t="s">
        <v>26</v>
      </c>
      <c r="C29" s="50">
        <f>VLOOKUP('FICHE RESEAUX'!$B$38,PARA_Tx_couv_sub!$A$5:$N$40,2, FALSE)</f>
        <v>6.8123060371220596</v>
      </c>
      <c r="D29" s="50">
        <f>VLOOKUP('FICHE RESEAUX'!$B$38,PARA_Tx_couv_sub!$A$5:$N$40,3, FALSE)</f>
        <v>7.70586461926393</v>
      </c>
      <c r="E29" s="50">
        <f>VLOOKUP('FICHE RESEAUX'!$B$38,PARA_Tx_couv_sub!$A$5:$N$40, 4, FALSE)</f>
        <v>8.4048779700077372</v>
      </c>
      <c r="F29" s="50">
        <f>VLOOKUP('FICHE RESEAUX'!$B$38,PARA_Tx_couv_sub!$A$5:$N$40, 5, FALSE)</f>
        <v>8.7216151806242852</v>
      </c>
      <c r="G29" s="50">
        <f>VLOOKUP('FICHE RESEAUX'!$B$38,PARA_Tx_couv_sub!$A$5:$N$40, 6, FALSE)</f>
        <v>9.8880194644278561</v>
      </c>
      <c r="H29" s="50">
        <f>VLOOKUP('FICHE RESEAUX'!$B$38,PARA_Tx_couv_sub!$A$5:$N$40, 7, FALSE)</f>
        <v>10.61873644771584</v>
      </c>
      <c r="I29" s="50">
        <f>VLOOKUP('FICHE RESEAUX'!$B$38,PARA_Tx_couv_sub!$A$5:$N$40, 8, FALSE)</f>
        <v>11.268101107771827</v>
      </c>
      <c r="J29" s="50"/>
      <c r="K29" s="50">
        <f>VLOOKUP('FICHE RESEAUX'!$B$38,PARA_Tx_couv_sub!$A$5:$N$40, 10, FALSE)</f>
        <v>13.143865379153652</v>
      </c>
      <c r="L29" s="50">
        <f>VLOOKUP('FICHE RESEAUX'!$B$38,PARA_Tx_couv_sub!$A$5:$N$40, 11, FALSE)</f>
        <v>13.855050583437981</v>
      </c>
      <c r="M29" s="50">
        <f>VLOOKUP('FICHE RESEAUX'!$B$38,PARA_Tx_couv_sub!$A$5:$N$40, 12, FALSE)</f>
        <v>14.95921762715656</v>
      </c>
      <c r="N29" s="50">
        <f>VLOOKUP('FICHE RESEAUX'!$B$38,PARA_Tx_couv_sub!$A$5:$N$40, 13, FALSE)</f>
        <v>15.7515349989781</v>
      </c>
      <c r="O29" s="50">
        <f>VLOOKUP('FICHE RESEAUX'!$B$38,PARA_Tx_couv_sub!$A$5:$AA$40, 14, FALSE)</f>
        <v>16.93</v>
      </c>
      <c r="P29" s="50">
        <f>VLOOKUP('FICHE RESEAUX'!$B$38,PARA_Tx_couv_sub!$A$5:$AA$40, 15, FALSE)</f>
        <v>17.600000000000001</v>
      </c>
    </row>
    <row r="30" spans="2:17" ht="16.5">
      <c r="B30" s="31"/>
      <c r="C30" s="35"/>
      <c r="D30" s="35"/>
      <c r="E30" s="35"/>
      <c r="F30" s="35"/>
      <c r="G30" s="35"/>
      <c r="H30" s="33"/>
      <c r="I30" s="33"/>
      <c r="J30" s="33"/>
      <c r="K30" s="33"/>
      <c r="L30" s="33"/>
      <c r="M30" s="5"/>
      <c r="N30" s="5"/>
    </row>
    <row r="31" spans="2:17">
      <c r="B31" s="178" t="str">
        <f>CONCATENATE('FICHE RESEAUX'!$B$38,"  Taux de couverture en accueil parascolaire | Structures subventionnées | par âge ",'FICHE RESEAUX'!$B$23)</f>
        <v>Ensemble des réseaux  Taux de couverture en accueil parascolaire | Structures subventionnées | par âge 2024</v>
      </c>
      <c r="C31" s="178"/>
      <c r="D31" s="14"/>
      <c r="E31" s="14"/>
      <c r="F31" s="14"/>
      <c r="G31" s="14"/>
      <c r="H31" s="14"/>
      <c r="I31" s="14"/>
      <c r="J31" s="14"/>
      <c r="K31" s="14"/>
      <c r="L31" s="14"/>
      <c r="M31" s="5"/>
      <c r="N31" s="5"/>
    </row>
    <row r="32" spans="2:17" ht="16.5">
      <c r="B32" s="25"/>
      <c r="C32" s="18">
        <v>2024</v>
      </c>
      <c r="D32" s="14"/>
      <c r="E32" s="14"/>
      <c r="F32" s="14"/>
      <c r="G32" s="14"/>
      <c r="H32" s="14"/>
      <c r="I32" s="14"/>
      <c r="J32" s="14"/>
      <c r="K32" s="14"/>
      <c r="L32" s="14"/>
      <c r="M32" s="5"/>
      <c r="N32" s="5"/>
    </row>
    <row r="33" spans="2:14" ht="16.5">
      <c r="B33" s="27" t="s">
        <v>4</v>
      </c>
      <c r="C33" s="19">
        <f>VLOOKUP('FICHE RESEAUX'!$B$38,PARA_Tx_couv_sub_annee!$A$1:$O$100,2, FALSE)</f>
        <v>25.535298191698502</v>
      </c>
      <c r="D33" s="14"/>
      <c r="E33" s="14"/>
      <c r="F33" s="14"/>
      <c r="G33" s="14"/>
      <c r="H33" s="14"/>
      <c r="I33" s="14"/>
      <c r="J33" s="14"/>
      <c r="K33" s="14"/>
      <c r="L33" s="14"/>
      <c r="M33" s="5"/>
      <c r="N33" s="5"/>
    </row>
    <row r="34" spans="2:14" ht="16.5">
      <c r="B34" s="27" t="s">
        <v>6</v>
      </c>
      <c r="C34" s="19">
        <f>VLOOKUP('FICHE RESEAUX'!$B$38,PARA_Tx_couv_sub_annee!$A$1:$O$100,3, FALSE)</f>
        <v>22.202960833316201</v>
      </c>
      <c r="D34" s="14"/>
      <c r="E34" s="14"/>
      <c r="F34" s="14"/>
      <c r="G34" s="14"/>
      <c r="H34" s="14"/>
      <c r="I34" s="14"/>
      <c r="J34" s="14"/>
      <c r="K34" s="14"/>
      <c r="L34" s="14"/>
      <c r="M34" s="5"/>
      <c r="N34" s="5"/>
    </row>
    <row r="35" spans="2:14" ht="16.5">
      <c r="B35" s="27" t="s">
        <v>7</v>
      </c>
      <c r="C35" s="19">
        <f>VLOOKUP('FICHE RESEAUX'!$B$38,PARA_Tx_couv_sub_annee!$A$1:$O$100,4, FALSE)</f>
        <v>19.376703107329401</v>
      </c>
      <c r="D35" s="14"/>
      <c r="E35" s="14"/>
      <c r="F35" s="14"/>
      <c r="G35" s="14"/>
      <c r="H35" s="14"/>
      <c r="I35" s="14"/>
      <c r="J35" s="14"/>
      <c r="K35" s="14"/>
      <c r="L35" s="14"/>
      <c r="M35" s="5"/>
      <c r="N35" s="5"/>
    </row>
    <row r="36" spans="2:14" ht="16.5">
      <c r="B36" s="27" t="s">
        <v>5</v>
      </c>
      <c r="C36" s="19">
        <f>VLOOKUP('FICHE RESEAUX'!$B$38,PARA_Tx_couv_sub_annee!$A$1:$O$100,5, FALSE)</f>
        <v>3.6126756800085502</v>
      </c>
      <c r="D36" s="14"/>
      <c r="E36" s="14"/>
      <c r="F36" s="14"/>
      <c r="G36" s="14"/>
      <c r="H36" s="14"/>
      <c r="I36" s="14"/>
      <c r="J36" s="14"/>
      <c r="K36" s="14"/>
      <c r="L36" s="14"/>
      <c r="M36" s="5"/>
      <c r="N36" s="5"/>
    </row>
    <row r="37" spans="2:14" ht="16.5">
      <c r="B37" s="3" t="s">
        <v>0</v>
      </c>
      <c r="C37" s="19">
        <f>VLOOKUP('FICHE RESEAUX'!$B$38,PARA_Tx_couv_sub_annee!$A$1:$O$100,6, FALSE)</f>
        <v>17.603568328139598</v>
      </c>
      <c r="D37" s="14"/>
      <c r="E37" s="14"/>
      <c r="F37" s="14"/>
      <c r="G37" s="14"/>
      <c r="H37" s="14"/>
      <c r="I37" s="14"/>
      <c r="J37" s="14"/>
      <c r="K37" s="14"/>
      <c r="L37" s="14"/>
      <c r="M37" s="5"/>
      <c r="N37" s="5"/>
    </row>
    <row r="38" spans="2:14">
      <c r="B38" s="29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5"/>
      <c r="N38" s="5"/>
    </row>
    <row r="39" spans="2:14">
      <c r="B39" s="29"/>
      <c r="C39" s="14"/>
      <c r="D39" s="14"/>
      <c r="E39" s="54" t="s">
        <v>75</v>
      </c>
      <c r="F39" s="54"/>
      <c r="G39" s="54" t="str">
        <f>IF(ROUND(P29,0)=ROUND(C37,0), "","ATTENTION")</f>
        <v/>
      </c>
      <c r="H39" s="14"/>
      <c r="I39" s="14"/>
      <c r="J39" s="14"/>
      <c r="K39" s="14"/>
      <c r="L39" s="14"/>
      <c r="M39" s="5"/>
      <c r="N39" s="5"/>
    </row>
    <row r="40" spans="2:14">
      <c r="B40" s="29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5"/>
      <c r="N40" s="5"/>
    </row>
    <row r="41" spans="2:14" ht="51" customHeight="1">
      <c r="D41" s="14"/>
      <c r="E41" s="14"/>
      <c r="F41" s="14"/>
      <c r="G41" s="14"/>
      <c r="H41" s="14"/>
      <c r="I41" s="14"/>
      <c r="J41" s="14"/>
      <c r="K41" s="14"/>
      <c r="L41" s="14"/>
      <c r="M41" s="5"/>
      <c r="N41" s="5"/>
    </row>
    <row r="42" spans="2:14">
      <c r="D42" s="14"/>
      <c r="E42" s="14"/>
      <c r="F42" s="14"/>
      <c r="G42" s="14"/>
      <c r="H42" s="14"/>
      <c r="I42" s="14"/>
      <c r="J42" s="14"/>
      <c r="K42" s="14"/>
      <c r="L42" s="14"/>
      <c r="M42" s="5"/>
      <c r="N42" s="5"/>
    </row>
    <row r="43" spans="2:14">
      <c r="D43" s="14"/>
      <c r="E43" s="14"/>
      <c r="F43" s="14"/>
      <c r="G43" s="14"/>
      <c r="H43" s="14"/>
      <c r="I43" s="14"/>
      <c r="J43" s="14"/>
      <c r="K43" s="14"/>
      <c r="L43" s="14"/>
      <c r="M43" s="5"/>
      <c r="N43" s="5"/>
    </row>
    <row r="44" spans="2:14">
      <c r="F44" s="14"/>
      <c r="G44" s="14"/>
      <c r="H44" s="14"/>
      <c r="I44" s="14"/>
      <c r="J44" s="14"/>
      <c r="K44" s="14"/>
      <c r="L44" s="14"/>
      <c r="M44" s="5"/>
      <c r="N44" s="5"/>
    </row>
    <row r="45" spans="2:14">
      <c r="D45" s="14"/>
      <c r="E45" s="14"/>
      <c r="F45" s="14"/>
      <c r="G45" s="14"/>
      <c r="H45" s="14"/>
      <c r="I45" s="14"/>
      <c r="J45" s="14"/>
      <c r="K45" s="14"/>
      <c r="L45" s="14"/>
      <c r="M45" s="5"/>
      <c r="N45" s="5"/>
    </row>
    <row r="46" spans="2:14">
      <c r="D46" s="14"/>
      <c r="E46" s="14"/>
      <c r="F46" s="14"/>
      <c r="G46" s="14"/>
      <c r="H46" s="14"/>
      <c r="I46" s="14"/>
      <c r="J46" s="14"/>
      <c r="K46" s="14"/>
      <c r="L46" s="14"/>
      <c r="M46" s="5"/>
      <c r="N46" s="5"/>
    </row>
    <row r="47" spans="2:14">
      <c r="D47" s="14"/>
      <c r="E47" s="14"/>
      <c r="F47" s="14"/>
      <c r="G47" s="14"/>
      <c r="H47" s="14"/>
      <c r="I47" s="14"/>
      <c r="J47" s="14"/>
      <c r="K47" s="14"/>
      <c r="L47" s="14"/>
      <c r="M47" s="5"/>
      <c r="N47" s="5"/>
    </row>
    <row r="48" spans="2:14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5"/>
      <c r="N48" s="5"/>
    </row>
    <row r="65" spans="2:12">
      <c r="C65" s="41"/>
    </row>
    <row r="72" spans="2:1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</row>
    <row r="73" spans="2:1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5" spans="2:12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2:12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2:12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86" spans="2:16" ht="16.5">
      <c r="B86" s="2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2"/>
      <c r="N86" s="2"/>
      <c r="O86" s="2"/>
      <c r="P86" s="2"/>
    </row>
    <row r="87" spans="2:16" ht="16.5"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"/>
      <c r="N87" s="1"/>
      <c r="O87" s="1"/>
      <c r="P87" s="1"/>
    </row>
    <row r="88" spans="2:16" ht="16.5">
      <c r="B88" s="367"/>
      <c r="C88" s="367"/>
      <c r="D88" s="367"/>
      <c r="E88" s="367"/>
      <c r="F88" s="367"/>
      <c r="G88" s="367"/>
      <c r="H88" s="36"/>
      <c r="I88" s="15"/>
      <c r="J88" s="15"/>
      <c r="K88" s="15"/>
      <c r="L88" s="15"/>
      <c r="M88" s="1"/>
      <c r="N88" s="4"/>
      <c r="O88" s="4"/>
      <c r="P88" s="4"/>
    </row>
    <row r="89" spans="2:16" ht="33">
      <c r="B89" s="26" t="s">
        <v>66</v>
      </c>
      <c r="C89" s="17"/>
      <c r="D89" s="16"/>
      <c r="E89" s="16"/>
      <c r="F89" s="16"/>
      <c r="G89" s="16"/>
      <c r="H89" s="16"/>
      <c r="I89" s="16"/>
      <c r="J89" s="16"/>
      <c r="K89" s="16"/>
      <c r="L89" s="16"/>
      <c r="M89" s="2"/>
      <c r="N89" s="2"/>
      <c r="O89" s="2"/>
      <c r="P89" s="2"/>
    </row>
    <row r="90" spans="2:16" ht="16.5">
      <c r="B90" s="26"/>
      <c r="C90" s="64">
        <v>2010</v>
      </c>
      <c r="D90" s="64">
        <v>2011</v>
      </c>
      <c r="E90" s="64">
        <v>2012</v>
      </c>
      <c r="F90" s="64">
        <v>2013</v>
      </c>
      <c r="G90" s="64">
        <v>2014</v>
      </c>
      <c r="H90" s="64">
        <v>2015</v>
      </c>
      <c r="I90" s="64">
        <v>2016</v>
      </c>
      <c r="J90" s="64">
        <v>2017</v>
      </c>
      <c r="K90" s="64">
        <v>2018</v>
      </c>
      <c r="L90" s="64">
        <v>2019</v>
      </c>
      <c r="M90" s="64">
        <v>2020</v>
      </c>
      <c r="N90" s="64">
        <v>2021</v>
      </c>
      <c r="O90" s="64">
        <v>2022</v>
      </c>
      <c r="P90" s="1"/>
    </row>
    <row r="91" spans="2:16" ht="16.5">
      <c r="B91" s="27" t="s">
        <v>10</v>
      </c>
      <c r="C91" s="65">
        <f>VLOOKUP('FICHE RESEAUX'!$B$38,PRE_Tx_couv_nursery!$A$5:$N$40, 2, FALSE)</f>
        <v>12.493499999999999</v>
      </c>
      <c r="D91" s="65">
        <f>VLOOKUP('FICHE RESEAUX'!$B$38,PRE_Tx_couv_nursery!$A$5:$N$40, 3, FALSE)</f>
        <v>13.496</v>
      </c>
      <c r="E91" s="65">
        <f>VLOOKUP('FICHE RESEAUX'!$B$38,PRE_Tx_couv_nursery!$A$5:$N$40, 4, FALSE)</f>
        <v>14.799899999999999</v>
      </c>
      <c r="F91" s="65">
        <f>VLOOKUP('FICHE RESEAUX'!$B$38,PRE_Tx_couv_nursery!$A$5:$N$40, 5, FALSE)</f>
        <v>15.759399999999999</v>
      </c>
      <c r="G91" s="65">
        <f>VLOOKUP('FICHE RESEAUX'!$B$38,PRE_Tx_couv_nursery!$A$5:$N$40, 6, FALSE)</f>
        <v>16.603300000000001</v>
      </c>
      <c r="H91" s="65">
        <f>VLOOKUP('FICHE RESEAUX'!$B$38,PRE_Tx_couv_nursery!$A$5:$N$40, 7, FALSE)</f>
        <v>17.473299999999998</v>
      </c>
      <c r="I91" s="65">
        <f>VLOOKUP('FICHE RESEAUX'!$B$38,PRE_Tx_couv_nursery!$A$5:$N$40, 8, FALSE)</f>
        <v>18.371300000000002</v>
      </c>
      <c r="J91" s="65">
        <f>VLOOKUP('FICHE RESEAUX'!$B$38,PRE_Tx_couv_nursery!$A$5:$N$40, 9, FALSE)</f>
        <v>19.0305</v>
      </c>
      <c r="K91" s="65"/>
      <c r="L91" s="65">
        <f>VLOOKUP('FICHE RESEAUX'!$B$38,PRE_Tx_couv_nursery!$A$5:$N$40, 11, FALSE)</f>
        <v>20.215</v>
      </c>
      <c r="M91" s="65">
        <f>VLOOKUP('FICHE RESEAUX'!$B$38,PRE_Tx_couv_nursery!$A$5:$N$40, 12, FALSE)</f>
        <v>20.455999268939049</v>
      </c>
      <c r="N91" s="65">
        <f>VLOOKUP('FICHE RESEAUX'!$B$38,PRE_Tx_couv_nursery!$A$5:$N$40, 13, FALSE)</f>
        <v>21.434802424684381</v>
      </c>
      <c r="O91" s="65">
        <f>VLOOKUP('FICHE RESEAUX'!$B$38,PRE_Tx_couv_nursery!$A$5:$N$40, 14, FALSE)</f>
        <v>22.434703815116102</v>
      </c>
      <c r="P91" s="2"/>
    </row>
    <row r="92" spans="2:16" ht="16.5">
      <c r="B92" s="27" t="s">
        <v>11</v>
      </c>
      <c r="C92" s="66">
        <f>VLOOKUP('FICHE RESEAUX'!$B$38,PRE_Tx_couv_garderie!$A$5:$N$40, 2, FALSE)</f>
        <v>18.634499999999999</v>
      </c>
      <c r="D92" s="65">
        <f>VLOOKUP('FICHE RESEAUX'!$B$38,PRE_Tx_couv_garderie!$A$5:$N$40, 3, FALSE)</f>
        <v>20.322099999999999</v>
      </c>
      <c r="E92" s="65">
        <f>VLOOKUP('FICHE RESEAUX'!$B$38,PRE_Tx_couv_garderie!$A$5:$N$40, 4, FALSE)</f>
        <v>21.307700000000001</v>
      </c>
      <c r="F92" s="65">
        <f>VLOOKUP('FICHE RESEAUX'!$B$38,PRE_Tx_couv_garderie!$A$5:$N$40, 5, FALSE)</f>
        <v>21.3858</v>
      </c>
      <c r="G92" s="65">
        <f>VLOOKUP('FICHE RESEAUX'!$B$38,PRE_Tx_couv_garderie!$A$5:$N$40, 6, FALSE)</f>
        <v>22.751200000000001</v>
      </c>
      <c r="H92" s="65">
        <f>VLOOKUP('FICHE RESEAUX'!$B$38,PRE_Tx_couv_garderie!$A$5:$N$40, 7, FALSE)</f>
        <v>23.238099999999999</v>
      </c>
      <c r="I92" s="65">
        <f>VLOOKUP('FICHE RESEAUX'!$B$38,PRE_Tx_couv_garderie!$A$5:$N$40, 8, FALSE)</f>
        <v>23.895099999999999</v>
      </c>
      <c r="J92" s="65">
        <f>VLOOKUP('FICHE RESEAUX'!$B$38,PRE_Tx_couv_garderie!$A$5:$N$40, 9, FALSE)</f>
        <v>24.4602</v>
      </c>
      <c r="K92" s="65"/>
      <c r="L92" s="65">
        <f>VLOOKUP('FICHE RESEAUX'!$B$38,PRE_Tx_couv_garderie!$A$5:$N$40, 11, FALSE)</f>
        <v>26.034700000000001</v>
      </c>
      <c r="M92" s="65">
        <f>VLOOKUP('FICHE RESEAUX'!$B$38,PRE_Tx_couv_garderie!$A$5:$N$40, 12, FALSE)</f>
        <v>26.884240084240083</v>
      </c>
      <c r="N92" s="65">
        <f>VLOOKUP('FICHE RESEAUX'!$B$38,PRE_Tx_couv_garderie!$A$5:$N$40, 13, FALSE)</f>
        <v>27.376048657718123</v>
      </c>
      <c r="O92" s="65">
        <f>VLOOKUP('FICHE RESEAUX'!$B$38,PRE_Tx_couv_garderie!$A$5:$N$40, 14, FALSE)</f>
        <v>27.931093322890501</v>
      </c>
      <c r="P92" s="2"/>
    </row>
    <row r="93" spans="2:16" ht="16.5">
      <c r="B93" s="3" t="s">
        <v>1</v>
      </c>
      <c r="C93" s="66">
        <f>VLOOKUP('FICHE RESEAUX'!$B$38,PRE_Tx_couv_sub!$A$1:$P$400, 2, FALSE)</f>
        <v>14.9147</v>
      </c>
      <c r="D93" s="65">
        <f>VLOOKUP('FICHE RESEAUX'!$B$38,PRE_Tx_couv_garderie!$A$1:$P$400, 3, FALSE)</f>
        <v>20.322099999999999</v>
      </c>
      <c r="E93" s="65">
        <f>VLOOKUP('FICHE RESEAUX'!$B$38,PRE_Tx_couv_sub!$A$1:$P$400, 4, FALSE)</f>
        <v>17.380500000000001</v>
      </c>
      <c r="F93" s="65">
        <f>VLOOKUP('FICHE RESEAUX'!$B$38,PRE_Tx_couv_sub!$A$1:$P$400, 5, FALSE)</f>
        <v>18.018000000000001</v>
      </c>
      <c r="G93" s="65">
        <f>VLOOKUP('FICHE RESEAUX'!$B$38,PRE_Tx_couv_sub!$A$1:$P$400, 6, FALSE)</f>
        <v>19.004300000000001</v>
      </c>
      <c r="H93" s="65">
        <f>VLOOKUP('FICHE RESEAUX'!$B$38,PRE_Tx_couv_sub!$A$1:$P$400, 7, FALSE)</f>
        <v>19.704599999999999</v>
      </c>
      <c r="I93" s="65">
        <f>VLOOKUP('FICHE RESEAUX'!$B$38,PRE_Tx_couv_sub!$A$1:$P$400, 8, FALSE)</f>
        <v>20.525200000000002</v>
      </c>
      <c r="J93" s="65">
        <f>VLOOKUP('FICHE RESEAUX'!$B$38,PRE_Tx_couv_sub!$A$1:$P$400, 9, FALSE)</f>
        <v>21.156099999999999</v>
      </c>
      <c r="K93" s="65"/>
      <c r="L93" s="65">
        <f>VLOOKUP('FICHE RESEAUX'!$B$38,PRE_Tx_couv_sub!$A$1:$P$400, 11, FALSE)</f>
        <v>22.482900000000001</v>
      </c>
      <c r="M93" s="65">
        <f>VLOOKUP('FICHE RESEAUX'!$B$38,PRE_Tx_couv_sub!$A$1:$P$400, 12, FALSE)</f>
        <v>22.991337078962665</v>
      </c>
      <c r="N93" s="65">
        <f>VLOOKUP('FICHE RESEAUX'!$B$38,PRE_Tx_couv_sub!$A$1:$P$400, 13, FALSE)</f>
        <v>23.779555800800114</v>
      </c>
      <c r="O93" s="65">
        <f>VLOOKUP('FICHE RESEAUX'!$B$38,PRE_Tx_couv_sub!$A$1:$P$400, 14, FALSE)</f>
        <v>24.612958503997</v>
      </c>
      <c r="P93" s="2"/>
    </row>
    <row r="94" spans="2:16" ht="16.5">
      <c r="B94" s="26"/>
      <c r="C94" s="15"/>
      <c r="D94" s="15"/>
      <c r="E94" s="15"/>
      <c r="F94" s="15"/>
      <c r="G94" s="15"/>
      <c r="H94" s="15"/>
      <c r="I94" s="15"/>
      <c r="J94" s="15"/>
      <c r="K94" s="15"/>
      <c r="L94" s="16"/>
      <c r="M94" s="2"/>
      <c r="N94" s="2"/>
      <c r="O94" s="2"/>
      <c r="P94" s="1"/>
    </row>
    <row r="95" spans="2:16" ht="16.5">
      <c r="B95" s="367" t="s">
        <v>2</v>
      </c>
      <c r="C95" s="367"/>
      <c r="D95" s="367"/>
      <c r="E95" s="367"/>
      <c r="F95" s="367"/>
      <c r="G95" s="367"/>
      <c r="H95" s="36"/>
      <c r="I95" s="16"/>
      <c r="J95" s="16"/>
      <c r="K95" s="16"/>
      <c r="L95" s="16"/>
      <c r="M95" s="2"/>
      <c r="N95" s="2"/>
      <c r="O95" s="2"/>
      <c r="P95" s="2"/>
    </row>
    <row r="96" spans="2:16" ht="18">
      <c r="B96" s="28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"/>
      <c r="N96" s="1"/>
      <c r="O96" s="1"/>
      <c r="P96" s="1"/>
    </row>
    <row r="97" spans="2:16" ht="16.5">
      <c r="C97" s="37"/>
      <c r="D97" s="37"/>
      <c r="E97" s="37"/>
      <c r="F97" s="37"/>
      <c r="G97" s="37"/>
      <c r="H97" s="37"/>
      <c r="I97" s="37"/>
      <c r="J97" s="37"/>
      <c r="K97" s="37"/>
      <c r="L97" s="15"/>
      <c r="M97" s="1"/>
      <c r="N97" s="1"/>
      <c r="O97" s="1"/>
      <c r="P97" s="1"/>
    </row>
    <row r="98" spans="2:16" ht="18">
      <c r="B98" s="38" t="s">
        <v>3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"/>
      <c r="N98" s="1"/>
      <c r="O98" s="1"/>
      <c r="P98" s="1"/>
    </row>
    <row r="99" spans="2:16" ht="16.5">
      <c r="B99" s="25"/>
      <c r="C99" s="18">
        <v>2010</v>
      </c>
      <c r="D99" s="18">
        <v>2011</v>
      </c>
      <c r="E99" s="18">
        <v>2012</v>
      </c>
      <c r="F99" s="18">
        <v>2013</v>
      </c>
      <c r="G99" s="18">
        <v>2014</v>
      </c>
      <c r="H99" s="18">
        <v>2015</v>
      </c>
      <c r="I99" s="18">
        <v>2016</v>
      </c>
      <c r="J99" s="18">
        <v>2017</v>
      </c>
      <c r="K99" s="18">
        <v>2018</v>
      </c>
      <c r="L99" s="18">
        <v>2019</v>
      </c>
      <c r="M99" s="18">
        <v>2020</v>
      </c>
      <c r="N99" s="18">
        <v>2021</v>
      </c>
      <c r="O99" s="18">
        <v>2022</v>
      </c>
      <c r="P99" s="1"/>
    </row>
    <row r="100" spans="2:16" ht="16.5">
      <c r="B100" s="27" t="s">
        <v>8</v>
      </c>
      <c r="C100" s="63">
        <f>VLOOKUP('FICHE RESEAUX'!$B$38,PRE_Tx_couv_sub!$A$1:$P$400, 2, FALSE)</f>
        <v>14.9147</v>
      </c>
      <c r="D100" s="50">
        <f>VLOOKUP('FICHE RESEAUX'!$B$38,PRE_Tx_couv_garderie!$A$1:$P$400, 3, FALSE)</f>
        <v>20.322099999999999</v>
      </c>
      <c r="E100" s="50">
        <f>VLOOKUP('FICHE RESEAUX'!$B$38,PRE_Tx_couv_sub!$A$1:$P$400, 4, FALSE)</f>
        <v>17.380500000000001</v>
      </c>
      <c r="F100" s="50">
        <f>VLOOKUP('FICHE RESEAUX'!$B$38,PRE_Tx_couv_sub!$A$1:$P$400, 5, FALSE)</f>
        <v>18.018000000000001</v>
      </c>
      <c r="G100" s="50">
        <f>VLOOKUP('FICHE RESEAUX'!$B$38,PRE_Tx_couv_sub!$A$1:$P$400, 6, FALSE)</f>
        <v>19.004300000000001</v>
      </c>
      <c r="H100" s="50">
        <f>VLOOKUP('FICHE RESEAUX'!$B$38,PRE_Tx_couv_sub!$A$1:$P$400, 7, FALSE)</f>
        <v>19.704599999999999</v>
      </c>
      <c r="I100" s="50">
        <f>VLOOKUP('FICHE RESEAUX'!$B$38,PRE_Tx_couv_sub!$A$1:$P$400, 8, FALSE)</f>
        <v>20.525200000000002</v>
      </c>
      <c r="J100" s="50">
        <f>VLOOKUP('FICHE RESEAUX'!$B$38,PRE_Tx_couv_sub!$A$1:$P$400, 9, FALSE)</f>
        <v>21.156099999999999</v>
      </c>
      <c r="K100" s="50"/>
      <c r="L100" s="50">
        <f>VLOOKUP('FICHE RESEAUX'!$B$38,PRE_Tx_couv_sub!$A$1:$P$400, 11, FALSE)</f>
        <v>22.482900000000001</v>
      </c>
      <c r="M100" s="50">
        <f>VLOOKUP('FICHE RESEAUX'!$B$38,PRE_Tx_couv_sub!$A$1:$P$400, 12, FALSE)</f>
        <v>22.991337078962665</v>
      </c>
      <c r="N100" s="50">
        <f>VLOOKUP('FICHE RESEAUX'!$B$38,PRE_Tx_couv_sub!$A$1:$P$400, 13, FALSE)</f>
        <v>23.779555800800114</v>
      </c>
      <c r="O100" s="50">
        <f>VLOOKUP('FICHE RESEAUX'!$B$38,PRE_Tx_couv_sub!$A$1:$P$400, 14, FALSE)</f>
        <v>24.612958503997</v>
      </c>
      <c r="P100" s="1"/>
    </row>
    <row r="101" spans="2:16" ht="16.5">
      <c r="B101" s="27" t="s">
        <v>13</v>
      </c>
      <c r="C101" s="50">
        <f>VLOOKUP('FICHE RESEAUX'!$B$38,PRE_Tx_couv_ns!$A$5:$N$40, 2, FALSE)</f>
        <v>3.8106</v>
      </c>
      <c r="D101" s="58">
        <f>VLOOKUP('FICHE RESEAUX'!$B$38,PRE_Tx_couv_ns!$A$5:$N$40, 3, FALSE)</f>
        <v>3.7928999999999999</v>
      </c>
      <c r="E101" s="58">
        <f>VLOOKUP('FICHE RESEAUX'!$B$38,PRE_Tx_couv_ns!$A$5:$N$40, 4, FALSE)</f>
        <v>4.3766999999999996</v>
      </c>
      <c r="F101" s="58">
        <f>VLOOKUP('FICHE RESEAUX'!$B$38,PRE_Tx_couv_ns!$A$5:$N$40, 5, FALSE)</f>
        <v>5.2877000000000001</v>
      </c>
      <c r="G101" s="58">
        <f>VLOOKUP('FICHE RESEAUX'!$B$38,PRE_Tx_couv_ns!$A$5:$N$40, 6, FALSE)</f>
        <v>4.7275</v>
      </c>
      <c r="H101" s="58">
        <f>VLOOKUP('FICHE RESEAUX'!$B$38,PRE_Tx_couv_ns!$A$5:$N$40, 7, FALSE)</f>
        <v>4.9401000000000002</v>
      </c>
      <c r="I101" s="58">
        <f>VLOOKUP('FICHE RESEAUX'!$B$38,PRE_Tx_couv_ns!$A$5:$N$40, 8, FALSE)</f>
        <v>4.9640000000000004</v>
      </c>
      <c r="J101" s="58">
        <f>VLOOKUP('FICHE RESEAUX'!$B$38,PRE_Tx_couv_ns!$A$5:$N$40, 9, FALSE)</f>
        <v>5.0959000000000003</v>
      </c>
      <c r="K101" s="58"/>
      <c r="L101" s="58">
        <f>VLOOKUP('FICHE RESEAUX'!$B$38,PRE_Tx_couv_ns!$A$5:$N$40, 11, FALSE)</f>
        <v>5.4257999999999997</v>
      </c>
      <c r="M101" s="58">
        <f>VLOOKUP('FICHE RESEAUX'!$B$38,PRE_Tx_couv_ns!$A$5:$N$40, 12, FALSE)</f>
        <v>5.3390000000000004</v>
      </c>
      <c r="N101" s="58">
        <f>VLOOKUP('FICHE RESEAUX'!$B$38,PRE_Tx_couv_ns!$A$5:$N$40, 13, FALSE)</f>
        <v>5.8271394857085745</v>
      </c>
      <c r="O101" s="58">
        <f>VLOOKUP('FICHE RESEAUX'!$B$38,PRE_Tx_couv_ns!$A$5:$N$40, 14, FALSE)</f>
        <v>5.57905993233841</v>
      </c>
      <c r="P101" s="1"/>
    </row>
    <row r="102" spans="2:16" ht="16.5">
      <c r="B102" s="27" t="s">
        <v>14</v>
      </c>
      <c r="C102" s="50">
        <f>VLOOKUP('FICHE RESEAUX'!$B$38,PRE_Tx_couv_TOR!$A$5:$N$40, 2, FALSE)</f>
        <v>1.4740200000000001</v>
      </c>
      <c r="D102" s="50">
        <f>VLOOKUP('FICHE RESEAUX'!$B$38,PRE_Tx_couv_TOR!$A$5:$N$40, 3, FALSE)</f>
        <v>1.59484</v>
      </c>
      <c r="E102" s="50">
        <f>VLOOKUP('FICHE RESEAUX'!$B$38,PRE_Tx_couv_TOR!$A$5:$N$40, 4, FALSE)</f>
        <v>1.5363199999999999</v>
      </c>
      <c r="F102" s="50">
        <f>VLOOKUP('FICHE RESEAUX'!$B$38,PRE_Tx_couv_TOR!$A$5:$N$40, 5, FALSE)</f>
        <v>1.48506</v>
      </c>
      <c r="G102" s="50">
        <f>VLOOKUP('FICHE RESEAUX'!$B$38,PRE_Tx_couv_TOR!$A$5:$N$40, 6, FALSE)</f>
        <v>1.45997</v>
      </c>
      <c r="H102" s="50">
        <f>VLOOKUP('FICHE RESEAUX'!$B$38,PRE_Tx_couv_TOR!$A$5:$N$40, 7, FALSE)</f>
        <v>1.49292066</v>
      </c>
      <c r="I102" s="50">
        <f>VLOOKUP('FICHE RESEAUX'!$B$38,PRE_Tx_couv_TOR!$A$5:$N$40, 8, FALSE)</f>
        <v>1.365</v>
      </c>
      <c r="J102" s="50">
        <f>VLOOKUP('FICHE RESEAUX'!$B$38,PRE_Tx_couv_TOR!$A$5:$N$40, 9, FALSE)</f>
        <v>1.3663000000000001</v>
      </c>
      <c r="K102" s="50"/>
      <c r="L102" s="50">
        <f>VLOOKUP('FICHE RESEAUX'!$B$38,PRE_Tx_couv_TOR!$A$5:$N$40, 11, FALSE)</f>
        <v>1.28576</v>
      </c>
      <c r="M102" s="50">
        <f>VLOOKUP('FICHE RESEAUX'!$B$38,PRE_Tx_couv_TOR!$A$5:$N$40, 12, FALSE)</f>
        <v>1.1778</v>
      </c>
      <c r="N102" s="50">
        <f>VLOOKUP('FICHE RESEAUX'!$B$38,PRE_Tx_couv_TOR!$A$5:$N$40, 13, FALSE)</f>
        <v>1.2441415393088255</v>
      </c>
      <c r="O102" s="50">
        <f>VLOOKUP('FICHE RESEAUX'!$B$38,PRE_Tx_couv_TOR!$A$5:$N$40, 14, FALSE)</f>
        <v>1.23575217896569</v>
      </c>
      <c r="P102" s="1"/>
    </row>
    <row r="103" spans="2:16" ht="16.5">
      <c r="B103" s="3" t="s">
        <v>1</v>
      </c>
      <c r="C103" s="50">
        <f>VLOOKUP('FICHE RESEAUX'!$B$38,PRE_Tx_couv_all!$A$5:$N$40, 2, FALSE)</f>
        <v>19.974699999999999</v>
      </c>
      <c r="D103" s="50">
        <f>VLOOKUP('FICHE RESEAUX'!$B$38,PRE_Tx_couv_all!$A$5:$N$40, 3, FALSE)</f>
        <v>21.366099999999999</v>
      </c>
      <c r="E103" s="50">
        <f>VLOOKUP('FICHE RESEAUX'!$B$38,PRE_Tx_couv_all!$A$5:$N$40, 4, FALSE)</f>
        <v>23.074999999999999</v>
      </c>
      <c r="F103" s="50">
        <f>VLOOKUP('FICHE RESEAUX'!$B$38,PRE_Tx_couv_all!$A$5:$N$40, 5, FALSE)</f>
        <v>24.6309</v>
      </c>
      <c r="G103" s="50">
        <f>VLOOKUP('FICHE RESEAUX'!$B$38,PRE_Tx_couv_all!$A$5:$N$40, 6, FALSE)</f>
        <v>25.127300000000002</v>
      </c>
      <c r="H103" s="50">
        <f>VLOOKUP('FICHE RESEAUX'!$B$38,PRE_Tx_couv_all!$A$5:$N$40, 7, FALSE)</f>
        <v>26.774899999999999</v>
      </c>
      <c r="I103" s="50">
        <f>VLOOKUP('FICHE RESEAUX'!$B$38,PRE_Tx_couv_all!$A$5:$N$40, 8, FALSE)</f>
        <v>26.774899999999999</v>
      </c>
      <c r="J103" s="50">
        <f>VLOOKUP('FICHE RESEAUX'!$B$38,PRE_Tx_couv_all!$A$5:$N$40, 9, FALSE)</f>
        <v>27.548400000000001</v>
      </c>
      <c r="K103" s="50"/>
      <c r="L103" s="50">
        <f>VLOOKUP('FICHE RESEAUX'!$B$38,PRE_Tx_couv_all!$A$5:$N$40, 11, FALSE)</f>
        <v>29.1646</v>
      </c>
      <c r="M103" s="50">
        <f>VLOOKUP('FICHE RESEAUX'!$B$38,PRE_Tx_couv_all!$A$5:$N$40, 12, FALSE)</f>
        <v>29.452000000000002</v>
      </c>
      <c r="N103" s="50">
        <f>VLOOKUP('FICHE RESEAUX'!$B$38,PRE_Tx_couv_all!$A$5:$N$40, 13, FALSE)</f>
        <v>30.850915599614488</v>
      </c>
      <c r="O103" s="50">
        <f>VLOOKUP('FICHE RESEAUX'!$B$38,PRE_Tx_couv_all!$A$5:$N$40, 14, FALSE)</f>
        <v>31.4277706153011</v>
      </c>
      <c r="P103" s="1"/>
    </row>
    <row r="104" spans="2:16" ht="16.5">
      <c r="B104" s="26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"/>
      <c r="N104" s="1"/>
      <c r="O104" s="1"/>
      <c r="P104" s="1"/>
    </row>
    <row r="105" spans="2:16" ht="16.5">
      <c r="B105" s="26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"/>
      <c r="N105" s="1"/>
      <c r="O105" s="1"/>
      <c r="P105" s="1"/>
    </row>
    <row r="106" spans="2:16" ht="16.5">
      <c r="B106" s="26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"/>
      <c r="N106" s="1"/>
      <c r="O106" s="1"/>
      <c r="P106" s="1"/>
    </row>
    <row r="107" spans="2:16" ht="16.5">
      <c r="B107" s="54" t="s">
        <v>75</v>
      </c>
      <c r="C107" s="54" t="str" cm="1">
        <f t="array" ref="C107">IF(O93=O100,"",ATTENTION)</f>
        <v/>
      </c>
      <c r="P107" s="1"/>
    </row>
    <row r="141" spans="1:14" ht="16.5">
      <c r="B141" s="2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2"/>
      <c r="N141" s="2"/>
    </row>
    <row r="142" spans="1:14" ht="16.5">
      <c r="A142" s="2"/>
      <c r="B142" s="26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"/>
      <c r="N142" s="1"/>
    </row>
    <row r="143" spans="1:14" ht="16.5">
      <c r="A143" s="1"/>
      <c r="B143" s="26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"/>
      <c r="N143" s="1"/>
    </row>
    <row r="144" spans="1:14" ht="16.5">
      <c r="A144" s="1"/>
      <c r="B144" s="26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"/>
      <c r="N144" s="1"/>
    </row>
    <row r="145" spans="1:14" ht="16.5">
      <c r="A145" s="1"/>
      <c r="B145" s="107"/>
      <c r="C145" s="107"/>
      <c r="D145" s="107"/>
      <c r="E145" s="107"/>
      <c r="F145" s="107"/>
      <c r="G145" s="36"/>
      <c r="H145" s="15"/>
      <c r="I145" s="15"/>
      <c r="J145" s="15"/>
      <c r="K145" s="15"/>
      <c r="L145" s="15"/>
      <c r="M145" s="4"/>
      <c r="N145" s="4"/>
    </row>
    <row r="146" spans="1:14" ht="16.5">
      <c r="A146" s="107"/>
      <c r="B146" s="26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4"/>
      <c r="N146" s="4"/>
    </row>
    <row r="147" spans="1:14" ht="16.5">
      <c r="A147" s="1"/>
      <c r="B147" s="30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4"/>
      <c r="N147" s="4"/>
    </row>
    <row r="148" spans="1:14" ht="16.5">
      <c r="A148" s="20"/>
      <c r="B148" s="30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4"/>
      <c r="N148" s="4"/>
    </row>
    <row r="149" spans="1:14" ht="16.5">
      <c r="A149" s="20"/>
      <c r="B149" s="26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4"/>
      <c r="N149" s="4"/>
    </row>
    <row r="150" spans="1:14" ht="16.5">
      <c r="A150" s="1"/>
      <c r="B150" s="21"/>
      <c r="C150" s="34"/>
      <c r="D150" s="34"/>
      <c r="E150" s="34"/>
      <c r="F150" s="34"/>
      <c r="G150" s="34"/>
      <c r="H150" s="33"/>
      <c r="I150" s="33"/>
      <c r="J150" s="33"/>
      <c r="K150" s="33"/>
      <c r="L150" s="33"/>
      <c r="M150" s="5"/>
      <c r="N150" s="5"/>
    </row>
    <row r="151" spans="1:14" ht="16.5">
      <c r="A151" s="20"/>
      <c r="B151" s="31"/>
      <c r="C151" s="35"/>
      <c r="D151" s="35"/>
      <c r="E151" s="35"/>
      <c r="F151" s="35"/>
      <c r="G151" s="35"/>
      <c r="H151" s="33"/>
      <c r="I151" s="33"/>
      <c r="J151" s="33"/>
      <c r="K151" s="33"/>
      <c r="L151" s="33"/>
      <c r="M151" s="5"/>
      <c r="N151" s="5"/>
    </row>
    <row r="152" spans="1:14" ht="16.5">
      <c r="A152" s="22"/>
      <c r="B152" s="368" t="str">
        <f ca="1">CONCATENATE(B40, " Evolution du taux de couverture* en accueil parascolaire, Vaud 2011 -", YEAR(TODAY())-1)</f>
        <v xml:space="preserve"> Evolution du taux de couverture* en accueil parascolaire, Vaud 2011 -2024</v>
      </c>
      <c r="C152" s="368"/>
      <c r="D152" s="368"/>
      <c r="E152" s="368"/>
      <c r="F152" s="368"/>
      <c r="G152" s="368"/>
      <c r="H152" s="368"/>
      <c r="I152" s="368"/>
      <c r="J152" s="33"/>
      <c r="K152" s="33"/>
      <c r="L152" s="33"/>
      <c r="M152" s="5"/>
      <c r="N152" s="5"/>
    </row>
    <row r="153" spans="1:14" ht="16.5">
      <c r="A153" s="23"/>
      <c r="B153" s="368"/>
      <c r="C153" s="368"/>
      <c r="D153" s="368"/>
      <c r="E153" s="368"/>
      <c r="F153" s="368"/>
      <c r="G153" s="368"/>
      <c r="H153" s="368"/>
      <c r="I153" s="368"/>
      <c r="J153" s="33"/>
      <c r="K153" s="33"/>
      <c r="L153" s="33"/>
      <c r="M153" s="5"/>
      <c r="N153" s="5"/>
    </row>
    <row r="154" spans="1:14" ht="16.5">
      <c r="A154" s="2"/>
      <c r="B154" s="6"/>
      <c r="C154" s="16" t="s">
        <v>19</v>
      </c>
      <c r="D154" s="16" t="s">
        <v>20</v>
      </c>
      <c r="E154" s="16" t="s">
        <v>21</v>
      </c>
      <c r="F154" s="16" t="s">
        <v>22</v>
      </c>
      <c r="G154" s="16">
        <v>2015</v>
      </c>
      <c r="H154" s="16">
        <v>2016</v>
      </c>
      <c r="I154" s="16">
        <v>2017</v>
      </c>
      <c r="J154" s="16">
        <v>2018</v>
      </c>
      <c r="K154" s="16">
        <v>2019</v>
      </c>
      <c r="L154" s="16">
        <v>2020</v>
      </c>
      <c r="M154" s="16">
        <v>2021</v>
      </c>
      <c r="N154" s="5">
        <v>2022</v>
      </c>
    </row>
    <row r="155" spans="1:14" ht="16.5">
      <c r="A155" s="2"/>
      <c r="B155" s="2" t="s">
        <v>26</v>
      </c>
      <c r="C155" s="50">
        <f>VLOOKUP('FICHE RESEAUX'!$B$38,PARA_Tx_couv_sub!$A$5:$N$40,2, FALSE)</f>
        <v>6.8123060371220596</v>
      </c>
      <c r="D155" s="50">
        <f>VLOOKUP('FICHE RESEAUX'!$B$38,PARA_Tx_couv_sub!$A$5:$N$40,3, FALSE)</f>
        <v>7.70586461926393</v>
      </c>
      <c r="E155" s="50">
        <f>VLOOKUP('FICHE RESEAUX'!$B$38,PARA_Tx_couv_sub!$A$5:$N$40, 4, FALSE)</f>
        <v>8.4048779700077372</v>
      </c>
      <c r="F155" s="50">
        <f>VLOOKUP('FICHE RESEAUX'!$B$38,PARA_Tx_couv_sub!$A$5:$N$40, 5, FALSE)</f>
        <v>8.7216151806242852</v>
      </c>
      <c r="G155" s="50">
        <f>VLOOKUP('FICHE RESEAUX'!$B$38,PARA_Tx_couv_sub!$A$5:$N$40, 6, FALSE)</f>
        <v>9.8880194644278561</v>
      </c>
      <c r="H155" s="50">
        <f>VLOOKUP('FICHE RESEAUX'!$B$38,PARA_Tx_couv_sub!$A$5:$N$40, 7, FALSE)</f>
        <v>10.61873644771584</v>
      </c>
      <c r="I155" s="50">
        <f>VLOOKUP('FICHE RESEAUX'!$B$38,PARA_Tx_couv_sub!$A$5:$N$40, 8, FALSE)</f>
        <v>11.268101107771827</v>
      </c>
      <c r="J155" s="50"/>
      <c r="K155" s="50">
        <f>VLOOKUP('FICHE RESEAUX'!$B$38,PARA_Tx_couv_sub!$A$5:$N$40, 10, FALSE)</f>
        <v>13.143865379153652</v>
      </c>
      <c r="L155" s="50">
        <f>VLOOKUP('FICHE RESEAUX'!$B$38,PARA_Tx_couv_sub!$A$5:$N$40, 11, FALSE)</f>
        <v>13.855050583437981</v>
      </c>
      <c r="M155" s="50">
        <f>VLOOKUP('FICHE RESEAUX'!$B$38,PARA_Tx_couv_sub!$A$5:$N$40, 12, FALSE)</f>
        <v>14.95921762715656</v>
      </c>
      <c r="N155" s="50">
        <f>VLOOKUP('FICHE RESEAUX'!$B$38,PARA_Tx_couv_sub!$A$5:$N$40, 13, FALSE)</f>
        <v>15.7515349989781</v>
      </c>
    </row>
    <row r="156" spans="1:14" ht="16.5">
      <c r="A156" s="2"/>
      <c r="B156" s="31"/>
      <c r="C156" s="35"/>
      <c r="D156" s="35"/>
      <c r="E156" s="35"/>
      <c r="F156" s="35"/>
      <c r="G156" s="35"/>
      <c r="H156" s="33"/>
      <c r="I156" s="33"/>
      <c r="J156" s="33"/>
      <c r="K156" s="33"/>
      <c r="L156" s="33"/>
      <c r="M156" s="5"/>
      <c r="N156" s="5"/>
    </row>
    <row r="157" spans="1:14">
      <c r="A157" s="5"/>
      <c r="B157" s="29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5"/>
      <c r="N157" s="5"/>
    </row>
    <row r="158" spans="1:14">
      <c r="A158" s="5"/>
      <c r="B158" s="29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5"/>
      <c r="N158" s="5"/>
    </row>
    <row r="159" spans="1:14">
      <c r="A159" s="5"/>
      <c r="B159" s="29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5"/>
      <c r="N159" s="5"/>
    </row>
    <row r="160" spans="1:14">
      <c r="A160" s="5"/>
      <c r="B160" s="29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5"/>
      <c r="N160" s="5"/>
    </row>
    <row r="161" spans="1:14">
      <c r="A161" s="5"/>
      <c r="B161" s="29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5"/>
      <c r="N161" s="5"/>
    </row>
    <row r="162" spans="1:14">
      <c r="A162" s="5"/>
      <c r="B162" s="29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5"/>
      <c r="N162" s="5"/>
    </row>
    <row r="163" spans="1:14">
      <c r="A163" s="5"/>
      <c r="B163" s="29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5"/>
      <c r="N163" s="5"/>
    </row>
    <row r="164" spans="1:14">
      <c r="A164" s="5"/>
      <c r="B164" s="29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5"/>
      <c r="N164" s="5"/>
    </row>
    <row r="165" spans="1:14">
      <c r="A165" s="5"/>
      <c r="B165" s="29"/>
      <c r="C165" s="14"/>
      <c r="D165" s="14"/>
      <c r="E165" s="54" t="s">
        <v>75</v>
      </c>
      <c r="F165" s="54"/>
      <c r="G165" s="54" t="str">
        <f>IF(N155=C177, "","ATTENTION")</f>
        <v>ATTENTION</v>
      </c>
      <c r="H165" s="14"/>
      <c r="I165" s="14"/>
      <c r="J165" s="14"/>
      <c r="K165" s="14"/>
      <c r="L165" s="14"/>
      <c r="M165" s="5"/>
      <c r="N165" s="5"/>
    </row>
    <row r="166" spans="1:14">
      <c r="A166" s="5"/>
      <c r="B166" s="29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5"/>
      <c r="N166" s="5"/>
    </row>
    <row r="167" spans="1:14">
      <c r="A167" s="5"/>
      <c r="B167" s="29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5"/>
      <c r="N167" s="5"/>
    </row>
    <row r="168" spans="1:14">
      <c r="A168" s="5"/>
      <c r="B168" s="29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5"/>
      <c r="N168" s="5"/>
    </row>
    <row r="169" spans="1:14">
      <c r="A169" s="5"/>
      <c r="B169" s="29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5"/>
      <c r="N169" s="5"/>
    </row>
    <row r="170" spans="1:14">
      <c r="A170" s="5"/>
      <c r="B170" s="29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5"/>
      <c r="N170" s="5"/>
    </row>
    <row r="171" spans="1:14">
      <c r="A171" s="5"/>
      <c r="B171" s="29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5"/>
      <c r="N171" s="5"/>
    </row>
    <row r="172" spans="1:14" ht="16.5">
      <c r="A172" s="5"/>
      <c r="B172" s="25"/>
      <c r="C172" s="18">
        <v>2022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5"/>
      <c r="N172" s="5"/>
    </row>
    <row r="173" spans="1:14" ht="16.5">
      <c r="A173" s="5"/>
      <c r="B173" s="27" t="s">
        <v>4</v>
      </c>
      <c r="C173" s="19">
        <f>VLOOKUP('FICHE RESEAUX'!$B$38,PARA_Tx_couv_sub_annee!$A$5:$F$40,2,FALSE)</f>
        <v>25.535298191698502</v>
      </c>
      <c r="D173" s="14"/>
      <c r="E173" s="14"/>
      <c r="F173" s="14"/>
      <c r="G173" s="14"/>
      <c r="H173" s="14"/>
      <c r="I173" s="14"/>
      <c r="J173" s="14"/>
      <c r="K173" s="14"/>
      <c r="L173" s="14"/>
      <c r="M173" s="5"/>
      <c r="N173" s="5"/>
    </row>
    <row r="174" spans="1:14" ht="16.5">
      <c r="A174" s="5"/>
      <c r="B174" s="27" t="s">
        <v>6</v>
      </c>
      <c r="C174" s="19">
        <f>VLOOKUP('FICHE RESEAUX'!$B$38,PARA_Tx_couv_sub_annee!$A$5:$F$40,3,FALSE)</f>
        <v>22.202960833316201</v>
      </c>
      <c r="F174" s="14"/>
      <c r="G174" s="14"/>
      <c r="H174" s="14"/>
      <c r="I174" s="14"/>
      <c r="J174" s="14"/>
      <c r="K174" s="14"/>
      <c r="L174" s="14"/>
      <c r="M174" s="5"/>
      <c r="N174" s="5"/>
    </row>
    <row r="175" spans="1:14" ht="16.5">
      <c r="A175" s="5"/>
      <c r="B175" s="27" t="s">
        <v>7</v>
      </c>
      <c r="C175" s="19">
        <f>VLOOKUP('FICHE RESEAUX'!$B$38,PARA_Tx_couv_sub_annee!$A$5:$F$40,4,FALSE)</f>
        <v>19.376703107329401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5"/>
      <c r="N175" s="5"/>
    </row>
    <row r="176" spans="1:14" ht="16.5">
      <c r="A176" s="5"/>
      <c r="B176" s="27" t="s">
        <v>5</v>
      </c>
      <c r="C176" s="19">
        <f>VLOOKUP('FICHE RESEAUX'!$B$38,PARA_Tx_couv_sub_annee!$A$5:$F$40,5,FALSE)</f>
        <v>3.6126756800085502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5"/>
      <c r="N176" s="5"/>
    </row>
    <row r="177" spans="1:14" ht="16.5">
      <c r="A177" s="5"/>
      <c r="B177" s="3" t="s">
        <v>0</v>
      </c>
      <c r="C177" s="19">
        <f>VLOOKUP('FICHE RESEAUX'!$B$38,PARA_Tx_couv_sub_annee!$A$5:$F$300,6,FALSE)</f>
        <v>17.603568328139598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5"/>
      <c r="N177" s="5"/>
    </row>
    <row r="178" spans="1:14">
      <c r="A178" s="5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5"/>
      <c r="N178" s="5"/>
    </row>
    <row r="179" spans="1:14">
      <c r="A179" s="5"/>
      <c r="B179" s="29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5"/>
      <c r="N179" s="5"/>
    </row>
    <row r="180" spans="1:14">
      <c r="A180" s="5"/>
      <c r="B180" s="29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5"/>
      <c r="N180" s="5"/>
    </row>
    <row r="181" spans="1:14">
      <c r="A181" s="5"/>
      <c r="B181" s="29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5"/>
      <c r="N181" s="5"/>
    </row>
    <row r="182" spans="1:14">
      <c r="A182" s="5"/>
      <c r="B182" s="29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5"/>
      <c r="N182" s="5"/>
    </row>
    <row r="183" spans="1:14">
      <c r="A183" s="5"/>
      <c r="B183" s="29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5"/>
      <c r="N183" s="5"/>
    </row>
    <row r="184" spans="1:14">
      <c r="A184" s="5"/>
      <c r="B184" s="2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5"/>
      <c r="N184" s="5"/>
    </row>
    <row r="185" spans="1:14">
      <c r="A185" s="5"/>
      <c r="B185" s="29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5"/>
      <c r="N185" s="5"/>
    </row>
    <row r="186" spans="1:14">
      <c r="A186" s="5"/>
      <c r="B186" s="29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5"/>
      <c r="N186" s="5"/>
    </row>
    <row r="187" spans="1:14">
      <c r="A187" s="5"/>
      <c r="B187" s="29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5"/>
      <c r="N187" s="5"/>
    </row>
    <row r="188" spans="1:14">
      <c r="A188" s="5"/>
      <c r="B188" s="29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5"/>
      <c r="N188" s="5"/>
    </row>
    <row r="189" spans="1:14">
      <c r="A189" s="5"/>
      <c r="B189" s="29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5"/>
      <c r="N189" s="5"/>
    </row>
    <row r="190" spans="1:14">
      <c r="A190" s="5"/>
      <c r="B190" s="29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5"/>
      <c r="N190" s="5"/>
    </row>
    <row r="191" spans="1:14">
      <c r="A191" s="5"/>
      <c r="B191" s="29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5"/>
      <c r="N191" s="5"/>
    </row>
    <row r="192" spans="1:14">
      <c r="A192" s="5"/>
    </row>
    <row r="201" spans="1:17"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24"/>
      <c r="N201" s="24"/>
      <c r="O201" s="24"/>
    </row>
    <row r="202" spans="1:17">
      <c r="A202" s="24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24"/>
      <c r="N202" s="24"/>
      <c r="O202" s="24"/>
      <c r="P202" s="24"/>
      <c r="Q202" s="24"/>
    </row>
    <row r="203" spans="1:17">
      <c r="A203" s="24"/>
      <c r="P203" s="24"/>
      <c r="Q203" s="24"/>
    </row>
    <row r="209" spans="2:12">
      <c r="B209" s="6" t="e">
        <f>IF(#REF! = "Sainte-Croix", CONCATENATE("Dès 2017, les résultats de l'accueil familial correspondent uniquement au réseau ", $A$34, "  Jusqu'en 2016, ils incluaient les trois autres réseaux gérés par la structure de coordination Yverdon les Bains et région."), "")</f>
        <v>#REF!</v>
      </c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2:12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</row>
    <row r="211" spans="2:12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</row>
    <row r="212" spans="2:12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</row>
    <row r="213" spans="2:12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</row>
    <row r="214" spans="2:12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</row>
    <row r="215" spans="2:12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</row>
    <row r="216" spans="2:12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</row>
    <row r="217" spans="2:12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2:12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2:12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</row>
  </sheetData>
  <mergeCells count="9">
    <mergeCell ref="B2:O2"/>
    <mergeCell ref="B4:O4"/>
    <mergeCell ref="B88:G88"/>
    <mergeCell ref="B95:G95"/>
    <mergeCell ref="B152:I153"/>
    <mergeCell ref="B11:G11"/>
    <mergeCell ref="B26:N26"/>
    <mergeCell ref="B13:O13"/>
    <mergeCell ref="B24:O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F32DE-DA1C-485E-BD26-2F56E99B9B6C}">
  <sheetPr codeName="Feuil15"/>
  <dimension ref="A1:B36"/>
  <sheetViews>
    <sheetView topLeftCell="A22" workbookViewId="0">
      <selection activeCell="B33" sqref="B33"/>
    </sheetView>
  </sheetViews>
  <sheetFormatPr baseColWidth="10" defaultRowHeight="12.75"/>
  <cols>
    <col min="1" max="1" width="22.85546875" style="191" bestFit="1" customWidth="1"/>
    <col min="2" max="2" width="16.85546875" bestFit="1" customWidth="1"/>
  </cols>
  <sheetData>
    <row r="1" spans="1:2">
      <c r="A1" s="191" t="s">
        <v>17</v>
      </c>
      <c r="B1" s="56" t="s">
        <v>77</v>
      </c>
    </row>
    <row r="2" spans="1:2">
      <c r="A2" s="192" t="s">
        <v>83</v>
      </c>
      <c r="B2" s="56"/>
    </row>
    <row r="3" spans="1:2">
      <c r="A3" s="191" t="s">
        <v>16</v>
      </c>
      <c r="B3" s="56"/>
    </row>
    <row r="4" spans="1:2">
      <c r="A4" s="191" t="s">
        <v>30</v>
      </c>
      <c r="B4" s="56"/>
    </row>
    <row r="5" spans="1:2">
      <c r="A5" s="191" t="s">
        <v>31</v>
      </c>
      <c r="B5" s="56"/>
    </row>
    <row r="6" spans="1:2">
      <c r="A6" s="191" t="s">
        <v>32</v>
      </c>
      <c r="B6" s="56"/>
    </row>
    <row r="7" spans="1:2">
      <c r="A7" s="191" t="s">
        <v>33</v>
      </c>
      <c r="B7" s="56"/>
    </row>
    <row r="8" spans="1:2">
      <c r="A8" s="192" t="s">
        <v>89</v>
      </c>
      <c r="B8" s="56" t="s">
        <v>95</v>
      </c>
    </row>
    <row r="9" spans="1:2">
      <c r="A9" s="191" t="s">
        <v>34</v>
      </c>
      <c r="B9" s="56"/>
    </row>
    <row r="10" spans="1:2">
      <c r="A10" s="191" t="s">
        <v>35</v>
      </c>
      <c r="B10" s="56"/>
    </row>
    <row r="11" spans="1:2">
      <c r="A11" s="191" t="s">
        <v>55</v>
      </c>
      <c r="B11" s="56"/>
    </row>
    <row r="12" spans="1:2">
      <c r="A12" s="191" t="s">
        <v>36</v>
      </c>
      <c r="B12" s="56"/>
    </row>
    <row r="13" spans="1:2" ht="15">
      <c r="A13" s="193" t="s">
        <v>56</v>
      </c>
      <c r="B13" s="56"/>
    </row>
    <row r="14" spans="1:2">
      <c r="A14" s="191" t="s">
        <v>57</v>
      </c>
      <c r="B14" s="56" t="s">
        <v>79</v>
      </c>
    </row>
    <row r="15" spans="1:2">
      <c r="A15" s="191" t="s">
        <v>58</v>
      </c>
      <c r="B15" s="62" t="s">
        <v>127</v>
      </c>
    </row>
    <row r="16" spans="1:2">
      <c r="A16" s="191" t="s">
        <v>37</v>
      </c>
      <c r="B16" s="56"/>
    </row>
    <row r="17" spans="1:2" ht="114.75">
      <c r="A17" s="191" t="s">
        <v>92</v>
      </c>
      <c r="B17" s="62" t="s">
        <v>147</v>
      </c>
    </row>
    <row r="18" spans="1:2">
      <c r="A18" s="191" t="s">
        <v>38</v>
      </c>
      <c r="B18" s="56"/>
    </row>
    <row r="19" spans="1:2">
      <c r="A19" s="191" t="s">
        <v>39</v>
      </c>
      <c r="B19" s="56"/>
    </row>
    <row r="20" spans="1:2">
      <c r="A20" s="191" t="s">
        <v>40</v>
      </c>
      <c r="B20" s="56"/>
    </row>
    <row r="21" spans="1:2">
      <c r="A21" s="191" t="s">
        <v>41</v>
      </c>
      <c r="B21" s="56"/>
    </row>
    <row r="22" spans="1:2">
      <c r="A22" s="191" t="s">
        <v>42</v>
      </c>
      <c r="B22" s="56"/>
    </row>
    <row r="23" spans="1:2">
      <c r="A23" s="191" t="s">
        <v>43</v>
      </c>
      <c r="B23" s="56"/>
    </row>
    <row r="24" spans="1:2">
      <c r="A24" s="191" t="s">
        <v>59</v>
      </c>
      <c r="B24" s="56" t="s">
        <v>78</v>
      </c>
    </row>
    <row r="25" spans="1:2">
      <c r="A25" s="191" t="s">
        <v>44</v>
      </c>
      <c r="B25" s="56"/>
    </row>
    <row r="26" spans="1:2">
      <c r="A26" s="191" t="s">
        <v>45</v>
      </c>
      <c r="B26" s="56"/>
    </row>
    <row r="27" spans="1:2">
      <c r="A27" s="191" t="s">
        <v>46</v>
      </c>
      <c r="B27" s="56"/>
    </row>
    <row r="28" spans="1:2">
      <c r="A28" s="191" t="s">
        <v>47</v>
      </c>
      <c r="B28" s="56"/>
    </row>
    <row r="29" spans="1:2">
      <c r="A29" s="191" t="s">
        <v>48</v>
      </c>
      <c r="B29" s="56"/>
    </row>
    <row r="30" spans="1:2">
      <c r="A30" s="191" t="s">
        <v>49</v>
      </c>
      <c r="B30" s="56"/>
    </row>
    <row r="31" spans="1:2">
      <c r="A31" s="191" t="s">
        <v>60</v>
      </c>
      <c r="B31" s="56" t="s">
        <v>78</v>
      </c>
    </row>
    <row r="32" spans="1:2">
      <c r="A32" s="191" t="s">
        <v>50</v>
      </c>
      <c r="B32" s="56"/>
    </row>
    <row r="33" spans="1:2" ht="102">
      <c r="A33" s="191" t="s">
        <v>51</v>
      </c>
      <c r="B33" s="62" t="s">
        <v>82</v>
      </c>
    </row>
    <row r="34" spans="1:2">
      <c r="A34" s="191" t="s">
        <v>52</v>
      </c>
      <c r="B34" s="56"/>
    </row>
    <row r="35" spans="1:2">
      <c r="A35" s="191" t="s">
        <v>53</v>
      </c>
      <c r="B35" s="56"/>
    </row>
    <row r="36" spans="1:2">
      <c r="A36" s="191" t="s">
        <v>84</v>
      </c>
      <c r="B36" s="56"/>
    </row>
  </sheetData>
  <autoFilter ref="A1:B36" xr:uid="{0F8F32DE-DA1C-485E-BD26-2F56E99B9B6C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A4776-06A9-4204-AD5C-39BB201A095E}">
  <sheetPr codeName="Feuil12"/>
  <dimension ref="A1:P40"/>
  <sheetViews>
    <sheetView workbookViewId="0">
      <selection activeCell="F13" sqref="F13"/>
    </sheetView>
  </sheetViews>
  <sheetFormatPr baseColWidth="10" defaultRowHeight="15"/>
  <cols>
    <col min="1" max="1" width="23" style="43" bestFit="1" customWidth="1"/>
    <col min="2" max="16384" width="11.42578125" style="43"/>
  </cols>
  <sheetData>
    <row r="1" spans="1:16" s="42" customFormat="1" ht="57" customHeight="1"/>
    <row r="2" spans="1:16" s="42" customFormat="1" ht="16.5"/>
    <row r="3" spans="1:16" s="42" customFormat="1" ht="33.950000000000003" customHeight="1">
      <c r="A3" s="371" t="s">
        <v>61</v>
      </c>
      <c r="B3" s="371"/>
      <c r="C3" s="371"/>
      <c r="D3" s="371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194" t="s">
        <v>54</v>
      </c>
      <c r="B5" s="195">
        <v>2010</v>
      </c>
      <c r="C5" s="196">
        <v>2011</v>
      </c>
      <c r="D5" s="196">
        <v>2012</v>
      </c>
      <c r="E5" s="196">
        <v>2013</v>
      </c>
      <c r="F5" s="196">
        <v>2014</v>
      </c>
      <c r="G5" s="196">
        <v>2015</v>
      </c>
      <c r="H5" s="196">
        <v>2016</v>
      </c>
      <c r="I5" s="196">
        <v>2017</v>
      </c>
      <c r="J5" s="196">
        <v>2018</v>
      </c>
      <c r="K5" s="196">
        <v>2019</v>
      </c>
      <c r="L5" s="196">
        <v>2020</v>
      </c>
      <c r="M5" s="196">
        <v>2021</v>
      </c>
      <c r="N5" s="196">
        <v>2022</v>
      </c>
      <c r="O5" s="196">
        <v>2023</v>
      </c>
      <c r="P5" s="196">
        <v>2024</v>
      </c>
    </row>
    <row r="6" spans="1:16">
      <c r="A6" s="43" t="s">
        <v>16</v>
      </c>
      <c r="B6" s="197">
        <v>180</v>
      </c>
      <c r="C6" s="198">
        <v>214</v>
      </c>
      <c r="D6" s="198">
        <v>265</v>
      </c>
      <c r="E6" s="198">
        <v>269</v>
      </c>
      <c r="F6" s="198">
        <v>305</v>
      </c>
      <c r="G6" s="198">
        <v>394</v>
      </c>
      <c r="H6" s="198">
        <v>406</v>
      </c>
      <c r="I6" s="198">
        <v>416</v>
      </c>
      <c r="J6" s="198"/>
      <c r="K6" s="198">
        <v>416</v>
      </c>
      <c r="L6" s="198">
        <v>426</v>
      </c>
      <c r="M6" s="198">
        <v>438</v>
      </c>
      <c r="N6" s="198">
        <v>438</v>
      </c>
      <c r="O6" s="198">
        <v>516</v>
      </c>
      <c r="P6" s="198">
        <v>566</v>
      </c>
    </row>
    <row r="7" spans="1:16">
      <c r="A7" s="43" t="s">
        <v>30</v>
      </c>
      <c r="B7" s="197">
        <v>103</v>
      </c>
      <c r="C7" s="198">
        <v>84</v>
      </c>
      <c r="D7" s="198">
        <v>84</v>
      </c>
      <c r="E7" s="198">
        <v>84</v>
      </c>
      <c r="F7" s="198">
        <v>108</v>
      </c>
      <c r="G7" s="198">
        <v>108</v>
      </c>
      <c r="H7" s="198">
        <v>143</v>
      </c>
      <c r="I7" s="198">
        <v>156</v>
      </c>
      <c r="J7" s="198"/>
      <c r="K7" s="198">
        <v>202</v>
      </c>
      <c r="L7" s="198">
        <v>201</v>
      </c>
      <c r="M7" s="198">
        <v>203</v>
      </c>
      <c r="N7" s="198">
        <v>203</v>
      </c>
      <c r="O7" s="198">
        <v>203</v>
      </c>
      <c r="P7" s="198">
        <v>215</v>
      </c>
    </row>
    <row r="8" spans="1:16">
      <c r="A8" s="43" t="s">
        <v>31</v>
      </c>
      <c r="B8" s="197">
        <v>88</v>
      </c>
      <c r="C8" s="198">
        <v>88</v>
      </c>
      <c r="D8" s="198">
        <v>110</v>
      </c>
      <c r="E8" s="198">
        <v>132</v>
      </c>
      <c r="F8" s="198">
        <v>142</v>
      </c>
      <c r="G8" s="198">
        <v>142</v>
      </c>
      <c r="H8" s="198">
        <v>142</v>
      </c>
      <c r="I8" s="198">
        <v>164</v>
      </c>
      <c r="J8" s="198"/>
      <c r="K8" s="198">
        <v>164</v>
      </c>
      <c r="L8" s="198">
        <v>208</v>
      </c>
      <c r="M8" s="198">
        <v>230</v>
      </c>
      <c r="N8" s="198">
        <v>230</v>
      </c>
      <c r="O8" s="198">
        <v>252</v>
      </c>
      <c r="P8" s="198">
        <v>296</v>
      </c>
    </row>
    <row r="9" spans="1:16">
      <c r="A9" s="43" t="s">
        <v>32</v>
      </c>
      <c r="B9" s="197">
        <v>82</v>
      </c>
      <c r="C9" s="198">
        <v>132</v>
      </c>
      <c r="D9" s="198">
        <v>144</v>
      </c>
      <c r="E9" s="198">
        <v>154</v>
      </c>
      <c r="F9" s="198">
        <v>144</v>
      </c>
      <c r="G9" s="198">
        <v>154</v>
      </c>
      <c r="H9" s="198">
        <v>154</v>
      </c>
      <c r="I9" s="198">
        <v>154</v>
      </c>
      <c r="J9" s="198"/>
      <c r="K9" s="198">
        <v>154</v>
      </c>
      <c r="L9" s="198">
        <v>154</v>
      </c>
      <c r="M9" s="198">
        <v>154</v>
      </c>
      <c r="N9" s="198">
        <v>154</v>
      </c>
      <c r="O9" s="198">
        <v>154</v>
      </c>
      <c r="P9" s="198">
        <v>176</v>
      </c>
    </row>
    <row r="10" spans="1:16">
      <c r="A10" s="43" t="s">
        <v>33</v>
      </c>
      <c r="B10" s="197">
        <v>138</v>
      </c>
      <c r="C10" s="198">
        <v>139</v>
      </c>
      <c r="D10" s="198">
        <v>184</v>
      </c>
      <c r="E10" s="198">
        <v>184</v>
      </c>
      <c r="F10" s="198">
        <v>203</v>
      </c>
      <c r="G10" s="198">
        <v>203</v>
      </c>
      <c r="H10" s="198">
        <v>199</v>
      </c>
      <c r="I10" s="198">
        <v>207</v>
      </c>
      <c r="J10" s="198"/>
      <c r="K10" s="198">
        <v>209</v>
      </c>
      <c r="L10" s="198">
        <v>197</v>
      </c>
      <c r="M10" s="198">
        <v>246</v>
      </c>
      <c r="N10" s="198">
        <v>247</v>
      </c>
      <c r="O10" s="198">
        <v>247</v>
      </c>
      <c r="P10" s="198">
        <v>261</v>
      </c>
    </row>
    <row r="11" spans="1:16">
      <c r="A11" s="43" t="s">
        <v>34</v>
      </c>
      <c r="B11" s="197">
        <v>109</v>
      </c>
      <c r="C11" s="199">
        <v>176</v>
      </c>
      <c r="D11" s="199">
        <v>176</v>
      </c>
      <c r="E11" s="199">
        <v>196</v>
      </c>
      <c r="F11" s="199">
        <v>203</v>
      </c>
      <c r="G11" s="199">
        <v>230</v>
      </c>
      <c r="H11" s="199">
        <v>228</v>
      </c>
      <c r="I11" s="199">
        <v>252</v>
      </c>
      <c r="J11" s="199"/>
      <c r="K11" s="198">
        <v>254</v>
      </c>
      <c r="L11" s="198">
        <v>250</v>
      </c>
      <c r="M11" s="198">
        <v>264</v>
      </c>
      <c r="N11" s="198">
        <v>291</v>
      </c>
      <c r="O11" s="198">
        <v>226</v>
      </c>
      <c r="P11" s="198">
        <v>242</v>
      </c>
    </row>
    <row r="12" spans="1:16">
      <c r="A12" s="43" t="s">
        <v>89</v>
      </c>
      <c r="B12" s="197">
        <v>66</v>
      </c>
      <c r="C12" s="199">
        <v>66</v>
      </c>
      <c r="D12" s="199">
        <v>66</v>
      </c>
      <c r="E12" s="199">
        <v>66</v>
      </c>
      <c r="F12" s="199">
        <v>66</v>
      </c>
      <c r="G12" s="199">
        <v>66</v>
      </c>
      <c r="H12" s="199">
        <v>66</v>
      </c>
      <c r="I12" s="199">
        <v>88</v>
      </c>
      <c r="J12" s="199"/>
      <c r="K12" s="198">
        <v>132</v>
      </c>
      <c r="L12" s="198">
        <v>132</v>
      </c>
      <c r="M12" s="198">
        <v>126</v>
      </c>
      <c r="N12" s="198">
        <v>144</v>
      </c>
      <c r="O12" s="198">
        <v>188</v>
      </c>
      <c r="P12" s="198">
        <v>188</v>
      </c>
    </row>
    <row r="13" spans="1:16">
      <c r="A13" s="43" t="s">
        <v>35</v>
      </c>
      <c r="B13" s="197">
        <v>64</v>
      </c>
      <c r="C13" s="199">
        <v>64</v>
      </c>
      <c r="D13" s="199">
        <v>64</v>
      </c>
      <c r="E13" s="199">
        <v>66</v>
      </c>
      <c r="F13" s="199">
        <v>66</v>
      </c>
      <c r="G13" s="199">
        <v>93</v>
      </c>
      <c r="H13" s="199">
        <v>132</v>
      </c>
      <c r="I13" s="199">
        <v>132</v>
      </c>
      <c r="J13" s="199"/>
      <c r="K13" s="198">
        <v>132</v>
      </c>
      <c r="L13" s="198">
        <v>132</v>
      </c>
      <c r="M13" s="198">
        <v>132</v>
      </c>
      <c r="N13" s="198">
        <v>142</v>
      </c>
      <c r="O13" s="198">
        <v>142</v>
      </c>
      <c r="P13" s="198">
        <v>142</v>
      </c>
    </row>
    <row r="14" spans="1:16">
      <c r="A14" s="43" t="s">
        <v>55</v>
      </c>
      <c r="B14" s="197">
        <v>89</v>
      </c>
      <c r="C14" s="199">
        <v>107</v>
      </c>
      <c r="D14" s="199">
        <v>104</v>
      </c>
      <c r="E14" s="199">
        <v>110</v>
      </c>
      <c r="F14" s="199">
        <v>132</v>
      </c>
      <c r="G14" s="199">
        <v>134</v>
      </c>
      <c r="H14" s="199">
        <v>156</v>
      </c>
      <c r="I14" s="199">
        <v>156</v>
      </c>
      <c r="J14" s="199"/>
      <c r="K14" s="198">
        <v>200</v>
      </c>
      <c r="L14" s="198">
        <v>212</v>
      </c>
      <c r="M14" s="198">
        <v>178</v>
      </c>
      <c r="N14" s="198">
        <v>178</v>
      </c>
      <c r="O14" s="198">
        <v>188</v>
      </c>
      <c r="P14" s="198">
        <v>178</v>
      </c>
    </row>
    <row r="15" spans="1:16">
      <c r="A15" s="43" t="s">
        <v>36</v>
      </c>
      <c r="B15" s="197">
        <v>81</v>
      </c>
      <c r="C15" s="198">
        <v>94</v>
      </c>
      <c r="D15" s="198">
        <v>94</v>
      </c>
      <c r="E15" s="198">
        <v>94</v>
      </c>
      <c r="F15" s="198">
        <v>94</v>
      </c>
      <c r="G15" s="198">
        <v>109</v>
      </c>
      <c r="H15" s="198">
        <v>116</v>
      </c>
      <c r="I15" s="198">
        <v>133</v>
      </c>
      <c r="J15" s="198"/>
      <c r="K15" s="198">
        <v>133</v>
      </c>
      <c r="L15" s="198">
        <v>132</v>
      </c>
      <c r="M15" s="198">
        <v>132</v>
      </c>
      <c r="N15" s="198">
        <v>132</v>
      </c>
      <c r="O15" s="198">
        <v>154</v>
      </c>
      <c r="P15" s="198">
        <v>144</v>
      </c>
    </row>
    <row r="16" spans="1:16">
      <c r="A16" s="43" t="s">
        <v>56</v>
      </c>
      <c r="B16" s="197">
        <v>9</v>
      </c>
      <c r="C16" s="198">
        <v>10</v>
      </c>
      <c r="D16" s="198">
        <v>11</v>
      </c>
      <c r="E16" s="198">
        <v>9</v>
      </c>
      <c r="F16" s="198">
        <v>10</v>
      </c>
      <c r="G16" s="198">
        <v>15</v>
      </c>
      <c r="H16" s="198">
        <v>16</v>
      </c>
      <c r="I16" s="198">
        <v>20</v>
      </c>
      <c r="J16" s="198"/>
      <c r="K16" s="198">
        <v>15</v>
      </c>
      <c r="L16" s="198">
        <v>15</v>
      </c>
      <c r="M16" s="198">
        <v>15</v>
      </c>
      <c r="N16" s="198">
        <v>15</v>
      </c>
      <c r="O16" s="198">
        <v>15</v>
      </c>
      <c r="P16" s="198">
        <v>15</v>
      </c>
    </row>
    <row r="17" spans="1:16">
      <c r="A17" s="43" t="s">
        <v>57</v>
      </c>
      <c r="B17" s="200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8">
        <v>44</v>
      </c>
      <c r="N17" s="198">
        <v>44</v>
      </c>
      <c r="O17" s="198">
        <v>83</v>
      </c>
      <c r="P17" s="198">
        <v>73</v>
      </c>
    </row>
    <row r="18" spans="1:16">
      <c r="A18" s="43" t="s">
        <v>58</v>
      </c>
      <c r="B18" s="200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>
        <v>66</v>
      </c>
      <c r="P18" s="198">
        <v>66</v>
      </c>
    </row>
    <row r="19" spans="1:16">
      <c r="A19" s="43" t="s">
        <v>37</v>
      </c>
      <c r="B19" s="197">
        <v>46</v>
      </c>
      <c r="C19" s="198">
        <v>46</v>
      </c>
      <c r="D19" s="198">
        <v>44</v>
      </c>
      <c r="E19" s="198">
        <v>44</v>
      </c>
      <c r="F19" s="198">
        <v>44</v>
      </c>
      <c r="G19" s="198">
        <v>44</v>
      </c>
      <c r="H19" s="198">
        <v>66</v>
      </c>
      <c r="I19" s="198">
        <v>66</v>
      </c>
      <c r="J19" s="198"/>
      <c r="K19" s="198">
        <v>66</v>
      </c>
      <c r="L19" s="198">
        <v>68</v>
      </c>
      <c r="M19" s="198">
        <v>68</v>
      </c>
      <c r="N19" s="198">
        <v>68</v>
      </c>
      <c r="O19" s="198">
        <v>68</v>
      </c>
      <c r="P19" s="198">
        <v>68</v>
      </c>
    </row>
    <row r="20" spans="1:16">
      <c r="A20" s="43" t="s">
        <v>38</v>
      </c>
      <c r="B20" s="197">
        <v>23</v>
      </c>
      <c r="C20" s="198">
        <v>22</v>
      </c>
      <c r="D20" s="198">
        <v>36</v>
      </c>
      <c r="E20" s="198">
        <v>39</v>
      </c>
      <c r="F20" s="198">
        <v>39</v>
      </c>
      <c r="G20" s="198">
        <v>56</v>
      </c>
      <c r="H20" s="198">
        <v>78</v>
      </c>
      <c r="I20" s="198">
        <v>78</v>
      </c>
      <c r="J20" s="198"/>
      <c r="K20" s="198">
        <v>117</v>
      </c>
      <c r="L20" s="198">
        <v>124</v>
      </c>
      <c r="M20" s="198">
        <v>127</v>
      </c>
      <c r="N20" s="198">
        <v>129</v>
      </c>
      <c r="O20" s="198">
        <v>131</v>
      </c>
      <c r="P20" s="198">
        <v>131</v>
      </c>
    </row>
    <row r="21" spans="1:16">
      <c r="A21" s="43" t="s">
        <v>39</v>
      </c>
      <c r="B21" s="197">
        <v>44</v>
      </c>
      <c r="C21" s="198">
        <v>44</v>
      </c>
      <c r="D21" s="198">
        <v>44</v>
      </c>
      <c r="E21" s="198">
        <v>44</v>
      </c>
      <c r="F21" s="198">
        <v>44</v>
      </c>
      <c r="G21" s="198">
        <v>44</v>
      </c>
      <c r="H21" s="198">
        <v>78</v>
      </c>
      <c r="I21" s="198">
        <v>88</v>
      </c>
      <c r="J21" s="198"/>
      <c r="K21" s="198">
        <v>105</v>
      </c>
      <c r="L21" s="198">
        <v>115</v>
      </c>
      <c r="M21" s="198">
        <v>159</v>
      </c>
      <c r="N21" s="198">
        <v>198</v>
      </c>
      <c r="O21" s="198">
        <v>222</v>
      </c>
      <c r="P21" s="198">
        <v>237</v>
      </c>
    </row>
    <row r="22" spans="1:16">
      <c r="A22" s="43" t="s">
        <v>40</v>
      </c>
      <c r="B22" s="197">
        <v>27</v>
      </c>
      <c r="C22" s="198">
        <v>44</v>
      </c>
      <c r="D22" s="198">
        <v>44</v>
      </c>
      <c r="E22" s="198">
        <v>44</v>
      </c>
      <c r="F22" s="198">
        <v>54</v>
      </c>
      <c r="G22" s="198">
        <v>49</v>
      </c>
      <c r="H22" s="198">
        <v>56</v>
      </c>
      <c r="I22" s="198">
        <v>56</v>
      </c>
      <c r="J22" s="198"/>
      <c r="K22" s="198">
        <v>66</v>
      </c>
      <c r="L22" s="198">
        <v>66</v>
      </c>
      <c r="M22" s="198">
        <v>52</v>
      </c>
      <c r="N22" s="198">
        <v>52</v>
      </c>
      <c r="O22" s="198">
        <v>66</v>
      </c>
      <c r="P22" s="198">
        <v>58</v>
      </c>
    </row>
    <row r="23" spans="1:16">
      <c r="A23" s="43" t="s">
        <v>41</v>
      </c>
      <c r="B23" s="197">
        <v>135</v>
      </c>
      <c r="C23" s="198">
        <v>135</v>
      </c>
      <c r="D23" s="198">
        <v>158</v>
      </c>
      <c r="E23" s="198">
        <v>182</v>
      </c>
      <c r="F23" s="198">
        <v>192</v>
      </c>
      <c r="G23" s="198">
        <v>202</v>
      </c>
      <c r="H23" s="198">
        <v>202</v>
      </c>
      <c r="I23" s="198">
        <v>242</v>
      </c>
      <c r="J23" s="198"/>
      <c r="K23" s="198">
        <v>299</v>
      </c>
      <c r="L23" s="198">
        <v>328</v>
      </c>
      <c r="M23" s="198">
        <v>365</v>
      </c>
      <c r="N23" s="198">
        <v>385</v>
      </c>
      <c r="O23" s="198">
        <v>409</v>
      </c>
      <c r="P23" s="198">
        <v>385</v>
      </c>
    </row>
    <row r="24" spans="1:16">
      <c r="A24" s="43" t="s">
        <v>42</v>
      </c>
      <c r="B24" s="197">
        <v>144</v>
      </c>
      <c r="C24" s="198">
        <v>144</v>
      </c>
      <c r="D24" s="198">
        <v>144</v>
      </c>
      <c r="E24" s="198">
        <v>144</v>
      </c>
      <c r="F24" s="198">
        <v>178</v>
      </c>
      <c r="G24" s="198">
        <v>188</v>
      </c>
      <c r="H24" s="198">
        <v>218</v>
      </c>
      <c r="I24" s="198">
        <v>230</v>
      </c>
      <c r="J24" s="198"/>
      <c r="K24" s="198">
        <v>291</v>
      </c>
      <c r="L24" s="198">
        <v>313</v>
      </c>
      <c r="M24" s="198">
        <v>328</v>
      </c>
      <c r="N24" s="198">
        <v>335</v>
      </c>
      <c r="O24" s="198">
        <v>372</v>
      </c>
      <c r="P24" s="198">
        <v>389</v>
      </c>
    </row>
    <row r="25" spans="1:16">
      <c r="A25" s="43" t="s">
        <v>43</v>
      </c>
      <c r="B25" s="197">
        <v>60</v>
      </c>
      <c r="C25" s="198">
        <v>60</v>
      </c>
      <c r="D25" s="198">
        <v>126</v>
      </c>
      <c r="E25" s="198">
        <v>123</v>
      </c>
      <c r="F25" s="198">
        <v>123</v>
      </c>
      <c r="G25" s="198">
        <v>127</v>
      </c>
      <c r="H25" s="198">
        <v>139</v>
      </c>
      <c r="I25" s="198">
        <v>140</v>
      </c>
      <c r="J25" s="198"/>
      <c r="K25" s="198">
        <v>140</v>
      </c>
      <c r="L25" s="198">
        <v>140</v>
      </c>
      <c r="M25" s="198">
        <v>140</v>
      </c>
      <c r="N25" s="198">
        <v>137</v>
      </c>
      <c r="O25" s="198">
        <v>138</v>
      </c>
      <c r="P25" s="198">
        <v>137</v>
      </c>
    </row>
    <row r="26" spans="1:16">
      <c r="A26" s="43" t="s">
        <v>59</v>
      </c>
      <c r="B26" s="200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8">
        <v>196</v>
      </c>
      <c r="O26" s="198">
        <v>240</v>
      </c>
      <c r="P26" s="198">
        <v>280</v>
      </c>
    </row>
    <row r="27" spans="1:16">
      <c r="A27" s="43" t="s">
        <v>44</v>
      </c>
      <c r="B27" s="197">
        <v>232</v>
      </c>
      <c r="C27" s="198">
        <v>265</v>
      </c>
      <c r="D27" s="198">
        <v>250</v>
      </c>
      <c r="E27" s="198">
        <v>298</v>
      </c>
      <c r="F27" s="198">
        <v>382</v>
      </c>
      <c r="G27" s="198">
        <v>358</v>
      </c>
      <c r="H27" s="198">
        <v>394</v>
      </c>
      <c r="I27" s="198">
        <v>409</v>
      </c>
      <c r="J27" s="198"/>
      <c r="K27" s="198">
        <v>476</v>
      </c>
      <c r="L27" s="198">
        <v>462</v>
      </c>
      <c r="M27" s="198">
        <v>479</v>
      </c>
      <c r="N27" s="198">
        <v>513</v>
      </c>
      <c r="O27" s="198">
        <v>530</v>
      </c>
      <c r="P27" s="198">
        <v>522</v>
      </c>
    </row>
    <row r="28" spans="1:16">
      <c r="A28" s="43" t="s">
        <v>45</v>
      </c>
      <c r="B28" s="197">
        <v>160</v>
      </c>
      <c r="C28" s="198">
        <v>182</v>
      </c>
      <c r="D28" s="198">
        <v>187</v>
      </c>
      <c r="E28" s="198">
        <v>187</v>
      </c>
      <c r="F28" s="198">
        <v>187</v>
      </c>
      <c r="G28" s="198">
        <v>209</v>
      </c>
      <c r="H28" s="198">
        <v>232</v>
      </c>
      <c r="I28" s="198">
        <v>234</v>
      </c>
      <c r="J28" s="198"/>
      <c r="K28" s="198">
        <v>234</v>
      </c>
      <c r="L28" s="198">
        <v>232</v>
      </c>
      <c r="M28" s="198">
        <v>285</v>
      </c>
      <c r="N28" s="198">
        <v>287</v>
      </c>
      <c r="O28" s="198">
        <v>331</v>
      </c>
      <c r="P28" s="198">
        <v>347</v>
      </c>
    </row>
    <row r="29" spans="1:16">
      <c r="A29" s="43" t="s">
        <v>46</v>
      </c>
      <c r="B29" s="197">
        <v>37</v>
      </c>
      <c r="C29" s="198">
        <v>44</v>
      </c>
      <c r="D29" s="198">
        <v>44</v>
      </c>
      <c r="E29" s="198">
        <v>66</v>
      </c>
      <c r="F29" s="198">
        <v>86</v>
      </c>
      <c r="G29" s="198">
        <v>81</v>
      </c>
      <c r="H29" s="198">
        <v>81</v>
      </c>
      <c r="I29" s="198">
        <v>88</v>
      </c>
      <c r="J29" s="198"/>
      <c r="K29" s="198">
        <v>88</v>
      </c>
      <c r="L29" s="198">
        <v>88</v>
      </c>
      <c r="M29" s="198">
        <v>88</v>
      </c>
      <c r="N29" s="198">
        <v>87</v>
      </c>
      <c r="O29" s="198">
        <v>88</v>
      </c>
      <c r="P29" s="198">
        <v>83</v>
      </c>
    </row>
    <row r="30" spans="1:16">
      <c r="A30" s="43" t="s">
        <v>47</v>
      </c>
      <c r="B30" s="197">
        <v>201</v>
      </c>
      <c r="C30" s="198">
        <v>208</v>
      </c>
      <c r="D30" s="198">
        <v>233</v>
      </c>
      <c r="E30" s="198">
        <v>229</v>
      </c>
      <c r="F30" s="198">
        <v>228</v>
      </c>
      <c r="G30" s="198">
        <v>231</v>
      </c>
      <c r="H30" s="198">
        <v>231</v>
      </c>
      <c r="I30" s="198">
        <v>233</v>
      </c>
      <c r="J30" s="198"/>
      <c r="K30" s="198">
        <v>232</v>
      </c>
      <c r="L30" s="198">
        <v>232</v>
      </c>
      <c r="M30" s="198">
        <v>244</v>
      </c>
      <c r="N30" s="198">
        <v>249</v>
      </c>
      <c r="O30" s="198">
        <v>244</v>
      </c>
      <c r="P30" s="198">
        <v>244</v>
      </c>
    </row>
    <row r="31" spans="1:16">
      <c r="A31" s="43" t="s">
        <v>48</v>
      </c>
      <c r="B31" s="197">
        <v>131</v>
      </c>
      <c r="C31" s="198">
        <v>131</v>
      </c>
      <c r="D31" s="198">
        <v>128</v>
      </c>
      <c r="E31" s="198">
        <v>122</v>
      </c>
      <c r="F31" s="198">
        <v>138</v>
      </c>
      <c r="G31" s="198">
        <v>141</v>
      </c>
      <c r="H31" s="198">
        <v>145</v>
      </c>
      <c r="I31" s="198">
        <v>155</v>
      </c>
      <c r="J31" s="198"/>
      <c r="K31" s="198">
        <v>191</v>
      </c>
      <c r="L31" s="198">
        <v>203</v>
      </c>
      <c r="M31" s="198">
        <v>203</v>
      </c>
      <c r="N31" s="198">
        <v>205</v>
      </c>
      <c r="O31" s="198">
        <v>242</v>
      </c>
      <c r="P31" s="198">
        <v>219</v>
      </c>
    </row>
    <row r="32" spans="1:16">
      <c r="A32" s="43" t="s">
        <v>49</v>
      </c>
      <c r="B32" s="197">
        <v>147</v>
      </c>
      <c r="C32" s="198">
        <v>164</v>
      </c>
      <c r="D32" s="198">
        <v>165</v>
      </c>
      <c r="E32" s="198">
        <v>166</v>
      </c>
      <c r="F32" s="198">
        <v>196</v>
      </c>
      <c r="G32" s="198">
        <v>208</v>
      </c>
      <c r="H32" s="198">
        <v>211</v>
      </c>
      <c r="I32" s="198">
        <v>208</v>
      </c>
      <c r="J32" s="198"/>
      <c r="K32" s="198">
        <v>218</v>
      </c>
      <c r="L32" s="198">
        <v>235</v>
      </c>
      <c r="M32" s="198">
        <v>233</v>
      </c>
      <c r="N32" s="198">
        <v>269</v>
      </c>
      <c r="O32" s="198">
        <v>284</v>
      </c>
      <c r="P32" s="198">
        <v>297</v>
      </c>
    </row>
    <row r="33" spans="1:16" ht="16.5">
      <c r="A33" s="57" t="s">
        <v>92</v>
      </c>
      <c r="B33" s="200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8">
        <v>22</v>
      </c>
      <c r="N33" s="198">
        <v>22</v>
      </c>
      <c r="O33" s="198">
        <v>22</v>
      </c>
      <c r="P33" s="198">
        <v>22</v>
      </c>
    </row>
    <row r="34" spans="1:16">
      <c r="A34" s="43" t="s">
        <v>60</v>
      </c>
      <c r="B34" s="200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8">
        <v>271</v>
      </c>
      <c r="O34" s="198">
        <v>264</v>
      </c>
      <c r="P34" s="198">
        <v>255</v>
      </c>
    </row>
    <row r="35" spans="1:16">
      <c r="A35" s="43" t="s">
        <v>50</v>
      </c>
      <c r="B35" s="197">
        <v>1935</v>
      </c>
      <c r="C35" s="198">
        <v>2006</v>
      </c>
      <c r="D35" s="198">
        <v>2089</v>
      </c>
      <c r="E35" s="198">
        <v>2218</v>
      </c>
      <c r="F35" s="198">
        <v>2389</v>
      </c>
      <c r="G35" s="198">
        <v>2426</v>
      </c>
      <c r="H35" s="198">
        <v>2538</v>
      </c>
      <c r="I35" s="198">
        <v>2624</v>
      </c>
      <c r="J35" s="198"/>
      <c r="K35" s="198">
        <v>2737</v>
      </c>
      <c r="L35" s="198">
        <v>2775</v>
      </c>
      <c r="M35" s="198">
        <v>2778</v>
      </c>
      <c r="N35" s="198">
        <v>2856</v>
      </c>
      <c r="O35" s="198">
        <v>2807</v>
      </c>
      <c r="P35" s="198">
        <v>2899</v>
      </c>
    </row>
    <row r="36" spans="1:16">
      <c r="A36" s="43" t="s">
        <v>51</v>
      </c>
      <c r="B36" s="197">
        <v>409</v>
      </c>
      <c r="C36" s="198">
        <v>414</v>
      </c>
      <c r="D36" s="198">
        <v>424</v>
      </c>
      <c r="E36" s="198">
        <v>447</v>
      </c>
      <c r="F36" s="198">
        <v>447</v>
      </c>
      <c r="G36" s="198">
        <v>491</v>
      </c>
      <c r="H36" s="198">
        <v>487</v>
      </c>
      <c r="I36" s="198">
        <v>491</v>
      </c>
      <c r="J36" s="198"/>
      <c r="K36" s="198">
        <v>462</v>
      </c>
      <c r="L36" s="198">
        <v>462</v>
      </c>
      <c r="M36" s="198">
        <v>460</v>
      </c>
      <c r="N36" s="199"/>
      <c r="O36" s="199"/>
      <c r="P36" s="198"/>
    </row>
    <row r="37" spans="1:16">
      <c r="A37" s="43" t="s">
        <v>52</v>
      </c>
      <c r="B37" s="197">
        <v>14</v>
      </c>
      <c r="C37" s="198">
        <v>22</v>
      </c>
      <c r="D37" s="198">
        <v>22</v>
      </c>
      <c r="E37" s="198">
        <v>22</v>
      </c>
      <c r="F37" s="198">
        <v>37</v>
      </c>
      <c r="G37" s="198">
        <v>44</v>
      </c>
      <c r="H37" s="198">
        <v>44</v>
      </c>
      <c r="I37" s="198">
        <v>44</v>
      </c>
      <c r="J37" s="198"/>
      <c r="K37" s="198">
        <v>44</v>
      </c>
      <c r="L37" s="198">
        <v>44</v>
      </c>
      <c r="M37" s="198">
        <v>44</v>
      </c>
      <c r="N37" s="198">
        <v>44</v>
      </c>
      <c r="O37" s="198">
        <v>66</v>
      </c>
      <c r="P37" s="198">
        <v>66</v>
      </c>
    </row>
    <row r="38" spans="1:16">
      <c r="A38" s="43" t="s">
        <v>53</v>
      </c>
      <c r="B38" s="201">
        <v>15</v>
      </c>
      <c r="C38" s="202">
        <v>11</v>
      </c>
      <c r="D38" s="202">
        <v>15</v>
      </c>
      <c r="E38" s="202">
        <v>15</v>
      </c>
      <c r="F38" s="202">
        <v>15</v>
      </c>
      <c r="G38" s="202">
        <v>15</v>
      </c>
      <c r="H38" s="202">
        <v>15</v>
      </c>
      <c r="I38" s="202">
        <v>32</v>
      </c>
      <c r="J38" s="202"/>
      <c r="K38" s="202">
        <v>32</v>
      </c>
      <c r="L38" s="202">
        <v>32</v>
      </c>
      <c r="M38" s="202">
        <v>32</v>
      </c>
      <c r="N38" s="202">
        <v>32</v>
      </c>
      <c r="O38" s="202">
        <v>32</v>
      </c>
      <c r="P38" s="198">
        <v>32</v>
      </c>
    </row>
    <row r="39" spans="1:16" ht="15.75" thickBot="1">
      <c r="A39" s="43" t="s">
        <v>84</v>
      </c>
      <c r="B39" s="200">
        <v>130</v>
      </c>
      <c r="C39" s="199">
        <v>155</v>
      </c>
      <c r="D39" s="199">
        <v>192</v>
      </c>
      <c r="E39" s="199">
        <v>205</v>
      </c>
      <c r="F39" s="199">
        <v>283</v>
      </c>
      <c r="G39" s="199">
        <v>302</v>
      </c>
      <c r="H39" s="199">
        <v>310</v>
      </c>
      <c r="I39" s="199">
        <v>313</v>
      </c>
      <c r="J39" s="199"/>
      <c r="K39" s="199">
        <v>323</v>
      </c>
      <c r="L39" s="199">
        <v>339</v>
      </c>
      <c r="M39" s="199">
        <v>359</v>
      </c>
      <c r="N39" s="199">
        <v>365</v>
      </c>
      <c r="O39" s="199">
        <v>501</v>
      </c>
      <c r="P39" s="198">
        <v>501</v>
      </c>
    </row>
    <row r="40" spans="1:16" s="44" customFormat="1" ht="15.75" thickTop="1">
      <c r="A40" s="203" t="s">
        <v>83</v>
      </c>
      <c r="B40" s="204">
        <v>4899</v>
      </c>
      <c r="C40" s="98">
        <v>5271</v>
      </c>
      <c r="D40" s="98">
        <v>5647</v>
      </c>
      <c r="E40" s="98">
        <v>5959</v>
      </c>
      <c r="F40" s="98">
        <v>6535</v>
      </c>
      <c r="G40" s="98">
        <v>6864</v>
      </c>
      <c r="H40" s="98">
        <v>7283</v>
      </c>
      <c r="I40" s="98">
        <v>7609</v>
      </c>
      <c r="J40" s="98"/>
      <c r="K40" s="98">
        <v>8132</v>
      </c>
      <c r="L40" s="98">
        <v>8317</v>
      </c>
      <c r="M40" s="98">
        <v>8628</v>
      </c>
      <c r="N40" s="98">
        <v>8918</v>
      </c>
      <c r="O40" s="98">
        <v>9491</v>
      </c>
      <c r="P40" s="98">
        <v>9734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021D-4842-473A-926A-48FF1BFF54BB}">
  <sheetPr codeName="Feuil13"/>
  <dimension ref="A1:P40"/>
  <sheetViews>
    <sheetView topLeftCell="A3" workbookViewId="0">
      <selection activeCell="A40" sqref="A40"/>
    </sheetView>
  </sheetViews>
  <sheetFormatPr baseColWidth="10" defaultRowHeight="15"/>
  <cols>
    <col min="1" max="1" width="23" style="43" bestFit="1" customWidth="1"/>
    <col min="2" max="13" width="8" style="43" customWidth="1"/>
    <col min="14" max="14" width="7.28515625" style="43" bestFit="1" customWidth="1"/>
    <col min="15" max="15" width="5.5703125" style="100" bestFit="1" customWidth="1"/>
    <col min="16" max="16384" width="11.42578125" style="43"/>
  </cols>
  <sheetData>
    <row r="1" spans="1:16" s="42" customFormat="1" ht="57" customHeight="1">
      <c r="O1" s="99"/>
    </row>
    <row r="2" spans="1:16" s="42" customFormat="1" ht="16.5">
      <c r="O2" s="99"/>
    </row>
    <row r="3" spans="1:16" s="42" customFormat="1" ht="33.950000000000003" customHeight="1">
      <c r="A3" s="371" t="s">
        <v>67</v>
      </c>
      <c r="B3" s="371"/>
      <c r="C3" s="371"/>
      <c r="D3" s="371"/>
      <c r="O3" s="99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194" t="s">
        <v>54</v>
      </c>
      <c r="B5" s="195">
        <v>2010</v>
      </c>
      <c r="C5" s="196">
        <v>2011</v>
      </c>
      <c r="D5" s="196">
        <v>2012</v>
      </c>
      <c r="E5" s="196">
        <v>2013</v>
      </c>
      <c r="F5" s="196">
        <v>2014</v>
      </c>
      <c r="G5" s="196">
        <v>2015</v>
      </c>
      <c r="H5" s="196">
        <v>2016</v>
      </c>
      <c r="I5" s="196">
        <v>2017</v>
      </c>
      <c r="J5" s="196">
        <v>2018</v>
      </c>
      <c r="K5" s="196">
        <v>2019</v>
      </c>
      <c r="L5" s="196">
        <v>2020</v>
      </c>
      <c r="M5" s="196">
        <v>2021</v>
      </c>
      <c r="N5" s="196">
        <v>2022</v>
      </c>
      <c r="O5" s="196">
        <v>2023</v>
      </c>
      <c r="P5" s="196">
        <v>2024</v>
      </c>
    </row>
    <row r="6" spans="1:16">
      <c r="A6" s="43" t="s">
        <v>16</v>
      </c>
      <c r="B6" s="197">
        <v>178.24</v>
      </c>
      <c r="C6" s="198">
        <v>213.63</v>
      </c>
      <c r="D6" s="198">
        <v>264.63</v>
      </c>
      <c r="E6" s="198">
        <v>268.33999999999997</v>
      </c>
      <c r="F6" s="198">
        <v>304.16000000000003</v>
      </c>
      <c r="G6" s="198">
        <v>391.67</v>
      </c>
      <c r="H6" s="198">
        <v>405.87</v>
      </c>
      <c r="I6" s="198">
        <v>414.88</v>
      </c>
      <c r="J6" s="198"/>
      <c r="K6" s="198">
        <v>415.87</v>
      </c>
      <c r="L6" s="198">
        <v>424.73</v>
      </c>
      <c r="M6" s="198">
        <v>437.83</v>
      </c>
      <c r="N6" s="198">
        <v>437.27826086956497</v>
      </c>
      <c r="O6" s="198">
        <v>498.82608695652198</v>
      </c>
      <c r="P6" s="198">
        <v>564.730434782609</v>
      </c>
    </row>
    <row r="7" spans="1:16">
      <c r="A7" s="43" t="s">
        <v>30</v>
      </c>
      <c r="B7" s="197">
        <v>86.09</v>
      </c>
      <c r="C7" s="198">
        <v>81.25</v>
      </c>
      <c r="D7" s="198">
        <v>82.68</v>
      </c>
      <c r="E7" s="198">
        <v>82.21</v>
      </c>
      <c r="F7" s="198">
        <v>108</v>
      </c>
      <c r="G7" s="198">
        <v>108</v>
      </c>
      <c r="H7" s="198">
        <v>140.94999999999999</v>
      </c>
      <c r="I7" s="198">
        <v>153.85</v>
      </c>
      <c r="J7" s="198"/>
      <c r="K7" s="198">
        <v>202</v>
      </c>
      <c r="L7" s="198">
        <v>201</v>
      </c>
      <c r="M7" s="198">
        <v>202.22</v>
      </c>
      <c r="N7" s="198">
        <v>202.74347826087001</v>
      </c>
      <c r="O7" s="198">
        <v>202</v>
      </c>
      <c r="P7" s="198">
        <v>215</v>
      </c>
    </row>
    <row r="8" spans="1:16">
      <c r="A8" s="43" t="s">
        <v>31</v>
      </c>
      <c r="B8" s="197">
        <v>88</v>
      </c>
      <c r="C8" s="198">
        <v>88</v>
      </c>
      <c r="D8" s="198">
        <v>110</v>
      </c>
      <c r="E8" s="198">
        <v>132</v>
      </c>
      <c r="F8" s="198">
        <v>142</v>
      </c>
      <c r="G8" s="198">
        <v>142</v>
      </c>
      <c r="H8" s="198">
        <v>142</v>
      </c>
      <c r="I8" s="198">
        <v>164</v>
      </c>
      <c r="J8" s="198"/>
      <c r="K8" s="198">
        <v>164</v>
      </c>
      <c r="L8" s="198">
        <v>208</v>
      </c>
      <c r="M8" s="198">
        <v>230</v>
      </c>
      <c r="N8" s="198">
        <v>230</v>
      </c>
      <c r="O8" s="198">
        <v>252</v>
      </c>
      <c r="P8" s="198">
        <v>296</v>
      </c>
    </row>
    <row r="9" spans="1:16">
      <c r="A9" s="43" t="s">
        <v>32</v>
      </c>
      <c r="B9" s="197">
        <v>82</v>
      </c>
      <c r="C9" s="198">
        <v>132</v>
      </c>
      <c r="D9" s="198">
        <v>144</v>
      </c>
      <c r="E9" s="198">
        <v>154</v>
      </c>
      <c r="F9" s="198">
        <v>144</v>
      </c>
      <c r="G9" s="198">
        <v>154</v>
      </c>
      <c r="H9" s="198">
        <v>154</v>
      </c>
      <c r="I9" s="198">
        <v>154</v>
      </c>
      <c r="J9" s="198"/>
      <c r="K9" s="198">
        <v>154</v>
      </c>
      <c r="L9" s="198">
        <v>154</v>
      </c>
      <c r="M9" s="198">
        <v>154</v>
      </c>
      <c r="N9" s="198">
        <v>154</v>
      </c>
      <c r="O9" s="198">
        <v>154</v>
      </c>
      <c r="P9" s="198">
        <v>176</v>
      </c>
    </row>
    <row r="10" spans="1:16">
      <c r="A10" s="43" t="s">
        <v>33</v>
      </c>
      <c r="B10" s="197">
        <v>135.37</v>
      </c>
      <c r="C10" s="198">
        <v>139</v>
      </c>
      <c r="D10" s="198">
        <v>184</v>
      </c>
      <c r="E10" s="198">
        <v>182.93</v>
      </c>
      <c r="F10" s="198">
        <v>201.31</v>
      </c>
      <c r="G10" s="198">
        <v>201.91</v>
      </c>
      <c r="H10" s="198">
        <v>197.8</v>
      </c>
      <c r="I10" s="198">
        <v>205.8</v>
      </c>
      <c r="J10" s="198"/>
      <c r="K10" s="198">
        <v>206.56</v>
      </c>
      <c r="L10" s="198">
        <v>197</v>
      </c>
      <c r="M10" s="198">
        <v>245.34</v>
      </c>
      <c r="N10" s="198">
        <v>246.161739130435</v>
      </c>
      <c r="O10" s="198">
        <v>245.34782608695701</v>
      </c>
      <c r="P10" s="198">
        <v>259.68869565217398</v>
      </c>
    </row>
    <row r="11" spans="1:16">
      <c r="A11" s="43" t="s">
        <v>34</v>
      </c>
      <c r="B11" s="197">
        <v>106.61</v>
      </c>
      <c r="C11" s="199">
        <v>174.81</v>
      </c>
      <c r="D11" s="199">
        <v>176</v>
      </c>
      <c r="E11" s="199">
        <v>196</v>
      </c>
      <c r="F11" s="199">
        <v>203</v>
      </c>
      <c r="G11" s="199">
        <v>230</v>
      </c>
      <c r="H11" s="199">
        <v>228</v>
      </c>
      <c r="I11" s="199">
        <v>252</v>
      </c>
      <c r="J11" s="199"/>
      <c r="K11" s="198">
        <v>251.53</v>
      </c>
      <c r="L11" s="198">
        <v>250</v>
      </c>
      <c r="M11" s="198">
        <v>264</v>
      </c>
      <c r="N11" s="198">
        <v>291</v>
      </c>
      <c r="O11" s="198">
        <v>226</v>
      </c>
      <c r="P11" s="198">
        <v>242</v>
      </c>
    </row>
    <row r="12" spans="1:16">
      <c r="A12" s="43" t="s">
        <v>89</v>
      </c>
      <c r="B12" s="197">
        <v>66</v>
      </c>
      <c r="C12" s="199">
        <v>66</v>
      </c>
      <c r="D12" s="199">
        <v>66</v>
      </c>
      <c r="E12" s="199">
        <v>66</v>
      </c>
      <c r="F12" s="199">
        <v>66</v>
      </c>
      <c r="G12" s="199">
        <v>66</v>
      </c>
      <c r="H12" s="199">
        <v>66</v>
      </c>
      <c r="I12" s="199">
        <v>88</v>
      </c>
      <c r="J12" s="199"/>
      <c r="K12" s="198">
        <v>132</v>
      </c>
      <c r="L12" s="198">
        <v>132</v>
      </c>
      <c r="M12" s="198">
        <v>126</v>
      </c>
      <c r="N12" s="198">
        <v>144</v>
      </c>
      <c r="O12" s="198">
        <v>188</v>
      </c>
      <c r="P12" s="198">
        <v>188</v>
      </c>
    </row>
    <row r="13" spans="1:16">
      <c r="A13" s="43" t="s">
        <v>35</v>
      </c>
      <c r="B13" s="197">
        <v>50.24</v>
      </c>
      <c r="C13" s="199">
        <v>64</v>
      </c>
      <c r="D13" s="199">
        <v>64</v>
      </c>
      <c r="E13" s="199">
        <v>66</v>
      </c>
      <c r="F13" s="199">
        <v>66</v>
      </c>
      <c r="G13" s="199">
        <v>93</v>
      </c>
      <c r="H13" s="199">
        <v>132</v>
      </c>
      <c r="I13" s="199">
        <v>132</v>
      </c>
      <c r="J13" s="199"/>
      <c r="K13" s="198">
        <v>132</v>
      </c>
      <c r="L13" s="198">
        <v>132</v>
      </c>
      <c r="M13" s="198">
        <v>132</v>
      </c>
      <c r="N13" s="198">
        <v>142</v>
      </c>
      <c r="O13" s="198">
        <v>142</v>
      </c>
      <c r="P13" s="198">
        <v>142</v>
      </c>
    </row>
    <row r="14" spans="1:16">
      <c r="A14" s="43" t="s">
        <v>55</v>
      </c>
      <c r="B14" s="197">
        <v>89</v>
      </c>
      <c r="C14" s="199">
        <v>107</v>
      </c>
      <c r="D14" s="199">
        <v>104</v>
      </c>
      <c r="E14" s="199">
        <v>110</v>
      </c>
      <c r="F14" s="199">
        <v>132</v>
      </c>
      <c r="G14" s="199">
        <v>134</v>
      </c>
      <c r="H14" s="199">
        <v>156</v>
      </c>
      <c r="I14" s="199">
        <v>156</v>
      </c>
      <c r="J14" s="199"/>
      <c r="K14" s="198">
        <v>200</v>
      </c>
      <c r="L14" s="198">
        <v>208.77</v>
      </c>
      <c r="M14" s="198">
        <v>178</v>
      </c>
      <c r="N14" s="198">
        <v>178</v>
      </c>
      <c r="O14" s="198">
        <v>178</v>
      </c>
      <c r="P14" s="198">
        <v>178</v>
      </c>
    </row>
    <row r="15" spans="1:16">
      <c r="A15" s="43" t="s">
        <v>36</v>
      </c>
      <c r="B15" s="197">
        <v>81</v>
      </c>
      <c r="C15" s="198">
        <v>94</v>
      </c>
      <c r="D15" s="198">
        <v>94</v>
      </c>
      <c r="E15" s="198">
        <v>94</v>
      </c>
      <c r="F15" s="198">
        <v>94</v>
      </c>
      <c r="G15" s="198">
        <v>109</v>
      </c>
      <c r="H15" s="198">
        <v>116</v>
      </c>
      <c r="I15" s="198">
        <v>133</v>
      </c>
      <c r="J15" s="198"/>
      <c r="K15" s="198">
        <v>133</v>
      </c>
      <c r="L15" s="198">
        <v>132</v>
      </c>
      <c r="M15" s="198">
        <v>132</v>
      </c>
      <c r="N15" s="198">
        <v>132</v>
      </c>
      <c r="O15" s="198">
        <v>144</v>
      </c>
      <c r="P15" s="198">
        <v>144</v>
      </c>
    </row>
    <row r="16" spans="1:16">
      <c r="A16" s="43" t="s">
        <v>56</v>
      </c>
      <c r="B16" s="197">
        <v>8.5399999999999991</v>
      </c>
      <c r="C16" s="198">
        <v>9.5299999999999994</v>
      </c>
      <c r="D16" s="198">
        <v>10.58</v>
      </c>
      <c r="E16" s="198">
        <v>8.66</v>
      </c>
      <c r="F16" s="198">
        <v>9.5</v>
      </c>
      <c r="G16" s="198">
        <v>14.94</v>
      </c>
      <c r="H16" s="198">
        <v>16</v>
      </c>
      <c r="I16" s="198">
        <v>20</v>
      </c>
      <c r="J16" s="198"/>
      <c r="K16" s="198">
        <v>14.74</v>
      </c>
      <c r="L16" s="198">
        <v>14.74</v>
      </c>
      <c r="M16" s="198">
        <v>15</v>
      </c>
      <c r="N16" s="198">
        <v>15</v>
      </c>
      <c r="O16" s="198">
        <v>15</v>
      </c>
      <c r="P16" s="198">
        <v>15</v>
      </c>
    </row>
    <row r="17" spans="1:16">
      <c r="A17" s="43" t="s">
        <v>57</v>
      </c>
      <c r="B17" s="200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8">
        <v>39.83</v>
      </c>
      <c r="N17" s="198">
        <v>39.826086956521699</v>
      </c>
      <c r="O17" s="198">
        <v>66</v>
      </c>
      <c r="P17" s="198">
        <v>73</v>
      </c>
    </row>
    <row r="18" spans="1:16">
      <c r="A18" s="43" t="s">
        <v>58</v>
      </c>
      <c r="B18" s="200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>
        <v>66</v>
      </c>
      <c r="P18" s="198">
        <v>66</v>
      </c>
    </row>
    <row r="19" spans="1:16">
      <c r="A19" s="43" t="s">
        <v>37</v>
      </c>
      <c r="B19" s="197">
        <v>46</v>
      </c>
      <c r="C19" s="198">
        <v>46</v>
      </c>
      <c r="D19" s="198">
        <v>42.47</v>
      </c>
      <c r="E19" s="198">
        <v>43.87</v>
      </c>
      <c r="F19" s="198">
        <v>43.87</v>
      </c>
      <c r="G19" s="198">
        <v>44</v>
      </c>
      <c r="H19" s="198">
        <v>64.28</v>
      </c>
      <c r="I19" s="198">
        <v>66</v>
      </c>
      <c r="J19" s="198"/>
      <c r="K19" s="198">
        <v>66</v>
      </c>
      <c r="L19" s="198">
        <v>68</v>
      </c>
      <c r="M19" s="198">
        <v>68</v>
      </c>
      <c r="N19" s="198">
        <v>61.730434782608697</v>
      </c>
      <c r="O19" s="198">
        <v>64.826086956521806</v>
      </c>
      <c r="P19" s="198">
        <v>68</v>
      </c>
    </row>
    <row r="20" spans="1:16">
      <c r="A20" s="43" t="s">
        <v>92</v>
      </c>
      <c r="B20" s="197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>
        <v>22</v>
      </c>
      <c r="N20" s="198">
        <v>22</v>
      </c>
      <c r="O20" s="198">
        <v>22</v>
      </c>
      <c r="P20" s="198">
        <v>22</v>
      </c>
    </row>
    <row r="21" spans="1:16">
      <c r="A21" s="43" t="s">
        <v>38</v>
      </c>
      <c r="B21" s="197">
        <v>23</v>
      </c>
      <c r="C21" s="198">
        <v>22</v>
      </c>
      <c r="D21" s="198">
        <v>36</v>
      </c>
      <c r="E21" s="198">
        <v>39</v>
      </c>
      <c r="F21" s="198">
        <v>39</v>
      </c>
      <c r="G21" s="198">
        <v>55.71</v>
      </c>
      <c r="H21" s="198">
        <v>78</v>
      </c>
      <c r="I21" s="198">
        <v>78</v>
      </c>
      <c r="J21" s="198"/>
      <c r="K21" s="198">
        <v>117</v>
      </c>
      <c r="L21" s="198">
        <v>124</v>
      </c>
      <c r="M21" s="198">
        <v>127</v>
      </c>
      <c r="N21" s="198">
        <v>129</v>
      </c>
      <c r="O21" s="198">
        <v>131</v>
      </c>
      <c r="P21" s="198">
        <v>131</v>
      </c>
    </row>
    <row r="22" spans="1:16">
      <c r="A22" s="43" t="s">
        <v>39</v>
      </c>
      <c r="B22" s="197">
        <v>44</v>
      </c>
      <c r="C22" s="198">
        <v>44</v>
      </c>
      <c r="D22" s="198">
        <v>44</v>
      </c>
      <c r="E22" s="198">
        <v>44</v>
      </c>
      <c r="F22" s="198">
        <v>44</v>
      </c>
      <c r="G22" s="198">
        <v>44</v>
      </c>
      <c r="H22" s="198">
        <v>78</v>
      </c>
      <c r="I22" s="198">
        <v>88</v>
      </c>
      <c r="J22" s="198"/>
      <c r="K22" s="198">
        <v>105</v>
      </c>
      <c r="L22" s="198">
        <v>115</v>
      </c>
      <c r="M22" s="198">
        <v>159</v>
      </c>
      <c r="N22" s="198">
        <v>194.695652173913</v>
      </c>
      <c r="O22" s="198">
        <v>222</v>
      </c>
      <c r="P22" s="198">
        <v>237</v>
      </c>
    </row>
    <row r="23" spans="1:16">
      <c r="A23" s="43" t="s">
        <v>40</v>
      </c>
      <c r="B23" s="197">
        <v>27</v>
      </c>
      <c r="C23" s="198">
        <v>44</v>
      </c>
      <c r="D23" s="198">
        <v>44</v>
      </c>
      <c r="E23" s="198">
        <v>44</v>
      </c>
      <c r="F23" s="198">
        <v>54</v>
      </c>
      <c r="G23" s="198">
        <v>49</v>
      </c>
      <c r="H23" s="198">
        <v>56</v>
      </c>
      <c r="I23" s="198">
        <v>56</v>
      </c>
      <c r="J23" s="198"/>
      <c r="K23" s="198">
        <v>66</v>
      </c>
      <c r="L23" s="198">
        <v>66</v>
      </c>
      <c r="M23" s="198">
        <v>52</v>
      </c>
      <c r="N23" s="198">
        <v>52</v>
      </c>
      <c r="O23" s="198">
        <v>52</v>
      </c>
      <c r="P23" s="198">
        <v>58</v>
      </c>
    </row>
    <row r="24" spans="1:16">
      <c r="A24" s="43" t="s">
        <v>41</v>
      </c>
      <c r="B24" s="197">
        <v>133.87</v>
      </c>
      <c r="C24" s="198">
        <v>133.96</v>
      </c>
      <c r="D24" s="198">
        <v>158</v>
      </c>
      <c r="E24" s="198">
        <v>181.11</v>
      </c>
      <c r="F24" s="198">
        <v>191.28</v>
      </c>
      <c r="G24" s="198">
        <v>201.28</v>
      </c>
      <c r="H24" s="198">
        <v>201.54</v>
      </c>
      <c r="I24" s="198">
        <v>241.04</v>
      </c>
      <c r="J24" s="198"/>
      <c r="K24" s="198">
        <v>298.64</v>
      </c>
      <c r="L24" s="198">
        <v>327.7</v>
      </c>
      <c r="M24" s="198">
        <v>365</v>
      </c>
      <c r="N24" s="198">
        <v>384.399209486166</v>
      </c>
      <c r="O24" s="198">
        <v>384.359683794467</v>
      </c>
      <c r="P24" s="198">
        <v>384.359683794467</v>
      </c>
    </row>
    <row r="25" spans="1:16">
      <c r="A25" s="43" t="s">
        <v>42</v>
      </c>
      <c r="B25" s="197">
        <v>137.44</v>
      </c>
      <c r="C25" s="198">
        <v>136.79</v>
      </c>
      <c r="D25" s="198">
        <v>143.25</v>
      </c>
      <c r="E25" s="198">
        <v>142.35</v>
      </c>
      <c r="F25" s="198">
        <v>177.02</v>
      </c>
      <c r="G25" s="198">
        <v>186.73</v>
      </c>
      <c r="H25" s="198">
        <v>216.07</v>
      </c>
      <c r="I25" s="198">
        <v>229.42</v>
      </c>
      <c r="J25" s="198"/>
      <c r="K25" s="198">
        <v>291</v>
      </c>
      <c r="L25" s="198">
        <v>313</v>
      </c>
      <c r="M25" s="198">
        <v>328</v>
      </c>
      <c r="N25" s="198">
        <v>335</v>
      </c>
      <c r="O25" s="198">
        <v>372</v>
      </c>
      <c r="P25" s="198">
        <v>389</v>
      </c>
    </row>
    <row r="26" spans="1:16">
      <c r="A26" s="43" t="s">
        <v>43</v>
      </c>
      <c r="B26" s="200">
        <v>60</v>
      </c>
      <c r="C26" s="199">
        <v>60</v>
      </c>
      <c r="D26" s="199">
        <v>126</v>
      </c>
      <c r="E26" s="199">
        <v>123</v>
      </c>
      <c r="F26" s="199">
        <v>123</v>
      </c>
      <c r="G26" s="199">
        <v>127</v>
      </c>
      <c r="H26" s="199">
        <v>139</v>
      </c>
      <c r="I26" s="199">
        <v>140</v>
      </c>
      <c r="J26" s="199"/>
      <c r="K26" s="199">
        <v>140</v>
      </c>
      <c r="L26" s="199">
        <v>140</v>
      </c>
      <c r="M26" s="199">
        <v>140</v>
      </c>
      <c r="N26" s="198">
        <v>137</v>
      </c>
      <c r="O26" s="198">
        <v>137</v>
      </c>
      <c r="P26" s="198">
        <v>137</v>
      </c>
    </row>
    <row r="27" spans="1:16">
      <c r="A27" s="43" t="s">
        <v>59</v>
      </c>
      <c r="B27" s="197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>
        <v>196</v>
      </c>
      <c r="O27" s="198">
        <v>228.826086956522</v>
      </c>
      <c r="P27" s="198">
        <v>280</v>
      </c>
    </row>
    <row r="28" spans="1:16">
      <c r="A28" s="43" t="s">
        <v>44</v>
      </c>
      <c r="B28" s="197">
        <v>232</v>
      </c>
      <c r="C28" s="198">
        <v>264.95</v>
      </c>
      <c r="D28" s="198">
        <v>249.95</v>
      </c>
      <c r="E28" s="198">
        <v>297.95</v>
      </c>
      <c r="F28" s="198">
        <v>381.95</v>
      </c>
      <c r="G28" s="198">
        <v>358</v>
      </c>
      <c r="H28" s="198">
        <v>394</v>
      </c>
      <c r="I28" s="198">
        <v>409</v>
      </c>
      <c r="J28" s="198"/>
      <c r="K28" s="198">
        <v>475.66</v>
      </c>
      <c r="L28" s="198">
        <v>462</v>
      </c>
      <c r="M28" s="198">
        <v>478.38</v>
      </c>
      <c r="N28" s="198">
        <v>513</v>
      </c>
      <c r="O28" s="198">
        <v>522.87747035573102</v>
      </c>
      <c r="P28" s="198">
        <v>520.59090909090901</v>
      </c>
    </row>
    <row r="29" spans="1:16">
      <c r="A29" s="43" t="s">
        <v>45</v>
      </c>
      <c r="B29" s="197">
        <v>147.74</v>
      </c>
      <c r="C29" s="198">
        <v>182</v>
      </c>
      <c r="D29" s="198">
        <v>187</v>
      </c>
      <c r="E29" s="198">
        <v>187</v>
      </c>
      <c r="F29" s="198">
        <v>187</v>
      </c>
      <c r="G29" s="198">
        <v>209</v>
      </c>
      <c r="H29" s="198">
        <v>232</v>
      </c>
      <c r="I29" s="198">
        <v>234</v>
      </c>
      <c r="J29" s="198"/>
      <c r="K29" s="198">
        <v>234</v>
      </c>
      <c r="L29" s="198">
        <v>232</v>
      </c>
      <c r="M29" s="198">
        <v>285</v>
      </c>
      <c r="N29" s="198">
        <v>285.55217391304399</v>
      </c>
      <c r="O29" s="198">
        <v>297</v>
      </c>
      <c r="P29" s="198">
        <v>346.34347826086997</v>
      </c>
    </row>
    <row r="30" spans="1:16">
      <c r="A30" s="43" t="s">
        <v>46</v>
      </c>
      <c r="B30" s="197">
        <v>37</v>
      </c>
      <c r="C30" s="198">
        <v>44</v>
      </c>
      <c r="D30" s="198">
        <v>44</v>
      </c>
      <c r="E30" s="198">
        <v>66</v>
      </c>
      <c r="F30" s="198">
        <v>86</v>
      </c>
      <c r="G30" s="198">
        <v>81</v>
      </c>
      <c r="H30" s="198">
        <v>81</v>
      </c>
      <c r="I30" s="198">
        <v>88</v>
      </c>
      <c r="J30" s="198"/>
      <c r="K30" s="198">
        <v>88</v>
      </c>
      <c r="L30" s="198">
        <v>88</v>
      </c>
      <c r="M30" s="198">
        <v>88</v>
      </c>
      <c r="N30" s="198">
        <v>87</v>
      </c>
      <c r="O30" s="198">
        <v>83</v>
      </c>
      <c r="P30" s="198">
        <v>83</v>
      </c>
    </row>
    <row r="31" spans="1:16">
      <c r="A31" s="43" t="s">
        <v>47</v>
      </c>
      <c r="B31" s="197">
        <v>197.21</v>
      </c>
      <c r="C31" s="198">
        <v>203.56</v>
      </c>
      <c r="D31" s="198">
        <v>229.85</v>
      </c>
      <c r="E31" s="198">
        <v>224.62</v>
      </c>
      <c r="F31" s="198">
        <v>223.88</v>
      </c>
      <c r="G31" s="198">
        <v>229.39</v>
      </c>
      <c r="H31" s="198">
        <v>229.72</v>
      </c>
      <c r="I31" s="198">
        <v>231.39</v>
      </c>
      <c r="J31" s="198"/>
      <c r="K31" s="198">
        <v>232</v>
      </c>
      <c r="L31" s="198">
        <v>228.11</v>
      </c>
      <c r="M31" s="198">
        <v>241.71</v>
      </c>
      <c r="N31" s="198">
        <v>236.860869565217</v>
      </c>
      <c r="O31" s="198">
        <v>236.869565217391</v>
      </c>
      <c r="P31" s="198">
        <v>244</v>
      </c>
    </row>
    <row r="32" spans="1:16">
      <c r="A32" s="43" t="s">
        <v>48</v>
      </c>
      <c r="B32" s="197">
        <v>131</v>
      </c>
      <c r="C32" s="198">
        <v>131</v>
      </c>
      <c r="D32" s="198">
        <v>128</v>
      </c>
      <c r="E32" s="198">
        <v>122</v>
      </c>
      <c r="F32" s="198">
        <v>138</v>
      </c>
      <c r="G32" s="198">
        <v>141</v>
      </c>
      <c r="H32" s="198">
        <v>145</v>
      </c>
      <c r="I32" s="198">
        <v>155</v>
      </c>
      <c r="J32" s="198"/>
      <c r="K32" s="198">
        <v>191</v>
      </c>
      <c r="L32" s="198">
        <v>203</v>
      </c>
      <c r="M32" s="198">
        <v>203</v>
      </c>
      <c r="N32" s="198">
        <v>205</v>
      </c>
      <c r="O32" s="198">
        <v>242</v>
      </c>
      <c r="P32" s="198">
        <v>219</v>
      </c>
    </row>
    <row r="33" spans="1:16">
      <c r="A33" s="43" t="s">
        <v>49</v>
      </c>
      <c r="B33" s="200">
        <v>146.82</v>
      </c>
      <c r="C33" s="199">
        <v>163.69</v>
      </c>
      <c r="D33" s="199">
        <v>164.91</v>
      </c>
      <c r="E33" s="199">
        <v>165.9</v>
      </c>
      <c r="F33" s="199">
        <v>196</v>
      </c>
      <c r="G33" s="199">
        <v>207.9</v>
      </c>
      <c r="H33" s="199">
        <v>211</v>
      </c>
      <c r="I33" s="199">
        <v>208</v>
      </c>
      <c r="J33" s="199"/>
      <c r="K33" s="199">
        <v>218</v>
      </c>
      <c r="L33" s="199">
        <v>235</v>
      </c>
      <c r="M33" s="198">
        <v>233</v>
      </c>
      <c r="N33" s="198">
        <v>269</v>
      </c>
      <c r="O33" s="198">
        <v>284</v>
      </c>
      <c r="P33" s="198">
        <v>296.61739130434802</v>
      </c>
    </row>
    <row r="34" spans="1:16">
      <c r="A34" s="43" t="s">
        <v>60</v>
      </c>
      <c r="B34" s="200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8">
        <v>271</v>
      </c>
      <c r="O34" s="198">
        <v>257</v>
      </c>
      <c r="P34" s="198">
        <v>255</v>
      </c>
    </row>
    <row r="35" spans="1:16">
      <c r="A35" s="43" t="s">
        <v>50</v>
      </c>
      <c r="B35" s="197">
        <v>1925.72</v>
      </c>
      <c r="C35" s="198">
        <v>2004.01</v>
      </c>
      <c r="D35" s="198">
        <v>2081.69</v>
      </c>
      <c r="E35" s="198">
        <v>2209.94</v>
      </c>
      <c r="F35" s="198">
        <v>2381.98</v>
      </c>
      <c r="G35" s="198">
        <v>2412.98</v>
      </c>
      <c r="H35" s="198">
        <v>2530.61</v>
      </c>
      <c r="I35" s="198">
        <v>2617.04</v>
      </c>
      <c r="J35" s="198"/>
      <c r="K35" s="198">
        <v>2728</v>
      </c>
      <c r="L35" s="198">
        <v>2773.89</v>
      </c>
      <c r="M35" s="198">
        <v>2777.59</v>
      </c>
      <c r="N35" s="198">
        <v>2843.9233201581001</v>
      </c>
      <c r="O35" s="198">
        <v>2785.1298418972301</v>
      </c>
      <c r="P35" s="198">
        <v>2897.1185770750999</v>
      </c>
    </row>
    <row r="36" spans="1:16">
      <c r="A36" s="43" t="s">
        <v>51</v>
      </c>
      <c r="B36" s="197">
        <v>368.22</v>
      </c>
      <c r="C36" s="198">
        <v>408.57</v>
      </c>
      <c r="D36" s="198">
        <v>418.57</v>
      </c>
      <c r="E36" s="198">
        <v>441.57</v>
      </c>
      <c r="F36" s="198">
        <v>441.57</v>
      </c>
      <c r="G36" s="198">
        <v>485.57</v>
      </c>
      <c r="H36" s="198">
        <v>481.57</v>
      </c>
      <c r="I36" s="198">
        <v>491</v>
      </c>
      <c r="J36" s="198"/>
      <c r="K36" s="198">
        <v>462</v>
      </c>
      <c r="L36" s="198">
        <v>462</v>
      </c>
      <c r="M36" s="198">
        <v>460</v>
      </c>
      <c r="N36" s="199"/>
      <c r="O36" s="199"/>
      <c r="P36" s="198"/>
    </row>
    <row r="37" spans="1:16">
      <c r="A37" s="43" t="s">
        <v>52</v>
      </c>
      <c r="B37" s="197">
        <v>14</v>
      </c>
      <c r="C37" s="198">
        <v>22</v>
      </c>
      <c r="D37" s="198">
        <v>22</v>
      </c>
      <c r="E37" s="198">
        <v>18.16</v>
      </c>
      <c r="F37" s="198">
        <v>37</v>
      </c>
      <c r="G37" s="198">
        <v>44</v>
      </c>
      <c r="H37" s="198">
        <v>44</v>
      </c>
      <c r="I37" s="198">
        <v>44</v>
      </c>
      <c r="J37" s="198"/>
      <c r="K37" s="198">
        <v>44</v>
      </c>
      <c r="L37" s="198">
        <v>44</v>
      </c>
      <c r="M37" s="198">
        <v>44</v>
      </c>
      <c r="N37" s="198">
        <v>44</v>
      </c>
      <c r="O37" s="198">
        <v>66</v>
      </c>
      <c r="P37" s="198">
        <v>66</v>
      </c>
    </row>
    <row r="38" spans="1:16">
      <c r="A38" s="43" t="s">
        <v>53</v>
      </c>
      <c r="B38" s="201">
        <v>15</v>
      </c>
      <c r="C38" s="202">
        <v>11</v>
      </c>
      <c r="D38" s="202">
        <v>15</v>
      </c>
      <c r="E38" s="202">
        <v>15</v>
      </c>
      <c r="F38" s="202">
        <v>15</v>
      </c>
      <c r="G38" s="202">
        <v>15</v>
      </c>
      <c r="H38" s="202">
        <v>15</v>
      </c>
      <c r="I38" s="202">
        <v>32</v>
      </c>
      <c r="J38" s="202"/>
      <c r="K38" s="202">
        <v>32</v>
      </c>
      <c r="L38" s="202">
        <v>32</v>
      </c>
      <c r="M38" s="202">
        <v>32</v>
      </c>
      <c r="N38" s="202">
        <v>32</v>
      </c>
      <c r="O38" s="202">
        <v>32</v>
      </c>
      <c r="P38" s="198">
        <v>32</v>
      </c>
    </row>
    <row r="39" spans="1:16" ht="15.75" thickBot="1">
      <c r="A39" s="43" t="s">
        <v>84</v>
      </c>
      <c r="B39" s="200">
        <v>117.98</v>
      </c>
      <c r="C39" s="199">
        <v>155</v>
      </c>
      <c r="D39" s="199">
        <v>192</v>
      </c>
      <c r="E39" s="199">
        <v>205</v>
      </c>
      <c r="F39" s="199">
        <v>283</v>
      </c>
      <c r="G39" s="199">
        <v>302</v>
      </c>
      <c r="H39" s="199">
        <v>310</v>
      </c>
      <c r="I39" s="199">
        <v>313</v>
      </c>
      <c r="J39" s="199"/>
      <c r="K39" s="199">
        <v>323</v>
      </c>
      <c r="L39" s="199">
        <v>339</v>
      </c>
      <c r="M39" s="199">
        <v>359</v>
      </c>
      <c r="N39" s="199">
        <v>365</v>
      </c>
      <c r="O39" s="199">
        <v>501</v>
      </c>
      <c r="P39" s="198">
        <v>497.15652173913099</v>
      </c>
    </row>
    <row r="40" spans="1:16" s="44" customFormat="1" ht="15.75" thickTop="1">
      <c r="A40" s="203" t="s">
        <v>83</v>
      </c>
      <c r="B40" s="204">
        <v>4775.09</v>
      </c>
      <c r="C40" s="98">
        <v>5245.76</v>
      </c>
      <c r="D40" s="98">
        <v>5626.58</v>
      </c>
      <c r="E40" s="98">
        <v>5930.62</v>
      </c>
      <c r="F40" s="98">
        <v>6513.52</v>
      </c>
      <c r="G40" s="98">
        <v>6838.08</v>
      </c>
      <c r="H40" s="98">
        <v>7261.4</v>
      </c>
      <c r="I40" s="98">
        <v>7594.42</v>
      </c>
      <c r="J40" s="98"/>
      <c r="K40" s="98">
        <v>8117</v>
      </c>
      <c r="L40" s="98">
        <v>8307</v>
      </c>
      <c r="M40" s="98">
        <v>8618.9000000000015</v>
      </c>
      <c r="N40" s="98">
        <v>8876.1712252964408</v>
      </c>
      <c r="O40" s="98">
        <v>9298.0626482213502</v>
      </c>
      <c r="P40" s="98">
        <v>9722.6056916996095</v>
      </c>
    </row>
  </sheetData>
  <mergeCells count="2">
    <mergeCell ref="A3:D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6E25A-99C2-451F-8B1B-E620092656F7}">
  <sheetPr codeName="Feuil10"/>
  <dimension ref="A1:P40"/>
  <sheetViews>
    <sheetView topLeftCell="A5" workbookViewId="0">
      <selection activeCell="A39" sqref="A39"/>
    </sheetView>
  </sheetViews>
  <sheetFormatPr baseColWidth="10" defaultRowHeight="15"/>
  <cols>
    <col min="1" max="1" width="23" style="43" bestFit="1" customWidth="1"/>
    <col min="2" max="2" width="5" style="43" bestFit="1" customWidth="1"/>
    <col min="3" max="16384" width="11.42578125" style="43"/>
  </cols>
  <sheetData>
    <row r="1" spans="1:16" s="42" customFormat="1" ht="57" customHeight="1"/>
    <row r="2" spans="1:16" s="42" customFormat="1" ht="16.5"/>
    <row r="3" spans="1:16" s="42" customFormat="1" ht="33.950000000000003" customHeight="1">
      <c r="A3" s="372" t="s">
        <v>62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205" t="s">
        <v>54</v>
      </c>
      <c r="B5" s="206" t="s">
        <v>133</v>
      </c>
      <c r="C5" s="207" t="s">
        <v>19</v>
      </c>
      <c r="D5" s="207" t="s">
        <v>20</v>
      </c>
      <c r="E5" s="207" t="s">
        <v>21</v>
      </c>
      <c r="F5" s="207" t="s">
        <v>22</v>
      </c>
      <c r="G5" s="207" t="s">
        <v>134</v>
      </c>
      <c r="H5" s="207" t="s">
        <v>120</v>
      </c>
      <c r="I5" s="205">
        <v>2017</v>
      </c>
      <c r="J5" s="205">
        <v>2018</v>
      </c>
      <c r="K5" s="205">
        <v>2019</v>
      </c>
      <c r="L5" s="205">
        <v>2020</v>
      </c>
      <c r="M5" s="205">
        <v>2021</v>
      </c>
      <c r="N5" s="205">
        <v>2022</v>
      </c>
      <c r="O5" s="205">
        <v>2023</v>
      </c>
      <c r="P5" s="205">
        <v>2024</v>
      </c>
    </row>
    <row r="6" spans="1:16">
      <c r="A6" s="208" t="s">
        <v>16</v>
      </c>
      <c r="B6" s="209">
        <v>4.3777999999999997</v>
      </c>
      <c r="C6" s="210">
        <v>5.6231999999999998</v>
      </c>
      <c r="D6" s="210">
        <v>8.1411999999999995</v>
      </c>
      <c r="E6" s="210">
        <v>8.2060999999999993</v>
      </c>
      <c r="F6" s="210">
        <v>10.427099999999999</v>
      </c>
      <c r="G6" s="210">
        <v>13.226900000000001</v>
      </c>
      <c r="H6" s="210">
        <v>14.160600000000001</v>
      </c>
      <c r="I6" s="210">
        <v>13.702999999999999</v>
      </c>
      <c r="J6" s="210"/>
      <c r="K6" s="210">
        <v>13.5608</v>
      </c>
      <c r="L6" s="210">
        <v>13.507664009809933</v>
      </c>
      <c r="M6" s="210">
        <v>13.0554932735426</v>
      </c>
      <c r="N6" s="210">
        <v>12.6622930925788</v>
      </c>
      <c r="O6" s="210">
        <v>15.7326328742057</v>
      </c>
      <c r="P6" s="210">
        <v>19.4515779104999</v>
      </c>
    </row>
    <row r="7" spans="1:16">
      <c r="A7" s="208" t="s">
        <v>30</v>
      </c>
      <c r="B7" s="209">
        <v>1.9983</v>
      </c>
      <c r="C7" s="210">
        <v>3.653</v>
      </c>
      <c r="D7" s="210">
        <v>3.8898000000000001</v>
      </c>
      <c r="E7" s="210">
        <v>3.7267000000000001</v>
      </c>
      <c r="F7" s="210">
        <v>7.3281999999999998</v>
      </c>
      <c r="G7" s="210">
        <v>7.4534000000000002</v>
      </c>
      <c r="H7" s="210">
        <v>10.216900000000001</v>
      </c>
      <c r="I7" s="210">
        <v>11.500500000000001</v>
      </c>
      <c r="J7" s="210"/>
      <c r="K7" s="210">
        <v>14.417199999999999</v>
      </c>
      <c r="L7" s="210">
        <v>13.464447806354011</v>
      </c>
      <c r="M7" s="210">
        <v>13.460486322188448</v>
      </c>
      <c r="N7" s="210">
        <v>13.205633438852599</v>
      </c>
      <c r="O7" s="210">
        <v>13.589364844904001</v>
      </c>
      <c r="P7" s="210">
        <v>14.9927219796215</v>
      </c>
    </row>
    <row r="8" spans="1:16">
      <c r="A8" s="208" t="s">
        <v>31</v>
      </c>
      <c r="B8" s="209">
        <v>7.1006</v>
      </c>
      <c r="C8" s="210">
        <v>7.0587999999999997</v>
      </c>
      <c r="D8" s="210">
        <v>8.9153000000000002</v>
      </c>
      <c r="E8" s="210">
        <v>10.572699999999999</v>
      </c>
      <c r="F8" s="210">
        <v>10.169499999999999</v>
      </c>
      <c r="G8" s="210">
        <v>10.434799999999999</v>
      </c>
      <c r="H8" s="210">
        <v>10.666700000000001</v>
      </c>
      <c r="I8" s="210">
        <v>12.8637</v>
      </c>
      <c r="J8" s="210"/>
      <c r="K8" s="210">
        <v>11.931800000000001</v>
      </c>
      <c r="L8" s="210">
        <v>15</v>
      </c>
      <c r="M8" s="210">
        <v>16.830294530154276</v>
      </c>
      <c r="N8" s="210">
        <v>17.241379310344801</v>
      </c>
      <c r="O8" s="210">
        <v>20.183486238532101</v>
      </c>
      <c r="P8" s="210">
        <v>25.913621262458499</v>
      </c>
    </row>
    <row r="9" spans="1:16">
      <c r="A9" s="208" t="s">
        <v>32</v>
      </c>
      <c r="B9" s="209">
        <v>10.738300000000001</v>
      </c>
      <c r="C9" s="210">
        <v>15.4506</v>
      </c>
      <c r="D9" s="210">
        <v>14.767899999999999</v>
      </c>
      <c r="E9" s="210">
        <v>19.6721</v>
      </c>
      <c r="F9" s="210">
        <v>20.143899999999999</v>
      </c>
      <c r="G9" s="210">
        <v>19.266100000000002</v>
      </c>
      <c r="H9" s="210">
        <v>19.266100000000002</v>
      </c>
      <c r="I9" s="210">
        <v>21.105499999999999</v>
      </c>
      <c r="J9" s="210"/>
      <c r="K9" s="210">
        <v>20.289899999999999</v>
      </c>
      <c r="L9" s="210">
        <v>20.388349514563107</v>
      </c>
      <c r="M9" s="210">
        <v>19.858156028368796</v>
      </c>
      <c r="N9" s="210">
        <v>20</v>
      </c>
      <c r="O9" s="210">
        <v>20.689655172413801</v>
      </c>
      <c r="P9" s="210">
        <v>26.086956521739101</v>
      </c>
    </row>
    <row r="10" spans="1:16">
      <c r="A10" s="208" t="s">
        <v>33</v>
      </c>
      <c r="B10" s="209">
        <v>10.0718</v>
      </c>
      <c r="C10" s="210">
        <v>10.1983</v>
      </c>
      <c r="D10" s="210">
        <v>14.9847</v>
      </c>
      <c r="E10" s="210">
        <v>15.604100000000001</v>
      </c>
      <c r="F10" s="210">
        <v>15.472200000000001</v>
      </c>
      <c r="G10" s="210">
        <v>16.369499999999999</v>
      </c>
      <c r="H10" s="210">
        <v>15.6938</v>
      </c>
      <c r="I10" s="210">
        <v>16.014800000000001</v>
      </c>
      <c r="J10" s="210"/>
      <c r="K10" s="210">
        <v>16.526299999999999</v>
      </c>
      <c r="L10" s="210">
        <v>15.406162464985995</v>
      </c>
      <c r="M10" s="210">
        <v>18.51490514905149</v>
      </c>
      <c r="N10" s="210">
        <v>20.139051150209301</v>
      </c>
      <c r="O10" s="210">
        <v>21.166223052760301</v>
      </c>
      <c r="P10" s="210">
        <v>23.499959284152801</v>
      </c>
    </row>
    <row r="11" spans="1:16">
      <c r="A11" s="208" t="s">
        <v>89</v>
      </c>
      <c r="B11" s="209">
        <v>8.8019999999999996</v>
      </c>
      <c r="C11" s="210">
        <v>9.0226000000000006</v>
      </c>
      <c r="D11" s="210">
        <v>9.9723000000000006</v>
      </c>
      <c r="E11" s="210">
        <v>9.0226000000000006</v>
      </c>
      <c r="F11" s="210">
        <v>8.5307999999999993</v>
      </c>
      <c r="G11" s="210">
        <v>8.6123999999999992</v>
      </c>
      <c r="H11" s="210">
        <v>8.6331000000000007</v>
      </c>
      <c r="I11" s="210">
        <v>11.2941</v>
      </c>
      <c r="J11" s="210"/>
      <c r="K11" s="210">
        <v>17.910399999999999</v>
      </c>
      <c r="L11" s="210">
        <v>17.307692307692307</v>
      </c>
      <c r="M11" s="210">
        <v>16.708860759493671</v>
      </c>
      <c r="N11" s="210">
        <v>22.2222222222222</v>
      </c>
      <c r="O11" s="210">
        <v>29.1891891891892</v>
      </c>
      <c r="P11" s="210">
        <v>32.335329341317397</v>
      </c>
    </row>
    <row r="12" spans="1:16">
      <c r="A12" s="208" t="s">
        <v>34</v>
      </c>
      <c r="B12" s="209">
        <v>5.8681000000000001</v>
      </c>
      <c r="C12" s="210">
        <v>9.7941000000000003</v>
      </c>
      <c r="D12" s="210">
        <v>9.8873999999999995</v>
      </c>
      <c r="E12" s="210">
        <v>10.8935</v>
      </c>
      <c r="F12" s="210">
        <v>10.8597</v>
      </c>
      <c r="G12" s="210">
        <v>13.921099999999999</v>
      </c>
      <c r="H12" s="210">
        <v>14.1317</v>
      </c>
      <c r="I12" s="210">
        <v>15.384600000000001</v>
      </c>
      <c r="J12" s="210"/>
      <c r="K12" s="210">
        <v>13.984299999999999</v>
      </c>
      <c r="L12" s="210">
        <v>14.008620689655171</v>
      </c>
      <c r="M12" s="210">
        <v>16.017797552836484</v>
      </c>
      <c r="N12" s="210">
        <v>21.296296296296301</v>
      </c>
      <c r="O12" s="210">
        <v>17.622377622377599</v>
      </c>
      <c r="P12" s="210">
        <v>18.723404255319199</v>
      </c>
    </row>
    <row r="13" spans="1:16">
      <c r="A13" s="208" t="s">
        <v>35</v>
      </c>
      <c r="B13" s="209">
        <v>6.6241000000000003</v>
      </c>
      <c r="C13" s="210">
        <v>8.5641999999999996</v>
      </c>
      <c r="D13" s="210">
        <v>8.5213000000000001</v>
      </c>
      <c r="E13" s="210">
        <v>9.2545000000000002</v>
      </c>
      <c r="F13" s="210">
        <v>7.3468999999999998</v>
      </c>
      <c r="G13" s="210">
        <v>10.0379</v>
      </c>
      <c r="H13" s="210">
        <v>13.7667</v>
      </c>
      <c r="I13" s="210">
        <v>12.766</v>
      </c>
      <c r="J13" s="210"/>
      <c r="K13" s="210">
        <v>11.822699999999999</v>
      </c>
      <c r="L13" s="210">
        <v>12.34991423670669</v>
      </c>
      <c r="M13" s="210">
        <v>12.328767123287671</v>
      </c>
      <c r="N13" s="210">
        <v>12.2866894197952</v>
      </c>
      <c r="O13" s="210">
        <v>13.1627056672761</v>
      </c>
      <c r="P13" s="210">
        <v>13.980582524271799</v>
      </c>
    </row>
    <row r="14" spans="1:16">
      <c r="A14" s="208" t="s">
        <v>55</v>
      </c>
      <c r="B14" s="209">
        <v>5.0050999999999997</v>
      </c>
      <c r="C14" s="210">
        <v>7.3244999999999996</v>
      </c>
      <c r="D14" s="210">
        <v>7.4457000000000004</v>
      </c>
      <c r="E14" s="210">
        <v>7.1357999999999997</v>
      </c>
      <c r="F14" s="210">
        <v>7.4733000000000001</v>
      </c>
      <c r="G14" s="210">
        <v>7.1795</v>
      </c>
      <c r="H14" s="210">
        <v>7.8430999999999997</v>
      </c>
      <c r="I14" s="210">
        <v>7.7169999999999996</v>
      </c>
      <c r="J14" s="210"/>
      <c r="K14" s="210">
        <v>9.0771999999999995</v>
      </c>
      <c r="L14" s="210">
        <v>9.4479242534595773</v>
      </c>
      <c r="M14" s="210">
        <v>10.027855153203342</v>
      </c>
      <c r="N14" s="210">
        <v>10.188679245283</v>
      </c>
      <c r="O14" s="210">
        <v>10.1408450704225</v>
      </c>
      <c r="P14" s="210">
        <v>10.7892107892108</v>
      </c>
    </row>
    <row r="15" spans="1:16">
      <c r="A15" s="208" t="s">
        <v>36</v>
      </c>
      <c r="B15" s="209">
        <v>16.7347</v>
      </c>
      <c r="C15" s="210">
        <v>19.424499999999998</v>
      </c>
      <c r="D15" s="210">
        <v>19.707999999999998</v>
      </c>
      <c r="E15" s="210">
        <v>20.377400000000002</v>
      </c>
      <c r="F15" s="210">
        <v>19.081299999999999</v>
      </c>
      <c r="G15" s="210">
        <v>20.557500000000001</v>
      </c>
      <c r="H15" s="210">
        <v>21.9269</v>
      </c>
      <c r="I15" s="210">
        <v>24.2424</v>
      </c>
      <c r="J15" s="210"/>
      <c r="K15" s="210">
        <v>27.692299999999999</v>
      </c>
      <c r="L15" s="210" t="s">
        <v>135</v>
      </c>
      <c r="M15" s="210">
        <v>26.277372262773724</v>
      </c>
      <c r="N15" s="210">
        <v>25.992779783393502</v>
      </c>
      <c r="O15" s="210">
        <v>32.684824902723697</v>
      </c>
      <c r="P15" s="210">
        <v>34.426229508196698</v>
      </c>
    </row>
    <row r="16" spans="1:16">
      <c r="A16" s="208" t="s">
        <v>56</v>
      </c>
      <c r="B16" s="209">
        <v>6.8334999999999999</v>
      </c>
      <c r="C16" s="210">
        <v>2.3060999999999998</v>
      </c>
      <c r="D16" s="210">
        <v>1.5267999999999999</v>
      </c>
      <c r="E16" s="210">
        <v>1.4357</v>
      </c>
      <c r="F16" s="210">
        <v>1.3762000000000001</v>
      </c>
      <c r="G16" s="210">
        <v>5.9912999999999998</v>
      </c>
      <c r="H16" s="210">
        <v>4.3164999999999996</v>
      </c>
      <c r="I16" s="210">
        <v>8.0645000000000007</v>
      </c>
      <c r="J16" s="210"/>
      <c r="K16" s="210">
        <v>8.6700999999999997</v>
      </c>
      <c r="L16" s="210">
        <v>6.198198198198198</v>
      </c>
      <c r="M16" s="210">
        <v>8.2644628099173563</v>
      </c>
      <c r="N16" s="210">
        <v>5.8823529411764701</v>
      </c>
      <c r="O16" s="210">
        <v>8.1395348837209305</v>
      </c>
      <c r="P16" s="210">
        <v>10</v>
      </c>
    </row>
    <row r="17" spans="1:16">
      <c r="A17" s="208" t="s">
        <v>57</v>
      </c>
      <c r="B17" s="209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>
        <v>6.9839228295819931</v>
      </c>
      <c r="N17" s="210">
        <v>6.7254861170596802</v>
      </c>
      <c r="O17" s="210">
        <v>11.8032786885246</v>
      </c>
      <c r="P17" s="210">
        <v>15.034965034964999</v>
      </c>
    </row>
    <row r="18" spans="1:16">
      <c r="A18" s="208" t="s">
        <v>58</v>
      </c>
      <c r="B18" s="209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>
        <v>14.285714285714301</v>
      </c>
      <c r="P18" s="210">
        <v>15.929203539823</v>
      </c>
    </row>
    <row r="19" spans="1:16">
      <c r="A19" s="208" t="s">
        <v>37</v>
      </c>
      <c r="B19" s="209">
        <v>9.4016999999999999</v>
      </c>
      <c r="C19" s="210">
        <v>10</v>
      </c>
      <c r="D19" s="210">
        <v>11.525</v>
      </c>
      <c r="E19" s="210">
        <v>11.5054</v>
      </c>
      <c r="F19" s="210">
        <v>10.8286</v>
      </c>
      <c r="G19" s="210">
        <v>10.2128</v>
      </c>
      <c r="H19" s="210">
        <v>15.112399999999999</v>
      </c>
      <c r="I19" s="210">
        <v>16.071400000000001</v>
      </c>
      <c r="J19" s="210"/>
      <c r="K19" s="210">
        <v>16.5138</v>
      </c>
      <c r="L19" s="210">
        <v>16.037735849056602</v>
      </c>
      <c r="M19" s="210">
        <v>16.267942583732058</v>
      </c>
      <c r="N19" s="210">
        <v>13.2440155365057</v>
      </c>
      <c r="O19" s="210">
        <v>13.6542996645298</v>
      </c>
      <c r="P19" s="210">
        <v>15.384615384615399</v>
      </c>
    </row>
    <row r="20" spans="1:16">
      <c r="A20" s="211" t="s">
        <v>92</v>
      </c>
      <c r="B20" s="209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>
        <v>21.818181818181817</v>
      </c>
      <c r="N20" s="210">
        <v>24</v>
      </c>
      <c r="O20" s="210">
        <v>23.076923076923102</v>
      </c>
      <c r="P20" s="210">
        <v>23.529411764705898</v>
      </c>
    </row>
    <row r="21" spans="1:16">
      <c r="A21" s="208" t="s">
        <v>38</v>
      </c>
      <c r="B21" s="209">
        <v>4.5113000000000003</v>
      </c>
      <c r="C21" s="210">
        <v>5.0632999999999999</v>
      </c>
      <c r="D21" s="210">
        <v>11.5556</v>
      </c>
      <c r="E21" s="210">
        <v>6</v>
      </c>
      <c r="F21" s="210">
        <v>6.5217000000000001</v>
      </c>
      <c r="G21" s="210">
        <v>19.246500000000001</v>
      </c>
      <c r="H21" s="210">
        <v>24.1206</v>
      </c>
      <c r="I21" s="210">
        <v>22.857099999999999</v>
      </c>
      <c r="J21" s="210"/>
      <c r="K21" s="210">
        <v>35.238100000000003</v>
      </c>
      <c r="L21" s="210">
        <v>36.666666666666664</v>
      </c>
      <c r="M21" s="210">
        <v>34.841628959276015</v>
      </c>
      <c r="N21" s="210">
        <v>33.3333333333333</v>
      </c>
      <c r="O21" s="210">
        <v>31.1740890688259</v>
      </c>
      <c r="P21" s="210">
        <v>33.771929824561397</v>
      </c>
    </row>
    <row r="22" spans="1:16">
      <c r="A22" s="208" t="s">
        <v>39</v>
      </c>
      <c r="B22" s="209">
        <v>9.8765000000000001</v>
      </c>
      <c r="C22" s="210">
        <v>9.3023000000000007</v>
      </c>
      <c r="D22" s="210">
        <v>9.3023000000000007</v>
      </c>
      <c r="E22" s="210">
        <v>9.1953999999999994</v>
      </c>
      <c r="F22" s="210">
        <v>9.9585000000000008</v>
      </c>
      <c r="G22" s="210">
        <v>9.8765000000000001</v>
      </c>
      <c r="H22" s="210">
        <v>20.0837</v>
      </c>
      <c r="I22" s="210">
        <v>17.328499999999998</v>
      </c>
      <c r="J22" s="210"/>
      <c r="K22" s="210">
        <v>17.571899999999999</v>
      </c>
      <c r="L22" s="210">
        <v>16.516516516516518</v>
      </c>
      <c r="M22" s="210">
        <v>21.525885558583106</v>
      </c>
      <c r="N22" s="210">
        <v>28.169132217108199</v>
      </c>
      <c r="O22" s="210">
        <v>34.659090909090899</v>
      </c>
      <c r="P22" s="210">
        <v>32.989690721649502</v>
      </c>
    </row>
    <row r="23" spans="1:16">
      <c r="A23" s="208" t="s">
        <v>40</v>
      </c>
      <c r="B23" s="209">
        <v>16.216200000000001</v>
      </c>
      <c r="C23" s="210">
        <v>29.2683</v>
      </c>
      <c r="D23" s="210">
        <v>29.2683</v>
      </c>
      <c r="E23" s="210">
        <v>29.6296</v>
      </c>
      <c r="F23" s="210">
        <v>31.521699999999999</v>
      </c>
      <c r="G23" s="210">
        <v>31.1828</v>
      </c>
      <c r="H23" s="210">
        <v>29</v>
      </c>
      <c r="I23" s="210">
        <v>36.734699999999997</v>
      </c>
      <c r="J23" s="210"/>
      <c r="K23" s="210">
        <v>35.2941</v>
      </c>
      <c r="L23" s="210">
        <v>40</v>
      </c>
      <c r="M23" s="210">
        <v>40.74074074074074</v>
      </c>
      <c r="N23" s="210">
        <v>40.740740740740698</v>
      </c>
      <c r="O23" s="210">
        <v>38.3720930232558</v>
      </c>
      <c r="P23" s="210">
        <v>40.243902439024403</v>
      </c>
    </row>
    <row r="24" spans="1:16">
      <c r="A24" s="208" t="s">
        <v>41</v>
      </c>
      <c r="B24" s="209">
        <v>7.0651999999999999</v>
      </c>
      <c r="C24" s="210">
        <v>6.5990000000000002</v>
      </c>
      <c r="D24" s="210">
        <v>7.5049000000000001</v>
      </c>
      <c r="E24" s="210">
        <v>7.6712999999999996</v>
      </c>
      <c r="F24" s="210">
        <v>8.3216000000000001</v>
      </c>
      <c r="G24" s="210">
        <v>8.0556999999999999</v>
      </c>
      <c r="H24" s="210">
        <v>7.9694000000000003</v>
      </c>
      <c r="I24" s="210">
        <v>9.4330999999999996</v>
      </c>
      <c r="J24" s="210"/>
      <c r="K24" s="210">
        <v>11.177300000000001</v>
      </c>
      <c r="L24" s="210">
        <v>10.698275862068964</v>
      </c>
      <c r="M24" s="210">
        <v>13.810930576070902</v>
      </c>
      <c r="N24" s="210">
        <v>14.956439271219301</v>
      </c>
      <c r="O24" s="210">
        <v>15.363872428257499</v>
      </c>
      <c r="P24" s="210">
        <v>16.734960292997801</v>
      </c>
    </row>
    <row r="25" spans="1:16">
      <c r="A25" s="208" t="s">
        <v>42</v>
      </c>
      <c r="B25" s="209">
        <v>8.4580000000000002</v>
      </c>
      <c r="C25" s="210">
        <v>7.8951000000000002</v>
      </c>
      <c r="D25" s="210">
        <v>8.0523000000000007</v>
      </c>
      <c r="E25" s="210">
        <v>8.1674000000000007</v>
      </c>
      <c r="F25" s="210">
        <v>9.6379999999999999</v>
      </c>
      <c r="G25" s="210">
        <v>9.2268000000000008</v>
      </c>
      <c r="H25" s="210">
        <v>10.416399999999999</v>
      </c>
      <c r="I25" s="210">
        <v>10.9574</v>
      </c>
      <c r="J25" s="210"/>
      <c r="K25" s="210">
        <v>14.0777</v>
      </c>
      <c r="L25" s="210">
        <v>15.846538782318598</v>
      </c>
      <c r="M25" s="210">
        <v>15.494071146245059</v>
      </c>
      <c r="N25" s="210">
        <v>16.75</v>
      </c>
      <c r="O25" s="210">
        <v>18.9905902480753</v>
      </c>
      <c r="P25" s="210">
        <v>20.6678700361011</v>
      </c>
    </row>
    <row r="26" spans="1:16">
      <c r="A26" s="208" t="s">
        <v>43</v>
      </c>
      <c r="B26" s="209">
        <v>9.3023000000000007</v>
      </c>
      <c r="C26" s="210">
        <v>8.4033999999999995</v>
      </c>
      <c r="D26" s="210">
        <v>25.925899999999999</v>
      </c>
      <c r="E26" s="210">
        <v>27.876100000000001</v>
      </c>
      <c r="F26" s="210">
        <v>27.753299999999999</v>
      </c>
      <c r="G26" s="210">
        <v>25.112100000000002</v>
      </c>
      <c r="H26" s="210">
        <v>29.310300000000002</v>
      </c>
      <c r="I26" s="210">
        <v>33.898299999999999</v>
      </c>
      <c r="J26" s="210"/>
      <c r="K26" s="210">
        <v>33.613399999999999</v>
      </c>
      <c r="L26" s="210">
        <v>35.874439461883405</v>
      </c>
      <c r="M26" s="210">
        <v>33.472803347280333</v>
      </c>
      <c r="N26" s="210">
        <v>34.042553191489397</v>
      </c>
      <c r="O26" s="210">
        <v>38.461538461538503</v>
      </c>
      <c r="P26" s="210">
        <v>37.209302325581397</v>
      </c>
    </row>
    <row r="27" spans="1:16">
      <c r="A27" s="208" t="s">
        <v>59</v>
      </c>
      <c r="B27" s="209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>
        <v>15.5668358714044</v>
      </c>
      <c r="O27" s="210">
        <v>19.215993022434802</v>
      </c>
      <c r="P27" s="210">
        <v>29.532710280373799</v>
      </c>
    </row>
    <row r="28" spans="1:16">
      <c r="A28" s="208" t="s">
        <v>44</v>
      </c>
      <c r="B28" s="209">
        <v>19.765499999999999</v>
      </c>
      <c r="C28" s="210">
        <v>22.996700000000001</v>
      </c>
      <c r="D28" s="210">
        <v>22.384799999999998</v>
      </c>
      <c r="E28" s="210">
        <v>26.684899999999999</v>
      </c>
      <c r="F28" s="210">
        <v>34.683799999999998</v>
      </c>
      <c r="G28" s="210">
        <v>31.9084</v>
      </c>
      <c r="H28" s="210">
        <v>34.960599999999999</v>
      </c>
      <c r="I28" s="210">
        <v>37.308900000000001</v>
      </c>
      <c r="J28" s="210"/>
      <c r="K28" s="210">
        <v>39.627899999999997</v>
      </c>
      <c r="L28" s="210">
        <v>39.398280802292263</v>
      </c>
      <c r="M28" s="210">
        <v>44.036363636363632</v>
      </c>
      <c r="N28" s="210">
        <v>48.540706605222702</v>
      </c>
      <c r="O28" s="210">
        <v>46.302773794116597</v>
      </c>
      <c r="P28" s="210">
        <v>46.835016835016802</v>
      </c>
    </row>
    <row r="29" spans="1:16">
      <c r="A29" s="208" t="s">
        <v>45</v>
      </c>
      <c r="B29" s="209">
        <v>9.1145999999999994</v>
      </c>
      <c r="C29" s="210">
        <v>10.25</v>
      </c>
      <c r="D29" s="210">
        <v>11.631</v>
      </c>
      <c r="E29" s="210">
        <v>12.117000000000001</v>
      </c>
      <c r="F29" s="210">
        <v>11.3725</v>
      </c>
      <c r="G29" s="210">
        <v>12.790699999999999</v>
      </c>
      <c r="H29" s="210">
        <v>13.710699999999999</v>
      </c>
      <c r="I29" s="210">
        <v>12.5604</v>
      </c>
      <c r="J29" s="210"/>
      <c r="K29" s="210">
        <v>12.7517</v>
      </c>
      <c r="L29" s="210">
        <v>11.683848797250858</v>
      </c>
      <c r="M29" s="210">
        <v>14.76293103448276</v>
      </c>
      <c r="N29" s="210">
        <v>16.0675332436874</v>
      </c>
      <c r="O29" s="210">
        <v>18.4085510688836</v>
      </c>
      <c r="P29" s="210">
        <v>21.970041098853599</v>
      </c>
    </row>
    <row r="30" spans="1:16">
      <c r="A30" s="208" t="s">
        <v>46</v>
      </c>
      <c r="B30" s="209">
        <v>7.8704000000000001</v>
      </c>
      <c r="C30" s="210">
        <v>9.6774000000000004</v>
      </c>
      <c r="D30" s="210">
        <v>10.3896</v>
      </c>
      <c r="E30" s="210">
        <v>12.9496</v>
      </c>
      <c r="F30" s="210">
        <v>12.4567</v>
      </c>
      <c r="G30" s="210">
        <v>13.8514</v>
      </c>
      <c r="H30" s="210">
        <v>13.7584</v>
      </c>
      <c r="I30" s="210">
        <v>18.315000000000001</v>
      </c>
      <c r="J30" s="210"/>
      <c r="K30" s="210">
        <v>16.842099999999999</v>
      </c>
      <c r="L30" s="210">
        <v>17.20430107526882</v>
      </c>
      <c r="M30" s="210">
        <v>17.454545454545457</v>
      </c>
      <c r="N30" s="210">
        <v>17.0289855072464</v>
      </c>
      <c r="O30" s="210">
        <v>15.5709342560554</v>
      </c>
      <c r="P30" s="210">
        <v>16.187050359712199</v>
      </c>
    </row>
    <row r="31" spans="1:16">
      <c r="A31" s="208" t="s">
        <v>47</v>
      </c>
      <c r="B31" s="209">
        <v>10.6279</v>
      </c>
      <c r="C31" s="210">
        <v>10.6386</v>
      </c>
      <c r="D31" s="210">
        <v>11.838800000000001</v>
      </c>
      <c r="E31" s="210">
        <v>11.2905</v>
      </c>
      <c r="F31" s="210">
        <v>10.4818</v>
      </c>
      <c r="G31" s="210">
        <v>12.0793</v>
      </c>
      <c r="H31" s="210">
        <v>11.4955</v>
      </c>
      <c r="I31" s="210">
        <v>11.646100000000001</v>
      </c>
      <c r="J31" s="210"/>
      <c r="K31" s="210">
        <v>12.655799999999999</v>
      </c>
      <c r="L31" s="210">
        <v>12.85940594059406</v>
      </c>
      <c r="M31" s="210">
        <v>14.870203160270881</v>
      </c>
      <c r="N31" s="210">
        <v>13.8725198821605</v>
      </c>
      <c r="O31" s="210">
        <v>14.2864515907048</v>
      </c>
      <c r="P31" s="210">
        <v>15.665488810365099</v>
      </c>
    </row>
    <row r="32" spans="1:16">
      <c r="A32" s="208" t="s">
        <v>48</v>
      </c>
      <c r="B32" s="209">
        <v>9.2308000000000003</v>
      </c>
      <c r="C32" s="210">
        <v>10.1313</v>
      </c>
      <c r="D32" s="210">
        <v>10.2273</v>
      </c>
      <c r="E32" s="210">
        <v>11.6</v>
      </c>
      <c r="F32" s="210">
        <v>12.4352</v>
      </c>
      <c r="G32" s="210">
        <v>12.5212</v>
      </c>
      <c r="H32" s="210">
        <v>12.8728</v>
      </c>
      <c r="I32" s="210">
        <v>13.5783</v>
      </c>
      <c r="J32" s="210"/>
      <c r="K32" s="210">
        <v>16.889600000000002</v>
      </c>
      <c r="L32" s="210">
        <v>17.096774193548388</v>
      </c>
      <c r="M32" s="210">
        <v>17.696160267111853</v>
      </c>
      <c r="N32" s="210">
        <v>18.976897689769</v>
      </c>
      <c r="O32" s="210">
        <v>22.372881355932201</v>
      </c>
      <c r="P32" s="210">
        <v>23.191094619666099</v>
      </c>
    </row>
    <row r="33" spans="1:16">
      <c r="A33" s="208" t="s">
        <v>49</v>
      </c>
      <c r="B33" s="209">
        <v>9.7227999999999994</v>
      </c>
      <c r="C33" s="210">
        <v>10.313000000000001</v>
      </c>
      <c r="D33" s="210">
        <v>10.6218</v>
      </c>
      <c r="E33" s="210">
        <v>10.916499999999999</v>
      </c>
      <c r="F33" s="210">
        <v>12.5984</v>
      </c>
      <c r="G33" s="210">
        <v>14.373900000000001</v>
      </c>
      <c r="H33" s="210">
        <v>14.643800000000001</v>
      </c>
      <c r="I33" s="210">
        <v>13.4496</v>
      </c>
      <c r="J33" s="210"/>
      <c r="K33" s="210">
        <v>13.989599999999999</v>
      </c>
      <c r="L33" s="210">
        <v>15.625</v>
      </c>
      <c r="M33" s="210">
        <v>14.888010540184455</v>
      </c>
      <c r="N33" s="210">
        <v>18.6827956989247</v>
      </c>
      <c r="O33" s="210">
        <v>19.538670284938899</v>
      </c>
      <c r="P33" s="210">
        <v>19.655390270518598</v>
      </c>
    </row>
    <row r="34" spans="1:16">
      <c r="A34" s="208" t="s">
        <v>60</v>
      </c>
      <c r="B34" s="209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>
        <v>26.499032882011601</v>
      </c>
      <c r="O34" s="210">
        <v>26.626016260162601</v>
      </c>
      <c r="P34" s="210">
        <v>26.1802575107296</v>
      </c>
    </row>
    <row r="35" spans="1:16">
      <c r="A35" s="208" t="s">
        <v>50</v>
      </c>
      <c r="B35" s="209">
        <v>30.010400000000001</v>
      </c>
      <c r="C35" s="210">
        <v>28.865500000000001</v>
      </c>
      <c r="D35" s="210">
        <v>29.8033</v>
      </c>
      <c r="E35" s="210">
        <v>32.530799999999999</v>
      </c>
      <c r="F35" s="210">
        <v>33.163400000000003</v>
      </c>
      <c r="G35" s="210">
        <v>33.373100000000001</v>
      </c>
      <c r="H35" s="210">
        <v>34.2986</v>
      </c>
      <c r="I35" s="210">
        <v>35.190399999999997</v>
      </c>
      <c r="J35" s="210"/>
      <c r="K35" s="210">
        <v>38.467300000000002</v>
      </c>
      <c r="L35" s="210">
        <v>39.165179709406068</v>
      </c>
      <c r="M35" s="210">
        <v>41.559151193633951</v>
      </c>
      <c r="N35" s="210">
        <v>44.744598576460099</v>
      </c>
      <c r="O35" s="210">
        <v>44.642907727649003</v>
      </c>
      <c r="P35" s="210">
        <v>47.971283375010103</v>
      </c>
    </row>
    <row r="36" spans="1:16">
      <c r="A36" s="208" t="s">
        <v>51</v>
      </c>
      <c r="B36" s="209">
        <v>19.0289</v>
      </c>
      <c r="C36" s="210">
        <v>21.9223</v>
      </c>
      <c r="D36" s="210">
        <v>23.181100000000001</v>
      </c>
      <c r="E36" s="210">
        <v>25.696100000000001</v>
      </c>
      <c r="F36" s="210">
        <v>23.2715</v>
      </c>
      <c r="G36" s="210">
        <v>24.603999999999999</v>
      </c>
      <c r="H36" s="210">
        <v>25.7775</v>
      </c>
      <c r="I36" s="210">
        <v>25.636500000000002</v>
      </c>
      <c r="J36" s="210"/>
      <c r="K36" s="210">
        <v>20.879100000000001</v>
      </c>
      <c r="L36" s="210">
        <v>20.255474452554743</v>
      </c>
      <c r="M36" s="210">
        <v>20.219579139981704</v>
      </c>
      <c r="N36" s="210"/>
      <c r="O36" s="210"/>
      <c r="P36" s="210"/>
    </row>
    <row r="37" spans="1:16">
      <c r="A37" s="208" t="s">
        <v>52</v>
      </c>
      <c r="B37" s="209">
        <v>6.4219999999999997</v>
      </c>
      <c r="C37" s="210">
        <v>11.1111</v>
      </c>
      <c r="D37" s="210">
        <v>10.434799999999999</v>
      </c>
      <c r="E37" s="210">
        <v>7.3906999999999998</v>
      </c>
      <c r="F37" s="210">
        <v>11.4094</v>
      </c>
      <c r="G37" s="210">
        <v>14.7239</v>
      </c>
      <c r="H37" s="210">
        <v>12.5</v>
      </c>
      <c r="I37" s="210">
        <v>13.4078</v>
      </c>
      <c r="J37" s="210"/>
      <c r="K37" s="210">
        <v>11.8812</v>
      </c>
      <c r="L37" s="210">
        <v>13.48314606741573</v>
      </c>
      <c r="M37" s="210">
        <v>12.698412698412698</v>
      </c>
      <c r="N37" s="210">
        <v>13.407821229050301</v>
      </c>
      <c r="O37" s="210">
        <v>22.641509433962302</v>
      </c>
      <c r="P37" s="210">
        <v>25</v>
      </c>
    </row>
    <row r="38" spans="1:16">
      <c r="A38" s="208" t="s">
        <v>53</v>
      </c>
      <c r="B38" s="209">
        <v>0</v>
      </c>
      <c r="C38" s="210">
        <v>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9.6</v>
      </c>
      <c r="J38" s="210"/>
      <c r="K38" s="210">
        <v>10.9091</v>
      </c>
      <c r="L38" s="210">
        <v>13.186813186813188</v>
      </c>
      <c r="M38" s="210">
        <v>11.538461538461538</v>
      </c>
      <c r="N38" s="210">
        <v>11.1111111111111</v>
      </c>
      <c r="O38" s="210">
        <v>12</v>
      </c>
      <c r="P38" s="210">
        <v>11.881188118811901</v>
      </c>
    </row>
    <row r="39" spans="1:16" ht="15.75" thickBot="1">
      <c r="A39" s="208" t="s">
        <v>84</v>
      </c>
      <c r="B39" s="209">
        <v>5.7431999999999999</v>
      </c>
      <c r="C39" s="210">
        <v>8.8443000000000005</v>
      </c>
      <c r="D39" s="210">
        <v>12.0853</v>
      </c>
      <c r="E39" s="210">
        <v>12.881399999999999</v>
      </c>
      <c r="F39" s="210">
        <v>17.009799999999998</v>
      </c>
      <c r="G39" s="210">
        <v>18.941800000000001</v>
      </c>
      <c r="H39" s="210">
        <v>18.9968</v>
      </c>
      <c r="I39" s="210">
        <v>17.7895</v>
      </c>
      <c r="J39" s="210"/>
      <c r="K39" s="210">
        <v>20.146899999999999</v>
      </c>
      <c r="L39" s="210">
        <v>21.238938053097346</v>
      </c>
      <c r="M39" s="210">
        <v>21.868131868131869</v>
      </c>
      <c r="N39" s="210">
        <v>20.986358866736602</v>
      </c>
      <c r="O39" s="210">
        <v>33.1262939958592</v>
      </c>
      <c r="P39" s="210">
        <v>33.993686500251997</v>
      </c>
    </row>
    <row r="40" spans="1:16" s="44" customFormat="1" ht="15.75" thickTop="1">
      <c r="A40" s="212" t="s">
        <v>83</v>
      </c>
      <c r="B40" s="213">
        <v>12.493499999999999</v>
      </c>
      <c r="C40" s="101">
        <v>13.496</v>
      </c>
      <c r="D40" s="101">
        <v>14.799899999999999</v>
      </c>
      <c r="E40" s="101">
        <v>15.759399999999999</v>
      </c>
      <c r="F40" s="101">
        <v>16.603300000000001</v>
      </c>
      <c r="G40" s="101">
        <v>17.473299999999998</v>
      </c>
      <c r="H40" s="101">
        <v>18.371300000000002</v>
      </c>
      <c r="I40" s="101">
        <v>19.0305</v>
      </c>
      <c r="J40" s="101"/>
      <c r="K40" s="101">
        <v>20.215</v>
      </c>
      <c r="L40" s="101">
        <v>20.455999268939049</v>
      </c>
      <c r="M40" s="101">
        <v>21.434802424684381</v>
      </c>
      <c r="N40" s="101">
        <v>22.434703815116102</v>
      </c>
      <c r="O40" s="101">
        <v>24.348960893242499</v>
      </c>
      <c r="P40" s="101">
        <v>26.773734660757899</v>
      </c>
    </row>
  </sheetData>
  <mergeCells count="2">
    <mergeCell ref="A3:N3"/>
    <mergeCell ref="A4:D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8FB79-291B-408B-9C93-5F18F2C9CCE3}">
  <sheetPr codeName="Feuil11"/>
  <dimension ref="A1:P42"/>
  <sheetViews>
    <sheetView topLeftCell="A8" workbookViewId="0">
      <selection activeCell="A40" sqref="A40"/>
    </sheetView>
  </sheetViews>
  <sheetFormatPr baseColWidth="10" defaultRowHeight="15"/>
  <cols>
    <col min="1" max="1" width="23" style="43" bestFit="1" customWidth="1"/>
    <col min="2" max="2" width="5" style="43" bestFit="1" customWidth="1"/>
    <col min="3" max="14" width="11.42578125" style="43"/>
    <col min="15" max="15" width="11.42578125" style="100"/>
    <col min="16" max="16384" width="11.42578125" style="43"/>
  </cols>
  <sheetData>
    <row r="1" spans="1:16" s="42" customFormat="1" ht="57" customHeight="1">
      <c r="O1" s="99"/>
    </row>
    <row r="2" spans="1:16" s="42" customFormat="1" ht="16.5">
      <c r="O2" s="99"/>
    </row>
    <row r="3" spans="1:16" s="42" customFormat="1" ht="33.950000000000003" customHeight="1">
      <c r="A3" s="372" t="s">
        <v>63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99"/>
    </row>
    <row r="4" spans="1:16" ht="16.5">
      <c r="A4" s="371"/>
      <c r="B4" s="371"/>
      <c r="C4" s="371"/>
      <c r="D4" s="371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6" s="44" customFormat="1">
      <c r="A5" s="214" t="s">
        <v>54</v>
      </c>
      <c r="B5" s="206" t="s">
        <v>133</v>
      </c>
      <c r="C5" s="207" t="s">
        <v>19</v>
      </c>
      <c r="D5" s="207" t="s">
        <v>20</v>
      </c>
      <c r="E5" s="207" t="s">
        <v>21</v>
      </c>
      <c r="F5" s="207" t="s">
        <v>22</v>
      </c>
      <c r="G5" s="207" t="s">
        <v>134</v>
      </c>
      <c r="H5" s="207" t="s">
        <v>120</v>
      </c>
      <c r="I5" s="214">
        <v>2017</v>
      </c>
      <c r="J5" s="214">
        <v>2018</v>
      </c>
      <c r="K5" s="214">
        <v>2019</v>
      </c>
      <c r="L5" s="214">
        <v>2020</v>
      </c>
      <c r="M5" s="214">
        <v>2021</v>
      </c>
      <c r="N5" s="214">
        <v>2022</v>
      </c>
      <c r="O5" s="214">
        <v>2023</v>
      </c>
      <c r="P5" s="214">
        <v>2024</v>
      </c>
    </row>
    <row r="6" spans="1:16">
      <c r="A6" s="215" t="s">
        <v>16</v>
      </c>
      <c r="B6" s="216">
        <v>9.7614999999999998</v>
      </c>
      <c r="C6" s="217">
        <v>11.319900000000001</v>
      </c>
      <c r="D6" s="217">
        <v>13.2707</v>
      </c>
      <c r="E6" s="217">
        <v>13.705399999999999</v>
      </c>
      <c r="F6" s="217">
        <v>14.672599999999999</v>
      </c>
      <c r="G6" s="217">
        <v>19.0091</v>
      </c>
      <c r="H6" s="217">
        <v>18.2407</v>
      </c>
      <c r="I6" s="217">
        <v>18.845099999999999</v>
      </c>
      <c r="J6" s="217"/>
      <c r="K6" s="217">
        <v>18.497199999999999</v>
      </c>
      <c r="L6" s="217">
        <v>19.636887608069163</v>
      </c>
      <c r="M6" s="217">
        <v>18.834558823529409</v>
      </c>
      <c r="N6" s="217">
        <v>17.720514005099002</v>
      </c>
      <c r="O6" s="217">
        <v>20.299724604386402</v>
      </c>
      <c r="P6" s="217">
        <v>21.8232276511647</v>
      </c>
    </row>
    <row r="7" spans="1:16">
      <c r="A7" s="215" t="s">
        <v>30</v>
      </c>
      <c r="B7" s="216">
        <v>21.397200000000002</v>
      </c>
      <c r="C7" s="217">
        <v>14.794</v>
      </c>
      <c r="D7" s="217">
        <v>13.9373</v>
      </c>
      <c r="E7" s="217">
        <v>15.239100000000001</v>
      </c>
      <c r="F7" s="217">
        <v>14.8515</v>
      </c>
      <c r="G7" s="217">
        <v>14.492800000000001</v>
      </c>
      <c r="H7" s="217">
        <v>18.028700000000001</v>
      </c>
      <c r="I7" s="217">
        <v>20.538799999999998</v>
      </c>
      <c r="J7" s="217"/>
      <c r="K7" s="217">
        <v>28.272300000000001</v>
      </c>
      <c r="L7" s="217">
        <v>28.498727735368956</v>
      </c>
      <c r="M7" s="217">
        <v>26.427906976744186</v>
      </c>
      <c r="N7" s="217">
        <v>27.111801242236002</v>
      </c>
      <c r="O7" s="217">
        <v>25.462962962963001</v>
      </c>
      <c r="P7" s="217">
        <v>26.6666666666667</v>
      </c>
    </row>
    <row r="8" spans="1:16">
      <c r="A8" s="215" t="s">
        <v>31</v>
      </c>
      <c r="B8" s="216">
        <v>9.7324000000000002</v>
      </c>
      <c r="C8" s="217">
        <v>9.4339999999999993</v>
      </c>
      <c r="D8" s="217">
        <v>11.8765</v>
      </c>
      <c r="E8" s="217">
        <v>12.345700000000001</v>
      </c>
      <c r="F8" s="217">
        <v>14.9573</v>
      </c>
      <c r="G8" s="217">
        <v>14.492800000000001</v>
      </c>
      <c r="H8" s="217">
        <v>14.4033</v>
      </c>
      <c r="I8" s="217">
        <v>16.7715</v>
      </c>
      <c r="J8" s="217"/>
      <c r="K8" s="217">
        <v>17.315999999999999</v>
      </c>
      <c r="L8" s="217">
        <v>21.786492374727668</v>
      </c>
      <c r="M8" s="217">
        <v>25.821596244131456</v>
      </c>
      <c r="N8" s="217">
        <v>23.758099352051801</v>
      </c>
      <c r="O8" s="217">
        <v>24.340770791075101</v>
      </c>
      <c r="P8" s="217">
        <v>28.282828282828302</v>
      </c>
    </row>
    <row r="9" spans="1:16">
      <c r="A9" s="215" t="s">
        <v>32</v>
      </c>
      <c r="B9" s="216">
        <v>11.1111</v>
      </c>
      <c r="C9" s="217">
        <v>19.544</v>
      </c>
      <c r="D9" s="217">
        <v>24.4224</v>
      </c>
      <c r="E9" s="217">
        <v>20.588200000000001</v>
      </c>
      <c r="F9" s="217">
        <v>19.736799999999999</v>
      </c>
      <c r="G9" s="217">
        <v>23.489899999999999</v>
      </c>
      <c r="H9" s="217">
        <v>23.333300000000001</v>
      </c>
      <c r="I9" s="217">
        <v>23.7288</v>
      </c>
      <c r="J9" s="217"/>
      <c r="K9" s="217">
        <v>23.890799999999999</v>
      </c>
      <c r="L9" s="217">
        <v>26.923076923076923</v>
      </c>
      <c r="M9" s="217">
        <v>23.1023102310231</v>
      </c>
      <c r="N9" s="217">
        <v>27.559055118110201</v>
      </c>
      <c r="O9" s="217">
        <v>27.131782945736401</v>
      </c>
      <c r="P9" s="217">
        <v>26.490066225165599</v>
      </c>
    </row>
    <row r="10" spans="1:16">
      <c r="A10" s="215" t="s">
        <v>33</v>
      </c>
      <c r="B10" s="216">
        <v>15.7393</v>
      </c>
      <c r="C10" s="217">
        <v>16.792000000000002</v>
      </c>
      <c r="D10" s="217">
        <v>20.093499999999999</v>
      </c>
      <c r="E10" s="217">
        <v>19.014500000000002</v>
      </c>
      <c r="F10" s="217">
        <v>21.350100000000001</v>
      </c>
      <c r="G10" s="217">
        <v>20.401900000000001</v>
      </c>
      <c r="H10" s="217">
        <v>19.494499999999999</v>
      </c>
      <c r="I10" s="217">
        <v>21.367899999999999</v>
      </c>
      <c r="J10" s="217"/>
      <c r="K10" s="217">
        <v>19.3659</v>
      </c>
      <c r="L10" s="217">
        <v>18.012422360248447</v>
      </c>
      <c r="M10" s="217">
        <v>24.760820045558088</v>
      </c>
      <c r="N10" s="217">
        <v>24.3057588319326</v>
      </c>
      <c r="O10" s="217">
        <v>23.494411152195202</v>
      </c>
      <c r="P10" s="217">
        <v>25.847784818832899</v>
      </c>
    </row>
    <row r="11" spans="1:16">
      <c r="A11" s="215" t="s">
        <v>89</v>
      </c>
      <c r="B11" s="216">
        <v>9.6153999999999993</v>
      </c>
      <c r="C11" s="217">
        <v>9.7720000000000002</v>
      </c>
      <c r="D11" s="217">
        <v>10.0671</v>
      </c>
      <c r="E11" s="217">
        <v>10.380599999999999</v>
      </c>
      <c r="F11" s="217">
        <v>10</v>
      </c>
      <c r="G11" s="217">
        <v>9.0090000000000003</v>
      </c>
      <c r="H11" s="217">
        <v>8.5714000000000006</v>
      </c>
      <c r="I11" s="217">
        <v>12.0846</v>
      </c>
      <c r="J11" s="217"/>
      <c r="K11" s="217">
        <v>18.691600000000001</v>
      </c>
      <c r="L11" s="217">
        <v>19.672131147540984</v>
      </c>
      <c r="M11" s="217">
        <v>20.408163265306122</v>
      </c>
      <c r="N11" s="217">
        <v>19.1082802547771</v>
      </c>
      <c r="O11" s="217">
        <v>27.210884353741498</v>
      </c>
      <c r="P11" s="217">
        <v>27.491408934707898</v>
      </c>
    </row>
    <row r="12" spans="1:16">
      <c r="A12" s="215" t="s">
        <v>34</v>
      </c>
      <c r="B12" s="216">
        <v>12.569800000000001</v>
      </c>
      <c r="C12" s="217">
        <v>20.6997</v>
      </c>
      <c r="D12" s="217">
        <v>19.6755</v>
      </c>
      <c r="E12" s="217">
        <v>19.279299999999999</v>
      </c>
      <c r="F12" s="217">
        <v>19.244599999999998</v>
      </c>
      <c r="G12" s="217">
        <v>19.3322</v>
      </c>
      <c r="H12" s="217">
        <v>17.799399999999999</v>
      </c>
      <c r="I12" s="217">
        <v>19.966699999999999</v>
      </c>
      <c r="J12" s="217"/>
      <c r="K12" s="217">
        <v>21.444900000000001</v>
      </c>
      <c r="L12" s="217">
        <v>20.27027027027027</v>
      </c>
      <c r="M12" s="217">
        <v>19.323671497584542</v>
      </c>
      <c r="N12" s="217">
        <v>27.7777777777778</v>
      </c>
      <c r="O12" s="217">
        <v>19.960079840319398</v>
      </c>
      <c r="P12" s="217">
        <v>22.1327967806841</v>
      </c>
    </row>
    <row r="13" spans="1:16">
      <c r="A13" s="215" t="s">
        <v>35</v>
      </c>
      <c r="B13" s="216">
        <v>8.9275000000000002</v>
      </c>
      <c r="C13" s="217">
        <v>10.6007</v>
      </c>
      <c r="D13" s="217">
        <v>10.6762</v>
      </c>
      <c r="E13" s="217">
        <v>10.169499999999999</v>
      </c>
      <c r="F13" s="217">
        <v>9.0908999999999995</v>
      </c>
      <c r="G13" s="217">
        <v>11.661799999999999</v>
      </c>
      <c r="H13" s="217">
        <v>18.2927</v>
      </c>
      <c r="I13" s="217">
        <v>16.3934</v>
      </c>
      <c r="J13" s="217"/>
      <c r="K13" s="217">
        <v>16.129000000000001</v>
      </c>
      <c r="L13" s="217">
        <v>14.492753623188406</v>
      </c>
      <c r="M13" s="217">
        <v>14.527845036319611</v>
      </c>
      <c r="N13" s="217">
        <v>17.6767676767677</v>
      </c>
      <c r="O13" s="217">
        <v>17.199017199017199</v>
      </c>
      <c r="P13" s="217">
        <v>17.114914425427902</v>
      </c>
    </row>
    <row r="14" spans="1:16">
      <c r="A14" s="215" t="s">
        <v>55</v>
      </c>
      <c r="B14" s="216">
        <v>6.6444999999999999</v>
      </c>
      <c r="C14" s="217">
        <v>5.3272000000000004</v>
      </c>
      <c r="D14" s="217">
        <v>4.7690000000000001</v>
      </c>
      <c r="E14" s="217">
        <v>5.4833999999999996</v>
      </c>
      <c r="F14" s="217">
        <v>6.5753000000000004</v>
      </c>
      <c r="G14" s="217">
        <v>6.9156000000000004</v>
      </c>
      <c r="H14" s="217">
        <v>7.7922000000000002</v>
      </c>
      <c r="I14" s="217">
        <v>7.5853000000000002</v>
      </c>
      <c r="J14" s="217"/>
      <c r="K14" s="217">
        <v>9.9255999999999993</v>
      </c>
      <c r="L14" s="217">
        <v>9.4557416267942571</v>
      </c>
      <c r="M14" s="217">
        <v>10.76923076923077</v>
      </c>
      <c r="N14" s="217">
        <v>9.6551724137931103</v>
      </c>
      <c r="O14" s="217">
        <v>9.9009900990098991</v>
      </c>
      <c r="P14" s="217">
        <v>9.3582887700534805</v>
      </c>
    </row>
    <row r="15" spans="1:16">
      <c r="A15" s="215" t="s">
        <v>36</v>
      </c>
      <c r="B15" s="216">
        <v>23.952100000000002</v>
      </c>
      <c r="C15" s="217">
        <v>24.096399999999999</v>
      </c>
      <c r="D15" s="217">
        <v>24.096399999999999</v>
      </c>
      <c r="E15" s="217">
        <v>24.096399999999999</v>
      </c>
      <c r="F15" s="217">
        <v>22.7273</v>
      </c>
      <c r="G15" s="217">
        <v>28.735600000000002</v>
      </c>
      <c r="H15" s="217">
        <v>27.322399999999998</v>
      </c>
      <c r="I15" s="217">
        <v>33.333300000000001</v>
      </c>
      <c r="J15" s="217"/>
      <c r="K15" s="217">
        <v>34.463299999999997</v>
      </c>
      <c r="L15" s="217" t="s">
        <v>136</v>
      </c>
      <c r="M15" s="217">
        <v>35.714285714285715</v>
      </c>
      <c r="N15" s="217">
        <v>36.363636363636402</v>
      </c>
      <c r="O15" s="217">
        <v>35.5029585798817</v>
      </c>
      <c r="P15" s="217">
        <v>35.294117647058798</v>
      </c>
    </row>
    <row r="16" spans="1:16">
      <c r="A16" s="215" t="s">
        <v>56</v>
      </c>
      <c r="B16" s="216">
        <v>0</v>
      </c>
      <c r="C16" s="217">
        <v>9.3976000000000006</v>
      </c>
      <c r="D16" s="217">
        <v>11.3909</v>
      </c>
      <c r="E16" s="217">
        <v>9.4834999999999994</v>
      </c>
      <c r="F16" s="217">
        <v>8.9370999999999992</v>
      </c>
      <c r="G16" s="217">
        <v>7.5785999999999998</v>
      </c>
      <c r="H16" s="217">
        <v>10.989000000000001</v>
      </c>
      <c r="I16" s="217">
        <v>10.989000000000001</v>
      </c>
      <c r="J16" s="217"/>
      <c r="K16" s="217">
        <v>6.9360999999999997</v>
      </c>
      <c r="L16" s="217">
        <v>10.916666666666668</v>
      </c>
      <c r="M16" s="217">
        <v>7.5757575757575761</v>
      </c>
      <c r="N16" s="217">
        <v>11.538461538461499</v>
      </c>
      <c r="O16" s="217">
        <v>9.8765432098765409</v>
      </c>
      <c r="P16" s="217">
        <v>6.7567567567567597</v>
      </c>
    </row>
    <row r="17" spans="1:16">
      <c r="A17" s="215" t="s">
        <v>57</v>
      </c>
      <c r="B17" s="216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>
        <v>8.8292682926829276</v>
      </c>
      <c r="N17" s="217">
        <v>9.0513833992094899</v>
      </c>
      <c r="O17" s="217">
        <v>15.625</v>
      </c>
      <c r="P17" s="217">
        <v>14.9253731343284</v>
      </c>
    </row>
    <row r="18" spans="1:16">
      <c r="A18" s="215" t="s">
        <v>58</v>
      </c>
      <c r="B18" s="216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>
        <v>19.7368421052632</v>
      </c>
      <c r="P18" s="217">
        <v>18.867924528301899</v>
      </c>
    </row>
    <row r="19" spans="1:16">
      <c r="A19" s="215" t="s">
        <v>37</v>
      </c>
      <c r="B19" s="216">
        <v>14.6341</v>
      </c>
      <c r="C19" s="217">
        <v>13.8728</v>
      </c>
      <c r="D19" s="217">
        <v>11.770899999999999</v>
      </c>
      <c r="E19" s="217">
        <v>14.347300000000001</v>
      </c>
      <c r="F19" s="217">
        <v>12.4642</v>
      </c>
      <c r="G19" s="217">
        <v>11.1732</v>
      </c>
      <c r="H19" s="217">
        <v>17.4954</v>
      </c>
      <c r="I19" s="217">
        <v>17.543900000000001</v>
      </c>
      <c r="J19" s="217"/>
      <c r="K19" s="217">
        <v>20.408200000000001</v>
      </c>
      <c r="L19" s="217">
        <v>21.383647798742139</v>
      </c>
      <c r="M19" s="217">
        <v>23.129251700680271</v>
      </c>
      <c r="N19" s="217">
        <v>21.622749231444899</v>
      </c>
      <c r="O19" s="217">
        <v>25.455790358221002</v>
      </c>
      <c r="P19" s="217">
        <v>21.118012422360302</v>
      </c>
    </row>
    <row r="20" spans="1:16">
      <c r="A20" s="218" t="s">
        <v>92</v>
      </c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>
        <v>31.25</v>
      </c>
      <c r="N20" s="217">
        <v>28.571428571428601</v>
      </c>
      <c r="O20" s="217">
        <v>30.303030303030301</v>
      </c>
      <c r="P20" s="217">
        <v>28.571428571428601</v>
      </c>
    </row>
    <row r="21" spans="1:16">
      <c r="A21" s="215" t="s">
        <v>38</v>
      </c>
      <c r="B21" s="216">
        <v>5.5</v>
      </c>
      <c r="C21" s="217">
        <v>5.8479999999999999</v>
      </c>
      <c r="D21" s="217">
        <v>5.4054000000000002</v>
      </c>
      <c r="E21" s="217">
        <v>13.989599999999999</v>
      </c>
      <c r="F21" s="217">
        <v>17.197500000000002</v>
      </c>
      <c r="G21" s="217">
        <v>11.854799999999999</v>
      </c>
      <c r="H21" s="217">
        <v>21.582699999999999</v>
      </c>
      <c r="I21" s="217">
        <v>21.8978</v>
      </c>
      <c r="J21" s="217"/>
      <c r="K21" s="217">
        <v>29.054099999999998</v>
      </c>
      <c r="L21" s="217">
        <v>28.313253012048197</v>
      </c>
      <c r="M21" s="217">
        <v>29.239766081871345</v>
      </c>
      <c r="N21" s="217">
        <v>32.142857142857203</v>
      </c>
      <c r="O21" s="217">
        <v>31.764705882352899</v>
      </c>
      <c r="P21" s="217">
        <v>32.142857142857203</v>
      </c>
    </row>
    <row r="22" spans="1:16">
      <c r="A22" s="215" t="s">
        <v>39</v>
      </c>
      <c r="B22" s="216">
        <v>12.0482</v>
      </c>
      <c r="C22" s="217">
        <v>13.513500000000001</v>
      </c>
      <c r="D22" s="217">
        <v>13.793100000000001</v>
      </c>
      <c r="E22" s="217">
        <v>12.2699</v>
      </c>
      <c r="F22" s="217">
        <v>11.6279</v>
      </c>
      <c r="G22" s="217">
        <v>12.2699</v>
      </c>
      <c r="H22" s="217">
        <v>17.543900000000001</v>
      </c>
      <c r="I22" s="217">
        <v>23.8095</v>
      </c>
      <c r="J22" s="217"/>
      <c r="K22" s="217">
        <v>25.252500000000001</v>
      </c>
      <c r="L22" s="217">
        <v>25.751072961373389</v>
      </c>
      <c r="M22" s="217">
        <v>34.334763948497852</v>
      </c>
      <c r="N22" s="217">
        <v>36.721171666147299</v>
      </c>
      <c r="O22" s="217">
        <v>42.194092827004198</v>
      </c>
      <c r="P22" s="217">
        <v>41.603053435114496</v>
      </c>
    </row>
    <row r="23" spans="1:16">
      <c r="A23" s="215" t="s">
        <v>40</v>
      </c>
      <c r="B23" s="216">
        <v>27.2727</v>
      </c>
      <c r="C23" s="217">
        <v>42.553199999999997</v>
      </c>
      <c r="D23" s="217">
        <v>33.898299999999999</v>
      </c>
      <c r="E23" s="217">
        <v>28.571400000000001</v>
      </c>
      <c r="F23" s="217">
        <v>38.461500000000001</v>
      </c>
      <c r="G23" s="217">
        <v>30.303000000000001</v>
      </c>
      <c r="H23" s="217">
        <v>50</v>
      </c>
      <c r="I23" s="217">
        <v>27.777799999999999</v>
      </c>
      <c r="J23" s="217"/>
      <c r="K23" s="217">
        <v>46.153799999999997</v>
      </c>
      <c r="L23" s="217">
        <v>41.095890410958901</v>
      </c>
      <c r="M23" s="217">
        <v>29.6875</v>
      </c>
      <c r="N23" s="217">
        <v>34.545454545454596</v>
      </c>
      <c r="O23" s="217">
        <v>36.538461538461497</v>
      </c>
      <c r="P23" s="217">
        <v>43.1034482758621</v>
      </c>
    </row>
    <row r="24" spans="1:16">
      <c r="A24" s="215" t="s">
        <v>41</v>
      </c>
      <c r="B24" s="216">
        <v>10.5144</v>
      </c>
      <c r="C24" s="217">
        <v>10.0082</v>
      </c>
      <c r="D24" s="217">
        <v>11.456899999999999</v>
      </c>
      <c r="E24" s="217">
        <v>12.7151</v>
      </c>
      <c r="F24" s="217">
        <v>11.054399999999999</v>
      </c>
      <c r="G24" s="217">
        <v>11.690899999999999</v>
      </c>
      <c r="H24" s="217">
        <v>11.2439</v>
      </c>
      <c r="I24" s="217">
        <v>12.8558</v>
      </c>
      <c r="J24" s="217"/>
      <c r="K24" s="217">
        <v>15.6295</v>
      </c>
      <c r="L24" s="217">
        <v>19.930880713489412</v>
      </c>
      <c r="M24" s="217">
        <v>19.368879216539717</v>
      </c>
      <c r="N24" s="217">
        <v>20.3866586533189</v>
      </c>
      <c r="O24" s="217">
        <v>20.321627199272399</v>
      </c>
      <c r="P24" s="217">
        <v>20.077323484308501</v>
      </c>
    </row>
    <row r="25" spans="1:16">
      <c r="A25" s="215" t="s">
        <v>42</v>
      </c>
      <c r="B25" s="216">
        <v>9.2272999999999996</v>
      </c>
      <c r="C25" s="217">
        <v>8.4001000000000001</v>
      </c>
      <c r="D25" s="217">
        <v>9.0391999999999992</v>
      </c>
      <c r="E25" s="217">
        <v>8.7561999999999998</v>
      </c>
      <c r="F25" s="217">
        <v>9.9875000000000007</v>
      </c>
      <c r="G25" s="217">
        <v>11.1549</v>
      </c>
      <c r="H25" s="217">
        <v>12.4956</v>
      </c>
      <c r="I25" s="217">
        <v>12.4658</v>
      </c>
      <c r="J25" s="217"/>
      <c r="K25" s="217">
        <v>14.828900000000001</v>
      </c>
      <c r="L25" s="217">
        <v>14.927184466019416</v>
      </c>
      <c r="M25" s="217">
        <v>15.961305925030231</v>
      </c>
      <c r="N25" s="217">
        <v>16.105769230769202</v>
      </c>
      <c r="O25" s="217">
        <v>17.8997613365155</v>
      </c>
      <c r="P25" s="217">
        <v>19.3003618817853</v>
      </c>
    </row>
    <row r="26" spans="1:16">
      <c r="A26" s="215" t="s">
        <v>43</v>
      </c>
      <c r="B26" s="216">
        <v>25</v>
      </c>
      <c r="C26" s="217">
        <v>29.8507</v>
      </c>
      <c r="D26" s="217">
        <v>47.2973</v>
      </c>
      <c r="E26" s="217">
        <v>35.928100000000001</v>
      </c>
      <c r="F26" s="217">
        <v>40.540500000000002</v>
      </c>
      <c r="G26" s="217">
        <v>46.710500000000003</v>
      </c>
      <c r="H26" s="217">
        <v>40.340899999999998</v>
      </c>
      <c r="I26" s="217">
        <v>34.883699999999997</v>
      </c>
      <c r="J26" s="217"/>
      <c r="K26" s="217">
        <v>37.036999999999999</v>
      </c>
      <c r="L26" s="217">
        <v>33.149171270718227</v>
      </c>
      <c r="M26" s="217">
        <v>39.215686274509807</v>
      </c>
      <c r="N26" s="217">
        <v>36.305732484076401</v>
      </c>
      <c r="O26" s="217">
        <v>33.3333333333333</v>
      </c>
      <c r="P26" s="217">
        <v>36.075949367088597</v>
      </c>
    </row>
    <row r="27" spans="1:16">
      <c r="A27" s="215" t="s">
        <v>59</v>
      </c>
      <c r="B27" s="216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>
        <v>29.971181556196001</v>
      </c>
      <c r="O27" s="217">
        <v>32.103171643778701</v>
      </c>
      <c r="P27" s="217">
        <v>30.730478589420699</v>
      </c>
    </row>
    <row r="28" spans="1:16">
      <c r="A28" s="215" t="s">
        <v>44</v>
      </c>
      <c r="B28" s="216">
        <v>31.232900000000001</v>
      </c>
      <c r="C28" s="217">
        <v>35.566499999999998</v>
      </c>
      <c r="D28" s="217">
        <v>32.478099999999998</v>
      </c>
      <c r="E28" s="217">
        <v>37.070900000000002</v>
      </c>
      <c r="F28" s="217">
        <v>41.660499999999999</v>
      </c>
      <c r="G28" s="217">
        <v>37.626300000000001</v>
      </c>
      <c r="H28" s="217">
        <v>41.8491</v>
      </c>
      <c r="I28" s="217">
        <v>42.968800000000002</v>
      </c>
      <c r="J28" s="217"/>
      <c r="K28" s="217">
        <v>46.777700000000003</v>
      </c>
      <c r="L28" s="217">
        <v>44.208037825059101</v>
      </c>
      <c r="M28" s="217">
        <v>43.158620689655173</v>
      </c>
      <c r="N28" s="217">
        <v>47.242206235011999</v>
      </c>
      <c r="O28" s="217">
        <v>51.976284584980299</v>
      </c>
      <c r="P28" s="217">
        <v>51.629935720844799</v>
      </c>
    </row>
    <row r="29" spans="1:16">
      <c r="A29" s="215" t="s">
        <v>45</v>
      </c>
      <c r="B29" s="216">
        <v>15.8651</v>
      </c>
      <c r="C29" s="217">
        <v>21.321999999999999</v>
      </c>
      <c r="D29" s="217">
        <v>20.325199999999999</v>
      </c>
      <c r="E29" s="217">
        <v>19.531300000000002</v>
      </c>
      <c r="F29" s="217">
        <v>20.7469</v>
      </c>
      <c r="G29" s="217">
        <v>22.8216</v>
      </c>
      <c r="H29" s="217">
        <v>23.976600000000001</v>
      </c>
      <c r="I29" s="217">
        <v>25.640999999999998</v>
      </c>
      <c r="J29" s="217"/>
      <c r="K29" s="217">
        <v>23.3918</v>
      </c>
      <c r="L29" s="217">
        <v>23.508137432188065</v>
      </c>
      <c r="M29" s="217">
        <v>24.915824915824917</v>
      </c>
      <c r="N29" s="217">
        <v>24.707926648920399</v>
      </c>
      <c r="O29" s="217">
        <v>24.8686514886165</v>
      </c>
      <c r="P29" s="217">
        <v>29.6685922772879</v>
      </c>
    </row>
    <row r="30" spans="1:16">
      <c r="A30" s="215" t="s">
        <v>46</v>
      </c>
      <c r="B30" s="216">
        <v>13.422800000000001</v>
      </c>
      <c r="C30" s="217">
        <v>11.236000000000001</v>
      </c>
      <c r="D30" s="217">
        <v>10.3093</v>
      </c>
      <c r="E30" s="217">
        <v>14.8515</v>
      </c>
      <c r="F30" s="217">
        <v>24.630500000000001</v>
      </c>
      <c r="G30" s="217">
        <v>21.052600000000002</v>
      </c>
      <c r="H30" s="217">
        <v>20.942399999999999</v>
      </c>
      <c r="I30" s="217">
        <v>19.487200000000001</v>
      </c>
      <c r="J30" s="217"/>
      <c r="K30" s="217">
        <v>21.739100000000001</v>
      </c>
      <c r="L30" s="217">
        <v>24.844720496894411</v>
      </c>
      <c r="M30" s="217">
        <v>20.512820512820511</v>
      </c>
      <c r="N30" s="217">
        <v>22.471910112359598</v>
      </c>
      <c r="O30" s="217">
        <v>23.75</v>
      </c>
      <c r="P30" s="217">
        <v>21.839080459770098</v>
      </c>
    </row>
    <row r="31" spans="1:16">
      <c r="A31" s="215" t="s">
        <v>47</v>
      </c>
      <c r="B31" s="216">
        <v>15.650399999999999</v>
      </c>
      <c r="C31" s="217">
        <v>16.591100000000001</v>
      </c>
      <c r="D31" s="217">
        <v>16.818999999999999</v>
      </c>
      <c r="E31" s="217">
        <v>16.526499999999999</v>
      </c>
      <c r="F31" s="217">
        <v>15.7974</v>
      </c>
      <c r="G31" s="217">
        <v>13.853300000000001</v>
      </c>
      <c r="H31" s="217">
        <v>14.1784</v>
      </c>
      <c r="I31" s="217">
        <v>14.293100000000001</v>
      </c>
      <c r="J31" s="217"/>
      <c r="K31" s="217">
        <v>14.619899999999999</v>
      </c>
      <c r="L31" s="217">
        <v>14.683109118086698</v>
      </c>
      <c r="M31" s="217">
        <v>17.398734177215189</v>
      </c>
      <c r="N31" s="217">
        <v>19.015871504085201</v>
      </c>
      <c r="O31" s="217">
        <v>18.752588827498101</v>
      </c>
      <c r="P31" s="217">
        <v>19.964028776978399</v>
      </c>
    </row>
    <row r="32" spans="1:16">
      <c r="A32" s="215" t="s">
        <v>48</v>
      </c>
      <c r="B32" s="216">
        <v>22.190200000000001</v>
      </c>
      <c r="C32" s="217">
        <v>20.104399999999998</v>
      </c>
      <c r="D32" s="217">
        <v>20.274000000000001</v>
      </c>
      <c r="E32" s="217">
        <v>16.7102</v>
      </c>
      <c r="F32" s="217">
        <v>19.020199999999999</v>
      </c>
      <c r="G32" s="217">
        <v>18.7151</v>
      </c>
      <c r="H32" s="217">
        <v>17.451499999999999</v>
      </c>
      <c r="I32" s="217">
        <v>18.134699999999999</v>
      </c>
      <c r="J32" s="217"/>
      <c r="K32" s="217">
        <v>22.5564</v>
      </c>
      <c r="L32" s="217">
        <v>25.194805194805191</v>
      </c>
      <c r="M32" s="217">
        <v>24.556962025316455</v>
      </c>
      <c r="N32" s="217">
        <v>22.0588235294118</v>
      </c>
      <c r="O32" s="217">
        <v>27.431421446384</v>
      </c>
      <c r="P32" s="217">
        <v>23.737373737373701</v>
      </c>
    </row>
    <row r="33" spans="1:16">
      <c r="A33" s="215" t="s">
        <v>49</v>
      </c>
      <c r="B33" s="216">
        <v>14.844200000000001</v>
      </c>
      <c r="C33" s="217">
        <v>16.2395</v>
      </c>
      <c r="D33" s="217">
        <v>15.640599999999999</v>
      </c>
      <c r="E33" s="217">
        <v>16.038499999999999</v>
      </c>
      <c r="F33" s="217">
        <v>19.684999999999999</v>
      </c>
      <c r="G33" s="217">
        <v>21.682500000000001</v>
      </c>
      <c r="H33" s="217">
        <v>21.9298</v>
      </c>
      <c r="I33" s="217">
        <v>21.3675</v>
      </c>
      <c r="J33" s="217"/>
      <c r="K33" s="217">
        <v>22.587299999999999</v>
      </c>
      <c r="L33" s="217">
        <v>23.904382470119522</v>
      </c>
      <c r="M33" s="217">
        <v>25</v>
      </c>
      <c r="N33" s="217">
        <v>25.793650793650801</v>
      </c>
      <c r="O33" s="217">
        <v>27.8884462151394</v>
      </c>
      <c r="P33" s="217">
        <v>28.648466464442201</v>
      </c>
    </row>
    <row r="34" spans="1:16">
      <c r="A34" s="215" t="s">
        <v>60</v>
      </c>
      <c r="B34" s="216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>
        <v>42.006269592476499</v>
      </c>
      <c r="O34" s="217">
        <v>35.593220338983102</v>
      </c>
      <c r="P34" s="217">
        <v>38.218390804597703</v>
      </c>
    </row>
    <row r="35" spans="1:16">
      <c r="A35" s="215" t="s">
        <v>50</v>
      </c>
      <c r="B35" s="216">
        <v>40.375300000000003</v>
      </c>
      <c r="C35" s="217">
        <v>44.2684</v>
      </c>
      <c r="D35" s="217">
        <v>46.0764</v>
      </c>
      <c r="E35" s="217">
        <v>45.565800000000003</v>
      </c>
      <c r="F35" s="217">
        <v>48.135599999999997</v>
      </c>
      <c r="G35" s="217">
        <v>49.665100000000002</v>
      </c>
      <c r="H35" s="217">
        <v>49.932000000000002</v>
      </c>
      <c r="I35" s="217">
        <v>48.178600000000003</v>
      </c>
      <c r="J35" s="217"/>
      <c r="K35" s="217">
        <v>50.240400000000001</v>
      </c>
      <c r="L35" s="217">
        <v>51.239751552795035</v>
      </c>
      <c r="M35" s="217">
        <v>50.137060041407864</v>
      </c>
      <c r="N35" s="217">
        <v>52.671443953514299</v>
      </c>
      <c r="O35" s="217">
        <v>50.5299311487951</v>
      </c>
      <c r="P35" s="217">
        <v>55.624892593229099</v>
      </c>
    </row>
    <row r="36" spans="1:16">
      <c r="A36" s="215" t="s">
        <v>51</v>
      </c>
      <c r="B36" s="216">
        <v>25.691700000000001</v>
      </c>
      <c r="C36" s="217">
        <v>29.548999999999999</v>
      </c>
      <c r="D36" s="217">
        <v>29.321000000000002</v>
      </c>
      <c r="E36" s="217">
        <v>28.7879</v>
      </c>
      <c r="F36" s="217">
        <v>29.321000000000002</v>
      </c>
      <c r="G36" s="217">
        <v>31.722100000000001</v>
      </c>
      <c r="H36" s="217">
        <v>28.085799999999999</v>
      </c>
      <c r="I36" s="217">
        <v>28.591999999999999</v>
      </c>
      <c r="J36" s="217"/>
      <c r="K36" s="217">
        <v>32.773099999999999</v>
      </c>
      <c r="L36" s="217">
        <v>34.482758620689658</v>
      </c>
      <c r="M36" s="217">
        <v>33.520336605890606</v>
      </c>
      <c r="N36" s="217"/>
      <c r="O36" s="217"/>
      <c r="P36" s="217"/>
    </row>
    <row r="37" spans="1:16">
      <c r="A37" s="215" t="s">
        <v>52</v>
      </c>
      <c r="B37" s="216">
        <v>10.7692</v>
      </c>
      <c r="C37" s="217">
        <v>15.872999999999999</v>
      </c>
      <c r="D37" s="217">
        <v>14.7059</v>
      </c>
      <c r="E37" s="217">
        <v>8.3362999999999996</v>
      </c>
      <c r="F37" s="217">
        <v>17.699100000000001</v>
      </c>
      <c r="G37" s="217">
        <v>18.867899999999999</v>
      </c>
      <c r="H37" s="217">
        <v>20.833300000000001</v>
      </c>
      <c r="I37" s="217">
        <v>16.260200000000001</v>
      </c>
      <c r="J37" s="217"/>
      <c r="K37" s="217">
        <v>16.806699999999999</v>
      </c>
      <c r="L37" s="217">
        <v>16.393442622950818</v>
      </c>
      <c r="M37" s="217">
        <v>15.503875968992247</v>
      </c>
      <c r="N37" s="217">
        <v>15.8730158730159</v>
      </c>
      <c r="O37" s="217">
        <v>23.8095238095238</v>
      </c>
      <c r="P37" s="217">
        <v>23.255813953488399</v>
      </c>
    </row>
    <row r="38" spans="1:16">
      <c r="A38" s="215" t="s">
        <v>53</v>
      </c>
      <c r="B38" s="216">
        <v>18.2927</v>
      </c>
      <c r="C38" s="217">
        <v>11.458299999999999</v>
      </c>
      <c r="D38" s="217">
        <v>17.857099999999999</v>
      </c>
      <c r="E38" s="217">
        <v>16.483499999999999</v>
      </c>
      <c r="F38" s="217">
        <v>16.483499999999999</v>
      </c>
      <c r="G38" s="217">
        <v>15.9574</v>
      </c>
      <c r="H38" s="217">
        <v>16.666699999999999</v>
      </c>
      <c r="I38" s="217">
        <v>23.8095</v>
      </c>
      <c r="J38" s="217"/>
      <c r="K38" s="217">
        <v>23.8095</v>
      </c>
      <c r="L38" s="217">
        <v>23.809523809523807</v>
      </c>
      <c r="M38" s="217">
        <v>29.411764705882355</v>
      </c>
      <c r="N38" s="217">
        <v>31.25</v>
      </c>
      <c r="O38" s="217">
        <v>26.6666666666667</v>
      </c>
      <c r="P38" s="217">
        <v>25.974025974025999</v>
      </c>
    </row>
    <row r="39" spans="1:16" ht="15.75" thickBot="1">
      <c r="A39" s="215" t="s">
        <v>84</v>
      </c>
      <c r="B39" s="216">
        <v>10.6663</v>
      </c>
      <c r="C39" s="217">
        <v>13.1363</v>
      </c>
      <c r="D39" s="217">
        <v>15.0502</v>
      </c>
      <c r="E39" s="217">
        <v>16.7897</v>
      </c>
      <c r="F39" s="217">
        <v>20.554600000000001</v>
      </c>
      <c r="G39" s="217">
        <v>19.4313</v>
      </c>
      <c r="H39" s="217">
        <v>20.338999999999999</v>
      </c>
      <c r="I39" s="217">
        <v>22.291</v>
      </c>
      <c r="J39" s="217"/>
      <c r="K39" s="217">
        <v>20.1538</v>
      </c>
      <c r="L39" s="217">
        <v>21.940298507462686</v>
      </c>
      <c r="M39" s="217">
        <v>26.71118530884808</v>
      </c>
      <c r="N39" s="217">
        <v>26.315789473684202</v>
      </c>
      <c r="O39" s="217">
        <v>29.240710823909499</v>
      </c>
      <c r="P39" s="217">
        <v>29.325184283289499</v>
      </c>
    </row>
    <row r="40" spans="1:16" s="44" customFormat="1" ht="15.75" thickTop="1">
      <c r="A40" s="219" t="s">
        <v>83</v>
      </c>
      <c r="B40" s="220">
        <v>18.634499999999999</v>
      </c>
      <c r="C40" s="102">
        <v>20.322099999999999</v>
      </c>
      <c r="D40" s="102">
        <v>21.307700000000001</v>
      </c>
      <c r="E40" s="102">
        <v>21.3858</v>
      </c>
      <c r="F40" s="102">
        <v>22.751200000000001</v>
      </c>
      <c r="G40" s="102">
        <v>23.238099999999999</v>
      </c>
      <c r="H40" s="102">
        <v>23.895099999999999</v>
      </c>
      <c r="I40" s="102">
        <v>24.4602</v>
      </c>
      <c r="J40" s="102"/>
      <c r="K40" s="102">
        <v>26.034700000000001</v>
      </c>
      <c r="L40" s="102">
        <v>26.884240084240083</v>
      </c>
      <c r="M40" s="102">
        <v>27.376048657718123</v>
      </c>
      <c r="N40" s="102">
        <v>27.931093322890501</v>
      </c>
      <c r="O40" s="102">
        <v>28.6125218671399</v>
      </c>
      <c r="P40" s="102">
        <v>29.710942650147999</v>
      </c>
    </row>
    <row r="41" spans="1:16">
      <c r="O41" s="46"/>
    </row>
    <row r="42" spans="1:16">
      <c r="O42" s="46"/>
    </row>
  </sheetData>
  <mergeCells count="2">
    <mergeCell ref="A3:N3"/>
    <mergeCell ref="A4:D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70458-4D7B-4257-A6F2-3304A2316AC8}">
  <sheetPr codeName="Feuil14"/>
  <dimension ref="A1:P45"/>
  <sheetViews>
    <sheetView topLeftCell="A3" workbookViewId="0">
      <selection activeCell="A39" sqref="A39"/>
    </sheetView>
  </sheetViews>
  <sheetFormatPr baseColWidth="10" defaultRowHeight="15"/>
  <cols>
    <col min="1" max="1" width="23" style="43" bestFit="1" customWidth="1"/>
    <col min="2" max="9" width="11.42578125" style="45"/>
    <col min="10" max="10" width="8.85546875" style="45" customWidth="1"/>
    <col min="11" max="14" width="11.42578125" style="45"/>
    <col min="15" max="16384" width="11.42578125" style="43"/>
  </cols>
  <sheetData>
    <row r="1" spans="1:16" s="42" customFormat="1" ht="33.950000000000003" customHeight="1">
      <c r="A1" s="55" t="s">
        <v>65</v>
      </c>
      <c r="B1" s="55"/>
      <c r="C1" s="55"/>
      <c r="D1" s="55"/>
      <c r="E1" s="55"/>
      <c r="F1" s="55"/>
      <c r="G1" s="47"/>
      <c r="H1" s="47"/>
      <c r="I1" s="47"/>
      <c r="J1" s="47"/>
      <c r="K1" s="47"/>
      <c r="L1" s="47"/>
      <c r="M1" s="47"/>
      <c r="N1" s="47"/>
    </row>
    <row r="2" spans="1:16" s="42" customFormat="1" ht="16.5">
      <c r="A2" s="42" t="s">
        <v>64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6" s="42" customFormat="1" ht="16.5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6" s="49" customFormat="1">
      <c r="A4" s="205" t="s">
        <v>54</v>
      </c>
      <c r="B4" s="206" t="s">
        <v>133</v>
      </c>
      <c r="C4" s="207" t="s">
        <v>19</v>
      </c>
      <c r="D4" s="207" t="s">
        <v>20</v>
      </c>
      <c r="E4" s="207" t="s">
        <v>21</v>
      </c>
      <c r="F4" s="207" t="s">
        <v>22</v>
      </c>
      <c r="G4" s="207" t="s">
        <v>134</v>
      </c>
      <c r="H4" s="207" t="s">
        <v>120</v>
      </c>
      <c r="I4" s="205">
        <v>2017</v>
      </c>
      <c r="J4" s="205">
        <v>2018</v>
      </c>
      <c r="K4" s="205">
        <v>2019</v>
      </c>
      <c r="L4" s="205">
        <v>2020</v>
      </c>
      <c r="M4" s="205">
        <v>2021</v>
      </c>
      <c r="N4" s="205">
        <v>2022</v>
      </c>
      <c r="O4" s="205">
        <v>2023</v>
      </c>
      <c r="P4" s="205">
        <v>2024</v>
      </c>
    </row>
    <row r="5" spans="1:16">
      <c r="A5" s="208" t="s">
        <v>16</v>
      </c>
      <c r="B5" s="209">
        <v>6.577</v>
      </c>
      <c r="C5" s="210">
        <v>7.8859000000000004</v>
      </c>
      <c r="D5" s="210">
        <v>10.249000000000001</v>
      </c>
      <c r="E5" s="210">
        <v>10.4697</v>
      </c>
      <c r="F5" s="210">
        <v>12.132400000000001</v>
      </c>
      <c r="G5" s="210">
        <v>15.4322</v>
      </c>
      <c r="H5" s="210">
        <v>15.767899999999999</v>
      </c>
      <c r="I5" s="210">
        <v>15.7151</v>
      </c>
      <c r="J5" s="210"/>
      <c r="K5" s="210">
        <v>15.5</v>
      </c>
      <c r="L5" s="210">
        <v>15.89558383233533</v>
      </c>
      <c r="M5" s="210">
        <v>15.244777158774372</v>
      </c>
      <c r="N5" s="210">
        <v>14.614915136014901</v>
      </c>
      <c r="O5" s="210">
        <v>17.508813160987099</v>
      </c>
      <c r="P5" s="210">
        <v>20.461247637050999</v>
      </c>
    </row>
    <row r="6" spans="1:16">
      <c r="A6" s="208" t="s">
        <v>30</v>
      </c>
      <c r="B6" s="209">
        <v>8.6265999999999998</v>
      </c>
      <c r="C6" s="210">
        <v>7.7828999999999997</v>
      </c>
      <c r="D6" s="210">
        <v>7.9649000000000001</v>
      </c>
      <c r="E6" s="210">
        <v>8.0129999999999999</v>
      </c>
      <c r="F6" s="210">
        <v>10.1983</v>
      </c>
      <c r="G6" s="210">
        <v>10.2079</v>
      </c>
      <c r="H6" s="210">
        <v>13.4625</v>
      </c>
      <c r="I6" s="210">
        <v>15.1729</v>
      </c>
      <c r="J6" s="210"/>
      <c r="K6" s="210">
        <v>19.535799999999998</v>
      </c>
      <c r="L6" s="210">
        <v>19.070208728652752</v>
      </c>
      <c r="M6" s="210">
        <v>18.586397058823529</v>
      </c>
      <c r="N6" s="210">
        <v>18.549266080591899</v>
      </c>
      <c r="O6" s="210">
        <v>18.214607754734001</v>
      </c>
      <c r="P6" s="210">
        <v>19.4218608852755</v>
      </c>
    </row>
    <row r="7" spans="1:16">
      <c r="A7" s="208" t="s">
        <v>31</v>
      </c>
      <c r="B7" s="209">
        <v>8.0957000000000008</v>
      </c>
      <c r="C7" s="210">
        <v>7.9710000000000001</v>
      </c>
      <c r="D7" s="210">
        <v>10.0548</v>
      </c>
      <c r="E7" s="210">
        <v>11.3111</v>
      </c>
      <c r="F7" s="210">
        <v>12.0748</v>
      </c>
      <c r="G7" s="210">
        <v>12.105700000000001</v>
      </c>
      <c r="H7" s="210">
        <v>12.2308</v>
      </c>
      <c r="I7" s="210">
        <v>14.513299999999999</v>
      </c>
      <c r="J7" s="210"/>
      <c r="K7" s="210">
        <v>14.065200000000001</v>
      </c>
      <c r="L7" s="210">
        <v>17.642069550466495</v>
      </c>
      <c r="M7" s="210">
        <v>20.193151887620719</v>
      </c>
      <c r="N7" s="210">
        <v>19.844693701466799</v>
      </c>
      <c r="O7" s="210">
        <v>21.970357454228399</v>
      </c>
      <c r="P7" s="210">
        <v>26.982680036463101</v>
      </c>
    </row>
    <row r="8" spans="1:16">
      <c r="A8" s="208" t="s">
        <v>32</v>
      </c>
      <c r="B8" s="209">
        <v>10.889799999999999</v>
      </c>
      <c r="C8" s="210">
        <v>17.0763</v>
      </c>
      <c r="D8" s="210">
        <v>18.532800000000002</v>
      </c>
      <c r="E8" s="210">
        <v>20.078199999999999</v>
      </c>
      <c r="F8" s="210">
        <v>19.972300000000001</v>
      </c>
      <c r="G8" s="210">
        <v>20.980899999999998</v>
      </c>
      <c r="H8" s="210">
        <v>20.9239</v>
      </c>
      <c r="I8" s="210">
        <v>22.222200000000001</v>
      </c>
      <c r="J8" s="210"/>
      <c r="K8" s="210">
        <v>21.7822</v>
      </c>
      <c r="L8" s="210">
        <v>22.916666666666664</v>
      </c>
      <c r="M8" s="210">
        <v>21.212121212121211</v>
      </c>
      <c r="N8" s="210">
        <v>22.848664688427299</v>
      </c>
      <c r="O8" s="210">
        <v>23.192771084337402</v>
      </c>
      <c r="P8" s="210">
        <v>26.268656716417901</v>
      </c>
    </row>
    <row r="9" spans="1:16">
      <c r="A9" s="208" t="s">
        <v>33</v>
      </c>
      <c r="B9" s="209">
        <v>12.2394</v>
      </c>
      <c r="C9" s="210">
        <v>12.5792</v>
      </c>
      <c r="D9" s="210">
        <v>17.005500000000001</v>
      </c>
      <c r="E9" s="210">
        <v>17.033000000000001</v>
      </c>
      <c r="F9" s="210">
        <v>17.705500000000001</v>
      </c>
      <c r="G9" s="210">
        <v>17.883900000000001</v>
      </c>
      <c r="H9" s="210">
        <v>17.23</v>
      </c>
      <c r="I9" s="210">
        <v>18.021000000000001</v>
      </c>
      <c r="J9" s="210"/>
      <c r="K9" s="210">
        <v>17.639299999999999</v>
      </c>
      <c r="L9" s="210">
        <v>16.457811194653299</v>
      </c>
      <c r="M9" s="210">
        <v>20.844519966015294</v>
      </c>
      <c r="N9" s="210">
        <v>21.803519852120001</v>
      </c>
      <c r="O9" s="210">
        <v>22.143305603515898</v>
      </c>
      <c r="P9" s="210">
        <v>24.452796200769701</v>
      </c>
    </row>
    <row r="10" spans="1:16">
      <c r="A10" s="208" t="s">
        <v>89</v>
      </c>
      <c r="B10" s="209">
        <v>9.1539999999999999</v>
      </c>
      <c r="C10" s="210">
        <v>9.3483999999999998</v>
      </c>
      <c r="D10" s="210">
        <v>10.0152</v>
      </c>
      <c r="E10" s="210">
        <v>9.593</v>
      </c>
      <c r="F10" s="210">
        <v>9.1412999999999993</v>
      </c>
      <c r="G10" s="210">
        <v>8.7882999999999996</v>
      </c>
      <c r="H10" s="210">
        <v>8.6050000000000004</v>
      </c>
      <c r="I10" s="210">
        <v>11.6402</v>
      </c>
      <c r="J10" s="210"/>
      <c r="K10" s="210">
        <v>18.257300000000001</v>
      </c>
      <c r="L10" s="210">
        <v>18.307905686546462</v>
      </c>
      <c r="M10" s="210">
        <v>18.287373004354137</v>
      </c>
      <c r="N10" s="210">
        <v>20.8092485549133</v>
      </c>
      <c r="O10" s="210">
        <v>28.3132530120482</v>
      </c>
      <c r="P10" s="210">
        <v>30.08</v>
      </c>
    </row>
    <row r="11" spans="1:16">
      <c r="A11" s="208" t="s">
        <v>34</v>
      </c>
      <c r="B11" s="209">
        <v>8.6532</v>
      </c>
      <c r="C11" s="210">
        <v>13.808299999999999</v>
      </c>
      <c r="D11" s="210">
        <v>13.622299999999999</v>
      </c>
      <c r="E11" s="210">
        <v>14.2857</v>
      </c>
      <c r="F11" s="210">
        <v>14.097200000000001</v>
      </c>
      <c r="G11" s="210">
        <v>16.072700000000001</v>
      </c>
      <c r="H11" s="210">
        <v>15.691700000000001</v>
      </c>
      <c r="I11" s="210">
        <v>17.272099999999998</v>
      </c>
      <c r="J11" s="210"/>
      <c r="K11" s="210">
        <v>16.8476</v>
      </c>
      <c r="L11" s="210">
        <v>16.447368421052634</v>
      </c>
      <c r="M11" s="210">
        <v>17.368421052631579</v>
      </c>
      <c r="N11" s="210">
        <v>23.7745098039216</v>
      </c>
      <c r="O11" s="210">
        <v>18.585526315789501</v>
      </c>
      <c r="P11" s="210">
        <v>20.1331114808652</v>
      </c>
    </row>
    <row r="12" spans="1:16">
      <c r="A12" s="208" t="s">
        <v>35</v>
      </c>
      <c r="B12" s="209">
        <v>7.5441000000000003</v>
      </c>
      <c r="C12" s="210">
        <v>9.4117999999999995</v>
      </c>
      <c r="D12" s="210">
        <v>9.4117999999999995</v>
      </c>
      <c r="E12" s="210">
        <v>9.6491000000000007</v>
      </c>
      <c r="F12" s="210">
        <v>8.0488</v>
      </c>
      <c r="G12" s="210">
        <v>10.6774</v>
      </c>
      <c r="H12" s="210">
        <v>15.511200000000001</v>
      </c>
      <c r="I12" s="210">
        <v>14.1935</v>
      </c>
      <c r="J12" s="210"/>
      <c r="K12" s="210">
        <v>13.4557</v>
      </c>
      <c r="L12" s="210">
        <v>13.239719157472418</v>
      </c>
      <c r="M12" s="210">
        <v>13.239719157472418</v>
      </c>
      <c r="N12" s="210">
        <v>14.4602851323829</v>
      </c>
      <c r="O12" s="210">
        <v>14.8846960167715</v>
      </c>
      <c r="P12" s="210">
        <v>15.3679653679654</v>
      </c>
    </row>
    <row r="13" spans="1:16">
      <c r="A13" s="208" t="s">
        <v>55</v>
      </c>
      <c r="B13" s="209">
        <v>5.6292999999999997</v>
      </c>
      <c r="C13" s="210">
        <v>6.5244</v>
      </c>
      <c r="D13" s="210">
        <v>6.3491999999999997</v>
      </c>
      <c r="E13" s="210">
        <v>6.4630000000000001</v>
      </c>
      <c r="F13" s="210">
        <v>7.1196999999999999</v>
      </c>
      <c r="G13" s="210">
        <v>7.0787000000000004</v>
      </c>
      <c r="H13" s="210">
        <v>7.8235000000000001</v>
      </c>
      <c r="I13" s="210">
        <v>7.6657999999999999</v>
      </c>
      <c r="J13" s="210"/>
      <c r="K13" s="210">
        <v>9.3985000000000003</v>
      </c>
      <c r="L13" s="210">
        <v>9.450882752376641</v>
      </c>
      <c r="M13" s="210">
        <v>10.306890561667633</v>
      </c>
      <c r="N13" s="210">
        <v>9.9719887955182092</v>
      </c>
      <c r="O13" s="210">
        <v>10.045146726862299</v>
      </c>
      <c r="P13" s="210">
        <v>10.1772441395083</v>
      </c>
    </row>
    <row r="14" spans="1:16">
      <c r="A14" s="208" t="s">
        <v>36</v>
      </c>
      <c r="B14" s="209">
        <v>19.6602</v>
      </c>
      <c r="C14" s="210">
        <v>21.171199999999999</v>
      </c>
      <c r="D14" s="210">
        <v>21.363600000000002</v>
      </c>
      <c r="E14" s="210">
        <v>21.809699999999999</v>
      </c>
      <c r="F14" s="210">
        <v>20.479299999999999</v>
      </c>
      <c r="G14" s="210">
        <v>23.644300000000001</v>
      </c>
      <c r="H14" s="210">
        <v>23.966899999999999</v>
      </c>
      <c r="I14" s="210">
        <v>27.708300000000001</v>
      </c>
      <c r="J14" s="210"/>
      <c r="K14" s="210">
        <v>30.434799999999999</v>
      </c>
      <c r="L14" s="210" t="s">
        <v>137</v>
      </c>
      <c r="M14" s="210">
        <v>29.864253393665159</v>
      </c>
      <c r="N14" s="210">
        <v>29.864253393665201</v>
      </c>
      <c r="O14" s="210">
        <v>33.802816901408498</v>
      </c>
      <c r="P14" s="210">
        <v>34.7826086956522</v>
      </c>
    </row>
    <row r="15" spans="1:16">
      <c r="A15" s="208" t="s">
        <v>56</v>
      </c>
      <c r="B15" s="209">
        <v>4.0674999999999999</v>
      </c>
      <c r="C15" s="210">
        <v>4.8880999999999997</v>
      </c>
      <c r="D15" s="210">
        <v>5.2381000000000002</v>
      </c>
      <c r="E15" s="210">
        <v>4.2229999999999999</v>
      </c>
      <c r="F15" s="210">
        <v>4.2580999999999998</v>
      </c>
      <c r="G15" s="210">
        <v>6.6402999999999999</v>
      </c>
      <c r="H15" s="210">
        <v>6.9565000000000001</v>
      </c>
      <c r="I15" s="210">
        <v>9.3023000000000007</v>
      </c>
      <c r="J15" s="210"/>
      <c r="K15" s="210">
        <v>7.8818999999999999</v>
      </c>
      <c r="L15" s="210">
        <v>8.0546448087431699</v>
      </c>
      <c r="M15" s="210">
        <v>8.0213903743315509</v>
      </c>
      <c r="N15" s="210">
        <v>8.3333333333333393</v>
      </c>
      <c r="O15" s="210">
        <v>8.9820359281437092</v>
      </c>
      <c r="P15" s="210">
        <v>8.6206896551724199</v>
      </c>
    </row>
    <row r="16" spans="1:16">
      <c r="A16" s="208" t="s">
        <v>57</v>
      </c>
      <c r="B16" s="209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>
        <v>7.7189922480620146</v>
      </c>
      <c r="N16" s="210">
        <v>7.61493058442099</v>
      </c>
      <c r="O16" s="210">
        <v>13.279678068410499</v>
      </c>
      <c r="P16" s="210">
        <v>14.9897330595483</v>
      </c>
    </row>
    <row r="17" spans="1:16">
      <c r="A17" s="208" t="s">
        <v>58</v>
      </c>
      <c r="B17" s="209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>
        <v>16.3366336633663</v>
      </c>
      <c r="P17" s="210">
        <v>17.1428571428571</v>
      </c>
    </row>
    <row r="18" spans="1:16">
      <c r="A18" s="208" t="s">
        <v>37</v>
      </c>
      <c r="B18" s="209">
        <v>11.5578</v>
      </c>
      <c r="C18" s="210">
        <v>11.704800000000001</v>
      </c>
      <c r="D18" s="210">
        <v>11.6355</v>
      </c>
      <c r="E18" s="210">
        <v>12.643800000000001</v>
      </c>
      <c r="F18" s="210">
        <v>11.515499999999999</v>
      </c>
      <c r="G18" s="210">
        <v>10.628</v>
      </c>
      <c r="H18" s="210">
        <v>16.1098</v>
      </c>
      <c r="I18" s="210">
        <v>16.7089</v>
      </c>
      <c r="J18" s="210"/>
      <c r="K18" s="210">
        <v>18.0822</v>
      </c>
      <c r="L18" s="210">
        <v>18.328840970350406</v>
      </c>
      <c r="M18" s="210">
        <v>19.101123595505616</v>
      </c>
      <c r="N18" s="210">
        <v>16.461449275362298</v>
      </c>
      <c r="O18" s="210">
        <v>17.760571768910101</v>
      </c>
      <c r="P18" s="210">
        <v>17.8010471204189</v>
      </c>
    </row>
    <row r="19" spans="1:16">
      <c r="A19" s="211" t="s">
        <v>92</v>
      </c>
      <c r="B19" s="209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>
        <v>25.287356321839084</v>
      </c>
      <c r="N19" s="210">
        <v>25.882352941176499</v>
      </c>
      <c r="O19" s="210">
        <v>25.882352941176499</v>
      </c>
      <c r="P19" s="210">
        <v>25.581395348837201</v>
      </c>
    </row>
    <row r="20" spans="1:16">
      <c r="A20" s="208" t="s">
        <v>38</v>
      </c>
      <c r="B20" s="209">
        <v>4.9356</v>
      </c>
      <c r="C20" s="210">
        <v>5.3921999999999999</v>
      </c>
      <c r="D20" s="210">
        <v>8.7805</v>
      </c>
      <c r="E20" s="210">
        <v>9.9237000000000002</v>
      </c>
      <c r="F20" s="210">
        <v>11.436999999999999</v>
      </c>
      <c r="G20" s="210">
        <v>15.7385</v>
      </c>
      <c r="H20" s="210">
        <v>23.076899999999998</v>
      </c>
      <c r="I20" s="210">
        <v>22.478400000000001</v>
      </c>
      <c r="J20" s="210"/>
      <c r="K20" s="210">
        <v>32.681600000000003</v>
      </c>
      <c r="L20" s="210">
        <v>32.978723404255319</v>
      </c>
      <c r="M20" s="210">
        <v>32.397959183673471</v>
      </c>
      <c r="N20" s="210">
        <v>32.824427480916</v>
      </c>
      <c r="O20" s="210">
        <v>31.414868105515598</v>
      </c>
      <c r="P20" s="210">
        <v>33.080808080808097</v>
      </c>
    </row>
    <row r="21" spans="1:16">
      <c r="A21" s="208" t="s">
        <v>39</v>
      </c>
      <c r="B21" s="209">
        <v>10.757899999999999</v>
      </c>
      <c r="C21" s="210">
        <v>10.837400000000001</v>
      </c>
      <c r="D21" s="210">
        <v>10.918100000000001</v>
      </c>
      <c r="E21" s="210">
        <v>10.3774</v>
      </c>
      <c r="F21" s="210">
        <v>10.6538</v>
      </c>
      <c r="G21" s="210">
        <v>10.837400000000001</v>
      </c>
      <c r="H21" s="210">
        <v>19.0244</v>
      </c>
      <c r="I21" s="210">
        <v>19.775300000000001</v>
      </c>
      <c r="J21" s="210"/>
      <c r="K21" s="210">
        <v>20.547899999999998</v>
      </c>
      <c r="L21" s="210">
        <v>20.318021201413426</v>
      </c>
      <c r="M21" s="210">
        <v>26.5</v>
      </c>
      <c r="N21" s="210">
        <v>31.504150837202801</v>
      </c>
      <c r="O21" s="210">
        <v>37.691001697792899</v>
      </c>
      <c r="P21" s="210">
        <v>36.461538461538503</v>
      </c>
    </row>
    <row r="22" spans="1:16">
      <c r="A22" s="208" t="s">
        <v>40</v>
      </c>
      <c r="B22" s="209">
        <v>20.930199999999999</v>
      </c>
      <c r="C22" s="210">
        <v>34.108499999999999</v>
      </c>
      <c r="D22" s="210">
        <v>31.2057</v>
      </c>
      <c r="E22" s="210">
        <v>29.139099999999999</v>
      </c>
      <c r="F22" s="210">
        <v>34.3949</v>
      </c>
      <c r="G22" s="210">
        <v>30.817599999999999</v>
      </c>
      <c r="H22" s="210">
        <v>36.363599999999998</v>
      </c>
      <c r="I22" s="210">
        <v>32.941200000000002</v>
      </c>
      <c r="J22" s="210"/>
      <c r="K22" s="210">
        <v>39.521000000000001</v>
      </c>
      <c r="L22" s="210">
        <v>40.490797546012267</v>
      </c>
      <c r="M22" s="210">
        <v>35.862068965517238</v>
      </c>
      <c r="N22" s="210">
        <v>38.235294117647101</v>
      </c>
      <c r="O22" s="210">
        <v>37.681159420289902</v>
      </c>
      <c r="P22" s="210">
        <v>41.428571428571402</v>
      </c>
    </row>
    <row r="23" spans="1:16">
      <c r="A23" s="208" t="s">
        <v>41</v>
      </c>
      <c r="B23" s="209">
        <v>8.4997000000000007</v>
      </c>
      <c r="C23" s="210">
        <v>8.0022000000000002</v>
      </c>
      <c r="D23" s="210">
        <v>9.1171000000000006</v>
      </c>
      <c r="E23" s="210">
        <v>9.6693999999999996</v>
      </c>
      <c r="F23" s="210">
        <v>9.4228000000000005</v>
      </c>
      <c r="G23" s="210">
        <v>9.5349000000000004</v>
      </c>
      <c r="H23" s="210">
        <v>9.2324000000000002</v>
      </c>
      <c r="I23" s="210">
        <v>10.7994</v>
      </c>
      <c r="J23" s="210"/>
      <c r="K23" s="210">
        <v>13.0238</v>
      </c>
      <c r="L23" s="210">
        <v>14.316295325469635</v>
      </c>
      <c r="M23" s="210">
        <v>16.058073031236255</v>
      </c>
      <c r="N23" s="210">
        <v>17.137726682397101</v>
      </c>
      <c r="O23" s="210">
        <v>17.391840895677198</v>
      </c>
      <c r="P23" s="210">
        <v>18.181631210712698</v>
      </c>
    </row>
    <row r="24" spans="1:16">
      <c r="A24" s="208" t="s">
        <v>42</v>
      </c>
      <c r="B24" s="209">
        <v>8.7651000000000003</v>
      </c>
      <c r="C24" s="210">
        <v>8.0990000000000002</v>
      </c>
      <c r="D24" s="210">
        <v>8.4365000000000006</v>
      </c>
      <c r="E24" s="210">
        <v>8.4033999999999995</v>
      </c>
      <c r="F24" s="210">
        <v>9.7746999999999993</v>
      </c>
      <c r="G24" s="210">
        <v>9.9589999999999996</v>
      </c>
      <c r="H24" s="210">
        <v>11.2302</v>
      </c>
      <c r="I24" s="210">
        <v>11.540100000000001</v>
      </c>
      <c r="J24" s="210"/>
      <c r="K24" s="210">
        <v>14.3704</v>
      </c>
      <c r="L24" s="210">
        <v>15.472071181413741</v>
      </c>
      <c r="M24" s="210">
        <v>15.678776290630974</v>
      </c>
      <c r="N24" s="210">
        <v>16.486220472440898</v>
      </c>
      <c r="O24" s="210">
        <v>18.5351270553064</v>
      </c>
      <c r="P24" s="210">
        <v>20.082601961796598</v>
      </c>
    </row>
    <row r="25" spans="1:16">
      <c r="A25" s="208" t="s">
        <v>43</v>
      </c>
      <c r="B25" s="209">
        <v>16</v>
      </c>
      <c r="C25" s="210">
        <v>16.129000000000001</v>
      </c>
      <c r="D25" s="210">
        <v>34.615400000000001</v>
      </c>
      <c r="E25" s="210">
        <v>31.297699999999999</v>
      </c>
      <c r="F25" s="210">
        <v>32.799999999999997</v>
      </c>
      <c r="G25" s="210">
        <v>33.866700000000002</v>
      </c>
      <c r="H25" s="210">
        <v>34.068600000000004</v>
      </c>
      <c r="I25" s="210">
        <v>34.313699999999997</v>
      </c>
      <c r="J25" s="210"/>
      <c r="K25" s="210">
        <v>35</v>
      </c>
      <c r="L25" s="210">
        <v>34.653465346534652</v>
      </c>
      <c r="M25" s="210">
        <v>35.714285714285715</v>
      </c>
      <c r="N25" s="210">
        <v>34.948979591836697</v>
      </c>
      <c r="O25" s="210">
        <v>36.147757255936703</v>
      </c>
      <c r="P25" s="210">
        <v>36.7292225201072</v>
      </c>
    </row>
    <row r="26" spans="1:16">
      <c r="A26" s="208" t="s">
        <v>59</v>
      </c>
      <c r="B26" s="209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>
        <v>20.8955223880597</v>
      </c>
      <c r="O26" s="210">
        <v>24.291516662051102</v>
      </c>
      <c r="P26" s="210">
        <v>30.042918454935599</v>
      </c>
    </row>
    <row r="27" spans="1:16">
      <c r="A27" s="208" t="s">
        <v>44</v>
      </c>
      <c r="B27" s="209">
        <v>24.116399999999999</v>
      </c>
      <c r="C27" s="210">
        <v>27.685700000000001</v>
      </c>
      <c r="D27" s="210">
        <v>26.118300000000001</v>
      </c>
      <c r="E27" s="210">
        <v>30.465499999999999</v>
      </c>
      <c r="F27" s="210">
        <v>37.3001</v>
      </c>
      <c r="G27" s="210">
        <v>34.062800000000003</v>
      </c>
      <c r="H27" s="210">
        <v>37.667299999999997</v>
      </c>
      <c r="I27" s="210">
        <v>39.402700000000003</v>
      </c>
      <c r="J27" s="210"/>
      <c r="K27" s="210">
        <v>42.318600000000004</v>
      </c>
      <c r="L27" s="210">
        <v>41.213202497769849</v>
      </c>
      <c r="M27" s="210">
        <v>43.68767123287671</v>
      </c>
      <c r="N27" s="210">
        <v>48.033707865168601</v>
      </c>
      <c r="O27" s="210">
        <v>48.4145805884936</v>
      </c>
      <c r="P27" s="210">
        <v>48.6079280196927</v>
      </c>
    </row>
    <row r="28" spans="1:16">
      <c r="A28" s="208" t="s">
        <v>45</v>
      </c>
      <c r="B28" s="209">
        <v>11.744</v>
      </c>
      <c r="C28" s="210">
        <v>14.342000000000001</v>
      </c>
      <c r="D28" s="210">
        <v>15.0806</v>
      </c>
      <c r="E28" s="210">
        <v>15.2033</v>
      </c>
      <c r="F28" s="210">
        <v>14.996</v>
      </c>
      <c r="G28" s="210">
        <v>16.6401</v>
      </c>
      <c r="H28" s="210">
        <v>17.736999999999998</v>
      </c>
      <c r="I28" s="210">
        <v>17.528099999999998</v>
      </c>
      <c r="J28" s="210"/>
      <c r="K28" s="210">
        <v>16.6311</v>
      </c>
      <c r="L28" s="210">
        <v>16.269284712482467</v>
      </c>
      <c r="M28" s="210">
        <v>18.725361366622863</v>
      </c>
      <c r="N28" s="210">
        <v>19.544981102877699</v>
      </c>
      <c r="O28" s="210">
        <v>21.019108280254802</v>
      </c>
      <c r="P28" s="210">
        <v>25.170310920121299</v>
      </c>
    </row>
    <row r="29" spans="1:16">
      <c r="A29" s="208" t="s">
        <v>46</v>
      </c>
      <c r="B29" s="209">
        <v>10.137</v>
      </c>
      <c r="C29" s="210">
        <v>10.3286</v>
      </c>
      <c r="D29" s="210">
        <v>10.3529</v>
      </c>
      <c r="E29" s="210">
        <v>13.75</v>
      </c>
      <c r="F29" s="210">
        <v>17.479700000000001</v>
      </c>
      <c r="G29" s="210">
        <v>16.666699999999999</v>
      </c>
      <c r="H29" s="210">
        <v>16.564399999999999</v>
      </c>
      <c r="I29" s="210">
        <v>18.8034</v>
      </c>
      <c r="J29" s="210"/>
      <c r="K29" s="210">
        <v>18.763300000000001</v>
      </c>
      <c r="L29" s="210">
        <v>20</v>
      </c>
      <c r="M29" s="210">
        <v>18.723404255319149</v>
      </c>
      <c r="N29" s="210">
        <v>19.162995594713699</v>
      </c>
      <c r="O29" s="210">
        <v>18.485523385300699</v>
      </c>
      <c r="P29" s="210">
        <v>18.362831858407102</v>
      </c>
    </row>
    <row r="30" spans="1:16">
      <c r="A30" s="208" t="s">
        <v>47</v>
      </c>
      <c r="B30" s="209">
        <v>12.609299999999999</v>
      </c>
      <c r="C30" s="210">
        <v>12.8431</v>
      </c>
      <c r="D30" s="210">
        <v>13.7552</v>
      </c>
      <c r="E30" s="210">
        <v>13.306699999999999</v>
      </c>
      <c r="F30" s="210">
        <v>12.5</v>
      </c>
      <c r="G30" s="210">
        <v>12.7864</v>
      </c>
      <c r="H30" s="210">
        <v>12.519</v>
      </c>
      <c r="I30" s="210">
        <v>12.678800000000001</v>
      </c>
      <c r="J30" s="210"/>
      <c r="K30" s="210">
        <v>13.4337</v>
      </c>
      <c r="L30" s="210">
        <v>13.586063132817152</v>
      </c>
      <c r="M30" s="210">
        <v>15.922924901185773</v>
      </c>
      <c r="N30" s="210">
        <v>15.875393402494501</v>
      </c>
      <c r="O30" s="210">
        <v>15.983101566625599</v>
      </c>
      <c r="P30" s="210">
        <v>17.366548042704601</v>
      </c>
    </row>
    <row r="31" spans="1:16">
      <c r="A31" s="208" t="s">
        <v>48</v>
      </c>
      <c r="B31" s="209">
        <v>14.0558</v>
      </c>
      <c r="C31" s="210">
        <v>14.301299999999999</v>
      </c>
      <c r="D31" s="210">
        <v>14.3337</v>
      </c>
      <c r="E31" s="210">
        <v>13.8165</v>
      </c>
      <c r="F31" s="210">
        <v>14.902799999999999</v>
      </c>
      <c r="G31" s="210">
        <v>14.857699999999999</v>
      </c>
      <c r="H31" s="210">
        <v>14.5291</v>
      </c>
      <c r="I31" s="210">
        <v>15.3162</v>
      </c>
      <c r="J31" s="210"/>
      <c r="K31" s="210">
        <v>19.157499999999999</v>
      </c>
      <c r="L31" s="210">
        <v>20.199004975124378</v>
      </c>
      <c r="M31" s="210">
        <v>20.422535211267608</v>
      </c>
      <c r="N31" s="210">
        <v>20.2169625246548</v>
      </c>
      <c r="O31" s="210">
        <v>24.419778002018202</v>
      </c>
      <c r="P31" s="210">
        <v>23.422459893048099</v>
      </c>
    </row>
    <row r="32" spans="1:16">
      <c r="A32" s="208" t="s">
        <v>49</v>
      </c>
      <c r="B32" s="209">
        <v>11.6342</v>
      </c>
      <c r="C32" s="210">
        <v>12.5816</v>
      </c>
      <c r="D32" s="210">
        <v>12.637</v>
      </c>
      <c r="E32" s="210">
        <v>12.9613</v>
      </c>
      <c r="F32" s="210">
        <v>15.4331</v>
      </c>
      <c r="G32" s="210">
        <v>17.1538</v>
      </c>
      <c r="H32" s="210">
        <v>17.380600000000001</v>
      </c>
      <c r="I32" s="210">
        <v>16.365100000000002</v>
      </c>
      <c r="J32" s="210"/>
      <c r="K32" s="210">
        <v>17.315300000000001</v>
      </c>
      <c r="L32" s="210">
        <v>18.982229402261712</v>
      </c>
      <c r="M32" s="210">
        <v>18.805488297013721</v>
      </c>
      <c r="N32" s="210">
        <v>21.5544871794872</v>
      </c>
      <c r="O32" s="210">
        <v>22.9217110573043</v>
      </c>
      <c r="P32" s="210">
        <v>23.300659175518302</v>
      </c>
    </row>
    <row r="33" spans="1:16">
      <c r="A33" s="208" t="s">
        <v>60</v>
      </c>
      <c r="B33" s="209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>
        <v>32.416267942583701</v>
      </c>
      <c r="O33" s="210">
        <v>30.378250591016599</v>
      </c>
      <c r="P33" s="210">
        <v>31.326781326781301</v>
      </c>
    </row>
    <row r="34" spans="1:16">
      <c r="A34" s="208" t="s">
        <v>50</v>
      </c>
      <c r="B34" s="209">
        <v>33.987299999999998</v>
      </c>
      <c r="C34" s="210">
        <v>34.516300000000001</v>
      </c>
      <c r="D34" s="210">
        <v>35.922199999999997</v>
      </c>
      <c r="E34" s="210">
        <v>37.564900000000002</v>
      </c>
      <c r="F34" s="210">
        <v>38.756700000000002</v>
      </c>
      <c r="G34" s="210">
        <v>39.241799999999998</v>
      </c>
      <c r="H34" s="210">
        <v>39.990600000000001</v>
      </c>
      <c r="I34" s="210">
        <v>40.095599999999997</v>
      </c>
      <c r="J34" s="210"/>
      <c r="K34" s="210">
        <v>42.8459</v>
      </c>
      <c r="L34" s="210">
        <v>43.766014515620064</v>
      </c>
      <c r="M34" s="210">
        <v>44.908488278092165</v>
      </c>
      <c r="N34" s="210">
        <v>47.869438144388198</v>
      </c>
      <c r="O34" s="210">
        <v>46.982622164258302</v>
      </c>
      <c r="P34" s="210">
        <v>50.942827098208198</v>
      </c>
    </row>
    <row r="35" spans="1:16">
      <c r="A35" s="208" t="s">
        <v>51</v>
      </c>
      <c r="B35" s="209">
        <v>21.685400000000001</v>
      </c>
      <c r="C35" s="210">
        <v>24.912500000000001</v>
      </c>
      <c r="D35" s="210">
        <v>25.616</v>
      </c>
      <c r="E35" s="210">
        <v>26.941099999999999</v>
      </c>
      <c r="F35" s="210">
        <v>25.538799999999998</v>
      </c>
      <c r="G35" s="210">
        <v>27.2483</v>
      </c>
      <c r="H35" s="210">
        <v>26.65</v>
      </c>
      <c r="I35" s="210">
        <v>26.7575</v>
      </c>
      <c r="J35" s="210"/>
      <c r="K35" s="210">
        <v>25.581399999999999</v>
      </c>
      <c r="L35" s="210">
        <v>25.78125</v>
      </c>
      <c r="M35" s="210">
        <v>25.470653377630121</v>
      </c>
      <c r="N35" s="210"/>
      <c r="O35" s="210"/>
      <c r="P35" s="210"/>
    </row>
    <row r="36" spans="1:16">
      <c r="A36" s="208" t="s">
        <v>52</v>
      </c>
      <c r="B36" s="209">
        <v>8.0459999999999994</v>
      </c>
      <c r="C36" s="210">
        <v>12.865500000000001</v>
      </c>
      <c r="D36" s="210">
        <v>12.0219</v>
      </c>
      <c r="E36" s="210">
        <v>7.7925000000000004</v>
      </c>
      <c r="F36" s="210">
        <v>14.1221</v>
      </c>
      <c r="G36" s="210">
        <v>16.3569</v>
      </c>
      <c r="H36" s="210">
        <v>15.277799999999999</v>
      </c>
      <c r="I36" s="210">
        <v>14.5695</v>
      </c>
      <c r="J36" s="210"/>
      <c r="K36" s="210">
        <v>13.7072</v>
      </c>
      <c r="L36" s="210">
        <v>14.666666666666666</v>
      </c>
      <c r="M36" s="210">
        <v>13.836477987421384</v>
      </c>
      <c r="N36" s="210">
        <v>14.4262295081967</v>
      </c>
      <c r="O36" s="210">
        <v>23.157894736842099</v>
      </c>
      <c r="P36" s="210">
        <v>24.1758241758242</v>
      </c>
    </row>
    <row r="37" spans="1:16">
      <c r="A37" s="208" t="s">
        <v>53</v>
      </c>
      <c r="B37" s="209">
        <v>6.7264999999999997</v>
      </c>
      <c r="C37" s="210">
        <v>4.7618999999999998</v>
      </c>
      <c r="D37" s="210">
        <v>6.5217000000000001</v>
      </c>
      <c r="E37" s="210">
        <v>6.25</v>
      </c>
      <c r="F37" s="210">
        <v>6.6666999999999996</v>
      </c>
      <c r="G37" s="210">
        <v>6.8493000000000004</v>
      </c>
      <c r="H37" s="210">
        <v>6.8807</v>
      </c>
      <c r="I37" s="210">
        <v>15.311</v>
      </c>
      <c r="J37" s="210"/>
      <c r="K37" s="210">
        <v>16.494800000000001</v>
      </c>
      <c r="L37" s="210">
        <v>18.285714285714285</v>
      </c>
      <c r="M37" s="210">
        <v>18.604651162790699</v>
      </c>
      <c r="N37" s="210">
        <v>18.604651162790699</v>
      </c>
      <c r="O37" s="210">
        <v>18.285714285714299</v>
      </c>
      <c r="P37" s="210">
        <v>17.977528089887599</v>
      </c>
    </row>
    <row r="38" spans="1:16" ht="15.75" thickBot="1">
      <c r="A38" s="208" t="s">
        <v>84</v>
      </c>
      <c r="B38" s="209">
        <v>7.7826000000000004</v>
      </c>
      <c r="C38" s="210">
        <v>10.638299999999999</v>
      </c>
      <c r="D38" s="210">
        <v>13.3148</v>
      </c>
      <c r="E38" s="210">
        <v>14.3658</v>
      </c>
      <c r="F38" s="210">
        <v>18.424499999999998</v>
      </c>
      <c r="G38" s="210">
        <v>19.138100000000001</v>
      </c>
      <c r="H38" s="210">
        <v>19.545999999999999</v>
      </c>
      <c r="I38" s="210">
        <v>19.611499999999999</v>
      </c>
      <c r="J38" s="210"/>
      <c r="K38" s="210">
        <v>20.149699999999999</v>
      </c>
      <c r="L38" s="210">
        <v>21.53748411689962</v>
      </c>
      <c r="M38" s="210">
        <v>23.790589794565939</v>
      </c>
      <c r="N38" s="210">
        <v>23.1012658227848</v>
      </c>
      <c r="O38" s="210">
        <v>31.608832807571002</v>
      </c>
      <c r="P38" s="210">
        <v>32.012654329628504</v>
      </c>
    </row>
    <row r="39" spans="1:16" s="44" customFormat="1" ht="15.75" thickTop="1">
      <c r="A39" s="212" t="s">
        <v>83</v>
      </c>
      <c r="B39" s="213">
        <v>14.9147</v>
      </c>
      <c r="C39" s="101">
        <v>16.142800000000001</v>
      </c>
      <c r="D39" s="101">
        <v>17.380500000000001</v>
      </c>
      <c r="E39" s="101">
        <v>18.018000000000001</v>
      </c>
      <c r="F39" s="101">
        <v>19.004300000000001</v>
      </c>
      <c r="G39" s="101">
        <v>19.704599999999999</v>
      </c>
      <c r="H39" s="101">
        <v>20.525200000000002</v>
      </c>
      <c r="I39" s="101">
        <v>21.156099999999999</v>
      </c>
      <c r="J39" s="101"/>
      <c r="K39" s="101">
        <v>22.482900000000001</v>
      </c>
      <c r="L39" s="101">
        <v>22.991337078962665</v>
      </c>
      <c r="M39" s="101">
        <v>23.779555800800114</v>
      </c>
      <c r="N39" s="101">
        <v>24.612958503997</v>
      </c>
      <c r="O39" s="101">
        <v>26.061053445320201</v>
      </c>
      <c r="P39" s="101">
        <v>27.991609638105601</v>
      </c>
    </row>
    <row r="45" spans="1:16">
      <c r="H45" s="179" t="s">
        <v>129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1</vt:i4>
      </vt:variant>
    </vt:vector>
  </HeadingPairs>
  <TitlesOfParts>
    <vt:vector size="25" baseType="lpstr">
      <vt:lpstr>FICHE RESEAUX</vt:lpstr>
      <vt:lpstr>Population</vt:lpstr>
      <vt:lpstr>Pour graphiques</vt:lpstr>
      <vt:lpstr>Liste_reseau_depuis_2010</vt:lpstr>
      <vt:lpstr>PRE_places_off_sub</vt:lpstr>
      <vt:lpstr>PRE_places_pt_sub</vt:lpstr>
      <vt:lpstr>PRE_Tx_couv_nursery</vt:lpstr>
      <vt:lpstr>PRE_Tx_couv_garderie</vt:lpstr>
      <vt:lpstr>PRE_Tx_couv_sub</vt:lpstr>
      <vt:lpstr>PRE_Tx_couv_ns</vt:lpstr>
      <vt:lpstr>PRE_Tx_couv_TOR</vt:lpstr>
      <vt:lpstr>PRE_Tx_couv_all</vt:lpstr>
      <vt:lpstr>PARA_places_aut_sub</vt:lpstr>
      <vt:lpstr>PARA_places_off_max_sub</vt:lpstr>
      <vt:lpstr>PARA_places_PT_sub</vt:lpstr>
      <vt:lpstr>PARA_Tx_couv_sub</vt:lpstr>
      <vt:lpstr>PARA_Tx_couv_sub_annee</vt:lpstr>
      <vt:lpstr>AMF_Nbre</vt:lpstr>
      <vt:lpstr>AMF_Nbre_places_aut</vt:lpstr>
      <vt:lpstr>AMF_Nbre_places_PT_pre</vt:lpstr>
      <vt:lpstr>AMF_Nbre_places_PT_para</vt:lpstr>
      <vt:lpstr>AMF_Tx_couv_pre</vt:lpstr>
      <vt:lpstr>AMF_Tx_couv_para</vt:lpstr>
      <vt:lpstr>AMF_Tx_couv</vt:lpstr>
      <vt:lpstr>'FICHE RESEAUX'!Zone_d_impression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Carole Mauris</dc:creator>
  <cp:lastModifiedBy>Mouton Audrey</cp:lastModifiedBy>
  <cp:lastPrinted>2025-09-16T14:18:36Z</cp:lastPrinted>
  <dcterms:created xsi:type="dcterms:W3CDTF">2010-03-26T09:24:54Z</dcterms:created>
  <dcterms:modified xsi:type="dcterms:W3CDTF">2025-09-18T12:35:50Z</dcterms:modified>
</cp:coreProperties>
</file>